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worksheets/sheet2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10.5.140.15\業績資料\2.預算&amp;目標&amp;敘獎\116目標\試算\"/>
    </mc:Choice>
  </mc:AlternateContent>
  <xr:revisionPtr revIDLastSave="0" documentId="13_ncr:1_{2930D12F-B198-4715-830D-671D8C23A2F7}" xr6:coauthVersionLast="47" xr6:coauthVersionMax="47" xr10:uidLastSave="{00000000-0000-0000-0000-000000000000}"/>
  <bookViews>
    <workbookView xWindow="-120" yWindow="-120" windowWidth="29040" windowHeight="15840" tabRatio="861" firstSheet="2" activeTab="10" xr2:uid="{00000000-000D-0000-FFFF-FFFF00000000}"/>
  </bookViews>
  <sheets>
    <sheet name="原始參數_115" sheetId="61" r:id="rId1"/>
    <sheet name="財管手收比較表_值" sheetId="57" r:id="rId2"/>
    <sheet name="財管手收表" sheetId="16" r:id="rId3"/>
    <sheet name="客群經營目標表" sheetId="50" r:id="rId4"/>
    <sheet name="財管手收各月" sheetId="34" r:id="rId5"/>
    <sheet name="客群經營各月" sheetId="51" r:id="rId6"/>
    <sheet name="全年KPI" sheetId="15" r:id="rId7"/>
    <sheet name="115分組" sheetId="52" r:id="rId8"/>
    <sheet name="財管手收比較表_重點" sheetId="58" r:id="rId9"/>
    <sheet name="116目標底稿SUMMARY" sheetId="62" r:id="rId10"/>
    <sheet name="SUMMARYPLOT" sheetId="63" r:id="rId11"/>
    <sheet name="116目標底稿ver1" sheetId="53" r:id="rId12"/>
    <sheet name="116年參數表" sheetId="32" r:id="rId13"/>
    <sheet name="116指標1_前2年手收20%" sheetId="13" r:id="rId14"/>
    <sheet name="底稿_前2年手收20%" sheetId="20" r:id="rId15"/>
    <sheet name="113分行業績" sheetId="54" r:id="rId16"/>
    <sheet name="114分行業績" sheetId="46" r:id="rId17"/>
    <sheet name="115_分行業績" sheetId="59" r:id="rId18"/>
    <sheet name="116指標2_存款25%" sheetId="30" r:id="rId19"/>
    <sheet name="116指標6_理財AUM25%" sheetId="31" r:id="rId20"/>
    <sheet name="底稿_理財AUM25%" sheetId="42" r:id="rId21"/>
    <sheet name="116指標4_114分行人數25%" sheetId="12" r:id="rId22"/>
    <sheet name="116替代方案模擬" sheetId="64" r:id="rId44"/>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0" localSheetId="11">#REF!</definedName>
    <definedName name="\0" localSheetId="20">#REF!</definedName>
    <definedName name="\0" localSheetId="3">#REF!</definedName>
    <definedName name="\0" localSheetId="5">#REF!</definedName>
    <definedName name="\0">#REF!</definedName>
    <definedName name="\A" localSheetId="11">#REF!</definedName>
    <definedName name="\A" localSheetId="20">#REF!</definedName>
    <definedName name="\A" localSheetId="3">#REF!</definedName>
    <definedName name="\A" localSheetId="5">#REF!</definedName>
    <definedName name="\A">#REF!</definedName>
    <definedName name="\B" localSheetId="11">#REF!</definedName>
    <definedName name="\B" localSheetId="20">#REF!</definedName>
    <definedName name="\B" localSheetId="3">#REF!</definedName>
    <definedName name="\B" localSheetId="5">#REF!</definedName>
    <definedName name="\B">#REF!</definedName>
    <definedName name="\C" localSheetId="11">#REF!</definedName>
    <definedName name="\C" localSheetId="20">#REF!</definedName>
    <definedName name="\C" localSheetId="3">#REF!</definedName>
    <definedName name="\C" localSheetId="5">#REF!</definedName>
    <definedName name="\C">#REF!</definedName>
    <definedName name="\CLEARDATA" localSheetId="11">#REF!</definedName>
    <definedName name="\CLEARDATA" localSheetId="20">#REF!</definedName>
    <definedName name="\CLEARDATA" localSheetId="3">#REF!</definedName>
    <definedName name="\CLEARDATA" localSheetId="5">#REF!</definedName>
    <definedName name="\CLEARDATA">#REF!</definedName>
    <definedName name="\D" localSheetId="11">#REF!</definedName>
    <definedName name="\D" localSheetId="20">#REF!</definedName>
    <definedName name="\D" localSheetId="3">#REF!</definedName>
    <definedName name="\D" localSheetId="5">#REF!</definedName>
    <definedName name="\D">#REF!</definedName>
    <definedName name="\DELETE" localSheetId="11">#REF!</definedName>
    <definedName name="\DELETE" localSheetId="20">#REF!</definedName>
    <definedName name="\DELETE" localSheetId="3">#REF!</definedName>
    <definedName name="\DELETE" localSheetId="5">#REF!</definedName>
    <definedName name="\DELETE">#REF!</definedName>
    <definedName name="\e" localSheetId="11">#REF!</definedName>
    <definedName name="\e" localSheetId="20">#REF!</definedName>
    <definedName name="\e" localSheetId="3">#REF!</definedName>
    <definedName name="\e" localSheetId="5">#REF!</definedName>
    <definedName name="\e">#REF!</definedName>
    <definedName name="\I" localSheetId="11">#REF!</definedName>
    <definedName name="\I" localSheetId="20">#REF!</definedName>
    <definedName name="\I" localSheetId="3">#REF!</definedName>
    <definedName name="\I" localSheetId="5">#REF!</definedName>
    <definedName name="\I">#REF!</definedName>
    <definedName name="\INIT" localSheetId="11">#REF!</definedName>
    <definedName name="\INIT" localSheetId="20">#REF!</definedName>
    <definedName name="\INIT" localSheetId="3">#REF!</definedName>
    <definedName name="\INIT" localSheetId="5">#REF!</definedName>
    <definedName name="\INIT">#REF!</definedName>
    <definedName name="\l">'[1]CH Qs Form'!$D$420</definedName>
    <definedName name="\MAINPROC" localSheetId="11">#REF!</definedName>
    <definedName name="\MAINPROC" localSheetId="20">#REF!</definedName>
    <definedName name="\MAINPROC" localSheetId="3">#REF!</definedName>
    <definedName name="\MAINPROC" localSheetId="5">#REF!</definedName>
    <definedName name="\MAINPROC">#REF!</definedName>
    <definedName name="\o">'[1]CH Qs Form'!$D$422</definedName>
    <definedName name="\P" localSheetId="11">#REF!</definedName>
    <definedName name="\P" localSheetId="20">#REF!</definedName>
    <definedName name="\P" localSheetId="3">#REF!</definedName>
    <definedName name="\P" localSheetId="5">#REF!</definedName>
    <definedName name="\P">#REF!</definedName>
    <definedName name="\PROC" localSheetId="11">#REF!</definedName>
    <definedName name="\PROC" localSheetId="20">#REF!</definedName>
    <definedName name="\PROC" localSheetId="3">#REF!</definedName>
    <definedName name="\PROC" localSheetId="5">#REF!</definedName>
    <definedName name="\PROC">#REF!</definedName>
    <definedName name="\Q" localSheetId="11">#REF!</definedName>
    <definedName name="\Q" localSheetId="20">#REF!</definedName>
    <definedName name="\Q" localSheetId="3">#REF!</definedName>
    <definedName name="\Q" localSheetId="5">#REF!</definedName>
    <definedName name="\Q">#REF!</definedName>
    <definedName name="\r">'[1]CH Qs Form'!$D$418</definedName>
    <definedName name="\S" localSheetId="11">#REF!</definedName>
    <definedName name="\S" localSheetId="20">#REF!</definedName>
    <definedName name="\S" localSheetId="3">#REF!</definedName>
    <definedName name="\S" localSheetId="5">#REF!</definedName>
    <definedName name="\S">#REF!</definedName>
    <definedName name="\SETBUTTONS" localSheetId="11">#REF!</definedName>
    <definedName name="\SETBUTTONS" localSheetId="20">#REF!</definedName>
    <definedName name="\SETBUTTONS" localSheetId="3">#REF!</definedName>
    <definedName name="\SETBUTTONS" localSheetId="5">#REF!</definedName>
    <definedName name="\SETBUTTONS">#REF!</definedName>
    <definedName name="_1" localSheetId="11">#REF!</definedName>
    <definedName name="_1" localSheetId="20">#REF!</definedName>
    <definedName name="_1" localSheetId="3">#REF!</definedName>
    <definedName name="_1" localSheetId="5">#REF!</definedName>
    <definedName name="_1">#REF!</definedName>
    <definedName name="_1_981028_TO個行立宗名單" localSheetId="3">#REF!</definedName>
    <definedName name="_1_981028_TO個行立宗名單" localSheetId="5">#REF!</definedName>
    <definedName name="_1_981028_TO個行立宗名單">#REF!</definedName>
    <definedName name="_10" localSheetId="11">#REF!</definedName>
    <definedName name="_10" localSheetId="20">#REF!</definedName>
    <definedName name="_10" localSheetId="3">#REF!</definedName>
    <definedName name="_10" localSheetId="5">#REF!</definedName>
    <definedName name="_10">#REF!</definedName>
    <definedName name="_11" localSheetId="11">#REF!</definedName>
    <definedName name="_11" localSheetId="20">#REF!</definedName>
    <definedName name="_11" localSheetId="3">#REF!</definedName>
    <definedName name="_11" localSheetId="5">#REF!</definedName>
    <definedName name="_11">#REF!</definedName>
    <definedName name="_12" localSheetId="11">#REF!</definedName>
    <definedName name="_12" localSheetId="20">#REF!</definedName>
    <definedName name="_12" localSheetId="3">#REF!</definedName>
    <definedName name="_12" localSheetId="5">#REF!</definedName>
    <definedName name="_12">#REF!</definedName>
    <definedName name="_13" localSheetId="11">#REF!</definedName>
    <definedName name="_13" localSheetId="20">#REF!</definedName>
    <definedName name="_13" localSheetId="3">#REF!</definedName>
    <definedName name="_13" localSheetId="5">#REF!</definedName>
    <definedName name="_13">#REF!</definedName>
    <definedName name="_14" localSheetId="11">#REF!</definedName>
    <definedName name="_14" localSheetId="20">#REF!</definedName>
    <definedName name="_14" localSheetId="3">#REF!</definedName>
    <definedName name="_14" localSheetId="5">#REF!</definedName>
    <definedName name="_14">#REF!</definedName>
    <definedName name="_2" localSheetId="11">#REF!</definedName>
    <definedName name="_2" localSheetId="20">#REF!</definedName>
    <definedName name="_2" localSheetId="3">#REF!</definedName>
    <definedName name="_2" localSheetId="5">#REF!</definedName>
    <definedName name="_2">#REF!</definedName>
    <definedName name="_3" localSheetId="11">#REF!</definedName>
    <definedName name="_3" localSheetId="20">#REF!</definedName>
    <definedName name="_3" localSheetId="3">#REF!</definedName>
    <definedName name="_3" localSheetId="5">#REF!</definedName>
    <definedName name="_3">#REF!</definedName>
    <definedName name="_4" localSheetId="11">#REF!</definedName>
    <definedName name="_4" localSheetId="20">#REF!</definedName>
    <definedName name="_4" localSheetId="3">#REF!</definedName>
    <definedName name="_4" localSheetId="5">#REF!</definedName>
    <definedName name="_4">#REF!</definedName>
    <definedName name="_5" localSheetId="11">#REF!</definedName>
    <definedName name="_5" localSheetId="20">#REF!</definedName>
    <definedName name="_5" localSheetId="3">#REF!</definedName>
    <definedName name="_5" localSheetId="5">#REF!</definedName>
    <definedName name="_5">#REF!</definedName>
    <definedName name="_6" localSheetId="11">#REF!</definedName>
    <definedName name="_6" localSheetId="20">#REF!</definedName>
    <definedName name="_6" localSheetId="3">#REF!</definedName>
    <definedName name="_6" localSheetId="5">#REF!</definedName>
    <definedName name="_6">#REF!</definedName>
    <definedName name="_7" localSheetId="11">#REF!</definedName>
    <definedName name="_7" localSheetId="20">#REF!</definedName>
    <definedName name="_7" localSheetId="3">#REF!</definedName>
    <definedName name="_7" localSheetId="5">#REF!</definedName>
    <definedName name="_7">#REF!</definedName>
    <definedName name="_8" localSheetId="11">#REF!</definedName>
    <definedName name="_8" localSheetId="20">#REF!</definedName>
    <definedName name="_8" localSheetId="3">#REF!</definedName>
    <definedName name="_8" localSheetId="5">#REF!</definedName>
    <definedName name="_8">#REF!</definedName>
    <definedName name="_9" localSheetId="11">#REF!</definedName>
    <definedName name="_9" localSheetId="20">#REF!</definedName>
    <definedName name="_9" localSheetId="3">#REF!</definedName>
    <definedName name="_9" localSheetId="5">#REF!</definedName>
    <definedName name="_9">#REF!</definedName>
    <definedName name="_Fill" localSheetId="11" hidden="1">#REF!</definedName>
    <definedName name="_Fill" localSheetId="20" hidden="1">#REF!</definedName>
    <definedName name="_Fill" localSheetId="3" hidden="1">#REF!</definedName>
    <definedName name="_Fill" localSheetId="5" hidden="1">#REF!</definedName>
    <definedName name="_Fill" hidden="1">#REF!</definedName>
    <definedName name="_xlnm._FilterDatabase" localSheetId="17" hidden="1">'115_分行業績'!$A$2:$AF$185</definedName>
    <definedName name="_xlnm._FilterDatabase" localSheetId="7" hidden="1">'115分組'!$A$1:$D$184</definedName>
    <definedName name="_xlnm._FilterDatabase" localSheetId="11" hidden="1">'116目標底稿ver1'!$A$6:$AE$6</definedName>
    <definedName name="_xlnm._FilterDatabase" localSheetId="13" hidden="1">'116指標1_前2年手收20%'!$A$2:$M$2</definedName>
    <definedName name="_xlnm._FilterDatabase" localSheetId="18" hidden="1">'116指標2_存款25%'!$A$3:$S$3</definedName>
    <definedName name="_xlnm._FilterDatabase" localSheetId="21" hidden="1">'116指標4_114分行人數25%'!$A$3:$S$187</definedName>
    <definedName name="_xlnm._FilterDatabase" localSheetId="19" hidden="1">'116指標6_理財AUM25%'!$A$1:$F$187</definedName>
    <definedName name="_xlnm._FilterDatabase" localSheetId="6" hidden="1">全年KPI!$A$4:$J$197</definedName>
    <definedName name="_xlnm._FilterDatabase" localSheetId="14" hidden="1">'底稿_前2年手收20%'!$A$7:$Z$201</definedName>
    <definedName name="_xlnm._FilterDatabase" localSheetId="20" hidden="1">'底稿_理財AUM25%'!$A$3:$BE$656</definedName>
    <definedName name="_xlnm._FilterDatabase" localSheetId="3" hidden="1">客群經營目標表!$A$3:$G$194</definedName>
    <definedName name="_xlnm._FilterDatabase" localSheetId="5" hidden="1">客群經營各月!$A$4:$K$196</definedName>
    <definedName name="_xlnm._FilterDatabase" localSheetId="8" hidden="1">財管手收比較表_重點!$A$4:$S$10</definedName>
    <definedName name="_xlnm._FilterDatabase" localSheetId="1" hidden="1">財管手收比較表_值!$A$4:$W$188</definedName>
    <definedName name="_xlnm._FilterDatabase" localSheetId="4" hidden="1">財管手收各月!$A$4:$K$196</definedName>
    <definedName name="_xlnm._FilterDatabase" localSheetId="2" hidden="1">財管手收表!$A$3:$J$194</definedName>
    <definedName name="_xlnm._FilterDatabase" hidden="1">#REF!</definedName>
    <definedName name="_Hlk217296675" localSheetId="0">原始參數_115!$C$1</definedName>
    <definedName name="_Key1" localSheetId="3" hidden="1">'[2]CH Car'!#REF!</definedName>
    <definedName name="_Key1" localSheetId="5" hidden="1">'[2]CH Car'!#REF!</definedName>
    <definedName name="_Key1" hidden="1">'[2]CH Car'!#REF!</definedName>
    <definedName name="_Key2" localSheetId="3" hidden="1">'[2]CH Car'!#REF!</definedName>
    <definedName name="_Key2" localSheetId="5" hidden="1">'[2]CH Car'!#REF!</definedName>
    <definedName name="_Key2" hidden="1">'[2]CH Car'!#REF!</definedName>
    <definedName name="_Order1" hidden="1">0</definedName>
    <definedName name="_Order2" hidden="1">0</definedName>
    <definedName name="_Parse_In" localSheetId="11" hidden="1">#REF!</definedName>
    <definedName name="_Parse_In" localSheetId="20" hidden="1">#REF!</definedName>
    <definedName name="_Parse_In" localSheetId="3" hidden="1">#REF!</definedName>
    <definedName name="_Parse_In" localSheetId="5" hidden="1">#REF!</definedName>
    <definedName name="_Parse_In" hidden="1">#REF!</definedName>
    <definedName name="_Parse_Out" localSheetId="11" hidden="1">#REF!</definedName>
    <definedName name="_Parse_Out" localSheetId="20" hidden="1">#REF!</definedName>
    <definedName name="_Parse_Out" localSheetId="3" hidden="1">#REF!</definedName>
    <definedName name="_Parse_Out" localSheetId="5" hidden="1">#REF!</definedName>
    <definedName name="_Parse_Out" hidden="1">#REF!</definedName>
    <definedName name="_POS1" localSheetId="11">#REF!</definedName>
    <definedName name="_POS1" localSheetId="20">#REF!</definedName>
    <definedName name="_POS1" localSheetId="3">#REF!</definedName>
    <definedName name="_POS1" localSheetId="5">#REF!</definedName>
    <definedName name="_POS1">#REF!</definedName>
    <definedName name="_POS10" localSheetId="11">#REF!</definedName>
    <definedName name="_POS10" localSheetId="20">#REF!</definedName>
    <definedName name="_POS10" localSheetId="3">#REF!</definedName>
    <definedName name="_POS10" localSheetId="5">#REF!</definedName>
    <definedName name="_POS10">#REF!</definedName>
    <definedName name="_POS11" localSheetId="11">#REF!</definedName>
    <definedName name="_POS11" localSheetId="20">#REF!</definedName>
    <definedName name="_POS11" localSheetId="3">#REF!</definedName>
    <definedName name="_POS11" localSheetId="5">#REF!</definedName>
    <definedName name="_POS11">#REF!</definedName>
    <definedName name="_POS12" localSheetId="11">#REF!</definedName>
    <definedName name="_POS12" localSheetId="20">#REF!</definedName>
    <definedName name="_POS12" localSheetId="3">#REF!</definedName>
    <definedName name="_POS12" localSheetId="5">#REF!</definedName>
    <definedName name="_POS12">#REF!</definedName>
    <definedName name="_POS13" localSheetId="11">#REF!</definedName>
    <definedName name="_POS13" localSheetId="20">#REF!</definedName>
    <definedName name="_POS13" localSheetId="3">#REF!</definedName>
    <definedName name="_POS13" localSheetId="5">#REF!</definedName>
    <definedName name="_POS13">#REF!</definedName>
    <definedName name="_POS14" localSheetId="11">#REF!</definedName>
    <definedName name="_POS14" localSheetId="20">#REF!</definedName>
    <definedName name="_POS14" localSheetId="3">#REF!</definedName>
    <definedName name="_POS14" localSheetId="5">#REF!</definedName>
    <definedName name="_POS14">#REF!</definedName>
    <definedName name="_POS15" localSheetId="11">#REF!</definedName>
    <definedName name="_POS15" localSheetId="20">#REF!</definedName>
    <definedName name="_POS15" localSheetId="3">#REF!</definedName>
    <definedName name="_POS15" localSheetId="5">#REF!</definedName>
    <definedName name="_POS15">#REF!</definedName>
    <definedName name="_POS16" localSheetId="11">#REF!</definedName>
    <definedName name="_POS16" localSheetId="20">#REF!</definedName>
    <definedName name="_POS16" localSheetId="3">#REF!</definedName>
    <definedName name="_POS16" localSheetId="5">#REF!</definedName>
    <definedName name="_POS16">#REF!</definedName>
    <definedName name="_POS17" localSheetId="11">#REF!</definedName>
    <definedName name="_POS17" localSheetId="20">#REF!</definedName>
    <definedName name="_POS17" localSheetId="3">#REF!</definedName>
    <definedName name="_POS17" localSheetId="5">#REF!</definedName>
    <definedName name="_POS17">#REF!</definedName>
    <definedName name="_POS18" localSheetId="11">#REF!</definedName>
    <definedName name="_POS18" localSheetId="20">#REF!</definedName>
    <definedName name="_POS18" localSheetId="3">#REF!</definedName>
    <definedName name="_POS18" localSheetId="5">#REF!</definedName>
    <definedName name="_POS18">#REF!</definedName>
    <definedName name="_POS19" localSheetId="11">#REF!</definedName>
    <definedName name="_POS19" localSheetId="20">#REF!</definedName>
    <definedName name="_POS19" localSheetId="3">#REF!</definedName>
    <definedName name="_POS19" localSheetId="5">#REF!</definedName>
    <definedName name="_POS19">#REF!</definedName>
    <definedName name="_POS2" localSheetId="11">#REF!</definedName>
    <definedName name="_POS2" localSheetId="20">#REF!</definedName>
    <definedName name="_POS2" localSheetId="3">#REF!</definedName>
    <definedName name="_POS2" localSheetId="5">#REF!</definedName>
    <definedName name="_POS2">#REF!</definedName>
    <definedName name="_POS20" localSheetId="11">#REF!</definedName>
    <definedName name="_POS20" localSheetId="20">#REF!</definedName>
    <definedName name="_POS20" localSheetId="3">#REF!</definedName>
    <definedName name="_POS20" localSheetId="5">#REF!</definedName>
    <definedName name="_POS20">#REF!</definedName>
    <definedName name="_POS21" localSheetId="11">#REF!</definedName>
    <definedName name="_POS21" localSheetId="20">#REF!</definedName>
    <definedName name="_POS21" localSheetId="3">#REF!</definedName>
    <definedName name="_POS21" localSheetId="5">#REF!</definedName>
    <definedName name="_POS21">#REF!</definedName>
    <definedName name="_POS22" localSheetId="11">#REF!</definedName>
    <definedName name="_POS22" localSheetId="20">#REF!</definedName>
    <definedName name="_POS22" localSheetId="3">#REF!</definedName>
    <definedName name="_POS22" localSheetId="5">#REF!</definedName>
    <definedName name="_POS22">#REF!</definedName>
    <definedName name="_POS23" localSheetId="11">#REF!</definedName>
    <definedName name="_POS23" localSheetId="20">#REF!</definedName>
    <definedName name="_POS23" localSheetId="3">#REF!</definedName>
    <definedName name="_POS23" localSheetId="5">#REF!</definedName>
    <definedName name="_POS23">#REF!</definedName>
    <definedName name="_POS24" localSheetId="11">#REF!</definedName>
    <definedName name="_POS24" localSheetId="20">#REF!</definedName>
    <definedName name="_POS24" localSheetId="3">#REF!</definedName>
    <definedName name="_POS24" localSheetId="5">#REF!</definedName>
    <definedName name="_POS24">#REF!</definedName>
    <definedName name="_POS25" localSheetId="11">#REF!</definedName>
    <definedName name="_POS25" localSheetId="20">#REF!</definedName>
    <definedName name="_POS25" localSheetId="3">#REF!</definedName>
    <definedName name="_POS25" localSheetId="5">#REF!</definedName>
    <definedName name="_POS25">#REF!</definedName>
    <definedName name="_POS26" localSheetId="11">#REF!</definedName>
    <definedName name="_POS26" localSheetId="20">#REF!</definedName>
    <definedName name="_POS26" localSheetId="3">#REF!</definedName>
    <definedName name="_POS26" localSheetId="5">#REF!</definedName>
    <definedName name="_POS26">#REF!</definedName>
    <definedName name="_POS27" localSheetId="11">#REF!</definedName>
    <definedName name="_POS27" localSheetId="20">#REF!</definedName>
    <definedName name="_POS27" localSheetId="3">#REF!</definedName>
    <definedName name="_POS27" localSheetId="5">#REF!</definedName>
    <definedName name="_POS27">#REF!</definedName>
    <definedName name="_POS28" localSheetId="11">#REF!</definedName>
    <definedName name="_POS28" localSheetId="20">#REF!</definedName>
    <definedName name="_POS28" localSheetId="3">#REF!</definedName>
    <definedName name="_POS28" localSheetId="5">#REF!</definedName>
    <definedName name="_POS28">#REF!</definedName>
    <definedName name="_POS29" localSheetId="11">#REF!</definedName>
    <definedName name="_POS29" localSheetId="20">#REF!</definedName>
    <definedName name="_POS29" localSheetId="3">#REF!</definedName>
    <definedName name="_POS29" localSheetId="5">#REF!</definedName>
    <definedName name="_POS29">#REF!</definedName>
    <definedName name="_POS3" localSheetId="11">#REF!</definedName>
    <definedName name="_POS3" localSheetId="20">#REF!</definedName>
    <definedName name="_POS3" localSheetId="3">#REF!</definedName>
    <definedName name="_POS3" localSheetId="5">#REF!</definedName>
    <definedName name="_POS3">#REF!</definedName>
    <definedName name="_POS30" localSheetId="11">#REF!</definedName>
    <definedName name="_POS30" localSheetId="20">#REF!</definedName>
    <definedName name="_POS30" localSheetId="3">#REF!</definedName>
    <definedName name="_POS30" localSheetId="5">#REF!</definedName>
    <definedName name="_POS30">#REF!</definedName>
    <definedName name="_POS37" localSheetId="11">#REF!</definedName>
    <definedName name="_POS37" localSheetId="20">#REF!</definedName>
    <definedName name="_POS37" localSheetId="3">#REF!</definedName>
    <definedName name="_POS37" localSheetId="5">#REF!</definedName>
    <definedName name="_POS37">#REF!</definedName>
    <definedName name="_POS39" localSheetId="11">#REF!</definedName>
    <definedName name="_POS39" localSheetId="20">#REF!</definedName>
    <definedName name="_POS39" localSheetId="3">#REF!</definedName>
    <definedName name="_POS39" localSheetId="5">#REF!</definedName>
    <definedName name="_POS39">#REF!</definedName>
    <definedName name="_POS4" localSheetId="11">#REF!</definedName>
    <definedName name="_POS4" localSheetId="20">#REF!</definedName>
    <definedName name="_POS4" localSheetId="3">#REF!</definedName>
    <definedName name="_POS4" localSheetId="5">#REF!</definedName>
    <definedName name="_POS4">#REF!</definedName>
    <definedName name="_POS40" localSheetId="11">#REF!</definedName>
    <definedName name="_POS40" localSheetId="20">#REF!</definedName>
    <definedName name="_POS40" localSheetId="3">#REF!</definedName>
    <definedName name="_POS40" localSheetId="5">#REF!</definedName>
    <definedName name="_POS40">#REF!</definedName>
    <definedName name="_POS41" localSheetId="11">#REF!</definedName>
    <definedName name="_POS41" localSheetId="20">#REF!</definedName>
    <definedName name="_POS41" localSheetId="3">#REF!</definedName>
    <definedName name="_POS41" localSheetId="5">#REF!</definedName>
    <definedName name="_POS41">#REF!</definedName>
    <definedName name="_POS42" localSheetId="11">#REF!</definedName>
    <definedName name="_POS42" localSheetId="20">#REF!</definedName>
    <definedName name="_POS42" localSheetId="3">#REF!</definedName>
    <definedName name="_POS42" localSheetId="5">#REF!</definedName>
    <definedName name="_POS42">#REF!</definedName>
    <definedName name="_POS43" localSheetId="11">#REF!</definedName>
    <definedName name="_POS43" localSheetId="20">#REF!</definedName>
    <definedName name="_POS43" localSheetId="3">#REF!</definedName>
    <definedName name="_POS43" localSheetId="5">#REF!</definedName>
    <definedName name="_POS43">#REF!</definedName>
    <definedName name="_POS44" localSheetId="11">#REF!</definedName>
    <definedName name="_POS44" localSheetId="20">#REF!</definedName>
    <definedName name="_POS44" localSheetId="3">#REF!</definedName>
    <definedName name="_POS44" localSheetId="5">#REF!</definedName>
    <definedName name="_POS44">#REF!</definedName>
    <definedName name="_POS45" localSheetId="11">#REF!</definedName>
    <definedName name="_POS45" localSheetId="20">#REF!</definedName>
    <definedName name="_POS45" localSheetId="3">#REF!</definedName>
    <definedName name="_POS45" localSheetId="5">#REF!</definedName>
    <definedName name="_POS45">#REF!</definedName>
    <definedName name="_POS46" localSheetId="11">#REF!</definedName>
    <definedName name="_POS46" localSheetId="20">#REF!</definedName>
    <definedName name="_POS46" localSheetId="3">#REF!</definedName>
    <definedName name="_POS46" localSheetId="5">#REF!</definedName>
    <definedName name="_POS46">#REF!</definedName>
    <definedName name="_POS47" localSheetId="11">#REF!</definedName>
    <definedName name="_POS47" localSheetId="20">#REF!</definedName>
    <definedName name="_POS47" localSheetId="3">#REF!</definedName>
    <definedName name="_POS47" localSheetId="5">#REF!</definedName>
    <definedName name="_POS47">#REF!</definedName>
    <definedName name="_POS48" localSheetId="11">#REF!</definedName>
    <definedName name="_POS48" localSheetId="20">#REF!</definedName>
    <definedName name="_POS48" localSheetId="3">#REF!</definedName>
    <definedName name="_POS48" localSheetId="5">#REF!</definedName>
    <definedName name="_POS48">#REF!</definedName>
    <definedName name="_POS49" localSheetId="11">#REF!</definedName>
    <definedName name="_POS49" localSheetId="20">#REF!</definedName>
    <definedName name="_POS49" localSheetId="3">#REF!</definedName>
    <definedName name="_POS49" localSheetId="5">#REF!</definedName>
    <definedName name="_POS49">#REF!</definedName>
    <definedName name="_POS5" localSheetId="11">#REF!</definedName>
    <definedName name="_POS5" localSheetId="20">#REF!</definedName>
    <definedName name="_POS5" localSheetId="3">#REF!</definedName>
    <definedName name="_POS5" localSheetId="5">#REF!</definedName>
    <definedName name="_POS5">#REF!</definedName>
    <definedName name="_POS50" localSheetId="11">#REF!</definedName>
    <definedName name="_POS50" localSheetId="20">#REF!</definedName>
    <definedName name="_POS50" localSheetId="3">#REF!</definedName>
    <definedName name="_POS50" localSheetId="5">#REF!</definedName>
    <definedName name="_POS50">#REF!</definedName>
    <definedName name="_POS51" localSheetId="11">#REF!</definedName>
    <definedName name="_POS51" localSheetId="20">#REF!</definedName>
    <definedName name="_POS51" localSheetId="3">#REF!</definedName>
    <definedName name="_POS51" localSheetId="5">#REF!</definedName>
    <definedName name="_POS51">#REF!</definedName>
    <definedName name="_POS52" localSheetId="11">#REF!</definedName>
    <definedName name="_POS52" localSheetId="20">#REF!</definedName>
    <definedName name="_POS52" localSheetId="3">#REF!</definedName>
    <definedName name="_POS52" localSheetId="5">#REF!</definedName>
    <definedName name="_POS52">#REF!</definedName>
    <definedName name="_POS53" localSheetId="11">#REF!</definedName>
    <definedName name="_POS53" localSheetId="20">#REF!</definedName>
    <definedName name="_POS53" localSheetId="3">#REF!</definedName>
    <definedName name="_POS53" localSheetId="5">#REF!</definedName>
    <definedName name="_POS53">#REF!</definedName>
    <definedName name="_POS54" localSheetId="11">#REF!</definedName>
    <definedName name="_POS54" localSheetId="20">#REF!</definedName>
    <definedName name="_POS54" localSheetId="3">#REF!</definedName>
    <definedName name="_POS54" localSheetId="5">#REF!</definedName>
    <definedName name="_POS54">#REF!</definedName>
    <definedName name="_POS55" localSheetId="11">#REF!</definedName>
    <definedName name="_POS55" localSheetId="20">#REF!</definedName>
    <definedName name="_POS55" localSheetId="3">#REF!</definedName>
    <definedName name="_POS55" localSheetId="5">#REF!</definedName>
    <definedName name="_POS55">#REF!</definedName>
    <definedName name="_POS56" localSheetId="11">#REF!</definedName>
    <definedName name="_POS56" localSheetId="20">#REF!</definedName>
    <definedName name="_POS56" localSheetId="3">#REF!</definedName>
    <definedName name="_POS56" localSheetId="5">#REF!</definedName>
    <definedName name="_POS56">#REF!</definedName>
    <definedName name="_POS57" localSheetId="11">#REF!</definedName>
    <definedName name="_POS57" localSheetId="20">#REF!</definedName>
    <definedName name="_POS57" localSheetId="3">#REF!</definedName>
    <definedName name="_POS57" localSheetId="5">#REF!</definedName>
    <definedName name="_POS57">#REF!</definedName>
    <definedName name="_POS58" localSheetId="11">#REF!</definedName>
    <definedName name="_POS58" localSheetId="20">#REF!</definedName>
    <definedName name="_POS58" localSheetId="3">#REF!</definedName>
    <definedName name="_POS58" localSheetId="5">#REF!</definedName>
    <definedName name="_POS58">#REF!</definedName>
    <definedName name="_POS59" localSheetId="11">#REF!</definedName>
    <definedName name="_POS59" localSheetId="20">#REF!</definedName>
    <definedName name="_POS59" localSheetId="3">#REF!</definedName>
    <definedName name="_POS59" localSheetId="5">#REF!</definedName>
    <definedName name="_POS59">#REF!</definedName>
    <definedName name="_POS6" localSheetId="11">#REF!</definedName>
    <definedName name="_POS6" localSheetId="20">#REF!</definedName>
    <definedName name="_POS6" localSheetId="3">#REF!</definedName>
    <definedName name="_POS6" localSheetId="5">#REF!</definedName>
    <definedName name="_POS6">#REF!</definedName>
    <definedName name="_POS60" localSheetId="11">#REF!</definedName>
    <definedName name="_POS60" localSheetId="20">#REF!</definedName>
    <definedName name="_POS60" localSheetId="3">#REF!</definedName>
    <definedName name="_POS60" localSheetId="5">#REF!</definedName>
    <definedName name="_POS60">#REF!</definedName>
    <definedName name="_POS61" localSheetId="11">#REF!</definedName>
    <definedName name="_POS61" localSheetId="20">#REF!</definedName>
    <definedName name="_POS61" localSheetId="3">#REF!</definedName>
    <definedName name="_POS61" localSheetId="5">#REF!</definedName>
    <definedName name="_POS61">#REF!</definedName>
    <definedName name="_POS62" localSheetId="11">#REF!</definedName>
    <definedName name="_POS62" localSheetId="20">#REF!</definedName>
    <definedName name="_POS62" localSheetId="3">#REF!</definedName>
    <definedName name="_POS62" localSheetId="5">#REF!</definedName>
    <definedName name="_POS62">#REF!</definedName>
    <definedName name="_POS63" localSheetId="11">#REF!</definedName>
    <definedName name="_POS63" localSheetId="20">#REF!</definedName>
    <definedName name="_POS63" localSheetId="3">#REF!</definedName>
    <definedName name="_POS63" localSheetId="5">#REF!</definedName>
    <definedName name="_POS63">#REF!</definedName>
    <definedName name="_POS64" localSheetId="11">#REF!</definedName>
    <definedName name="_POS64" localSheetId="20">#REF!</definedName>
    <definedName name="_POS64" localSheetId="3">#REF!</definedName>
    <definedName name="_POS64" localSheetId="5">#REF!</definedName>
    <definedName name="_POS64">#REF!</definedName>
    <definedName name="_POS65" localSheetId="11">#REF!</definedName>
    <definedName name="_POS65" localSheetId="20">#REF!</definedName>
    <definedName name="_POS65" localSheetId="3">#REF!</definedName>
    <definedName name="_POS65" localSheetId="5">#REF!</definedName>
    <definedName name="_POS65">#REF!</definedName>
    <definedName name="_POS66" localSheetId="11">#REF!</definedName>
    <definedName name="_POS66" localSheetId="20">#REF!</definedName>
    <definedName name="_POS66" localSheetId="3">#REF!</definedName>
    <definedName name="_POS66" localSheetId="5">#REF!</definedName>
    <definedName name="_POS66">#REF!</definedName>
    <definedName name="_POS67" localSheetId="11">#REF!</definedName>
    <definedName name="_POS67" localSheetId="20">#REF!</definedName>
    <definedName name="_POS67" localSheetId="3">#REF!</definedName>
    <definedName name="_POS67" localSheetId="5">#REF!</definedName>
    <definedName name="_POS67">#REF!</definedName>
    <definedName name="_POS68" localSheetId="11">#REF!</definedName>
    <definedName name="_POS68" localSheetId="20">#REF!</definedName>
    <definedName name="_POS68" localSheetId="3">#REF!</definedName>
    <definedName name="_POS68" localSheetId="5">#REF!</definedName>
    <definedName name="_POS68">#REF!</definedName>
    <definedName name="_POS69" localSheetId="11">#REF!</definedName>
    <definedName name="_POS69" localSheetId="20">#REF!</definedName>
    <definedName name="_POS69" localSheetId="3">#REF!</definedName>
    <definedName name="_POS69" localSheetId="5">#REF!</definedName>
    <definedName name="_POS69">#REF!</definedName>
    <definedName name="_POS7" localSheetId="11">#REF!</definedName>
    <definedName name="_POS7" localSheetId="20">#REF!</definedName>
    <definedName name="_POS7" localSheetId="3">#REF!</definedName>
    <definedName name="_POS7" localSheetId="5">#REF!</definedName>
    <definedName name="_POS7">#REF!</definedName>
    <definedName name="_POS70" localSheetId="11">#REF!</definedName>
    <definedName name="_POS70" localSheetId="20">#REF!</definedName>
    <definedName name="_POS70" localSheetId="3">#REF!</definedName>
    <definedName name="_POS70" localSheetId="5">#REF!</definedName>
    <definedName name="_POS70">#REF!</definedName>
    <definedName name="_POS71" localSheetId="11">#REF!</definedName>
    <definedName name="_POS71" localSheetId="20">#REF!</definedName>
    <definedName name="_POS71" localSheetId="3">#REF!</definedName>
    <definedName name="_POS71" localSheetId="5">#REF!</definedName>
    <definedName name="_POS71">#REF!</definedName>
    <definedName name="_POS72" localSheetId="11">#REF!</definedName>
    <definedName name="_POS72" localSheetId="20">#REF!</definedName>
    <definedName name="_POS72" localSheetId="3">#REF!</definedName>
    <definedName name="_POS72" localSheetId="5">#REF!</definedName>
    <definedName name="_POS72">#REF!</definedName>
    <definedName name="_POS73" localSheetId="11">#REF!</definedName>
    <definedName name="_POS73" localSheetId="20">#REF!</definedName>
    <definedName name="_POS73" localSheetId="3">#REF!</definedName>
    <definedName name="_POS73" localSheetId="5">#REF!</definedName>
    <definedName name="_POS73">#REF!</definedName>
    <definedName name="_POS74" localSheetId="11">#REF!</definedName>
    <definedName name="_POS74" localSheetId="20">#REF!</definedName>
    <definedName name="_POS74" localSheetId="3">#REF!</definedName>
    <definedName name="_POS74" localSheetId="5">#REF!</definedName>
    <definedName name="_POS74">#REF!</definedName>
    <definedName name="_POS75" localSheetId="11">#REF!</definedName>
    <definedName name="_POS75" localSheetId="20">#REF!</definedName>
    <definedName name="_POS75" localSheetId="3">#REF!</definedName>
    <definedName name="_POS75" localSheetId="5">#REF!</definedName>
    <definedName name="_POS75">#REF!</definedName>
    <definedName name="_POS76" localSheetId="11">#REF!</definedName>
    <definedName name="_POS76" localSheetId="20">#REF!</definedName>
    <definedName name="_POS76" localSheetId="3">#REF!</definedName>
    <definedName name="_POS76" localSheetId="5">#REF!</definedName>
    <definedName name="_POS76">#REF!</definedName>
    <definedName name="_POS77" localSheetId="11">#REF!</definedName>
    <definedName name="_POS77" localSheetId="20">#REF!</definedName>
    <definedName name="_POS77" localSheetId="3">#REF!</definedName>
    <definedName name="_POS77" localSheetId="5">#REF!</definedName>
    <definedName name="_POS77">#REF!</definedName>
    <definedName name="_POS78" localSheetId="11">#REF!</definedName>
    <definedName name="_POS78" localSheetId="20">#REF!</definedName>
    <definedName name="_POS78" localSheetId="3">#REF!</definedName>
    <definedName name="_POS78" localSheetId="5">#REF!</definedName>
    <definedName name="_POS78">#REF!</definedName>
    <definedName name="_POS79" localSheetId="11">#REF!</definedName>
    <definedName name="_POS79" localSheetId="20">#REF!</definedName>
    <definedName name="_POS79" localSheetId="3">#REF!</definedName>
    <definedName name="_POS79" localSheetId="5">#REF!</definedName>
    <definedName name="_POS79">#REF!</definedName>
    <definedName name="_POS8" localSheetId="11">#REF!</definedName>
    <definedName name="_POS8" localSheetId="20">#REF!</definedName>
    <definedName name="_POS8" localSheetId="3">#REF!</definedName>
    <definedName name="_POS8" localSheetId="5">#REF!</definedName>
    <definedName name="_POS8">#REF!</definedName>
    <definedName name="_POS80" localSheetId="11">#REF!</definedName>
    <definedName name="_POS80" localSheetId="20">#REF!</definedName>
    <definedName name="_POS80" localSheetId="3">#REF!</definedName>
    <definedName name="_POS80" localSheetId="5">#REF!</definedName>
    <definedName name="_POS80">#REF!</definedName>
    <definedName name="_POS81" localSheetId="11">#REF!</definedName>
    <definedName name="_POS81" localSheetId="20">#REF!</definedName>
    <definedName name="_POS81" localSheetId="3">#REF!</definedName>
    <definedName name="_POS81" localSheetId="5">#REF!</definedName>
    <definedName name="_POS81">#REF!</definedName>
    <definedName name="_POS82" localSheetId="11">#REF!</definedName>
    <definedName name="_POS82" localSheetId="20">#REF!</definedName>
    <definedName name="_POS82" localSheetId="3">#REF!</definedName>
    <definedName name="_POS82" localSheetId="5">#REF!</definedName>
    <definedName name="_POS82">#REF!</definedName>
    <definedName name="_POS83" localSheetId="11">#REF!</definedName>
    <definedName name="_POS83" localSheetId="20">#REF!</definedName>
    <definedName name="_POS83" localSheetId="3">#REF!</definedName>
    <definedName name="_POS83" localSheetId="5">#REF!</definedName>
    <definedName name="_POS83">#REF!</definedName>
    <definedName name="_POS84" localSheetId="11">#REF!</definedName>
    <definedName name="_POS84" localSheetId="20">#REF!</definedName>
    <definedName name="_POS84" localSheetId="3">#REF!</definedName>
    <definedName name="_POS84" localSheetId="5">#REF!</definedName>
    <definedName name="_POS84">#REF!</definedName>
    <definedName name="_POS85" localSheetId="11">#REF!</definedName>
    <definedName name="_POS85" localSheetId="20">#REF!</definedName>
    <definedName name="_POS85" localSheetId="3">#REF!</definedName>
    <definedName name="_POS85" localSheetId="5">#REF!</definedName>
    <definedName name="_POS85">#REF!</definedName>
    <definedName name="_POS86" localSheetId="11">#REF!</definedName>
    <definedName name="_POS86" localSheetId="20">#REF!</definedName>
    <definedName name="_POS86" localSheetId="3">#REF!</definedName>
    <definedName name="_POS86" localSheetId="5">#REF!</definedName>
    <definedName name="_POS86">#REF!</definedName>
    <definedName name="_POS87" localSheetId="11">#REF!</definedName>
    <definedName name="_POS87" localSheetId="20">#REF!</definedName>
    <definedName name="_POS87" localSheetId="3">#REF!</definedName>
    <definedName name="_POS87" localSheetId="5">#REF!</definedName>
    <definedName name="_POS87">#REF!</definedName>
    <definedName name="_POS88" localSheetId="11">#REF!</definedName>
    <definedName name="_POS88" localSheetId="20">#REF!</definedName>
    <definedName name="_POS88" localSheetId="3">#REF!</definedName>
    <definedName name="_POS88" localSheetId="5">#REF!</definedName>
    <definedName name="_POS88">#REF!</definedName>
    <definedName name="_POS89" localSheetId="11">#REF!</definedName>
    <definedName name="_POS89" localSheetId="20">#REF!</definedName>
    <definedName name="_POS89" localSheetId="3">#REF!</definedName>
    <definedName name="_POS89" localSheetId="5">#REF!</definedName>
    <definedName name="_POS89">#REF!</definedName>
    <definedName name="_POS9" localSheetId="11">#REF!</definedName>
    <definedName name="_POS9" localSheetId="20">#REF!</definedName>
    <definedName name="_POS9" localSheetId="3">#REF!</definedName>
    <definedName name="_POS9" localSheetId="5">#REF!</definedName>
    <definedName name="_POS9">#REF!</definedName>
    <definedName name="_POS90" localSheetId="11">#REF!</definedName>
    <definedName name="_POS90" localSheetId="20">#REF!</definedName>
    <definedName name="_POS90" localSheetId="3">#REF!</definedName>
    <definedName name="_POS90" localSheetId="5">#REF!</definedName>
    <definedName name="_POS90">#REF!</definedName>
    <definedName name="_POS91" localSheetId="11">#REF!</definedName>
    <definedName name="_POS91" localSheetId="20">#REF!</definedName>
    <definedName name="_POS91" localSheetId="3">#REF!</definedName>
    <definedName name="_POS91" localSheetId="5">#REF!</definedName>
    <definedName name="_POS91">#REF!</definedName>
    <definedName name="_POS92" localSheetId="11">#REF!</definedName>
    <definedName name="_POS92" localSheetId="20">#REF!</definedName>
    <definedName name="_POS92" localSheetId="3">#REF!</definedName>
    <definedName name="_POS92" localSheetId="5">#REF!</definedName>
    <definedName name="_POS92">#REF!</definedName>
    <definedName name="_Sort" localSheetId="3" hidden="1">'[2]CH Car'!#REF!</definedName>
    <definedName name="_Sort" localSheetId="5" hidden="1">'[2]CH Car'!#REF!</definedName>
    <definedName name="_Sort" hidden="1">'[2]CH Car'!#REF!</definedName>
    <definedName name="_usd0601">32.01999</definedName>
    <definedName name="_usd0616">32.4249</definedName>
    <definedName name="_usd0630">32.44</definedName>
    <definedName name="_usd07">32.76</definedName>
    <definedName name="_usd08">32.9</definedName>
    <definedName name="A" localSheetId="11">#REF!</definedName>
    <definedName name="A" localSheetId="20">#REF!</definedName>
    <definedName name="A" localSheetId="3">#REF!</definedName>
    <definedName name="A" localSheetId="5">#REF!</definedName>
    <definedName name="A">#REF!</definedName>
    <definedName name="aaa" hidden="1">{"head",#N/A,FALSE,"Sheet1";"tail",#N/A,FALSE,"Sheet1"}</definedName>
    <definedName name="aaaaaaaaa" localSheetId="11" hidden="1">#REF!</definedName>
    <definedName name="aaaaaaaaa" localSheetId="20" hidden="1">#REF!</definedName>
    <definedName name="aaaaaaaaa" localSheetId="3" hidden="1">#REF!</definedName>
    <definedName name="aaaaaaaaa" localSheetId="5" hidden="1">#REF!</definedName>
    <definedName name="aaaaaaaaa" hidden="1">#REF!</definedName>
    <definedName name="ABC" localSheetId="3">#REF!</definedName>
    <definedName name="ABC" localSheetId="5">#REF!</definedName>
    <definedName name="ABC">#REF!</definedName>
    <definedName name="AO_actual_IC" localSheetId="3">#REF!</definedName>
    <definedName name="AO_actual_IC" localSheetId="5">#REF!</definedName>
    <definedName name="AO_actual_IC">#REF!</definedName>
    <definedName name="AO人數" localSheetId="11">#REF!</definedName>
    <definedName name="AO人數" localSheetId="20">#REF!</definedName>
    <definedName name="AO人數" localSheetId="3">#REF!</definedName>
    <definedName name="AO人數" localSheetId="5">#REF!</definedName>
    <definedName name="AO人數">#REF!</definedName>
    <definedName name="AS2DocOpenMode" hidden="1">"AS2DocumentEdit"</definedName>
    <definedName name="AS2ReportLS" hidden="1">1</definedName>
    <definedName name="AS2StaticLS" hidden="1">[3]DATA!A1</definedName>
    <definedName name="AS2SyncStepLS" hidden="1">0</definedName>
    <definedName name="AS2TickmarkLS" hidden="1">[3]DATA!A1</definedName>
    <definedName name="AS2VersionLS" hidden="1">300</definedName>
    <definedName name="asdfghjk" localSheetId="11" hidden="1">#REF!</definedName>
    <definedName name="asdfghjk" localSheetId="20" hidden="1">#REF!</definedName>
    <definedName name="asdfghjk" localSheetId="3" hidden="1">#REF!</definedName>
    <definedName name="asdfghjk" localSheetId="5" hidden="1">#REF!</definedName>
    <definedName name="asdfghjk" hidden="1">#REF!</definedName>
    <definedName name="BANKNM" localSheetId="11">#REF!</definedName>
    <definedName name="BANKNM" localSheetId="20">#REF!</definedName>
    <definedName name="BANKNM" localSheetId="3">#REF!</definedName>
    <definedName name="BANKNM" localSheetId="5">#REF!</definedName>
    <definedName name="BANKNM">#REF!</definedName>
    <definedName name="bbb" hidden="1">{"head",#N/A,FALSE,"Sheet1";"tail",#N/A,FALSE,"Sheet1"}</definedName>
    <definedName name="BG_Del" hidden="1">15</definedName>
    <definedName name="BG_Ins" hidden="1">4</definedName>
    <definedName name="BG_Mod" hidden="1">6</definedName>
    <definedName name="BLOCK" localSheetId="11">#REF!</definedName>
    <definedName name="BLOCK" localSheetId="20">#REF!</definedName>
    <definedName name="BLOCK" localSheetId="3">#REF!</definedName>
    <definedName name="BLOCK" localSheetId="5">#REF!</definedName>
    <definedName name="BLOCK">#REF!</definedName>
    <definedName name="BRANCH" localSheetId="11">#REF!</definedName>
    <definedName name="BRANCH" localSheetId="20">#REF!</definedName>
    <definedName name="BRANCH" localSheetId="3">#REF!</definedName>
    <definedName name="BRANCH" localSheetId="5">#REF!</definedName>
    <definedName name="BRANCH">#REF!</definedName>
    <definedName name="Case2" localSheetId="3">#REF!</definedName>
    <definedName name="Case2" localSheetId="5">#REF!</definedName>
    <definedName name="Case2">#REF!</definedName>
    <definedName name="Chart1">"圖表 126"</definedName>
    <definedName name="COMM" localSheetId="11">#REF!</definedName>
    <definedName name="COMM" localSheetId="20">#REF!</definedName>
    <definedName name="COMM" localSheetId="3">#REF!</definedName>
    <definedName name="COMM" localSheetId="5">#REF!</definedName>
    <definedName name="COMM">#REF!</definedName>
    <definedName name="COMPAR4" localSheetId="11">#REF!</definedName>
    <definedName name="COMPAR4" localSheetId="20">#REF!</definedName>
    <definedName name="COMPAR4" localSheetId="3">#REF!</definedName>
    <definedName name="COMPAR4" localSheetId="5">#REF!</definedName>
    <definedName name="COMPAR4">#REF!</definedName>
    <definedName name="CONT" localSheetId="11">#REF!</definedName>
    <definedName name="CONT" localSheetId="20">#REF!</definedName>
    <definedName name="CONT" localSheetId="3">#REF!</definedName>
    <definedName name="CONT" localSheetId="5">#REF!</definedName>
    <definedName name="CONT">#REF!</definedName>
    <definedName name="CONTA" localSheetId="11">#REF!</definedName>
    <definedName name="CONTA" localSheetId="20">#REF!</definedName>
    <definedName name="CONTA" localSheetId="3">#REF!</definedName>
    <definedName name="CONTA" localSheetId="5">#REF!</definedName>
    <definedName name="CONTA">#REF!</definedName>
    <definedName name="CONTB" localSheetId="11">#REF!</definedName>
    <definedName name="CONTB" localSheetId="20">#REF!</definedName>
    <definedName name="CONTB" localSheetId="3">#REF!</definedName>
    <definedName name="CONTB" localSheetId="5">#REF!</definedName>
    <definedName name="CONTB">#REF!</definedName>
    <definedName name="CONTC" localSheetId="11">#REF!</definedName>
    <definedName name="CONTC" localSheetId="20">#REF!</definedName>
    <definedName name="CONTC" localSheetId="3">#REF!</definedName>
    <definedName name="CONTC" localSheetId="5">#REF!</definedName>
    <definedName name="CONTC">#REF!</definedName>
    <definedName name="CONTD" localSheetId="11">#REF!</definedName>
    <definedName name="CONTD" localSheetId="20">#REF!</definedName>
    <definedName name="CONTD" localSheetId="3">#REF!</definedName>
    <definedName name="CONTD" localSheetId="5">#REF!</definedName>
    <definedName name="CONTD">#REF!</definedName>
    <definedName name="CONTE" localSheetId="11">#REF!</definedName>
    <definedName name="CONTE" localSheetId="20">#REF!</definedName>
    <definedName name="CONTE" localSheetId="3">#REF!</definedName>
    <definedName name="CONTE" localSheetId="5">#REF!</definedName>
    <definedName name="CONTE">#REF!</definedName>
    <definedName name="CONTF" localSheetId="11">#REF!</definedName>
    <definedName name="CONTF" localSheetId="20">#REF!</definedName>
    <definedName name="CONTF" localSheetId="3">#REF!</definedName>
    <definedName name="CONTF" localSheetId="5">#REF!</definedName>
    <definedName name="CONTF">#REF!</definedName>
    <definedName name="_xlnm.Database" localSheetId="3">#REF!</definedName>
    <definedName name="_xlnm.Database" localSheetId="5">#REF!</definedName>
    <definedName name="_xlnm.Database">#REF!</definedName>
    <definedName name="DATAMON" localSheetId="11">#REF!</definedName>
    <definedName name="DATAMON" localSheetId="20">#REF!</definedName>
    <definedName name="DATAMON" localSheetId="3">#REF!</definedName>
    <definedName name="DATAMON" localSheetId="5">#REF!</definedName>
    <definedName name="DATAMON">#REF!</definedName>
    <definedName name="Day">'[4]Input Data'!$E$5</definedName>
    <definedName name="EE" localSheetId="11" hidden="1">#REF!</definedName>
    <definedName name="EE" localSheetId="20" hidden="1">#REF!</definedName>
    <definedName name="EE" localSheetId="3" hidden="1">#REF!</definedName>
    <definedName name="EE" localSheetId="5" hidden="1">#REF!</definedName>
    <definedName name="EE" hidden="1">#REF!</definedName>
    <definedName name="F26資產負債平均值" localSheetId="11" hidden="1">#REF!</definedName>
    <definedName name="F26資產負債平均值" localSheetId="20" hidden="1">#REF!</definedName>
    <definedName name="F26資產負債平均值" localSheetId="3" hidden="1">#REF!</definedName>
    <definedName name="F26資產負債平均值" localSheetId="5" hidden="1">#REF!</definedName>
    <definedName name="F26資產負債平均值" hidden="1">#REF!</definedName>
    <definedName name="FILECOLS" localSheetId="11">#REF!</definedName>
    <definedName name="FILECOLS" localSheetId="20">#REF!</definedName>
    <definedName name="FILECOLS" localSheetId="3">#REF!</definedName>
    <definedName name="FILECOLS" localSheetId="5">#REF!</definedName>
    <definedName name="FILECOLS">#REF!</definedName>
    <definedName name="FILEROWS" localSheetId="11">#REF!</definedName>
    <definedName name="FILEROWS" localSheetId="20">#REF!</definedName>
    <definedName name="FILEROWS" localSheetId="3">#REF!</definedName>
    <definedName name="FILEROWS" localSheetId="5">#REF!</definedName>
    <definedName name="FILEROWS">#REF!</definedName>
    <definedName name="FOOTER1" localSheetId="11">#REF!</definedName>
    <definedName name="FOOTER1" localSheetId="20">#REF!</definedName>
    <definedName name="FOOTER1" localSheetId="3">#REF!</definedName>
    <definedName name="FOOTER1" localSheetId="5">#REF!</definedName>
    <definedName name="FOOTER1">#REF!</definedName>
    <definedName name="FOOTER2" localSheetId="11">#REF!</definedName>
    <definedName name="FOOTER2" localSheetId="20">#REF!</definedName>
    <definedName name="FOOTER2" localSheetId="3">#REF!</definedName>
    <definedName name="FOOTER2" localSheetId="5">#REF!</definedName>
    <definedName name="FOOTER2">#REF!</definedName>
    <definedName name="FORMULA">'[1]CH Qs Form'!$G$2:$I$393</definedName>
    <definedName name="GG" localSheetId="11" hidden="1">#REF!</definedName>
    <definedName name="GG" localSheetId="20" hidden="1">#REF!</definedName>
    <definedName name="GG" localSheetId="3" hidden="1">#REF!</definedName>
    <definedName name="GG" localSheetId="5" hidden="1">#REF!</definedName>
    <definedName name="GG" hidden="1">#REF!</definedName>
    <definedName name="HH" localSheetId="11" hidden="1">#REF!</definedName>
    <definedName name="HH" localSheetId="20" hidden="1">#REF!</definedName>
    <definedName name="HH" localSheetId="3" hidden="1">#REF!</definedName>
    <definedName name="HH" localSheetId="5" hidden="1">#REF!</definedName>
    <definedName name="HH" hidden="1">#REF!</definedName>
    <definedName name="i" hidden="1">{"1","2","3","4","5","6","7","8","9","10","11","12","13";4.5,4.25,4,3.75,3.5,3.25,3.125,3,2.875,2.75,2.625,2.5,2;3,2.67,2.5,2.33,2.165,2,1.94444444444444,1.8889,1.83333333333333,1.77777777777777,1.72222222222222,1.66666666666667,1.33333333333333}</definedName>
    <definedName name="I23_3">#N/A</definedName>
    <definedName name="INDEX" localSheetId="3">'[5]CH Qs Form'!#REF!</definedName>
    <definedName name="INDEX" localSheetId="5">'[5]CH Qs Form'!#REF!</definedName>
    <definedName name="INDEX">'[5]CH Qs Form'!#REF!</definedName>
    <definedName name="ITEM1" localSheetId="11">#REF!</definedName>
    <definedName name="ITEM1" localSheetId="20">#REF!</definedName>
    <definedName name="ITEM1" localSheetId="3">#REF!</definedName>
    <definedName name="ITEM1" localSheetId="5">#REF!</definedName>
    <definedName name="ITEM1">#REF!</definedName>
    <definedName name="ITEM2" localSheetId="11">#REF!</definedName>
    <definedName name="ITEM2" localSheetId="20">#REF!</definedName>
    <definedName name="ITEM2" localSheetId="3">#REF!</definedName>
    <definedName name="ITEM2" localSheetId="5">#REF!</definedName>
    <definedName name="ITEM2">#REF!</definedName>
    <definedName name="item3" localSheetId="11">#REF!</definedName>
    <definedName name="item3" localSheetId="20">#REF!</definedName>
    <definedName name="item3" localSheetId="3">#REF!</definedName>
    <definedName name="item3" localSheetId="5">#REF!</definedName>
    <definedName name="item3">#REF!</definedName>
    <definedName name="MACRO">'[1]CH Qs Form'!$C$399:$F$468</definedName>
    <definedName name="MARK1" localSheetId="11">#REF!</definedName>
    <definedName name="MARK1" localSheetId="20">#REF!</definedName>
    <definedName name="MARK1" localSheetId="3">#REF!</definedName>
    <definedName name="MARK1" localSheetId="5">#REF!</definedName>
    <definedName name="MARK1">#REF!</definedName>
    <definedName name="MARK10" localSheetId="11">#REF!</definedName>
    <definedName name="MARK10" localSheetId="20">#REF!</definedName>
    <definedName name="MARK10" localSheetId="3">#REF!</definedName>
    <definedName name="MARK10" localSheetId="5">#REF!</definedName>
    <definedName name="MARK10">#REF!</definedName>
    <definedName name="MARK11" localSheetId="11">#REF!</definedName>
    <definedName name="MARK11" localSheetId="20">#REF!</definedName>
    <definedName name="MARK11" localSheetId="3">#REF!</definedName>
    <definedName name="MARK11" localSheetId="5">#REF!</definedName>
    <definedName name="MARK11">#REF!</definedName>
    <definedName name="MARK12" localSheetId="11">#REF!</definedName>
    <definedName name="MARK12" localSheetId="20">#REF!</definedName>
    <definedName name="MARK12" localSheetId="3">#REF!</definedName>
    <definedName name="MARK12" localSheetId="5">#REF!</definedName>
    <definedName name="MARK12">#REF!</definedName>
    <definedName name="MARK13" localSheetId="11">#REF!</definedName>
    <definedName name="MARK13" localSheetId="20">#REF!</definedName>
    <definedName name="MARK13" localSheetId="3">#REF!</definedName>
    <definedName name="MARK13" localSheetId="5">#REF!</definedName>
    <definedName name="MARK13">#REF!</definedName>
    <definedName name="MARK14" localSheetId="11">#REF!</definedName>
    <definedName name="MARK14" localSheetId="20">#REF!</definedName>
    <definedName name="MARK14" localSheetId="3">#REF!</definedName>
    <definedName name="MARK14" localSheetId="5">#REF!</definedName>
    <definedName name="MARK14">#REF!</definedName>
    <definedName name="MARK15" localSheetId="11">#REF!</definedName>
    <definedName name="MARK15" localSheetId="20">#REF!</definedName>
    <definedName name="MARK15" localSheetId="3">#REF!</definedName>
    <definedName name="MARK15" localSheetId="5">#REF!</definedName>
    <definedName name="MARK15">#REF!</definedName>
    <definedName name="MARK16" localSheetId="11">#REF!</definedName>
    <definedName name="MARK16" localSheetId="20">#REF!</definedName>
    <definedName name="MARK16" localSheetId="3">#REF!</definedName>
    <definedName name="MARK16" localSheetId="5">#REF!</definedName>
    <definedName name="MARK16">#REF!</definedName>
    <definedName name="MARK17" localSheetId="11">#REF!</definedName>
    <definedName name="MARK17" localSheetId="20">#REF!</definedName>
    <definedName name="MARK17" localSheetId="3">#REF!</definedName>
    <definedName name="MARK17" localSheetId="5">#REF!</definedName>
    <definedName name="MARK17">#REF!</definedName>
    <definedName name="MARK18" localSheetId="11">#REF!</definedName>
    <definedName name="MARK18" localSheetId="20">#REF!</definedName>
    <definedName name="MARK18" localSheetId="3">#REF!</definedName>
    <definedName name="MARK18" localSheetId="5">#REF!</definedName>
    <definedName name="MARK18">#REF!</definedName>
    <definedName name="MARK19" localSheetId="11">#REF!</definedName>
    <definedName name="MARK19" localSheetId="20">#REF!</definedName>
    <definedName name="MARK19" localSheetId="3">#REF!</definedName>
    <definedName name="MARK19" localSheetId="5">#REF!</definedName>
    <definedName name="MARK19">#REF!</definedName>
    <definedName name="MARK2" localSheetId="11">#REF!</definedName>
    <definedName name="MARK2" localSheetId="20">#REF!</definedName>
    <definedName name="MARK2" localSheetId="3">#REF!</definedName>
    <definedName name="MARK2" localSheetId="5">#REF!</definedName>
    <definedName name="MARK2">#REF!</definedName>
    <definedName name="MARK20" localSheetId="11">#REF!</definedName>
    <definedName name="MARK20" localSheetId="20">#REF!</definedName>
    <definedName name="MARK20" localSheetId="3">#REF!</definedName>
    <definedName name="MARK20" localSheetId="5">#REF!</definedName>
    <definedName name="MARK20">#REF!</definedName>
    <definedName name="MARK21" localSheetId="11">#REF!</definedName>
    <definedName name="MARK21" localSheetId="20">#REF!</definedName>
    <definedName name="MARK21" localSheetId="3">#REF!</definedName>
    <definedName name="MARK21" localSheetId="5">#REF!</definedName>
    <definedName name="MARK21">#REF!</definedName>
    <definedName name="MARK22" localSheetId="11">#REF!</definedName>
    <definedName name="MARK22" localSheetId="20">#REF!</definedName>
    <definedName name="MARK22" localSheetId="3">#REF!</definedName>
    <definedName name="MARK22" localSheetId="5">#REF!</definedName>
    <definedName name="MARK22">#REF!</definedName>
    <definedName name="MARK23" localSheetId="11">#REF!</definedName>
    <definedName name="MARK23" localSheetId="20">#REF!</definedName>
    <definedName name="MARK23" localSheetId="3">#REF!</definedName>
    <definedName name="MARK23" localSheetId="5">#REF!</definedName>
    <definedName name="MARK23">#REF!</definedName>
    <definedName name="MARK3" localSheetId="11">#REF!</definedName>
    <definedName name="MARK3" localSheetId="20">#REF!</definedName>
    <definedName name="MARK3" localSheetId="3">#REF!</definedName>
    <definedName name="MARK3" localSheetId="5">#REF!</definedName>
    <definedName name="MARK3">#REF!</definedName>
    <definedName name="MARK4" localSheetId="11">#REF!</definedName>
    <definedName name="MARK4" localSheetId="20">#REF!</definedName>
    <definedName name="MARK4" localSheetId="3">#REF!</definedName>
    <definedName name="MARK4" localSheetId="5">#REF!</definedName>
    <definedName name="MARK4">#REF!</definedName>
    <definedName name="MARK5" localSheetId="11">#REF!</definedName>
    <definedName name="MARK5" localSheetId="20">#REF!</definedName>
    <definedName name="MARK5" localSheetId="3">#REF!</definedName>
    <definedName name="MARK5" localSheetId="5">#REF!</definedName>
    <definedName name="MARK5">#REF!</definedName>
    <definedName name="MARK6" localSheetId="11">#REF!</definedName>
    <definedName name="MARK6" localSheetId="20">#REF!</definedName>
    <definedName name="MARK6" localSheetId="3">#REF!</definedName>
    <definedName name="MARK6" localSheetId="5">#REF!</definedName>
    <definedName name="MARK6">#REF!</definedName>
    <definedName name="MARK7" localSheetId="11">#REF!</definedName>
    <definedName name="MARK7" localSheetId="20">#REF!</definedName>
    <definedName name="MARK7" localSheetId="3">#REF!</definedName>
    <definedName name="MARK7" localSheetId="5">#REF!</definedName>
    <definedName name="MARK7">#REF!</definedName>
    <definedName name="MARK8" localSheetId="11">#REF!</definedName>
    <definedName name="MARK8" localSheetId="20">#REF!</definedName>
    <definedName name="MARK8" localSheetId="3">#REF!</definedName>
    <definedName name="MARK8" localSheetId="5">#REF!</definedName>
    <definedName name="MARK8">#REF!</definedName>
    <definedName name="MARK9" localSheetId="11">#REF!</definedName>
    <definedName name="MARK9" localSheetId="20">#REF!</definedName>
    <definedName name="MARK9" localSheetId="3">#REF!</definedName>
    <definedName name="MARK9" localSheetId="5">#REF!</definedName>
    <definedName name="MARK9">#REF!</definedName>
    <definedName name="MFIELD3" localSheetId="11">#REF!</definedName>
    <definedName name="MFIELD3" localSheetId="20">#REF!</definedName>
    <definedName name="MFIELD3" localSheetId="3">#REF!</definedName>
    <definedName name="MFIELD3" localSheetId="5">#REF!</definedName>
    <definedName name="MFIELD3">#REF!</definedName>
    <definedName name="MFIELD4" localSheetId="11">#REF!</definedName>
    <definedName name="MFIELD4" localSheetId="20">#REF!</definedName>
    <definedName name="MFIELD4" localSheetId="3">#REF!</definedName>
    <definedName name="MFIELD4" localSheetId="5">#REF!</definedName>
    <definedName name="MFIELD4">#REF!</definedName>
    <definedName name="MFIELD7" localSheetId="11">#REF!</definedName>
    <definedName name="MFIELD7" localSheetId="20">#REF!</definedName>
    <definedName name="MFIELD7" localSheetId="3">#REF!</definedName>
    <definedName name="MFIELD7" localSheetId="5">#REF!</definedName>
    <definedName name="MFIELD7">#REF!</definedName>
    <definedName name="MFIELD8" localSheetId="11">#REF!</definedName>
    <definedName name="MFIELD8" localSheetId="20">#REF!</definedName>
    <definedName name="MFIELD8" localSheetId="3">#REF!</definedName>
    <definedName name="MFIELD8" localSheetId="5">#REF!</definedName>
    <definedName name="MFIELD8">#REF!</definedName>
    <definedName name="Month">'[4]Input Data'!$D$5</definedName>
    <definedName name="Multi2" hidden="1">{"1","2","3","4","5","6","7","8","9","10","11","12","13";4.5,4.25,4,3.75,3.5,3.25,3.125,3,2.875,2.75,2.625,2.5,2;3,2.67,2.5,2.33,2.165,2,1.94444444444444,1.8889,1.83333333333333,1.77777777777777,1.72222222222222,1.66666666666667,1.33333333333333}</definedName>
    <definedName name="multi22" hidden="1">{"1","2","3","4","5","6","7","8","9","10","11","12","13";4.5,4.25,4,3.75,3.5,3.25,3.125,3,2.875,2.75,2.625,2.5,2;3,2.67,2.5,2.33,2.165,2,1.94444444444444,1.8889,1.83333333333333,1.77777777777777,1.72222222222222,1.66666666666667,1.33333333333333}</definedName>
    <definedName name="multi3" hidden="1">{"1","2","3","4","5","6","7","8","9","10","11","12","13";4.5,4.25,4,3.75,3.5,3.25,3.125,3,2.875,2.75,2.625,2.5,2;3,2.67,2.5,2.33,2.165,2,1.94444444444444,1.8889,1.83333333333333,1.77777777777777,1.72222222222222,1.66666666666667,1.33333333333333}</definedName>
    <definedName name="multi4" hidden="1">{"1","2","3","4","5","6","7","8","9","10","11","12","13";4.5,4.25,4,3.75,3.5,3.25,3.125,3,2.875,2.75,2.625,2.5,2;3,2.67,2.5,2.33,2.165,2,1.94444444444444,1.8889,1.83333333333333,1.77777777777777,1.72222222222222,1.66666666666667,1.33333333333333}</definedName>
    <definedName name="multi5" hidden="1">{"1","2","3","4","5","6","7","8","9","10","11","12","13";4.5,4.25,4,3.75,3.5,3.25,3.125,3,2.875,2.75,2.625,2.5,2;3,2.67,2.5,2.33,2.165,2,1.94444444444444,1.8889,1.83333333333333,1.77777777777777,1.72222222222222,1.66666666666667,1.33333333333333}</definedName>
    <definedName name="new" localSheetId="11" hidden="1">#REF!</definedName>
    <definedName name="new" localSheetId="20" hidden="1">#REF!</definedName>
    <definedName name="new" localSheetId="3" hidden="1">#REF!</definedName>
    <definedName name="new" localSheetId="5" hidden="1">#REF!</definedName>
    <definedName name="new" hidden="1">#REF!</definedName>
    <definedName name="OTHE3B" localSheetId="11">#REF!</definedName>
    <definedName name="OTHE3B" localSheetId="20">#REF!</definedName>
    <definedName name="OTHE3B" localSheetId="3">#REF!</definedName>
    <definedName name="OTHE3B" localSheetId="5">#REF!</definedName>
    <definedName name="OTHE3B">#REF!</definedName>
    <definedName name="P_RANGE" localSheetId="11">#REF!</definedName>
    <definedName name="P_RANGE" localSheetId="20">#REF!</definedName>
    <definedName name="P_RANGE" localSheetId="3">#REF!</definedName>
    <definedName name="P_RANGE" localSheetId="5">#REF!</definedName>
    <definedName name="P_RANGE">#REF!</definedName>
    <definedName name="PDATE" localSheetId="11">#REF!</definedName>
    <definedName name="PDATE" localSheetId="20">#REF!</definedName>
    <definedName name="PDATE" localSheetId="3">#REF!</definedName>
    <definedName name="PDATE" localSheetId="5">#REF!</definedName>
    <definedName name="PDATE">#REF!</definedName>
    <definedName name="Percent2" hidden="1">{"1","2","3","4","5","6","7","8","9","10","11","12","13";0.9,0.85,0.8,0.75,0.7,0.65,0.625,0.6,0.575,0.55,0.525,0.5,0.4;0.45,0.4,0.375,0.35,0.325,0.3,0.291666666666666,0.283333333333333,0.275,0.266666666666666,0.258333333333333,0.25,0.2}</definedName>
    <definedName name="POSA" localSheetId="11">#REF!</definedName>
    <definedName name="POSA" localSheetId="20">#REF!</definedName>
    <definedName name="POSA" localSheetId="3">#REF!</definedName>
    <definedName name="POSA" localSheetId="5">#REF!</definedName>
    <definedName name="POSA">#REF!</definedName>
    <definedName name="POSB" localSheetId="11">#REF!</definedName>
    <definedName name="POSB" localSheetId="20">#REF!</definedName>
    <definedName name="POSB" localSheetId="3">#REF!</definedName>
    <definedName name="POSB" localSheetId="5">#REF!</definedName>
    <definedName name="POSB">#REF!</definedName>
    <definedName name="POSC" localSheetId="11">#REF!</definedName>
    <definedName name="POSC" localSheetId="20">#REF!</definedName>
    <definedName name="POSC" localSheetId="3">#REF!</definedName>
    <definedName name="POSC" localSheetId="5">#REF!</definedName>
    <definedName name="POSC">#REF!</definedName>
    <definedName name="POSD" localSheetId="11">#REF!</definedName>
    <definedName name="POSD" localSheetId="20">#REF!</definedName>
    <definedName name="POSD" localSheetId="3">#REF!</definedName>
    <definedName name="POSD" localSheetId="5">#REF!</definedName>
    <definedName name="POSD">#REF!</definedName>
    <definedName name="_xlnm.Print_Area" localSheetId="17">'115_分行業績'!$A$1:$AF$185</definedName>
    <definedName name="_xlnm.Print_Area" localSheetId="11">'116目標底稿ver1'!$B$3:$AB$196</definedName>
    <definedName name="_xlnm.Print_Area" localSheetId="12">'116年參數表'!$A$1:$M$28</definedName>
    <definedName name="_xlnm.Print_Area" localSheetId="13">'116指標1_前2年手收20%'!$A$1:$L$186</definedName>
    <definedName name="_xlnm.Print_Area" localSheetId="18">'116指標2_存款25%'!$A$1:$S$202</definedName>
    <definedName name="_xlnm.Print_Area" localSheetId="21">'116指標4_114分行人數25%'!$A$1:$R$187</definedName>
    <definedName name="_xlnm.Print_Area" localSheetId="19">'116指標6_理財AUM25%'!$A$1:$F$187</definedName>
    <definedName name="_xlnm.Print_Area" localSheetId="6">全年KPI!$A$2:$I$196</definedName>
    <definedName name="_xlnm.Print_Area" localSheetId="20">'底稿_理財AUM25%'!$A$1:$BN$656</definedName>
    <definedName name="_xlnm.Print_Area" localSheetId="3">客群經營目標表!$A$1:$D$194</definedName>
    <definedName name="_xlnm.Print_Area" localSheetId="5">客群經營各月!$A$2:$P$196</definedName>
    <definedName name="_xlnm.Print_Area" localSheetId="8">財管手收比較表_重點!$A$1:$Q$44</definedName>
    <definedName name="_xlnm.Print_Area" localSheetId="1">財管手收比較表_值!$A$1:$U$188</definedName>
    <definedName name="_xlnm.Print_Area" localSheetId="4">財管手收各月!$A$2:$P$196</definedName>
    <definedName name="_xlnm.Print_Area" localSheetId="2">財管手收表!$A$1:$D$194</definedName>
    <definedName name="Print_Area_MI" localSheetId="11">#REF!</definedName>
    <definedName name="Print_Area_MI" localSheetId="20">#REF!</definedName>
    <definedName name="Print_Area_MI" localSheetId="3">#REF!</definedName>
    <definedName name="Print_Area_MI" localSheetId="5">#REF!</definedName>
    <definedName name="Print_Area_MI">#REF!</definedName>
    <definedName name="_xlnm.Print_Titles" localSheetId="17">'115_分行業績'!$1:$2</definedName>
    <definedName name="_xlnm.Print_Titles" localSheetId="11">'116目標底稿ver1'!$3:$6</definedName>
    <definedName name="_xlnm.Print_Titles" localSheetId="13">'116指標1_前2年手收20%'!$1:$2</definedName>
    <definedName name="_xlnm.Print_Titles" localSheetId="18">'116指標2_存款25%'!$1:$3</definedName>
    <definedName name="_xlnm.Print_Titles" localSheetId="21">'116指標4_114分行人數25%'!$1:$3</definedName>
    <definedName name="_xlnm.Print_Titles" localSheetId="19">'116指標6_理財AUM25%'!$1:$3</definedName>
    <definedName name="_xlnm.Print_Titles" localSheetId="6">全年KPI!$2:$5</definedName>
    <definedName name="_xlnm.Print_Titles" localSheetId="20">'底稿_理財AUM25%'!$1:$3</definedName>
    <definedName name="_xlnm.Print_Titles" localSheetId="3">客群經營目標表!$1:$3</definedName>
    <definedName name="_xlnm.Print_Titles" localSheetId="5">客群經營各月!$2:$5</definedName>
    <definedName name="_xlnm.Print_Titles" localSheetId="1">財管手收比較表_值!$1:$4</definedName>
    <definedName name="_xlnm.Print_Titles" localSheetId="4">財管手收各月!$2:$5</definedName>
    <definedName name="_xlnm.Print_Titles" localSheetId="2">財管手收表!$1:$3</definedName>
    <definedName name="Print_Titles_MI" localSheetId="11">#REF!</definedName>
    <definedName name="Print_Titles_MI" localSheetId="20">#REF!</definedName>
    <definedName name="Print_Titles_MI" localSheetId="3">#REF!</definedName>
    <definedName name="Print_Titles_MI" localSheetId="5">#REF!</definedName>
    <definedName name="Print_Titles_MI">#REF!</definedName>
    <definedName name="PTIME" localSheetId="11">#REF!</definedName>
    <definedName name="PTIME" localSheetId="20">#REF!</definedName>
    <definedName name="PTIME" localSheetId="3">#REF!</definedName>
    <definedName name="PTIME" localSheetId="5">#REF!</definedName>
    <definedName name="PTIME">#REF!</definedName>
    <definedName name="RANGE1" localSheetId="11">#REF!</definedName>
    <definedName name="RANGE1" localSheetId="20">#REF!</definedName>
    <definedName name="RANGE1" localSheetId="3">#REF!</definedName>
    <definedName name="RANGE1" localSheetId="5">#REF!</definedName>
    <definedName name="RANGE1">#REF!</definedName>
    <definedName name="RANGE2" localSheetId="11">#REF!</definedName>
    <definedName name="RANGE2" localSheetId="20">#REF!</definedName>
    <definedName name="RANGE2" localSheetId="3">#REF!</definedName>
    <definedName name="RANGE2" localSheetId="5">#REF!</definedName>
    <definedName name="RANGE2">#REF!</definedName>
    <definedName name="RANGE3" localSheetId="11">#REF!</definedName>
    <definedName name="RANGE3" localSheetId="20">#REF!</definedName>
    <definedName name="RANGE3" localSheetId="3">#REF!</definedName>
    <definedName name="RANGE3" localSheetId="5">#REF!</definedName>
    <definedName name="RANGE3">#REF!</definedName>
    <definedName name="RANGE4" localSheetId="11">#REF!</definedName>
    <definedName name="RANGE4" localSheetId="20">#REF!</definedName>
    <definedName name="RANGE4" localSheetId="3">#REF!</definedName>
    <definedName name="RANGE4" localSheetId="5">#REF!</definedName>
    <definedName name="RANGE4">#REF!</definedName>
    <definedName name="RFIELD" localSheetId="11">#REF!</definedName>
    <definedName name="RFIELD" localSheetId="20">#REF!</definedName>
    <definedName name="RFIELD" localSheetId="3">#REF!</definedName>
    <definedName name="RFIELD" localSheetId="5">#REF!</definedName>
    <definedName name="RFIELD">#REF!</definedName>
    <definedName name="RFIELD1" localSheetId="11">#REF!</definedName>
    <definedName name="RFIELD1" localSheetId="20">#REF!</definedName>
    <definedName name="RFIELD1" localSheetId="3">#REF!</definedName>
    <definedName name="RFIELD1" localSheetId="5">#REF!</definedName>
    <definedName name="RFIELD1">#REF!</definedName>
    <definedName name="RFIELD10" localSheetId="11">#REF!</definedName>
    <definedName name="RFIELD10" localSheetId="20">#REF!</definedName>
    <definedName name="RFIELD10" localSheetId="3">#REF!</definedName>
    <definedName name="RFIELD10" localSheetId="5">#REF!</definedName>
    <definedName name="RFIELD10">#REF!</definedName>
    <definedName name="RFIELD11" localSheetId="11">#REF!</definedName>
    <definedName name="RFIELD11" localSheetId="20">#REF!</definedName>
    <definedName name="RFIELD11" localSheetId="3">#REF!</definedName>
    <definedName name="RFIELD11" localSheetId="5">#REF!</definedName>
    <definedName name="RFIELD11">#REF!</definedName>
    <definedName name="RFIELD12" localSheetId="11">#REF!</definedName>
    <definedName name="RFIELD12" localSheetId="20">#REF!</definedName>
    <definedName name="RFIELD12" localSheetId="3">#REF!</definedName>
    <definedName name="RFIELD12" localSheetId="5">#REF!</definedName>
    <definedName name="RFIELD12">#REF!</definedName>
    <definedName name="RFIELD13" localSheetId="11">#REF!</definedName>
    <definedName name="RFIELD13" localSheetId="20">#REF!</definedName>
    <definedName name="RFIELD13" localSheetId="3">#REF!</definedName>
    <definedName name="RFIELD13" localSheetId="5">#REF!</definedName>
    <definedName name="RFIELD13">#REF!</definedName>
    <definedName name="RFIELD14" localSheetId="11">#REF!</definedName>
    <definedName name="RFIELD14" localSheetId="20">#REF!</definedName>
    <definedName name="RFIELD14" localSheetId="3">#REF!</definedName>
    <definedName name="RFIELD14" localSheetId="5">#REF!</definedName>
    <definedName name="RFIELD14">#REF!</definedName>
    <definedName name="RFIELD15" localSheetId="11">#REF!</definedName>
    <definedName name="RFIELD15" localSheetId="20">#REF!</definedName>
    <definedName name="RFIELD15" localSheetId="3">#REF!</definedName>
    <definedName name="RFIELD15" localSheetId="5">#REF!</definedName>
    <definedName name="RFIELD15">#REF!</definedName>
    <definedName name="RFIELD16" localSheetId="11">#REF!</definedName>
    <definedName name="RFIELD16" localSheetId="20">#REF!</definedName>
    <definedName name="RFIELD16" localSheetId="3">#REF!</definedName>
    <definedName name="RFIELD16" localSheetId="5">#REF!</definedName>
    <definedName name="RFIELD16">#REF!</definedName>
    <definedName name="RFIELD17" localSheetId="11">#REF!</definedName>
    <definedName name="RFIELD17" localSheetId="20">#REF!</definedName>
    <definedName name="RFIELD17" localSheetId="3">#REF!</definedName>
    <definedName name="RFIELD17" localSheetId="5">#REF!</definedName>
    <definedName name="RFIELD17">#REF!</definedName>
    <definedName name="RFIELD2" localSheetId="11">#REF!</definedName>
    <definedName name="RFIELD2" localSheetId="20">#REF!</definedName>
    <definedName name="RFIELD2" localSheetId="3">#REF!</definedName>
    <definedName name="RFIELD2" localSheetId="5">#REF!</definedName>
    <definedName name="RFIELD2">#REF!</definedName>
    <definedName name="RFIELD3" localSheetId="11">#REF!</definedName>
    <definedName name="RFIELD3" localSheetId="20">#REF!</definedName>
    <definedName name="RFIELD3" localSheetId="3">#REF!</definedName>
    <definedName name="RFIELD3" localSheetId="5">#REF!</definedName>
    <definedName name="RFIELD3">#REF!</definedName>
    <definedName name="RFIELD4" localSheetId="11">#REF!</definedName>
    <definedName name="RFIELD4" localSheetId="20">#REF!</definedName>
    <definedName name="RFIELD4" localSheetId="3">#REF!</definedName>
    <definedName name="RFIELD4" localSheetId="5">#REF!</definedName>
    <definedName name="RFIELD4">#REF!</definedName>
    <definedName name="RFIELD5" localSheetId="11">#REF!</definedName>
    <definedName name="RFIELD5" localSheetId="20">#REF!</definedName>
    <definedName name="RFIELD5" localSheetId="3">#REF!</definedName>
    <definedName name="RFIELD5" localSheetId="5">#REF!</definedName>
    <definedName name="RFIELD5">#REF!</definedName>
    <definedName name="RFIELD6" localSheetId="11">#REF!</definedName>
    <definedName name="RFIELD6" localSheetId="20">#REF!</definedName>
    <definedName name="RFIELD6" localSheetId="3">#REF!</definedName>
    <definedName name="RFIELD6" localSheetId="5">#REF!</definedName>
    <definedName name="RFIELD6">#REF!</definedName>
    <definedName name="RFIELD7" localSheetId="11">#REF!</definedName>
    <definedName name="RFIELD7" localSheetId="20">#REF!</definedName>
    <definedName name="RFIELD7" localSheetId="3">#REF!</definedName>
    <definedName name="RFIELD7" localSheetId="5">#REF!</definedName>
    <definedName name="RFIELD7">#REF!</definedName>
    <definedName name="RFIELD8" localSheetId="11">#REF!</definedName>
    <definedName name="RFIELD8" localSheetId="20">#REF!</definedName>
    <definedName name="RFIELD8" localSheetId="3">#REF!</definedName>
    <definedName name="RFIELD8" localSheetId="5">#REF!</definedName>
    <definedName name="RFIELD8">#REF!</definedName>
    <definedName name="RFIELD9" localSheetId="11">#REF!</definedName>
    <definedName name="RFIELD9" localSheetId="20">#REF!</definedName>
    <definedName name="RFIELD9" localSheetId="3">#REF!</definedName>
    <definedName name="RFIELD9" localSheetId="5">#REF!</definedName>
    <definedName name="RFIELD9">#REF!</definedName>
    <definedName name="RFIELDALL" localSheetId="11">#REF!</definedName>
    <definedName name="RFIELDALL" localSheetId="20">#REF!</definedName>
    <definedName name="RFIELDALL" localSheetId="3">#REF!</definedName>
    <definedName name="RFIELDALL" localSheetId="5">#REF!</definedName>
    <definedName name="RFIELDALL">#REF!</definedName>
    <definedName name="SF1A" localSheetId="11">#REF!</definedName>
    <definedName name="SF1A" localSheetId="20">#REF!</definedName>
    <definedName name="SF1A" localSheetId="3">#REF!</definedName>
    <definedName name="SF1A" localSheetId="5">#REF!</definedName>
    <definedName name="SF1A">#REF!</definedName>
    <definedName name="SF1B" localSheetId="11">#REF!</definedName>
    <definedName name="SF1B" localSheetId="20">#REF!</definedName>
    <definedName name="SF1B" localSheetId="3">#REF!</definedName>
    <definedName name="SF1B" localSheetId="5">#REF!</definedName>
    <definedName name="SF1B">#REF!</definedName>
    <definedName name="SF2A" localSheetId="11">#REF!</definedName>
    <definedName name="SF2A" localSheetId="20">#REF!</definedName>
    <definedName name="SF2A" localSheetId="3">#REF!</definedName>
    <definedName name="SF2A" localSheetId="5">#REF!</definedName>
    <definedName name="SF2A">#REF!</definedName>
    <definedName name="SF2B" localSheetId="11">#REF!</definedName>
    <definedName name="SF2B" localSheetId="20">#REF!</definedName>
    <definedName name="SF2B" localSheetId="3">#REF!</definedName>
    <definedName name="SF2B" localSheetId="5">#REF!</definedName>
    <definedName name="SF2B">#REF!</definedName>
    <definedName name="SF3A" localSheetId="11">#REF!</definedName>
    <definedName name="SF3A" localSheetId="20">#REF!</definedName>
    <definedName name="SF3A" localSheetId="3">#REF!</definedName>
    <definedName name="SF3A" localSheetId="5">#REF!</definedName>
    <definedName name="SF3A">#REF!</definedName>
    <definedName name="SF3B" localSheetId="11">#REF!</definedName>
    <definedName name="SF3B" localSheetId="20">#REF!</definedName>
    <definedName name="SF3B" localSheetId="3">#REF!</definedName>
    <definedName name="SF3B" localSheetId="5">#REF!</definedName>
    <definedName name="SF3B">#REF!</definedName>
    <definedName name="SF4A" localSheetId="11">#REF!</definedName>
    <definedName name="SF4A" localSheetId="20">#REF!</definedName>
    <definedName name="SF4A" localSheetId="3">#REF!</definedName>
    <definedName name="SF4A" localSheetId="5">#REF!</definedName>
    <definedName name="SF4A">#REF!</definedName>
    <definedName name="SF4B" localSheetId="11">#REF!</definedName>
    <definedName name="SF4B" localSheetId="20">#REF!</definedName>
    <definedName name="SF4B" localSheetId="3">#REF!</definedName>
    <definedName name="SF4B" localSheetId="5">#REF!</definedName>
    <definedName name="SF4B">#REF!</definedName>
    <definedName name="STAPOS" localSheetId="11">#REF!</definedName>
    <definedName name="STAPOS" localSheetId="20">#REF!</definedName>
    <definedName name="STAPOS" localSheetId="3">#REF!</definedName>
    <definedName name="STAPOS" localSheetId="5">#REF!</definedName>
    <definedName name="STAPOS">#REF!</definedName>
    <definedName name="STAPOS1" localSheetId="11">#REF!</definedName>
    <definedName name="STAPOS1" localSheetId="20">#REF!</definedName>
    <definedName name="STAPOS1" localSheetId="3">#REF!</definedName>
    <definedName name="STAPOS1" localSheetId="5">#REF!</definedName>
    <definedName name="STAPOS1">#REF!</definedName>
    <definedName name="STAPOS2" localSheetId="11">#REF!</definedName>
    <definedName name="STAPOS2" localSheetId="20">#REF!</definedName>
    <definedName name="STAPOS2" localSheetId="3">#REF!</definedName>
    <definedName name="STAPOS2" localSheetId="5">#REF!</definedName>
    <definedName name="STAPOS2">#REF!</definedName>
    <definedName name="STAPOSA" localSheetId="11">#REF!</definedName>
    <definedName name="STAPOSA" localSheetId="20">#REF!</definedName>
    <definedName name="STAPOSA" localSheetId="3">#REF!</definedName>
    <definedName name="STAPOSA" localSheetId="5">#REF!</definedName>
    <definedName name="STAPOSA">#REF!</definedName>
    <definedName name="STAPOSA1" localSheetId="11">#REF!</definedName>
    <definedName name="STAPOSA1" localSheetId="20">#REF!</definedName>
    <definedName name="STAPOSA1" localSheetId="3">#REF!</definedName>
    <definedName name="STAPOSA1" localSheetId="5">#REF!</definedName>
    <definedName name="STAPOSA1">#REF!</definedName>
    <definedName name="STAPOSA2" localSheetId="11">#REF!</definedName>
    <definedName name="STAPOSA2" localSheetId="20">#REF!</definedName>
    <definedName name="STAPOSA2" localSheetId="3">#REF!</definedName>
    <definedName name="STAPOSA2" localSheetId="5">#REF!</definedName>
    <definedName name="STAPOSA2">#REF!</definedName>
    <definedName name="STAPOSB" localSheetId="11">#REF!</definedName>
    <definedName name="STAPOSB" localSheetId="20">#REF!</definedName>
    <definedName name="STAPOSB" localSheetId="3">#REF!</definedName>
    <definedName name="STAPOSB" localSheetId="5">#REF!</definedName>
    <definedName name="STAPOSB">#REF!</definedName>
    <definedName name="STAPOSB1" localSheetId="11">#REF!</definedName>
    <definedName name="STAPOSB1" localSheetId="20">#REF!</definedName>
    <definedName name="STAPOSB1" localSheetId="3">#REF!</definedName>
    <definedName name="STAPOSB1" localSheetId="5">#REF!</definedName>
    <definedName name="STAPOSB1">#REF!</definedName>
    <definedName name="STAPOSB2" localSheetId="11">#REF!</definedName>
    <definedName name="STAPOSB2" localSheetId="20">#REF!</definedName>
    <definedName name="STAPOSB2" localSheetId="3">#REF!</definedName>
    <definedName name="STAPOSB2" localSheetId="5">#REF!</definedName>
    <definedName name="STAPOSB2">#REF!</definedName>
    <definedName name="STAPOSB3" localSheetId="11">#REF!</definedName>
    <definedName name="STAPOSB3" localSheetId="20">#REF!</definedName>
    <definedName name="STAPOSB3" localSheetId="3">#REF!</definedName>
    <definedName name="STAPOSB3" localSheetId="5">#REF!</definedName>
    <definedName name="STAPOSB3">#REF!</definedName>
    <definedName name="STAPOSC" localSheetId="11">#REF!</definedName>
    <definedName name="STAPOSC" localSheetId="20">#REF!</definedName>
    <definedName name="STAPOSC" localSheetId="3">#REF!</definedName>
    <definedName name="STAPOSC" localSheetId="5">#REF!</definedName>
    <definedName name="STAPOSC">#REF!</definedName>
    <definedName name="STAPOSC1" localSheetId="11">#REF!</definedName>
    <definedName name="STAPOSC1" localSheetId="20">#REF!</definedName>
    <definedName name="STAPOSC1" localSheetId="3">#REF!</definedName>
    <definedName name="STAPOSC1" localSheetId="5">#REF!</definedName>
    <definedName name="STAPOSC1">#REF!</definedName>
    <definedName name="STAPOSC2" localSheetId="11">#REF!</definedName>
    <definedName name="STAPOSC2" localSheetId="20">#REF!</definedName>
    <definedName name="STAPOSC2" localSheetId="3">#REF!</definedName>
    <definedName name="STAPOSC2" localSheetId="5">#REF!</definedName>
    <definedName name="STAPOSC2">#REF!</definedName>
    <definedName name="STAPOSD" localSheetId="11">#REF!</definedName>
    <definedName name="STAPOSD" localSheetId="20">#REF!</definedName>
    <definedName name="STAPOSD" localSheetId="3">#REF!</definedName>
    <definedName name="STAPOSD" localSheetId="5">#REF!</definedName>
    <definedName name="STAPOSD">#REF!</definedName>
    <definedName name="STAPOSD1" localSheetId="11">#REF!</definedName>
    <definedName name="STAPOSD1" localSheetId="20">#REF!</definedName>
    <definedName name="STAPOSD1" localSheetId="3">#REF!</definedName>
    <definedName name="STAPOSD1" localSheetId="5">#REF!</definedName>
    <definedName name="STAPOSD1">#REF!</definedName>
    <definedName name="STAPOSD2" localSheetId="11">#REF!</definedName>
    <definedName name="STAPOSD2" localSheetId="20">#REF!</definedName>
    <definedName name="STAPOSD2" localSheetId="3">#REF!</definedName>
    <definedName name="STAPOSD2" localSheetId="5">#REF!</definedName>
    <definedName name="STAPOSD2">#REF!</definedName>
    <definedName name="STAPOSE" localSheetId="11">#REF!</definedName>
    <definedName name="STAPOSE" localSheetId="20">#REF!</definedName>
    <definedName name="STAPOSE" localSheetId="3">#REF!</definedName>
    <definedName name="STAPOSE" localSheetId="5">#REF!</definedName>
    <definedName name="STAPOSE">#REF!</definedName>
    <definedName name="STAPOSE1" localSheetId="11">#REF!</definedName>
    <definedName name="STAPOSE1" localSheetId="20">#REF!</definedName>
    <definedName name="STAPOSE1" localSheetId="3">#REF!</definedName>
    <definedName name="STAPOSE1" localSheetId="5">#REF!</definedName>
    <definedName name="STAPOSE1">#REF!</definedName>
    <definedName name="STAPOSE2" localSheetId="11">#REF!</definedName>
    <definedName name="STAPOSE2" localSheetId="20">#REF!</definedName>
    <definedName name="STAPOSE2" localSheetId="3">#REF!</definedName>
    <definedName name="STAPOSE2" localSheetId="5">#REF!</definedName>
    <definedName name="STAPOSE2">#REF!</definedName>
    <definedName name="STAPOSF" localSheetId="11">#REF!</definedName>
    <definedName name="STAPOSF" localSheetId="20">#REF!</definedName>
    <definedName name="STAPOSF" localSheetId="3">#REF!</definedName>
    <definedName name="STAPOSF" localSheetId="5">#REF!</definedName>
    <definedName name="STAPOSF">#REF!</definedName>
    <definedName name="STAPOSF1" localSheetId="11">#REF!</definedName>
    <definedName name="STAPOSF1" localSheetId="20">#REF!</definedName>
    <definedName name="STAPOSF1" localSheetId="3">#REF!</definedName>
    <definedName name="STAPOSF1" localSheetId="5">#REF!</definedName>
    <definedName name="STAPOSF1">#REF!</definedName>
    <definedName name="STAPOSF2" localSheetId="11">#REF!</definedName>
    <definedName name="STAPOSF2" localSheetId="20">#REF!</definedName>
    <definedName name="STAPOSF2" localSheetId="3">#REF!</definedName>
    <definedName name="STAPOSF2" localSheetId="5">#REF!</definedName>
    <definedName name="STAPOSF2">#REF!</definedName>
    <definedName name="STAPOSG" localSheetId="11">#REF!</definedName>
    <definedName name="STAPOSG" localSheetId="20">#REF!</definedName>
    <definedName name="STAPOSG" localSheetId="3">#REF!</definedName>
    <definedName name="STAPOSG" localSheetId="5">#REF!</definedName>
    <definedName name="STAPOSG">#REF!</definedName>
    <definedName name="T_ABC" localSheetId="11">#REF!</definedName>
    <definedName name="T_ABC" localSheetId="20">#REF!</definedName>
    <definedName name="T_ABC" localSheetId="3">#REF!</definedName>
    <definedName name="T_ABC" localSheetId="5">#REF!</definedName>
    <definedName name="T_ABC">#REF!</definedName>
    <definedName name="T_IDX" localSheetId="11">#REF!</definedName>
    <definedName name="T_IDX" localSheetId="20">#REF!</definedName>
    <definedName name="T_IDX" localSheetId="3">#REF!</definedName>
    <definedName name="T_IDX" localSheetId="5">#REF!</definedName>
    <definedName name="T_IDX">#REF!</definedName>
    <definedName name="TABLE1" localSheetId="11">#REF!</definedName>
    <definedName name="TABLE1" localSheetId="20">#REF!</definedName>
    <definedName name="TABLE1" localSheetId="3">#REF!</definedName>
    <definedName name="TABLE1" localSheetId="5">#REF!</definedName>
    <definedName name="TABLE1">#REF!</definedName>
    <definedName name="TABLE2" localSheetId="11">#REF!</definedName>
    <definedName name="TABLE2" localSheetId="20">#REF!</definedName>
    <definedName name="TABLE2" localSheetId="3">#REF!</definedName>
    <definedName name="TABLE2" localSheetId="5">#REF!</definedName>
    <definedName name="TABLE2">#REF!</definedName>
    <definedName name="TABLE3" localSheetId="11">#REF!</definedName>
    <definedName name="TABLE3" localSheetId="20">#REF!</definedName>
    <definedName name="TABLE3" localSheetId="3">#REF!</definedName>
    <definedName name="TABLE3" localSheetId="5">#REF!</definedName>
    <definedName name="TABLE3">#REF!</definedName>
    <definedName name="TEMPRANGE" localSheetId="11">#REF!</definedName>
    <definedName name="TEMPRANGE" localSheetId="20">#REF!</definedName>
    <definedName name="TEMPRANGE" localSheetId="3">#REF!</definedName>
    <definedName name="TEMPRANGE" localSheetId="5">#REF!</definedName>
    <definedName name="TEMPRANGE">#REF!</definedName>
    <definedName name="TextRefCopyRangeCount" hidden="1">2</definedName>
    <definedName name="TITLE1" localSheetId="11">#REF!</definedName>
    <definedName name="TITLE1" localSheetId="20">#REF!</definedName>
    <definedName name="TITLE1" localSheetId="3">#REF!</definedName>
    <definedName name="TITLE1" localSheetId="5">#REF!</definedName>
    <definedName name="TITLE1">#REF!</definedName>
    <definedName name="TITLE2" localSheetId="11">#REF!</definedName>
    <definedName name="TITLE2" localSheetId="20">#REF!</definedName>
    <definedName name="TITLE2" localSheetId="3">#REF!</definedName>
    <definedName name="TITLE2" localSheetId="5">#REF!</definedName>
    <definedName name="TITLE2">#REF!</definedName>
    <definedName name="TITLE3" localSheetId="11">#REF!</definedName>
    <definedName name="TITLE3" localSheetId="20">#REF!</definedName>
    <definedName name="TITLE3" localSheetId="3">#REF!</definedName>
    <definedName name="TITLE3" localSheetId="5">#REF!</definedName>
    <definedName name="TITLE3">#REF!</definedName>
    <definedName name="TITLE4" localSheetId="11">#REF!</definedName>
    <definedName name="TITLE4" localSheetId="20">#REF!</definedName>
    <definedName name="TITLE4" localSheetId="3">#REF!</definedName>
    <definedName name="TITLE4" localSheetId="5">#REF!</definedName>
    <definedName name="TITLE4">#REF!</definedName>
    <definedName name="TITLEM2" localSheetId="11">#REF!</definedName>
    <definedName name="TITLEM2" localSheetId="20">#REF!</definedName>
    <definedName name="TITLEM2" localSheetId="3">#REF!</definedName>
    <definedName name="TITLEM2" localSheetId="5">#REF!</definedName>
    <definedName name="TITLEM2">#REF!</definedName>
    <definedName name="UNIT060E" localSheetId="11">#REF!</definedName>
    <definedName name="UNIT060E" localSheetId="20">#REF!</definedName>
    <definedName name="UNIT060E" localSheetId="3">#REF!</definedName>
    <definedName name="UNIT060E" localSheetId="5">#REF!</definedName>
    <definedName name="UNIT060E">#REF!</definedName>
    <definedName name="usd">32.454996</definedName>
    <definedName name="WK1_A1" localSheetId="11">#REF!</definedName>
    <definedName name="WK1_A1" localSheetId="20">#REF!</definedName>
    <definedName name="WK1_A1" localSheetId="3">#REF!</definedName>
    <definedName name="WK1_A1" localSheetId="5">#REF!</definedName>
    <definedName name="WK1_A1">#REF!</definedName>
    <definedName name="WK1_A2" localSheetId="11">#REF!</definedName>
    <definedName name="WK1_A2" localSheetId="20">#REF!</definedName>
    <definedName name="WK1_A2" localSheetId="3">#REF!</definedName>
    <definedName name="WK1_A2" localSheetId="5">#REF!</definedName>
    <definedName name="WK1_A2">#REF!</definedName>
    <definedName name="WK1_B1" localSheetId="11">#REF!</definedName>
    <definedName name="WK1_B1" localSheetId="20">#REF!</definedName>
    <definedName name="WK1_B1" localSheetId="3">#REF!</definedName>
    <definedName name="WK1_B1" localSheetId="5">#REF!</definedName>
    <definedName name="WK1_B1">#REF!</definedName>
    <definedName name="WK1_B2" localSheetId="11">#REF!</definedName>
    <definedName name="WK1_B2" localSheetId="20">#REF!</definedName>
    <definedName name="WK1_B2" localSheetId="3">#REF!</definedName>
    <definedName name="WK1_B2" localSheetId="5">#REF!</definedName>
    <definedName name="WK1_B2">#REF!</definedName>
    <definedName name="WK1_IDX" localSheetId="11">#REF!</definedName>
    <definedName name="WK1_IDX" localSheetId="20">#REF!</definedName>
    <definedName name="WK1_IDX" localSheetId="3">#REF!</definedName>
    <definedName name="WK1_IDX" localSheetId="5">#REF!</definedName>
    <definedName name="WK1_IDX">#REF!</definedName>
    <definedName name="WK1_MAX" localSheetId="11">#REF!</definedName>
    <definedName name="WK1_MAX" localSheetId="20">#REF!</definedName>
    <definedName name="WK1_MAX" localSheetId="3">#REF!</definedName>
    <definedName name="WK1_MAX" localSheetId="5">#REF!</definedName>
    <definedName name="WK1_MAX">#REF!</definedName>
    <definedName name="WK1_MIN" localSheetId="11">#REF!</definedName>
    <definedName name="WK1_MIN" localSheetId="20">#REF!</definedName>
    <definedName name="WK1_MIN" localSheetId="3">#REF!</definedName>
    <definedName name="WK1_MIN" localSheetId="5">#REF!</definedName>
    <definedName name="WK1_MIN">#REF!</definedName>
    <definedName name="WK2_A1" localSheetId="11">#REF!</definedName>
    <definedName name="WK2_A1" localSheetId="20">#REF!</definedName>
    <definedName name="WK2_A1" localSheetId="3">#REF!</definedName>
    <definedName name="WK2_A1" localSheetId="5">#REF!</definedName>
    <definedName name="WK2_A1">#REF!</definedName>
    <definedName name="WK2_A2" localSheetId="11">#REF!</definedName>
    <definedName name="WK2_A2" localSheetId="20">#REF!</definedName>
    <definedName name="WK2_A2" localSheetId="3">#REF!</definedName>
    <definedName name="WK2_A2" localSheetId="5">#REF!</definedName>
    <definedName name="WK2_A2">#REF!</definedName>
    <definedName name="WK2_B1" localSheetId="11">#REF!</definedName>
    <definedName name="WK2_B1" localSheetId="20">#REF!</definedName>
    <definedName name="WK2_B1" localSheetId="3">#REF!</definedName>
    <definedName name="WK2_B1" localSheetId="5">#REF!</definedName>
    <definedName name="WK2_B1">#REF!</definedName>
    <definedName name="WK2_B2" localSheetId="11">#REF!</definedName>
    <definedName name="WK2_B2" localSheetId="20">#REF!</definedName>
    <definedName name="WK2_B2" localSheetId="3">#REF!</definedName>
    <definedName name="WK2_B2" localSheetId="5">#REF!</definedName>
    <definedName name="WK2_B2">#REF!</definedName>
    <definedName name="WK2_IDX" localSheetId="11">#REF!</definedName>
    <definedName name="WK2_IDX" localSheetId="20">#REF!</definedName>
    <definedName name="WK2_IDX" localSheetId="3">#REF!</definedName>
    <definedName name="WK2_IDX" localSheetId="5">#REF!</definedName>
    <definedName name="WK2_IDX">#REF!</definedName>
    <definedName name="WK2_MAX" localSheetId="11">#REF!</definedName>
    <definedName name="WK2_MAX" localSheetId="20">#REF!</definedName>
    <definedName name="WK2_MAX" localSheetId="3">#REF!</definedName>
    <definedName name="WK2_MAX" localSheetId="5">#REF!</definedName>
    <definedName name="WK2_MAX">#REF!</definedName>
    <definedName name="WK2_MIN" localSheetId="11">#REF!</definedName>
    <definedName name="WK2_MIN" localSheetId="20">#REF!</definedName>
    <definedName name="WK2_MIN" localSheetId="3">#REF!</definedName>
    <definedName name="WK2_MIN" localSheetId="5">#REF!</definedName>
    <definedName name="WK2_MIN">#REF!</definedName>
    <definedName name="WK3_A1" localSheetId="11">#REF!</definedName>
    <definedName name="WK3_A1" localSheetId="20">#REF!</definedName>
    <definedName name="WK3_A1" localSheetId="3">#REF!</definedName>
    <definedName name="WK3_A1" localSheetId="5">#REF!</definedName>
    <definedName name="WK3_A1">#REF!</definedName>
    <definedName name="WK3_A2" localSheetId="11">#REF!</definedName>
    <definedName name="WK3_A2" localSheetId="20">#REF!</definedName>
    <definedName name="WK3_A2" localSheetId="3">#REF!</definedName>
    <definedName name="WK3_A2" localSheetId="5">#REF!</definedName>
    <definedName name="WK3_A2">#REF!</definedName>
    <definedName name="WK3_B1" localSheetId="11">#REF!</definedName>
    <definedName name="WK3_B1" localSheetId="20">#REF!</definedName>
    <definedName name="WK3_B1" localSheetId="3">#REF!</definedName>
    <definedName name="WK3_B1" localSheetId="5">#REF!</definedName>
    <definedName name="WK3_B1">#REF!</definedName>
    <definedName name="WK3_B2" localSheetId="11">#REF!</definedName>
    <definedName name="WK3_B2" localSheetId="20">#REF!</definedName>
    <definedName name="WK3_B2" localSheetId="3">#REF!</definedName>
    <definedName name="WK3_B2" localSheetId="5">#REF!</definedName>
    <definedName name="WK3_B2">#REF!</definedName>
    <definedName name="WK3_IDX" localSheetId="11">#REF!</definedName>
    <definedName name="WK3_IDX" localSheetId="20">#REF!</definedName>
    <definedName name="WK3_IDX" localSheetId="3">#REF!</definedName>
    <definedName name="WK3_IDX" localSheetId="5">#REF!</definedName>
    <definedName name="WK3_IDX">#REF!</definedName>
    <definedName name="WK3_MAX" localSheetId="11">#REF!</definedName>
    <definedName name="WK3_MAX" localSheetId="20">#REF!</definedName>
    <definedName name="WK3_MAX" localSheetId="3">#REF!</definedName>
    <definedName name="WK3_MAX" localSheetId="5">#REF!</definedName>
    <definedName name="WK3_MAX">#REF!</definedName>
    <definedName name="WK3_MIN" localSheetId="11">#REF!</definedName>
    <definedName name="WK3_MIN" localSheetId="20">#REF!</definedName>
    <definedName name="WK3_MIN" localSheetId="3">#REF!</definedName>
    <definedName name="WK3_MIN" localSheetId="5">#REF!</definedName>
    <definedName name="WK3_MIN">#REF!</definedName>
    <definedName name="WORKING" localSheetId="11">#REF!</definedName>
    <definedName name="WORKING" localSheetId="20">#REF!</definedName>
    <definedName name="WORKING" localSheetId="3">#REF!</definedName>
    <definedName name="WORKING" localSheetId="5">#REF!</definedName>
    <definedName name="WORKING">#REF!</definedName>
    <definedName name="WORKING1" localSheetId="11">#REF!</definedName>
    <definedName name="WORKING1" localSheetId="20">#REF!</definedName>
    <definedName name="WORKING1" localSheetId="3">#REF!</definedName>
    <definedName name="WORKING1" localSheetId="5">#REF!</definedName>
    <definedName name="WORKING1">#REF!</definedName>
    <definedName name="WORKING2" localSheetId="11">#REF!</definedName>
    <definedName name="WORKING2" localSheetId="20">#REF!</definedName>
    <definedName name="WORKING2" localSheetId="3">#REF!</definedName>
    <definedName name="WORKING2" localSheetId="5">#REF!</definedName>
    <definedName name="WORKING2">#REF!</definedName>
    <definedName name="WORKING3" localSheetId="11">#REF!</definedName>
    <definedName name="WORKING3" localSheetId="20">#REF!</definedName>
    <definedName name="WORKING3" localSheetId="3">#REF!</definedName>
    <definedName name="WORKING3" localSheetId="5">#REF!</definedName>
    <definedName name="WORKING3">#REF!</definedName>
    <definedName name="wrn.Aging._.and._.Trend._.Analysis." hidden="1">{#N/A,#N/A,FALSE,"Aging Summary";#N/A,#N/A,FALSE,"Ratio Analysis";#N/A,#N/A,FALSE,"Test 120 Day Accts";#N/A,#N/A,FALSE,"Tickmarks"}</definedName>
    <definedName name="wrn.r1." hidden="1">{"head",#N/A,FALSE,"Sheet1";"tail",#N/A,FALSE,"Sheet1"}</definedName>
    <definedName name="x" localSheetId="11" hidden="1">#REF!</definedName>
    <definedName name="x" localSheetId="20" hidden="1">#REF!</definedName>
    <definedName name="x" localSheetId="3" hidden="1">#REF!</definedName>
    <definedName name="x" localSheetId="5" hidden="1">#REF!</definedName>
    <definedName name="x" hidden="1">#REF!</definedName>
    <definedName name="XREF_COLUMN_1" localSheetId="11" hidden="1">#REF!</definedName>
    <definedName name="XREF_COLUMN_1" localSheetId="20" hidden="1">#REF!</definedName>
    <definedName name="XREF_COLUMN_1" localSheetId="3" hidden="1">#REF!</definedName>
    <definedName name="XREF_COLUMN_1" localSheetId="5" hidden="1">#REF!</definedName>
    <definedName name="XREF_COLUMN_1" hidden="1">#REF!</definedName>
    <definedName name="XREF_COLUMN_10" localSheetId="11" hidden="1">#REF!</definedName>
    <definedName name="XREF_COLUMN_10" localSheetId="20" hidden="1">#REF!</definedName>
    <definedName name="XREF_COLUMN_10" localSheetId="3" hidden="1">#REF!</definedName>
    <definedName name="XREF_COLUMN_10" localSheetId="5" hidden="1">#REF!</definedName>
    <definedName name="XREF_COLUMN_10" hidden="1">#REF!</definedName>
    <definedName name="XREF_COLUMN_11" localSheetId="11" hidden="1">#REF!</definedName>
    <definedName name="XREF_COLUMN_11" localSheetId="20" hidden="1">#REF!</definedName>
    <definedName name="XREF_COLUMN_11" localSheetId="3" hidden="1">#REF!</definedName>
    <definedName name="XREF_COLUMN_11" localSheetId="5" hidden="1">#REF!</definedName>
    <definedName name="XREF_COLUMN_11" hidden="1">#REF!</definedName>
    <definedName name="XREF_COLUMN_12" localSheetId="11" hidden="1">#REF!</definedName>
    <definedName name="XREF_COLUMN_12" localSheetId="20" hidden="1">#REF!</definedName>
    <definedName name="XREF_COLUMN_12" localSheetId="3" hidden="1">#REF!</definedName>
    <definedName name="XREF_COLUMN_12" localSheetId="5" hidden="1">#REF!</definedName>
    <definedName name="XREF_COLUMN_12" hidden="1">#REF!</definedName>
    <definedName name="XREF_COLUMN_13" localSheetId="11" hidden="1">#REF!</definedName>
    <definedName name="XREF_COLUMN_13" localSheetId="20" hidden="1">#REF!</definedName>
    <definedName name="XREF_COLUMN_13" localSheetId="3" hidden="1">#REF!</definedName>
    <definedName name="XREF_COLUMN_13" localSheetId="5" hidden="1">#REF!</definedName>
    <definedName name="XREF_COLUMN_13" hidden="1">#REF!</definedName>
    <definedName name="XREF_COLUMN_14" localSheetId="11" hidden="1">#REF!</definedName>
    <definedName name="XREF_COLUMN_14" localSheetId="20" hidden="1">#REF!</definedName>
    <definedName name="XREF_COLUMN_14" localSheetId="3" hidden="1">#REF!</definedName>
    <definedName name="XREF_COLUMN_14" localSheetId="5" hidden="1">#REF!</definedName>
    <definedName name="XREF_COLUMN_14" hidden="1">#REF!</definedName>
    <definedName name="XREF_COLUMN_15" hidden="1">#N/A</definedName>
    <definedName name="XREF_COLUMN_16" hidden="1">#N/A</definedName>
    <definedName name="XREF_COLUMN_17" hidden="1">#N/A</definedName>
    <definedName name="XREF_COLUMN_18" localSheetId="11" hidden="1">#REF!</definedName>
    <definedName name="XREF_COLUMN_18" localSheetId="20" hidden="1">#REF!</definedName>
    <definedName name="XREF_COLUMN_18" localSheetId="3" hidden="1">#REF!</definedName>
    <definedName name="XREF_COLUMN_18" localSheetId="5" hidden="1">#REF!</definedName>
    <definedName name="XREF_COLUMN_18" hidden="1">#REF!</definedName>
    <definedName name="XREF_COLUMN_19" localSheetId="11" hidden="1">#REF!</definedName>
    <definedName name="XREF_COLUMN_19" localSheetId="20" hidden="1">#REF!</definedName>
    <definedName name="XREF_COLUMN_19" localSheetId="3" hidden="1">#REF!</definedName>
    <definedName name="XREF_COLUMN_19" localSheetId="5" hidden="1">#REF!</definedName>
    <definedName name="XREF_COLUMN_19" hidden="1">#REF!</definedName>
    <definedName name="XREF_COLUMN_2" localSheetId="11" hidden="1">#REF!</definedName>
    <definedName name="XREF_COLUMN_2" localSheetId="20" hidden="1">#REF!</definedName>
    <definedName name="XREF_COLUMN_2" localSheetId="3" hidden="1">#REF!</definedName>
    <definedName name="XREF_COLUMN_2" localSheetId="5" hidden="1">#REF!</definedName>
    <definedName name="XREF_COLUMN_2" hidden="1">#REF!</definedName>
    <definedName name="XREF_COLUMN_21" localSheetId="11" hidden="1">#REF!</definedName>
    <definedName name="XREF_COLUMN_21" localSheetId="20" hidden="1">#REF!</definedName>
    <definedName name="XREF_COLUMN_21" localSheetId="3" hidden="1">#REF!</definedName>
    <definedName name="XREF_COLUMN_21" localSheetId="5" hidden="1">#REF!</definedName>
    <definedName name="XREF_COLUMN_21" hidden="1">#REF!</definedName>
    <definedName name="XREF_COLUMN_22" localSheetId="11" hidden="1">#REF!</definedName>
    <definedName name="XREF_COLUMN_22" localSheetId="20" hidden="1">#REF!</definedName>
    <definedName name="XREF_COLUMN_22" localSheetId="3" hidden="1">#REF!</definedName>
    <definedName name="XREF_COLUMN_22" localSheetId="5" hidden="1">#REF!</definedName>
    <definedName name="XREF_COLUMN_22" hidden="1">#REF!</definedName>
    <definedName name="XREF_COLUMN_23" localSheetId="11" hidden="1">#REF!</definedName>
    <definedName name="XREF_COLUMN_23" localSheetId="20" hidden="1">#REF!</definedName>
    <definedName name="XREF_COLUMN_23" localSheetId="3" hidden="1">#REF!</definedName>
    <definedName name="XREF_COLUMN_23" localSheetId="5" hidden="1">#REF!</definedName>
    <definedName name="XREF_COLUMN_23" hidden="1">#REF!</definedName>
    <definedName name="XREF_COLUMN_24" localSheetId="11" hidden="1">#REF!</definedName>
    <definedName name="XREF_COLUMN_24" localSheetId="20" hidden="1">#REF!</definedName>
    <definedName name="XREF_COLUMN_24" localSheetId="3" hidden="1">#REF!</definedName>
    <definedName name="XREF_COLUMN_24" localSheetId="5" hidden="1">#REF!</definedName>
    <definedName name="XREF_COLUMN_24" hidden="1">#REF!</definedName>
    <definedName name="XREF_COLUMN_25" localSheetId="11" hidden="1">#REF!</definedName>
    <definedName name="XREF_COLUMN_25" localSheetId="20" hidden="1">#REF!</definedName>
    <definedName name="XREF_COLUMN_25" localSheetId="3" hidden="1">#REF!</definedName>
    <definedName name="XREF_COLUMN_25" localSheetId="5" hidden="1">#REF!</definedName>
    <definedName name="XREF_COLUMN_25" hidden="1">#REF!</definedName>
    <definedName name="XREF_COLUMN_3" hidden="1">#N/A</definedName>
    <definedName name="XREF_COLUMN_4" hidden="1">#N/A</definedName>
    <definedName name="XREF_COLUMN_5" hidden="1">#N/A</definedName>
    <definedName name="XREF_COLUMN_7" hidden="1">#N/A</definedName>
    <definedName name="XREF_COLUMN_8" hidden="1">#N/A</definedName>
    <definedName name="XREF_COLUMN_9" localSheetId="11" hidden="1">#REF!</definedName>
    <definedName name="XREF_COLUMN_9" localSheetId="20" hidden="1">#REF!</definedName>
    <definedName name="XREF_COLUMN_9" localSheetId="3" hidden="1">#REF!</definedName>
    <definedName name="XREF_COLUMN_9" localSheetId="5" hidden="1">#REF!</definedName>
    <definedName name="XREF_COLUMN_9" hidden="1">#REF!</definedName>
    <definedName name="XRefActiveRow" localSheetId="11" hidden="1">#REF!</definedName>
    <definedName name="XRefActiveRow" localSheetId="20" hidden="1">#REF!</definedName>
    <definedName name="XRefActiveRow" localSheetId="3" hidden="1">#REF!</definedName>
    <definedName name="XRefActiveRow" localSheetId="5" hidden="1">#REF!</definedName>
    <definedName name="XRefActiveRow" hidden="1">#REF!</definedName>
    <definedName name="XRefColumnsCount" hidden="1">1</definedName>
    <definedName name="XRefCopy1" localSheetId="11" hidden="1">#REF!</definedName>
    <definedName name="XRefCopy1" localSheetId="20" hidden="1">#REF!</definedName>
    <definedName name="XRefCopy1" localSheetId="3" hidden="1">#REF!</definedName>
    <definedName name="XRefCopy1" localSheetId="5" hidden="1">#REF!</definedName>
    <definedName name="XRefCopy1" hidden="1">#REF!</definedName>
    <definedName name="XRefCopy10" localSheetId="11" hidden="1">#REF!</definedName>
    <definedName name="XRefCopy10" localSheetId="20" hidden="1">#REF!</definedName>
    <definedName name="XRefCopy10" localSheetId="3" hidden="1">#REF!</definedName>
    <definedName name="XRefCopy10" localSheetId="5" hidden="1">#REF!</definedName>
    <definedName name="XRefCopy10" hidden="1">#REF!</definedName>
    <definedName name="XRefCopy10Row" localSheetId="11" hidden="1">#REF!</definedName>
    <definedName name="XRefCopy10Row" localSheetId="20" hidden="1">#REF!</definedName>
    <definedName name="XRefCopy10Row" localSheetId="3" hidden="1">#REF!</definedName>
    <definedName name="XRefCopy10Row" localSheetId="5" hidden="1">#REF!</definedName>
    <definedName name="XRefCopy10Row" hidden="1">#REF!</definedName>
    <definedName name="XRefCopy11" hidden="1">#N/A</definedName>
    <definedName name="XRefCopy11Row" localSheetId="11" hidden="1">#REF!</definedName>
    <definedName name="XRefCopy11Row" localSheetId="20" hidden="1">#REF!</definedName>
    <definedName name="XRefCopy11Row" localSheetId="3" hidden="1">#REF!</definedName>
    <definedName name="XRefCopy11Row" localSheetId="5" hidden="1">#REF!</definedName>
    <definedName name="XRefCopy11Row" hidden="1">#REF!</definedName>
    <definedName name="XRefCopy12" localSheetId="11" hidden="1">#REF!</definedName>
    <definedName name="XRefCopy12" localSheetId="20" hidden="1">#REF!</definedName>
    <definedName name="XRefCopy12" localSheetId="3" hidden="1">#REF!</definedName>
    <definedName name="XRefCopy12" localSheetId="5" hidden="1">#REF!</definedName>
    <definedName name="XRefCopy12" hidden="1">#REF!</definedName>
    <definedName name="XRefCopy12Row" localSheetId="11" hidden="1">#REF!</definedName>
    <definedName name="XRefCopy12Row" localSheetId="20" hidden="1">#REF!</definedName>
    <definedName name="XRefCopy12Row" localSheetId="3" hidden="1">#REF!</definedName>
    <definedName name="XRefCopy12Row" localSheetId="5" hidden="1">#REF!</definedName>
    <definedName name="XRefCopy12Row" hidden="1">#REF!</definedName>
    <definedName name="XRefCopy13" hidden="1">#N/A</definedName>
    <definedName name="XRefCopy13Row" localSheetId="11" hidden="1">#REF!</definedName>
    <definedName name="XRefCopy13Row" localSheetId="20" hidden="1">#REF!</definedName>
    <definedName name="XRefCopy13Row" localSheetId="3" hidden="1">#REF!</definedName>
    <definedName name="XRefCopy13Row" localSheetId="5" hidden="1">#REF!</definedName>
    <definedName name="XRefCopy13Row" hidden="1">#REF!</definedName>
    <definedName name="XRefCopy14" localSheetId="11" hidden="1">#REF!</definedName>
    <definedName name="XRefCopy14" localSheetId="20" hidden="1">#REF!</definedName>
    <definedName name="XRefCopy14" localSheetId="3" hidden="1">#REF!</definedName>
    <definedName name="XRefCopy14" localSheetId="5" hidden="1">#REF!</definedName>
    <definedName name="XRefCopy14" hidden="1">#REF!</definedName>
    <definedName name="XRefCopy15" hidden="1">#N/A</definedName>
    <definedName name="XRefCopy16" hidden="1">#N/A</definedName>
    <definedName name="XRefCopy17" localSheetId="11" hidden="1">#REF!</definedName>
    <definedName name="XRefCopy17" localSheetId="20" hidden="1">#REF!</definedName>
    <definedName name="XRefCopy17" localSheetId="3" hidden="1">#REF!</definedName>
    <definedName name="XRefCopy17" localSheetId="5" hidden="1">#REF!</definedName>
    <definedName name="XRefCopy17" hidden="1">#REF!</definedName>
    <definedName name="XRefCopy18" localSheetId="11" hidden="1">#REF!</definedName>
    <definedName name="XRefCopy18" localSheetId="20" hidden="1">#REF!</definedName>
    <definedName name="XRefCopy18" localSheetId="3" hidden="1">#REF!</definedName>
    <definedName name="XRefCopy18" localSheetId="5" hidden="1">#REF!</definedName>
    <definedName name="XRefCopy18" hidden="1">#REF!</definedName>
    <definedName name="XRefCopy19" localSheetId="11" hidden="1">#REF!</definedName>
    <definedName name="XRefCopy19" localSheetId="20" hidden="1">#REF!</definedName>
    <definedName name="XRefCopy19" localSheetId="3" hidden="1">#REF!</definedName>
    <definedName name="XRefCopy19" localSheetId="5" hidden="1">#REF!</definedName>
    <definedName name="XRefCopy19" hidden="1">#REF!</definedName>
    <definedName name="XRefCopy19Row" hidden="1">#N/A</definedName>
    <definedName name="XRefCopy1Row" localSheetId="11" hidden="1">#REF!</definedName>
    <definedName name="XRefCopy1Row" localSheetId="20" hidden="1">#REF!</definedName>
    <definedName name="XRefCopy1Row" localSheetId="3" hidden="1">#REF!</definedName>
    <definedName name="XRefCopy1Row" localSheetId="5" hidden="1">#REF!</definedName>
    <definedName name="XRefCopy1Row" hidden="1">#REF!</definedName>
    <definedName name="XRefCopy2" localSheetId="11" hidden="1">#REF!</definedName>
    <definedName name="XRefCopy2" localSheetId="20" hidden="1">#REF!</definedName>
    <definedName name="XRefCopy2" localSheetId="3" hidden="1">#REF!</definedName>
    <definedName name="XRefCopy2" localSheetId="5" hidden="1">#REF!</definedName>
    <definedName name="XRefCopy2" hidden="1">#REF!</definedName>
    <definedName name="XRefCopy20" localSheetId="11" hidden="1">#REF!</definedName>
    <definedName name="XRefCopy20" localSheetId="20" hidden="1">#REF!</definedName>
    <definedName name="XRefCopy20" localSheetId="3" hidden="1">#REF!</definedName>
    <definedName name="XRefCopy20" localSheetId="5" hidden="1">#REF!</definedName>
    <definedName name="XRefCopy20" hidden="1">#REF!</definedName>
    <definedName name="XRefCopy21" localSheetId="11" hidden="1">#REF!</definedName>
    <definedName name="XRefCopy21" localSheetId="20" hidden="1">#REF!</definedName>
    <definedName name="XRefCopy21" localSheetId="3" hidden="1">#REF!</definedName>
    <definedName name="XRefCopy21" localSheetId="5" hidden="1">#REF!</definedName>
    <definedName name="XRefCopy21" hidden="1">#REF!</definedName>
    <definedName name="XRefCopy22" localSheetId="11" hidden="1">#REF!</definedName>
    <definedName name="XRefCopy22" localSheetId="20" hidden="1">#REF!</definedName>
    <definedName name="XRefCopy22" localSheetId="3" hidden="1">#REF!</definedName>
    <definedName name="XRefCopy22" localSheetId="5" hidden="1">#REF!</definedName>
    <definedName name="XRefCopy22" hidden="1">#REF!</definedName>
    <definedName name="XRefCopy23" hidden="1">#N/A</definedName>
    <definedName name="XRefCopy24" localSheetId="11" hidden="1">#REF!</definedName>
    <definedName name="XRefCopy24" localSheetId="20" hidden="1">#REF!</definedName>
    <definedName name="XRefCopy24" localSheetId="3" hidden="1">#REF!</definedName>
    <definedName name="XRefCopy24" localSheetId="5" hidden="1">#REF!</definedName>
    <definedName name="XRefCopy24" hidden="1">#REF!</definedName>
    <definedName name="XRefCopy24Row" hidden="1">#N/A</definedName>
    <definedName name="XRefCopy25" localSheetId="11" hidden="1">#REF!</definedName>
    <definedName name="XRefCopy25" localSheetId="20" hidden="1">#REF!</definedName>
    <definedName name="XRefCopy25" localSheetId="3" hidden="1">#REF!</definedName>
    <definedName name="XRefCopy25" localSheetId="5" hidden="1">#REF!</definedName>
    <definedName name="XRefCopy25" hidden="1">#REF!</definedName>
    <definedName name="XRefCopy25Row" hidden="1">#N/A</definedName>
    <definedName name="XRefCopy26" localSheetId="11" hidden="1">#REF!</definedName>
    <definedName name="XRefCopy26" localSheetId="20" hidden="1">#REF!</definedName>
    <definedName name="XRefCopy26" localSheetId="3" hidden="1">#REF!</definedName>
    <definedName name="XRefCopy26" localSheetId="5" hidden="1">#REF!</definedName>
    <definedName name="XRefCopy26" hidden="1">#REF!</definedName>
    <definedName name="XRefCopy26Row" localSheetId="11" hidden="1">#REF!</definedName>
    <definedName name="XRefCopy26Row" localSheetId="20" hidden="1">#REF!</definedName>
    <definedName name="XRefCopy26Row" localSheetId="3" hidden="1">#REF!</definedName>
    <definedName name="XRefCopy26Row" localSheetId="5" hidden="1">#REF!</definedName>
    <definedName name="XRefCopy26Row" hidden="1">#REF!</definedName>
    <definedName name="XRefCopy27" localSheetId="11" hidden="1">#REF!</definedName>
    <definedName name="XRefCopy27" localSheetId="20" hidden="1">#REF!</definedName>
    <definedName name="XRefCopy27" localSheetId="3" hidden="1">#REF!</definedName>
    <definedName name="XRefCopy27" localSheetId="5" hidden="1">#REF!</definedName>
    <definedName name="XRefCopy27" hidden="1">#REF!</definedName>
    <definedName name="XRefCopy29" hidden="1">#N/A</definedName>
    <definedName name="XRefCopy29Row" localSheetId="11" hidden="1">#REF!</definedName>
    <definedName name="XRefCopy29Row" localSheetId="20" hidden="1">#REF!</definedName>
    <definedName name="XRefCopy29Row" localSheetId="3" hidden="1">#REF!</definedName>
    <definedName name="XRefCopy29Row" localSheetId="5" hidden="1">#REF!</definedName>
    <definedName name="XRefCopy29Row" hidden="1">#REF!</definedName>
    <definedName name="XRefCopy2Row" localSheetId="11" hidden="1">#REF!</definedName>
    <definedName name="XRefCopy2Row" localSheetId="20" hidden="1">#REF!</definedName>
    <definedName name="XRefCopy2Row" localSheetId="3" hidden="1">#REF!</definedName>
    <definedName name="XRefCopy2Row" localSheetId="5" hidden="1">#REF!</definedName>
    <definedName name="XRefCopy2Row" hidden="1">#REF!</definedName>
    <definedName name="XRefCopy3" localSheetId="11" hidden="1">#REF!</definedName>
    <definedName name="XRefCopy3" localSheetId="20" hidden="1">#REF!</definedName>
    <definedName name="XRefCopy3" localSheetId="3" hidden="1">#REF!</definedName>
    <definedName name="XRefCopy3" localSheetId="5" hidden="1">#REF!</definedName>
    <definedName name="XRefCopy3" hidden="1">#REF!</definedName>
    <definedName name="XRefCopy30" hidden="1">#N/A</definedName>
    <definedName name="XRefCopy31" localSheetId="11" hidden="1">#REF!</definedName>
    <definedName name="XRefCopy31" localSheetId="20" hidden="1">#REF!</definedName>
    <definedName name="XRefCopy31" localSheetId="3" hidden="1">#REF!</definedName>
    <definedName name="XRefCopy31" localSheetId="5" hidden="1">#REF!</definedName>
    <definedName name="XRefCopy31" hidden="1">#REF!</definedName>
    <definedName name="XRefCopy32" localSheetId="11" hidden="1">#REF!</definedName>
    <definedName name="XRefCopy32" localSheetId="20" hidden="1">#REF!</definedName>
    <definedName name="XRefCopy32" localSheetId="3" hidden="1">#REF!</definedName>
    <definedName name="XRefCopy32" localSheetId="5" hidden="1">#REF!</definedName>
    <definedName name="XRefCopy32" hidden="1">#REF!</definedName>
    <definedName name="XRefCopy32Row" localSheetId="11" hidden="1">#REF!</definedName>
    <definedName name="XRefCopy32Row" localSheetId="20" hidden="1">#REF!</definedName>
    <definedName name="XRefCopy32Row" localSheetId="3" hidden="1">#REF!</definedName>
    <definedName name="XRefCopy32Row" localSheetId="5" hidden="1">#REF!</definedName>
    <definedName name="XRefCopy32Row" hidden="1">#REF!</definedName>
    <definedName name="XRefCopy33" localSheetId="11" hidden="1">#REF!</definedName>
    <definedName name="XRefCopy33" localSheetId="20" hidden="1">#REF!</definedName>
    <definedName name="XRefCopy33" localSheetId="3" hidden="1">#REF!</definedName>
    <definedName name="XRefCopy33" localSheetId="5" hidden="1">#REF!</definedName>
    <definedName name="XRefCopy33" hidden="1">#REF!</definedName>
    <definedName name="XRefCopy34" localSheetId="11" hidden="1">#REF!</definedName>
    <definedName name="XRefCopy34" localSheetId="20" hidden="1">#REF!</definedName>
    <definedName name="XRefCopy34" localSheetId="3" hidden="1">#REF!</definedName>
    <definedName name="XRefCopy34" localSheetId="5" hidden="1">#REF!</definedName>
    <definedName name="XRefCopy34" hidden="1">#REF!</definedName>
    <definedName name="XRefCopy35" hidden="1">#N/A</definedName>
    <definedName name="XRefCopy35Row" localSheetId="11" hidden="1">#REF!</definedName>
    <definedName name="XRefCopy35Row" localSheetId="20" hidden="1">#REF!</definedName>
    <definedName name="XRefCopy35Row" localSheetId="3" hidden="1">#REF!</definedName>
    <definedName name="XRefCopy35Row" localSheetId="5" hidden="1">#REF!</definedName>
    <definedName name="XRefCopy35Row" hidden="1">#REF!</definedName>
    <definedName name="XRefCopy37" localSheetId="11" hidden="1">#REF!</definedName>
    <definedName name="XRefCopy37" localSheetId="20" hidden="1">#REF!</definedName>
    <definedName name="XRefCopy37" localSheetId="3" hidden="1">#REF!</definedName>
    <definedName name="XRefCopy37" localSheetId="5" hidden="1">#REF!</definedName>
    <definedName name="XRefCopy37" hidden="1">#REF!</definedName>
    <definedName name="XRefCopy39" localSheetId="11" hidden="1">#REF!</definedName>
    <definedName name="XRefCopy39" localSheetId="20" hidden="1">#REF!</definedName>
    <definedName name="XRefCopy39" localSheetId="3" hidden="1">#REF!</definedName>
    <definedName name="XRefCopy39" localSheetId="5" hidden="1">#REF!</definedName>
    <definedName name="XRefCopy39" hidden="1">#REF!</definedName>
    <definedName name="XRefCopy3Row" hidden="1">#N/A</definedName>
    <definedName name="XRefCopy4" hidden="1">#N/A</definedName>
    <definedName name="XRefCopy44" localSheetId="11" hidden="1">#REF!</definedName>
    <definedName name="XRefCopy44" localSheetId="20" hidden="1">#REF!</definedName>
    <definedName name="XRefCopy44" localSheetId="3" hidden="1">#REF!</definedName>
    <definedName name="XRefCopy44" localSheetId="5" hidden="1">#REF!</definedName>
    <definedName name="XRefCopy44" hidden="1">#REF!</definedName>
    <definedName name="XRefCopy46" localSheetId="11" hidden="1">#REF!</definedName>
    <definedName name="XRefCopy46" localSheetId="20" hidden="1">#REF!</definedName>
    <definedName name="XRefCopy46" localSheetId="3" hidden="1">#REF!</definedName>
    <definedName name="XRefCopy46" localSheetId="5" hidden="1">#REF!</definedName>
    <definedName name="XRefCopy46" hidden="1">#REF!</definedName>
    <definedName name="XRefCopy46Row" localSheetId="11" hidden="1">#REF!</definedName>
    <definedName name="XRefCopy46Row" localSheetId="20" hidden="1">#REF!</definedName>
    <definedName name="XRefCopy46Row" localSheetId="3" hidden="1">#REF!</definedName>
    <definedName name="XRefCopy46Row" localSheetId="5" hidden="1">#REF!</definedName>
    <definedName name="XRefCopy46Row" hidden="1">#REF!</definedName>
    <definedName name="XRefCopy48" localSheetId="11" hidden="1">#REF!</definedName>
    <definedName name="XRefCopy48" localSheetId="20" hidden="1">#REF!</definedName>
    <definedName name="XRefCopy48" localSheetId="3" hidden="1">#REF!</definedName>
    <definedName name="XRefCopy48" localSheetId="5" hidden="1">#REF!</definedName>
    <definedName name="XRefCopy48" hidden="1">#REF!</definedName>
    <definedName name="XRefCopy49" localSheetId="11" hidden="1">#REF!</definedName>
    <definedName name="XRefCopy49" localSheetId="20" hidden="1">#REF!</definedName>
    <definedName name="XRefCopy49" localSheetId="3" hidden="1">#REF!</definedName>
    <definedName name="XRefCopy49" localSheetId="5" hidden="1">#REF!</definedName>
    <definedName name="XRefCopy49" hidden="1">#REF!</definedName>
    <definedName name="XRefCopy4Row" localSheetId="11" hidden="1">#REF!</definedName>
    <definedName name="XRefCopy4Row" localSheetId="20" hidden="1">#REF!</definedName>
    <definedName name="XRefCopy4Row" localSheetId="3" hidden="1">#REF!</definedName>
    <definedName name="XRefCopy4Row" localSheetId="5" hidden="1">#REF!</definedName>
    <definedName name="XRefCopy4Row" hidden="1">#REF!</definedName>
    <definedName name="XRefCopy5" hidden="1">#N/A</definedName>
    <definedName name="XRefCopy52Row" localSheetId="11" hidden="1">#REF!</definedName>
    <definedName name="XRefCopy52Row" localSheetId="20" hidden="1">#REF!</definedName>
    <definedName name="XRefCopy52Row" localSheetId="3" hidden="1">#REF!</definedName>
    <definedName name="XRefCopy52Row" localSheetId="5" hidden="1">#REF!</definedName>
    <definedName name="XRefCopy52Row" hidden="1">#REF!</definedName>
    <definedName name="XRefCopy53" localSheetId="11" hidden="1">#REF!</definedName>
    <definedName name="XRefCopy53" localSheetId="20" hidden="1">#REF!</definedName>
    <definedName name="XRefCopy53" localSheetId="3" hidden="1">#REF!</definedName>
    <definedName name="XRefCopy53" localSheetId="5" hidden="1">#REF!</definedName>
    <definedName name="XRefCopy53" hidden="1">#REF!</definedName>
    <definedName name="XRefCopy53Row" localSheetId="11" hidden="1">#REF!</definedName>
    <definedName name="XRefCopy53Row" localSheetId="20" hidden="1">#REF!</definedName>
    <definedName name="XRefCopy53Row" localSheetId="3" hidden="1">#REF!</definedName>
    <definedName name="XRefCopy53Row" localSheetId="5" hidden="1">#REF!</definedName>
    <definedName name="XRefCopy53Row" hidden="1">#REF!</definedName>
    <definedName name="XRefCopy54" localSheetId="11" hidden="1">#REF!</definedName>
    <definedName name="XRefCopy54" localSheetId="20" hidden="1">#REF!</definedName>
    <definedName name="XRefCopy54" localSheetId="3" hidden="1">#REF!</definedName>
    <definedName name="XRefCopy54" localSheetId="5" hidden="1">#REF!</definedName>
    <definedName name="XRefCopy54" hidden="1">#REF!</definedName>
    <definedName name="XRefCopy55" localSheetId="11" hidden="1">#REF!</definedName>
    <definedName name="XRefCopy55" localSheetId="20" hidden="1">#REF!</definedName>
    <definedName name="XRefCopy55" localSheetId="3" hidden="1">#REF!</definedName>
    <definedName name="XRefCopy55" localSheetId="5" hidden="1">#REF!</definedName>
    <definedName name="XRefCopy55" hidden="1">#REF!</definedName>
    <definedName name="XRefCopy56" localSheetId="11" hidden="1">#REF!</definedName>
    <definedName name="XRefCopy56" localSheetId="20" hidden="1">#REF!</definedName>
    <definedName name="XRefCopy56" localSheetId="3" hidden="1">#REF!</definedName>
    <definedName name="XRefCopy56" localSheetId="5" hidden="1">#REF!</definedName>
    <definedName name="XRefCopy56" hidden="1">#REF!</definedName>
    <definedName name="XRefCopy59" localSheetId="11" hidden="1">#REF!</definedName>
    <definedName name="XRefCopy59" localSheetId="20" hidden="1">#REF!</definedName>
    <definedName name="XRefCopy59" localSheetId="3" hidden="1">#REF!</definedName>
    <definedName name="XRefCopy59" localSheetId="5" hidden="1">#REF!</definedName>
    <definedName name="XRefCopy59" hidden="1">#REF!</definedName>
    <definedName name="XRefCopy5Row" localSheetId="11" hidden="1">#REF!</definedName>
    <definedName name="XRefCopy5Row" localSheetId="20" hidden="1">#REF!</definedName>
    <definedName name="XRefCopy5Row" localSheetId="3" hidden="1">#REF!</definedName>
    <definedName name="XRefCopy5Row" localSheetId="5" hidden="1">#REF!</definedName>
    <definedName name="XRefCopy5Row" hidden="1">#REF!</definedName>
    <definedName name="XRefCopy6" hidden="1">#N/A</definedName>
    <definedName name="XRefCopy60" localSheetId="11" hidden="1">#REF!</definedName>
    <definedName name="XRefCopy60" localSheetId="20" hidden="1">#REF!</definedName>
    <definedName name="XRefCopy60" localSheetId="3" hidden="1">#REF!</definedName>
    <definedName name="XRefCopy60" localSheetId="5" hidden="1">#REF!</definedName>
    <definedName name="XRefCopy60" hidden="1">#REF!</definedName>
    <definedName name="XRefCopy61" localSheetId="11" hidden="1">#REF!</definedName>
    <definedName name="XRefCopy61" localSheetId="20" hidden="1">#REF!</definedName>
    <definedName name="XRefCopy61" localSheetId="3" hidden="1">#REF!</definedName>
    <definedName name="XRefCopy61" localSheetId="5" hidden="1">#REF!</definedName>
    <definedName name="XRefCopy61" hidden="1">#REF!</definedName>
    <definedName name="XRefCopy6Row" localSheetId="11" hidden="1">#REF!</definedName>
    <definedName name="XRefCopy6Row" localSheetId="20" hidden="1">#REF!</definedName>
    <definedName name="XRefCopy6Row" localSheetId="3" hidden="1">#REF!</definedName>
    <definedName name="XRefCopy6Row" localSheetId="5" hidden="1">#REF!</definedName>
    <definedName name="XRefCopy6Row" hidden="1">#REF!</definedName>
    <definedName name="XRefCopy7" hidden="1">#N/A</definedName>
    <definedName name="XRefCopy8" hidden="1">#N/A</definedName>
    <definedName name="XRefCopy9" hidden="1">#N/A</definedName>
    <definedName name="XRefCopy9Row" localSheetId="11" hidden="1">#REF!</definedName>
    <definedName name="XRefCopy9Row" localSheetId="20" hidden="1">#REF!</definedName>
    <definedName name="XRefCopy9Row" localSheetId="3" hidden="1">#REF!</definedName>
    <definedName name="XRefCopy9Row" localSheetId="5" hidden="1">#REF!</definedName>
    <definedName name="XRefCopy9Row" hidden="1">#REF!</definedName>
    <definedName name="XRefCopyRangeCount" hidden="1">3</definedName>
    <definedName name="XRefPaste1" localSheetId="11" hidden="1">#REF!</definedName>
    <definedName name="XRefPaste1" localSheetId="20" hidden="1">#REF!</definedName>
    <definedName name="XRefPaste1" localSheetId="3" hidden="1">#REF!</definedName>
    <definedName name="XRefPaste1" localSheetId="5" hidden="1">#REF!</definedName>
    <definedName name="XRefPaste1" hidden="1">#REF!</definedName>
    <definedName name="XRefPaste10" hidden="1">#N/A</definedName>
    <definedName name="XRefPaste10Row" localSheetId="11" hidden="1">#REF!</definedName>
    <definedName name="XRefPaste10Row" localSheetId="20" hidden="1">#REF!</definedName>
    <definedName name="XRefPaste10Row" localSheetId="3" hidden="1">#REF!</definedName>
    <definedName name="XRefPaste10Row" localSheetId="5" hidden="1">#REF!</definedName>
    <definedName name="XRefPaste10Row" hidden="1">#REF!</definedName>
    <definedName name="XRefPaste11" hidden="1">#N/A</definedName>
    <definedName name="XRefPaste11Row" localSheetId="11" hidden="1">#REF!</definedName>
    <definedName name="XRefPaste11Row" localSheetId="20" hidden="1">#REF!</definedName>
    <definedName name="XRefPaste11Row" localSheetId="3" hidden="1">#REF!</definedName>
    <definedName name="XRefPaste11Row" localSheetId="5" hidden="1">#REF!</definedName>
    <definedName name="XRefPaste11Row" hidden="1">#REF!</definedName>
    <definedName name="XRefPaste12" hidden="1">#N/A</definedName>
    <definedName name="XRefPaste12Row" localSheetId="11" hidden="1">#REF!</definedName>
    <definedName name="XRefPaste12Row" localSheetId="20" hidden="1">#REF!</definedName>
    <definedName name="XRefPaste12Row" localSheetId="3" hidden="1">#REF!</definedName>
    <definedName name="XRefPaste12Row" localSheetId="5" hidden="1">#REF!</definedName>
    <definedName name="XRefPaste12Row" hidden="1">#REF!</definedName>
    <definedName name="XRefPaste13" hidden="1">#N/A</definedName>
    <definedName name="XRefPaste13Row" localSheetId="11" hidden="1">#REF!</definedName>
    <definedName name="XRefPaste13Row" localSheetId="20" hidden="1">#REF!</definedName>
    <definedName name="XRefPaste13Row" localSheetId="3" hidden="1">#REF!</definedName>
    <definedName name="XRefPaste13Row" localSheetId="5" hidden="1">#REF!</definedName>
    <definedName name="XRefPaste13Row" hidden="1">#REF!</definedName>
    <definedName name="XRefPaste14" hidden="1">#N/A</definedName>
    <definedName name="XRefPaste14Row" hidden="1">#N/A</definedName>
    <definedName name="XRefPaste16" localSheetId="11" hidden="1">#REF!</definedName>
    <definedName name="XRefPaste16" localSheetId="20" hidden="1">#REF!</definedName>
    <definedName name="XRefPaste16" localSheetId="3" hidden="1">#REF!</definedName>
    <definedName name="XRefPaste16" localSheetId="5" hidden="1">#REF!</definedName>
    <definedName name="XRefPaste16" hidden="1">#REF!</definedName>
    <definedName name="XRefPaste16Row" localSheetId="11" hidden="1">#REF!</definedName>
    <definedName name="XRefPaste16Row" localSheetId="20" hidden="1">#REF!</definedName>
    <definedName name="XRefPaste16Row" localSheetId="3" hidden="1">#REF!</definedName>
    <definedName name="XRefPaste16Row" localSheetId="5" hidden="1">#REF!</definedName>
    <definedName name="XRefPaste16Row" hidden="1">#REF!</definedName>
    <definedName name="XRefPaste17Row" localSheetId="11" hidden="1">#REF!</definedName>
    <definedName name="XRefPaste17Row" localSheetId="20" hidden="1">#REF!</definedName>
    <definedName name="XRefPaste17Row" localSheetId="3" hidden="1">#REF!</definedName>
    <definedName name="XRefPaste17Row" localSheetId="5" hidden="1">#REF!</definedName>
    <definedName name="XRefPaste17Row" hidden="1">#REF!</definedName>
    <definedName name="XRefPaste18" localSheetId="11" hidden="1">#REF!</definedName>
    <definedName name="XRefPaste18" localSheetId="20" hidden="1">#REF!</definedName>
    <definedName name="XRefPaste18" localSheetId="3" hidden="1">#REF!</definedName>
    <definedName name="XRefPaste18" localSheetId="5" hidden="1">#REF!</definedName>
    <definedName name="XRefPaste18" hidden="1">#REF!</definedName>
    <definedName name="XRefPaste18Row" hidden="1">#N/A</definedName>
    <definedName name="XRefPaste19" localSheetId="11" hidden="1">#REF!</definedName>
    <definedName name="XRefPaste19" localSheetId="20" hidden="1">#REF!</definedName>
    <definedName name="XRefPaste19" localSheetId="3" hidden="1">#REF!</definedName>
    <definedName name="XRefPaste19" localSheetId="5" hidden="1">#REF!</definedName>
    <definedName name="XRefPaste19" hidden="1">#REF!</definedName>
    <definedName name="XRefPaste1Row" localSheetId="11" hidden="1">#REF!</definedName>
    <definedName name="XRefPaste1Row" localSheetId="20" hidden="1">#REF!</definedName>
    <definedName name="XRefPaste1Row" localSheetId="3" hidden="1">#REF!</definedName>
    <definedName name="XRefPaste1Row" localSheetId="5" hidden="1">#REF!</definedName>
    <definedName name="XRefPaste1Row" hidden="1">#REF!</definedName>
    <definedName name="XRefPaste2" hidden="1">#N/A</definedName>
    <definedName name="XRefPaste20" localSheetId="11" hidden="1">#REF!</definedName>
    <definedName name="XRefPaste20" localSheetId="20" hidden="1">#REF!</definedName>
    <definedName name="XRefPaste20" localSheetId="3" hidden="1">#REF!</definedName>
    <definedName name="XRefPaste20" localSheetId="5" hidden="1">#REF!</definedName>
    <definedName name="XRefPaste20" hidden="1">#REF!</definedName>
    <definedName name="XRefPaste21" localSheetId="11" hidden="1">#REF!</definedName>
    <definedName name="XRefPaste21" localSheetId="20" hidden="1">#REF!</definedName>
    <definedName name="XRefPaste21" localSheetId="3" hidden="1">#REF!</definedName>
    <definedName name="XRefPaste21" localSheetId="5" hidden="1">#REF!</definedName>
    <definedName name="XRefPaste21" hidden="1">#REF!</definedName>
    <definedName name="XRefPaste21Row" localSheetId="11" hidden="1">#REF!</definedName>
    <definedName name="XRefPaste21Row" localSheetId="20" hidden="1">#REF!</definedName>
    <definedName name="XRefPaste21Row" localSheetId="3" hidden="1">#REF!</definedName>
    <definedName name="XRefPaste21Row" localSheetId="5" hidden="1">#REF!</definedName>
    <definedName name="XRefPaste21Row" hidden="1">#REF!</definedName>
    <definedName name="XRefPaste22" hidden="1">#N/A</definedName>
    <definedName name="XRefPaste23" hidden="1">#N/A</definedName>
    <definedName name="XRefPaste23Row" hidden="1">#N/A</definedName>
    <definedName name="XRefPaste24" hidden="1">#N/A</definedName>
    <definedName name="XRefPaste24Row" hidden="1">#N/A</definedName>
    <definedName name="XRefPaste25" hidden="1">#N/A</definedName>
    <definedName name="XRefPaste26" hidden="1">#N/A</definedName>
    <definedName name="XRefPaste27" localSheetId="11" hidden="1">#REF!</definedName>
    <definedName name="XRefPaste27" localSheetId="20" hidden="1">#REF!</definedName>
    <definedName name="XRefPaste27" localSheetId="3" hidden="1">#REF!</definedName>
    <definedName name="XRefPaste27" localSheetId="5" hidden="1">#REF!</definedName>
    <definedName name="XRefPaste27" hidden="1">#REF!</definedName>
    <definedName name="XRefPaste28" localSheetId="11" hidden="1">#REF!</definedName>
    <definedName name="XRefPaste28" localSheetId="20" hidden="1">#REF!</definedName>
    <definedName name="XRefPaste28" localSheetId="3" hidden="1">#REF!</definedName>
    <definedName name="XRefPaste28" localSheetId="5" hidden="1">#REF!</definedName>
    <definedName name="XRefPaste28" hidden="1">#REF!</definedName>
    <definedName name="XRefPaste29" localSheetId="11" hidden="1">#REF!</definedName>
    <definedName name="XRefPaste29" localSheetId="20" hidden="1">#REF!</definedName>
    <definedName name="XRefPaste29" localSheetId="3" hidden="1">#REF!</definedName>
    <definedName name="XRefPaste29" localSheetId="5" hidden="1">#REF!</definedName>
    <definedName name="XRefPaste29" hidden="1">#REF!</definedName>
    <definedName name="XRefPaste2Row" localSheetId="11" hidden="1">#REF!</definedName>
    <definedName name="XRefPaste2Row" localSheetId="20" hidden="1">#REF!</definedName>
    <definedName name="XRefPaste2Row" localSheetId="3" hidden="1">#REF!</definedName>
    <definedName name="XRefPaste2Row" localSheetId="5" hidden="1">#REF!</definedName>
    <definedName name="XRefPaste2Row" hidden="1">#REF!</definedName>
    <definedName name="XRefPaste3" hidden="1">#N/A</definedName>
    <definedName name="XRefPaste30" localSheetId="11" hidden="1">#REF!</definedName>
    <definedName name="XRefPaste30" localSheetId="20" hidden="1">#REF!</definedName>
    <definedName name="XRefPaste30" localSheetId="3" hidden="1">#REF!</definedName>
    <definedName name="XRefPaste30" localSheetId="5" hidden="1">#REF!</definedName>
    <definedName name="XRefPaste30" hidden="1">#REF!</definedName>
    <definedName name="XRefPaste31" hidden="1">#N/A</definedName>
    <definedName name="XRefPaste31Row" localSheetId="11" hidden="1">#REF!</definedName>
    <definedName name="XRefPaste31Row" localSheetId="20" hidden="1">#REF!</definedName>
    <definedName name="XRefPaste31Row" localSheetId="3" hidden="1">#REF!</definedName>
    <definedName name="XRefPaste31Row" localSheetId="5" hidden="1">#REF!</definedName>
    <definedName name="XRefPaste31Row" hidden="1">#REF!</definedName>
    <definedName name="XRefPaste32" hidden="1">#N/A</definedName>
    <definedName name="XRefPaste32Row" localSheetId="11" hidden="1">#REF!</definedName>
    <definedName name="XRefPaste32Row" localSheetId="20" hidden="1">#REF!</definedName>
    <definedName name="XRefPaste32Row" localSheetId="3" hidden="1">#REF!</definedName>
    <definedName name="XRefPaste32Row" localSheetId="5" hidden="1">#REF!</definedName>
    <definedName name="XRefPaste32Row" hidden="1">#REF!</definedName>
    <definedName name="XRefPaste33" hidden="1">#N/A</definedName>
    <definedName name="XRefPaste33Row" localSheetId="11" hidden="1">#REF!</definedName>
    <definedName name="XRefPaste33Row" localSheetId="20" hidden="1">#REF!</definedName>
    <definedName name="XRefPaste33Row" localSheetId="3" hidden="1">#REF!</definedName>
    <definedName name="XRefPaste33Row" localSheetId="5" hidden="1">#REF!</definedName>
    <definedName name="XRefPaste33Row" hidden="1">#REF!</definedName>
    <definedName name="XRefPaste34" localSheetId="11" hidden="1">#REF!</definedName>
    <definedName name="XRefPaste34" localSheetId="20" hidden="1">#REF!</definedName>
    <definedName name="XRefPaste34" localSheetId="3" hidden="1">#REF!</definedName>
    <definedName name="XRefPaste34" localSheetId="5" hidden="1">#REF!</definedName>
    <definedName name="XRefPaste34" hidden="1">#REF!</definedName>
    <definedName name="XRefPaste34Row" localSheetId="11" hidden="1">#REF!</definedName>
    <definedName name="XRefPaste34Row" localSheetId="20" hidden="1">#REF!</definedName>
    <definedName name="XRefPaste34Row" localSheetId="3" hidden="1">#REF!</definedName>
    <definedName name="XRefPaste34Row" localSheetId="5" hidden="1">#REF!</definedName>
    <definedName name="XRefPaste34Row" hidden="1">#REF!</definedName>
    <definedName name="XRefPaste35" localSheetId="11" hidden="1">#REF!</definedName>
    <definedName name="XRefPaste35" localSheetId="20" hidden="1">#REF!</definedName>
    <definedName name="XRefPaste35" localSheetId="3" hidden="1">#REF!</definedName>
    <definedName name="XRefPaste35" localSheetId="5" hidden="1">#REF!</definedName>
    <definedName name="XRefPaste35" hidden="1">#REF!</definedName>
    <definedName name="XRefPaste35Row" localSheetId="11" hidden="1">#REF!</definedName>
    <definedName name="XRefPaste35Row" localSheetId="20" hidden="1">#REF!</definedName>
    <definedName name="XRefPaste35Row" localSheetId="3" hidden="1">#REF!</definedName>
    <definedName name="XRefPaste35Row" localSheetId="5" hidden="1">#REF!</definedName>
    <definedName name="XRefPaste35Row" hidden="1">#REF!</definedName>
    <definedName name="XRefPaste36" localSheetId="11" hidden="1">#REF!</definedName>
    <definedName name="XRefPaste36" localSheetId="20" hidden="1">#REF!</definedName>
    <definedName name="XRefPaste36" localSheetId="3" hidden="1">#REF!</definedName>
    <definedName name="XRefPaste36" localSheetId="5" hidden="1">#REF!</definedName>
    <definedName name="XRefPaste36" hidden="1">#REF!</definedName>
    <definedName name="XRefPaste36Row" localSheetId="11" hidden="1">#REF!</definedName>
    <definedName name="XRefPaste36Row" localSheetId="20" hidden="1">#REF!</definedName>
    <definedName name="XRefPaste36Row" localSheetId="3" hidden="1">#REF!</definedName>
    <definedName name="XRefPaste36Row" localSheetId="5" hidden="1">#REF!</definedName>
    <definedName name="XRefPaste36Row" hidden="1">#REF!</definedName>
    <definedName name="XRefPaste37" localSheetId="11" hidden="1">#REF!</definedName>
    <definedName name="XRefPaste37" localSheetId="20" hidden="1">#REF!</definedName>
    <definedName name="XRefPaste37" localSheetId="3" hidden="1">#REF!</definedName>
    <definedName name="XRefPaste37" localSheetId="5" hidden="1">#REF!</definedName>
    <definedName name="XRefPaste37" hidden="1">#REF!</definedName>
    <definedName name="XRefPaste37Row" localSheetId="11" hidden="1">#REF!</definedName>
    <definedName name="XRefPaste37Row" localSheetId="20" hidden="1">#REF!</definedName>
    <definedName name="XRefPaste37Row" localSheetId="3" hidden="1">#REF!</definedName>
    <definedName name="XRefPaste37Row" localSheetId="5" hidden="1">#REF!</definedName>
    <definedName name="XRefPaste37Row" hidden="1">#REF!</definedName>
    <definedName name="XRefPaste38" localSheetId="11" hidden="1">#REF!</definedName>
    <definedName name="XRefPaste38" localSheetId="20" hidden="1">#REF!</definedName>
    <definedName name="XRefPaste38" localSheetId="3" hidden="1">#REF!</definedName>
    <definedName name="XRefPaste38" localSheetId="5" hidden="1">#REF!</definedName>
    <definedName name="XRefPaste38" hidden="1">#REF!</definedName>
    <definedName name="XRefPaste38Row" localSheetId="11" hidden="1">#REF!</definedName>
    <definedName name="XRefPaste38Row" localSheetId="20" hidden="1">#REF!</definedName>
    <definedName name="XRefPaste38Row" localSheetId="3" hidden="1">#REF!</definedName>
    <definedName name="XRefPaste38Row" localSheetId="5" hidden="1">#REF!</definedName>
    <definedName name="XRefPaste38Row" hidden="1">#REF!</definedName>
    <definedName name="XRefPaste3Row" hidden="1">#N/A</definedName>
    <definedName name="XRefPaste4" hidden="1">#N/A</definedName>
    <definedName name="XRefPaste41" localSheetId="11" hidden="1">#REF!</definedName>
    <definedName name="XRefPaste41" localSheetId="20" hidden="1">#REF!</definedName>
    <definedName name="XRefPaste41" localSheetId="3" hidden="1">#REF!</definedName>
    <definedName name="XRefPaste41" localSheetId="5" hidden="1">#REF!</definedName>
    <definedName name="XRefPaste41" hidden="1">#REF!</definedName>
    <definedName name="XRefPaste44" localSheetId="11" hidden="1">#REF!</definedName>
    <definedName name="XRefPaste44" localSheetId="20" hidden="1">#REF!</definedName>
    <definedName name="XRefPaste44" localSheetId="3" hidden="1">#REF!</definedName>
    <definedName name="XRefPaste44" localSheetId="5" hidden="1">#REF!</definedName>
    <definedName name="XRefPaste44" hidden="1">#REF!</definedName>
    <definedName name="XRefPaste45" localSheetId="11" hidden="1">#REF!</definedName>
    <definedName name="XRefPaste45" localSheetId="20" hidden="1">#REF!</definedName>
    <definedName name="XRefPaste45" localSheetId="3" hidden="1">#REF!</definedName>
    <definedName name="XRefPaste45" localSheetId="5" hidden="1">#REF!</definedName>
    <definedName name="XRefPaste45" hidden="1">#REF!</definedName>
    <definedName name="XRefPaste46" localSheetId="11" hidden="1">#REF!</definedName>
    <definedName name="XRefPaste46" localSheetId="20" hidden="1">#REF!</definedName>
    <definedName name="XRefPaste46" localSheetId="3" hidden="1">#REF!</definedName>
    <definedName name="XRefPaste46" localSheetId="5" hidden="1">#REF!</definedName>
    <definedName name="XRefPaste46" hidden="1">#REF!</definedName>
    <definedName name="XRefPaste47Row" localSheetId="11" hidden="1">#REF!</definedName>
    <definedName name="XRefPaste47Row" localSheetId="20" hidden="1">#REF!</definedName>
    <definedName name="XRefPaste47Row" localSheetId="3" hidden="1">#REF!</definedName>
    <definedName name="XRefPaste47Row" localSheetId="5" hidden="1">#REF!</definedName>
    <definedName name="XRefPaste47Row" hidden="1">#REF!</definedName>
    <definedName name="XRefPaste48" localSheetId="11" hidden="1">#REF!</definedName>
    <definedName name="XRefPaste48" localSheetId="20" hidden="1">#REF!</definedName>
    <definedName name="XRefPaste48" localSheetId="3" hidden="1">#REF!</definedName>
    <definedName name="XRefPaste48" localSheetId="5" hidden="1">#REF!</definedName>
    <definedName name="XRefPaste48" hidden="1">#REF!</definedName>
    <definedName name="XRefPaste4Row" localSheetId="11" hidden="1">#REF!</definedName>
    <definedName name="XRefPaste4Row" localSheetId="20" hidden="1">#REF!</definedName>
    <definedName name="XRefPaste4Row" localSheetId="3" hidden="1">#REF!</definedName>
    <definedName name="XRefPaste4Row" localSheetId="5" hidden="1">#REF!</definedName>
    <definedName name="XRefPaste4Row" hidden="1">#REF!</definedName>
    <definedName name="XRefPaste5" hidden="1">#N/A</definedName>
    <definedName name="XRefPaste50" localSheetId="11" hidden="1">#REF!</definedName>
    <definedName name="XRefPaste50" localSheetId="20" hidden="1">#REF!</definedName>
    <definedName name="XRefPaste50" localSheetId="3" hidden="1">#REF!</definedName>
    <definedName name="XRefPaste50" localSheetId="5" hidden="1">#REF!</definedName>
    <definedName name="XRefPaste50" hidden="1">#REF!</definedName>
    <definedName name="XRefPaste50Row" localSheetId="11" hidden="1">#REF!</definedName>
    <definedName name="XRefPaste50Row" localSheetId="20" hidden="1">#REF!</definedName>
    <definedName name="XRefPaste50Row" localSheetId="3" hidden="1">#REF!</definedName>
    <definedName name="XRefPaste50Row" localSheetId="5" hidden="1">#REF!</definedName>
    <definedName name="XRefPaste50Row" hidden="1">#REF!</definedName>
    <definedName name="XRefPaste51Row" localSheetId="11" hidden="1">#REF!</definedName>
    <definedName name="XRefPaste51Row" localSheetId="20" hidden="1">#REF!</definedName>
    <definedName name="XRefPaste51Row" localSheetId="3" hidden="1">#REF!</definedName>
    <definedName name="XRefPaste51Row" localSheetId="5" hidden="1">#REF!</definedName>
    <definedName name="XRefPaste51Row" hidden="1">#REF!</definedName>
    <definedName name="XRefPaste52" localSheetId="11" hidden="1">#REF!</definedName>
    <definedName name="XRefPaste52" localSheetId="20" hidden="1">#REF!</definedName>
    <definedName name="XRefPaste52" localSheetId="3" hidden="1">#REF!</definedName>
    <definedName name="XRefPaste52" localSheetId="5" hidden="1">#REF!</definedName>
    <definedName name="XRefPaste52" hidden="1">#REF!</definedName>
    <definedName name="XRefPaste53" localSheetId="11" hidden="1">#REF!</definedName>
    <definedName name="XRefPaste53" localSheetId="20" hidden="1">#REF!</definedName>
    <definedName name="XRefPaste53" localSheetId="3" hidden="1">#REF!</definedName>
    <definedName name="XRefPaste53" localSheetId="5" hidden="1">#REF!</definedName>
    <definedName name="XRefPaste53" hidden="1">#REF!</definedName>
    <definedName name="XRefPaste55" localSheetId="11" hidden="1">#REF!</definedName>
    <definedName name="XRefPaste55" localSheetId="20" hidden="1">#REF!</definedName>
    <definedName name="XRefPaste55" localSheetId="3" hidden="1">#REF!</definedName>
    <definedName name="XRefPaste55" localSheetId="5" hidden="1">#REF!</definedName>
    <definedName name="XRefPaste55" hidden="1">#REF!</definedName>
    <definedName name="XRefPaste5Row" localSheetId="11" hidden="1">#REF!</definedName>
    <definedName name="XRefPaste5Row" localSheetId="20" hidden="1">#REF!</definedName>
    <definedName name="XRefPaste5Row" localSheetId="3" hidden="1">#REF!</definedName>
    <definedName name="XRefPaste5Row" localSheetId="5" hidden="1">#REF!</definedName>
    <definedName name="XRefPaste5Row" hidden="1">#REF!</definedName>
    <definedName name="XRefPaste6" hidden="1">#N/A</definedName>
    <definedName name="XRefPaste6Row" localSheetId="11" hidden="1">#REF!</definedName>
    <definedName name="XRefPaste6Row" localSheetId="20" hidden="1">#REF!</definedName>
    <definedName name="XRefPaste6Row" localSheetId="3" hidden="1">#REF!</definedName>
    <definedName name="XRefPaste6Row" localSheetId="5" hidden="1">#REF!</definedName>
    <definedName name="XRefPaste6Row" hidden="1">#REF!</definedName>
    <definedName name="XRefPaste7" hidden="1">#N/A</definedName>
    <definedName name="XRefPaste7Row" localSheetId="11" hidden="1">#REF!</definedName>
    <definedName name="XRefPaste7Row" localSheetId="20" hidden="1">#REF!</definedName>
    <definedName name="XRefPaste7Row" localSheetId="3" hidden="1">#REF!</definedName>
    <definedName name="XRefPaste7Row" localSheetId="5" hidden="1">#REF!</definedName>
    <definedName name="XRefPaste7Row" hidden="1">#REF!</definedName>
    <definedName name="XRefPaste8" hidden="1">#N/A</definedName>
    <definedName name="XRefPaste8Row" localSheetId="11" hidden="1">#REF!</definedName>
    <definedName name="XRefPaste8Row" localSheetId="20" hidden="1">#REF!</definedName>
    <definedName name="XRefPaste8Row" localSheetId="3" hidden="1">#REF!</definedName>
    <definedName name="XRefPaste8Row" localSheetId="5" hidden="1">#REF!</definedName>
    <definedName name="XRefPaste8Row" hidden="1">#REF!</definedName>
    <definedName name="XRefPaste9" hidden="1">#N/A</definedName>
    <definedName name="XRefPaste9Row" localSheetId="11" hidden="1">#REF!</definedName>
    <definedName name="XRefPaste9Row" localSheetId="20" hidden="1">#REF!</definedName>
    <definedName name="XRefPaste9Row" localSheetId="3" hidden="1">#REF!</definedName>
    <definedName name="XRefPaste9Row" localSheetId="5" hidden="1">#REF!</definedName>
    <definedName name="XRefPaste9Row" hidden="1">#REF!</definedName>
    <definedName name="XRefPasteRangeCount" hidden="1">12</definedName>
    <definedName name="Year">'[4]Input Data'!$C$5</definedName>
    <definedName name="一" localSheetId="3">#REF!</definedName>
    <definedName name="一" localSheetId="5">#REF!</definedName>
    <definedName name="一">#REF!</definedName>
    <definedName name="分行填報">[6]分行填報!$B$4:$F$183</definedName>
    <definedName name="主123">[7]ao人數!$B$5:$F$186</definedName>
    <definedName name="外幣下期" localSheetId="11">#REF!</definedName>
    <definedName name="外幣下期" localSheetId="20">#REF!</definedName>
    <definedName name="外幣下期" localSheetId="3">#REF!</definedName>
    <definedName name="外幣下期" localSheetId="5">#REF!</definedName>
    <definedName name="外幣下期">#REF!</definedName>
    <definedName name="外幣放款">[8]外幣!$B$4:$L$185</definedName>
    <definedName name="平均餘額">[7]近3年平均餘額!$A$4:$J$185</definedName>
    <definedName name="更新資負" localSheetId="11">#REF!</definedName>
    <definedName name="更新資負" localSheetId="20">#REF!</definedName>
    <definedName name="更新資負" localSheetId="3">#REF!</definedName>
    <definedName name="更新資負" localSheetId="5">#REF!</definedName>
    <definedName name="更新資負">#REF!</definedName>
    <definedName name="依95年1月至5月平均餘額達成95年上期目標之比率_而增減應增額表" localSheetId="11">#REF!</definedName>
    <definedName name="依95年1月至5月平均餘額達成95年上期目標之比率_而增減應增額表" localSheetId="20">#REF!</definedName>
    <definedName name="依95年1月至5月平均餘額達成95年上期目標之比率_而增減應增額表" localSheetId="3">#REF!</definedName>
    <definedName name="依95年1月至5月平均餘額達成95年上期目標之比率_而增減應增額表" localSheetId="5">#REF!</definedName>
    <definedName name="依95年1月至5月平均餘額達成95年上期目標之比率_而增減應增額表">#REF!</definedName>
    <definedName name="依95年7月至10月平均餘額達成95年下期目標之比率" localSheetId="11">#REF!</definedName>
    <definedName name="依95年7月至10月平均餘額達成95年下期目標之比率" localSheetId="20">#REF!</definedName>
    <definedName name="依95年7月至10月平均餘額達成95年下期目標之比率" localSheetId="3">#REF!</definedName>
    <definedName name="依95年7月至10月平均餘額達成95年下期目標之比率" localSheetId="5">#REF!</definedName>
    <definedName name="依95年7月至10月平均餘額達成95年下期目標之比率">#REF!</definedName>
    <definedName name="其他應收款" localSheetId="11" hidden="1">#REF!</definedName>
    <definedName name="其他應收款" localSheetId="20" hidden="1">#REF!</definedName>
    <definedName name="其他應收款" localSheetId="3" hidden="1">#REF!</definedName>
    <definedName name="其他應收款" localSheetId="5" hidden="1">#REF!</definedName>
    <definedName name="其他應收款" hidden="1">#REF!</definedName>
    <definedName name="定額分配表">[7]定額分配表!$C$5:$D$15</definedName>
    <definedName name="金控沖銷" hidden="1">{"1","2","3","4","5","6","7","8","9","10","11","12","13";0.9,0.85,0.8,0.75,0.7,0.65,0.625,0.6,0.575,0.55,0.525,0.5,0.4;0.45,0.4,0.375,0.35,0.325,0.3,0.291666666666666,0.283333333333333,0.275,0.266666666666666,0.258333333333333,0.25,0.2}</definedName>
    <definedName name="珠" localSheetId="11" hidden="1">#REF!</definedName>
    <definedName name="珠" localSheetId="20" hidden="1">#REF!</definedName>
    <definedName name="珠" localSheetId="3" hidden="1">#REF!</definedName>
    <definedName name="珠" localSheetId="5" hidden="1">#REF!</definedName>
    <definedName name="珠" hidden="1">#REF!</definedName>
    <definedName name="國內外幣">[9]DBU匯總!$B$4:$G$179</definedName>
    <definedName name="理財主管">[10]Reference!$C$3:$C$5</definedName>
    <definedName name="最低應增額表" localSheetId="11">#REF!</definedName>
    <definedName name="最低應增額表" localSheetId="20">#REF!</definedName>
    <definedName name="最低應增額表" localSheetId="3">#REF!</definedName>
    <definedName name="最低應增額表" localSheetId="5">#REF!</definedName>
    <definedName name="最低應增額表">#REF!</definedName>
    <definedName name="新單位表" localSheetId="11">#REF!</definedName>
    <definedName name="新單位表" localSheetId="20">#REF!</definedName>
    <definedName name="新單位表" localSheetId="3">#REF!</definedName>
    <definedName name="新單位表" localSheetId="5">#REF!</definedName>
    <definedName name="新單位表">#REF!</definedName>
    <definedName name="獎金" localSheetId="3">'[5]CH Qs Form'!#REF!</definedName>
    <definedName name="獎金" localSheetId="5">'[5]CH Qs Form'!#REF!</definedName>
    <definedName name="獎金">'[5]CH Qs Form'!#REF!</definedName>
    <definedName name="獎金分數" localSheetId="3" hidden="1">'[2]CH Car'!#REF!</definedName>
    <definedName name="獎金分數" localSheetId="5" hidden="1">'[2]CH Car'!#REF!</definedName>
    <definedName name="獎金分數" hidden="1">'[2]CH Car'!#REF!</definedName>
    <definedName name="薪資40000元以下" localSheetId="3">#REF!</definedName>
    <definedName name="薪資40000元以下" localSheetId="5">#REF!</definedName>
    <definedName name="薪資40000元以下">#REF!</definedName>
  </definedNames>
  <calcPr calcId="191028" fullCalcOnLoad="1"/>
  <pivotCaches>
    <pivotCache cacheId="1530" r:id="rId34"/>
    <pivotCache cacheId="1531" r:id="rId35"/>
    <pivotCache cacheId="1532" r:id="rId36"/>
    <pivotCache cacheId="1533" r:id="rId37"/>
    <pivotCache cacheId="1534" r:id="rId38"/>
    <pivotCache cacheId="1619" r:id="rId3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<sst xmlns="http://schemas.openxmlformats.org/spreadsheetml/2006/main" count="26489" uniqueCount="2147">
  <si>
    <t>北一區</t>
  </si>
  <si>
    <t>城東分行</t>
  </si>
  <si>
    <t>西門分行</t>
  </si>
  <si>
    <t>新生分行</t>
  </si>
  <si>
    <t>和平分行</t>
  </si>
  <si>
    <t>士林分行</t>
  </si>
  <si>
    <t>大直分行</t>
  </si>
  <si>
    <t>北二區</t>
  </si>
  <si>
    <t>台大分行</t>
  </si>
  <si>
    <t>板橋分行</t>
  </si>
  <si>
    <t>北三重分行</t>
  </si>
  <si>
    <t>北三區</t>
  </si>
  <si>
    <t>新莊分行</t>
  </si>
  <si>
    <t>中和分行</t>
  </si>
  <si>
    <t>雙和分行</t>
  </si>
  <si>
    <t>新泰分行</t>
  </si>
  <si>
    <t>二重分行</t>
  </si>
  <si>
    <t>北投分行</t>
  </si>
  <si>
    <t>南勢角分行</t>
  </si>
  <si>
    <t>北蘆洲分行</t>
  </si>
  <si>
    <t>樹林分行</t>
  </si>
  <si>
    <t>泰山分行</t>
  </si>
  <si>
    <t>文山分行</t>
  </si>
  <si>
    <t>北新莊分行</t>
  </si>
  <si>
    <t>林口站前分行</t>
  </si>
  <si>
    <t>七堵分行</t>
  </si>
  <si>
    <t>羅東分行</t>
  </si>
  <si>
    <t>宜蘭分行</t>
  </si>
  <si>
    <t>楊梅分行</t>
  </si>
  <si>
    <t>北桃園分行</t>
  </si>
  <si>
    <t>龍潭分行</t>
  </si>
  <si>
    <t>竹科分行</t>
  </si>
  <si>
    <t>新豐分行</t>
  </si>
  <si>
    <t>中區</t>
  </si>
  <si>
    <t>苗栗分行</t>
  </si>
  <si>
    <t>豐原分行</t>
  </si>
  <si>
    <t>東勢分行</t>
  </si>
  <si>
    <t>清水分行</t>
  </si>
  <si>
    <t>台中分行</t>
  </si>
  <si>
    <t>大里分行</t>
  </si>
  <si>
    <t>太平分行</t>
  </si>
  <si>
    <t>草屯分行</t>
  </si>
  <si>
    <t>員林分行</t>
  </si>
  <si>
    <t>溪湖分行</t>
  </si>
  <si>
    <t>斗六分行</t>
  </si>
  <si>
    <t>西螺分行</t>
  </si>
  <si>
    <t>嘉義分行</t>
  </si>
  <si>
    <t>朴子分行</t>
  </si>
  <si>
    <t>南區</t>
  </si>
  <si>
    <t>麻豆分行</t>
  </si>
  <si>
    <t>台南分行</t>
  </si>
  <si>
    <t>北台南分行</t>
  </si>
  <si>
    <t>金華分行</t>
  </si>
  <si>
    <t>高雄三民分行</t>
  </si>
  <si>
    <t>苓雅分行</t>
  </si>
  <si>
    <t>高雄博愛分行</t>
  </si>
  <si>
    <t>東高雄分行</t>
  </si>
  <si>
    <t>楠梓分行　</t>
  </si>
  <si>
    <t>左營分行　</t>
  </si>
  <si>
    <t>岡山分行</t>
  </si>
  <si>
    <t>路竹分行</t>
  </si>
  <si>
    <t>仁武分行</t>
  </si>
  <si>
    <t>籬仔內分行</t>
  </si>
  <si>
    <t>五甲分行</t>
  </si>
  <si>
    <t>小港分行</t>
  </si>
  <si>
    <t>高雄桂林分行</t>
  </si>
  <si>
    <t>屏東分行</t>
  </si>
  <si>
    <t>內埔分行</t>
  </si>
  <si>
    <t>潮州分行</t>
  </si>
  <si>
    <t>佳冬分行</t>
  </si>
  <si>
    <t>花蓮分行</t>
  </si>
  <si>
    <t>台東分行</t>
  </si>
  <si>
    <t>合計</t>
    <phoneticPr fontId="13" type="noConversion"/>
  </si>
  <si>
    <t>圓山分行</t>
  </si>
  <si>
    <t>南松山分行</t>
  </si>
  <si>
    <t>仁愛路分行</t>
  </si>
  <si>
    <t>信義分行</t>
  </si>
  <si>
    <t>雙園分行</t>
  </si>
  <si>
    <t>龍江分行</t>
  </si>
  <si>
    <t>永吉分行</t>
  </si>
  <si>
    <t>南內湖分行</t>
  </si>
  <si>
    <t>長安分行</t>
  </si>
  <si>
    <t>中華路分行</t>
  </si>
  <si>
    <t>華江分行</t>
  </si>
  <si>
    <t>新店分行</t>
  </si>
  <si>
    <t>南永和分行</t>
  </si>
  <si>
    <t>南三重分行</t>
  </si>
  <si>
    <t>土城分行</t>
  </si>
  <si>
    <t>鶯歌分行</t>
  </si>
  <si>
    <t>基隆分行</t>
  </si>
  <si>
    <t>基隆港口分行</t>
  </si>
  <si>
    <t>中壢分行</t>
  </si>
  <si>
    <t>壢昌分行</t>
  </si>
  <si>
    <t>南崁分行</t>
  </si>
  <si>
    <t>龜山分行</t>
  </si>
  <si>
    <t>林口分行</t>
  </si>
  <si>
    <t>觀音分行</t>
  </si>
  <si>
    <t>大園分行</t>
  </si>
  <si>
    <t>新竹分行</t>
  </si>
  <si>
    <t>竹東分行</t>
  </si>
  <si>
    <t>大眾分行</t>
  </si>
  <si>
    <t>南台中分行</t>
  </si>
  <si>
    <t>中科分行</t>
  </si>
  <si>
    <t>沙鹿分行</t>
  </si>
  <si>
    <t>鹿港分行</t>
  </si>
  <si>
    <t>虎尾分行</t>
  </si>
  <si>
    <t>新營分行</t>
  </si>
  <si>
    <t>永康分行</t>
  </si>
  <si>
    <t>仁德分行</t>
  </si>
  <si>
    <t>前鎮分行</t>
  </si>
  <si>
    <t>南高雄分行</t>
  </si>
  <si>
    <t>北高雄分行</t>
  </si>
  <si>
    <t>鳳山分行</t>
  </si>
  <si>
    <t>分行總目標</t>
    <phoneticPr fontId="13" type="noConversion"/>
  </si>
  <si>
    <t>保險分配目標</t>
    <phoneticPr fontId="13" type="noConversion"/>
  </si>
  <si>
    <t>平均三年業績</t>
    <phoneticPr fontId="13" type="noConversion"/>
  </si>
  <si>
    <t>信託業績</t>
    <phoneticPr fontId="13" type="noConversion"/>
  </si>
  <si>
    <t>保險業績</t>
    <phoneticPr fontId="13" type="noConversion"/>
  </si>
  <si>
    <t>合計業績</t>
    <phoneticPr fontId="13" type="noConversion"/>
  </si>
  <si>
    <t>人數</t>
    <phoneticPr fontId="13" type="noConversion"/>
  </si>
  <si>
    <t>投資類AUM</t>
    <phoneticPr fontId="13" type="noConversion"/>
  </si>
  <si>
    <t>保險佔率</t>
    <phoneticPr fontId="13" type="noConversion"/>
  </si>
  <si>
    <t>★參數</t>
    <phoneticPr fontId="13" type="noConversion"/>
  </si>
  <si>
    <t>權重</t>
    <phoneticPr fontId="13" type="noConversion"/>
  </si>
  <si>
    <t>分攤目標</t>
    <phoneticPr fontId="13" type="noConversion"/>
  </si>
  <si>
    <t>係數</t>
    <phoneticPr fontId="13" type="noConversion"/>
  </si>
  <si>
    <t>存款</t>
    <phoneticPr fontId="13" type="noConversion"/>
  </si>
  <si>
    <t>★平均存款: 活期*0.6+定期*1.4</t>
    <phoneticPr fontId="13" type="noConversion"/>
  </si>
  <si>
    <t>單位
代號</t>
    <phoneticPr fontId="13" type="noConversion"/>
  </si>
  <si>
    <t>單位名稱</t>
    <phoneticPr fontId="13" type="noConversion"/>
  </si>
  <si>
    <t>營運總部分行</t>
    <phoneticPr fontId="13" type="noConversion"/>
  </si>
  <si>
    <t>營業部</t>
  </si>
  <si>
    <t>儲蓄分行</t>
  </si>
  <si>
    <t>城內分行</t>
  </si>
  <si>
    <t>大稻埕分行</t>
  </si>
  <si>
    <t>建成分行</t>
  </si>
  <si>
    <t>中山分行</t>
  </si>
  <si>
    <t>南京東路分行</t>
  </si>
  <si>
    <t>大同分行</t>
  </si>
  <si>
    <t>松山分行</t>
  </si>
  <si>
    <t>中崙分行</t>
  </si>
  <si>
    <t>公館分行</t>
  </si>
  <si>
    <t>忠孝東路分行</t>
  </si>
  <si>
    <t>東台北分行</t>
  </si>
  <si>
    <t>大安分行</t>
  </si>
  <si>
    <t>民生分行</t>
  </si>
  <si>
    <t>復興分行</t>
  </si>
  <si>
    <t>敦化分行</t>
  </si>
  <si>
    <t>敦和分行</t>
  </si>
  <si>
    <t>東湖分行</t>
  </si>
  <si>
    <t>東興分行</t>
  </si>
  <si>
    <t>北南港分行</t>
  </si>
  <si>
    <t>懷生分行</t>
  </si>
  <si>
    <t>信維分行</t>
  </si>
  <si>
    <t>埔墘分行</t>
  </si>
  <si>
    <t>石牌分行</t>
  </si>
  <si>
    <t>瑞祥分行</t>
  </si>
  <si>
    <t>世貿分行</t>
  </si>
  <si>
    <t>萬華分行</t>
  </si>
  <si>
    <t>南港分行</t>
  </si>
  <si>
    <t>三重分行</t>
  </si>
  <si>
    <t>永和分行</t>
  </si>
  <si>
    <t>淡水分行</t>
  </si>
  <si>
    <t>汐止分行</t>
  </si>
  <si>
    <t>西三重分行</t>
  </si>
  <si>
    <t>板新分行</t>
  </si>
  <si>
    <t>五股分行</t>
  </si>
  <si>
    <t>西湖分行</t>
  </si>
  <si>
    <t>積穗分行</t>
  </si>
  <si>
    <t>福和分行</t>
  </si>
  <si>
    <t>蘆洲分行</t>
  </si>
  <si>
    <t>北新分行</t>
  </si>
  <si>
    <t>天母分行</t>
  </si>
  <si>
    <t>內湖分行</t>
  </si>
  <si>
    <t>樟樹灣分行</t>
  </si>
  <si>
    <t>三峽分行</t>
  </si>
  <si>
    <t>北土城分行</t>
  </si>
  <si>
    <t>桃園分行</t>
  </si>
  <si>
    <t>平鎮分行</t>
  </si>
  <si>
    <t>八德分行</t>
  </si>
  <si>
    <t>大溪分行</t>
  </si>
  <si>
    <t>內壢分行</t>
  </si>
  <si>
    <t>六家分行</t>
  </si>
  <si>
    <t>竹南分行</t>
  </si>
  <si>
    <t>頭份分行</t>
  </si>
  <si>
    <t>竹北分行</t>
  </si>
  <si>
    <t>西豐原分行</t>
  </si>
  <si>
    <t>北台中分行</t>
  </si>
  <si>
    <t>台中港路分行</t>
  </si>
  <si>
    <t>水湳分行</t>
  </si>
  <si>
    <t>五權分行</t>
  </si>
  <si>
    <t>大甲分行</t>
  </si>
  <si>
    <t>南投分行</t>
  </si>
  <si>
    <t>彰化分行</t>
  </si>
  <si>
    <t>和美分行</t>
  </si>
  <si>
    <t>嘉南分行</t>
  </si>
  <si>
    <t>東台南分行</t>
  </si>
  <si>
    <t>西台南分行</t>
  </si>
  <si>
    <t>南都分行</t>
  </si>
  <si>
    <t>安南分行</t>
  </si>
  <si>
    <t>新市分行</t>
  </si>
  <si>
    <t>高雄分行</t>
  </si>
  <si>
    <t>東苓分行</t>
  </si>
  <si>
    <t>新興分行</t>
  </si>
  <si>
    <t>大昌分行</t>
  </si>
  <si>
    <t>楠梓分行</t>
  </si>
  <si>
    <t>左營分行</t>
  </si>
  <si>
    <t>光華分行</t>
  </si>
  <si>
    <t>總計</t>
  </si>
  <si>
    <t>營運總部分行</t>
  </si>
  <si>
    <t>合計</t>
  </si>
  <si>
    <t>北三區</t>
    <phoneticPr fontId="13" type="noConversion"/>
  </si>
  <si>
    <t>分行代號</t>
  </si>
  <si>
    <t>分行名稱</t>
  </si>
  <si>
    <t>定期性存款平均餘額</t>
  </si>
  <si>
    <t>營業部　　　　　　　</t>
  </si>
  <si>
    <t>儲蓄分行　　　　　　</t>
  </si>
  <si>
    <t>城內分行　　　　　　</t>
  </si>
  <si>
    <t>大稻埕分行　　　　　</t>
  </si>
  <si>
    <t>建成分行　　　　　　</t>
  </si>
  <si>
    <t>中山分行　　　　　　</t>
  </si>
  <si>
    <t>圓山分行　　　　　　</t>
  </si>
  <si>
    <t>城東分行　　　　　　</t>
  </si>
  <si>
    <t>西門分行　　　　　　</t>
  </si>
  <si>
    <t>南松山分行　　　　　</t>
  </si>
  <si>
    <t>仁愛路分行　　　　　</t>
  </si>
  <si>
    <t>南京東路分行　　　　</t>
  </si>
  <si>
    <t>新生分行　　　　　　</t>
  </si>
  <si>
    <t>大同分行　　　　　　</t>
  </si>
  <si>
    <t>松山分行　　　　　　</t>
  </si>
  <si>
    <t>中崙分行　　　　　　</t>
  </si>
  <si>
    <t>南門分行　　　　　　</t>
  </si>
  <si>
    <t>公館分行　　　　　　</t>
  </si>
  <si>
    <t>信義分行　　　　　　</t>
  </si>
  <si>
    <t>忠孝東路分行　　　　</t>
  </si>
  <si>
    <t>和平分行　　　　　　</t>
  </si>
  <si>
    <t>雙園分行　　　　　　</t>
  </si>
  <si>
    <t>士林分行　　　　　　</t>
  </si>
  <si>
    <t>東台北分行　　　　　</t>
  </si>
  <si>
    <t>大安分行　　　　　　</t>
  </si>
  <si>
    <t>民生分行　　　　　　</t>
  </si>
  <si>
    <t>復興分行　　　　　　</t>
  </si>
  <si>
    <t>龍江分行　　　　　　</t>
  </si>
  <si>
    <t>永吉分行　　　　　　</t>
  </si>
  <si>
    <t>敦化分行　　　　　　</t>
  </si>
  <si>
    <t>大直分行　　　　　　</t>
  </si>
  <si>
    <t>敦和分行　　　　　　</t>
  </si>
  <si>
    <t>東湖分行　　　　　　</t>
  </si>
  <si>
    <t>東興分行　　　　　　</t>
  </si>
  <si>
    <t>北南港分行　　　　　</t>
  </si>
  <si>
    <t>南內湖分行　　　　　</t>
  </si>
  <si>
    <t>長安分行　　　　　　</t>
  </si>
  <si>
    <t>懷生分行　　　　　　</t>
  </si>
  <si>
    <t>中華路分行　　　　　</t>
  </si>
  <si>
    <t>信維分行　　　　　　</t>
  </si>
  <si>
    <t>埔墘分行　　　　　　</t>
  </si>
  <si>
    <t>石牌分行　　　　　　</t>
  </si>
  <si>
    <t>瑞祥分行　　　　　　</t>
  </si>
  <si>
    <t>台大分行　　　　　　</t>
  </si>
  <si>
    <t>世貿分行　　　　　　</t>
  </si>
  <si>
    <t>萬華分行　　　　　　</t>
  </si>
  <si>
    <t>南港分行　　　　　　</t>
  </si>
  <si>
    <t>華江分行　　　　　　</t>
  </si>
  <si>
    <t>板橋分行　　　　　　</t>
  </si>
  <si>
    <t>三重分行　　　　　　</t>
  </si>
  <si>
    <t>北三重分行　　　　　</t>
  </si>
  <si>
    <t>新莊分行　　　　　　</t>
  </si>
  <si>
    <t>永和分行　　　　　　</t>
  </si>
  <si>
    <t>中和分行　　　　　　</t>
  </si>
  <si>
    <t>新店分行　　　　　　</t>
  </si>
  <si>
    <t>淡水分行　　　　　　</t>
  </si>
  <si>
    <t>汐止分行　　　　　　</t>
  </si>
  <si>
    <t>南永和分行　　　　　</t>
  </si>
  <si>
    <t>西三重分行　　　　　</t>
  </si>
  <si>
    <t>南三重分行　　　　　</t>
  </si>
  <si>
    <t>雙和分行　　　　　　</t>
  </si>
  <si>
    <t>新泰分行　　　　　　</t>
  </si>
  <si>
    <t>二重分行　　　　　　</t>
  </si>
  <si>
    <t>板新分行　　　　　　</t>
  </si>
  <si>
    <t>五股分行　　　　　　</t>
  </si>
  <si>
    <t>北投分行　　　　　　</t>
  </si>
  <si>
    <t>西湖分行　　　　　　</t>
  </si>
  <si>
    <t>積穗分行　　　　　　</t>
  </si>
  <si>
    <t>福和分行　　　　　　</t>
  </si>
  <si>
    <t>南勢角分行　　　　　</t>
  </si>
  <si>
    <t>北蘆洲分行　　　　　</t>
  </si>
  <si>
    <t>蘆洲分行　　　　　　</t>
  </si>
  <si>
    <t>土城分行　　　　　　</t>
  </si>
  <si>
    <t>北新分行　　　　　　</t>
  </si>
  <si>
    <t>天母分行　　　　　　</t>
  </si>
  <si>
    <t>內湖分行　　　　　　</t>
  </si>
  <si>
    <t>樹林分行　　　　　　</t>
  </si>
  <si>
    <t>樟樹灣分行　　　　　</t>
  </si>
  <si>
    <t>泰山分行　　　　　　</t>
  </si>
  <si>
    <t>三峽分行　　　　　　</t>
  </si>
  <si>
    <t>文山分行　　　　　　</t>
  </si>
  <si>
    <t>鶯歌分行　　　　　　</t>
  </si>
  <si>
    <t>北新莊分行　　　　　</t>
  </si>
  <si>
    <t>林口站前　　　　　　</t>
  </si>
  <si>
    <t>基隆分行　　　　　　</t>
  </si>
  <si>
    <t>基隆港口分行　　　　</t>
  </si>
  <si>
    <t>七堵分行　　　　　　</t>
  </si>
  <si>
    <t>羅東分行　　　　　　</t>
  </si>
  <si>
    <t>宜蘭分行　　　　　　</t>
  </si>
  <si>
    <t>桃園分行　　　　　　</t>
  </si>
  <si>
    <t>中壢分行　　　　　　</t>
  </si>
  <si>
    <t>楊梅分行　　　　　　</t>
  </si>
  <si>
    <t>壢昌分行　　　　　　</t>
  </si>
  <si>
    <t>北桃園分行　　　　　</t>
  </si>
  <si>
    <t>南崁分行　　　　　　</t>
  </si>
  <si>
    <t>平鎮分行　　　　　　</t>
  </si>
  <si>
    <t>八德分行　　　　　　</t>
  </si>
  <si>
    <t>龜山分行　　　　　　</t>
  </si>
  <si>
    <t>龍潭分行　　　　　　</t>
  </si>
  <si>
    <t>大溪分行　　　　　　</t>
  </si>
  <si>
    <t>內壢分行　　　　　　</t>
  </si>
  <si>
    <t>林口分行　　　　　　</t>
  </si>
  <si>
    <t>觀音分行　　　　　　</t>
  </si>
  <si>
    <t>大園分行　　　　　　</t>
  </si>
  <si>
    <t>新竹分行　　　　　　</t>
  </si>
  <si>
    <t>竹東分行　　　　　　</t>
  </si>
  <si>
    <t>竹科分行　　　　　　</t>
  </si>
  <si>
    <t>新豐分行　　　　　　</t>
  </si>
  <si>
    <t>六家分行　　　　　　</t>
  </si>
  <si>
    <t>竹南分行　　　　　　</t>
  </si>
  <si>
    <t>頭份分行　　　　　　</t>
  </si>
  <si>
    <t>苗栗分行　　　　　　</t>
  </si>
  <si>
    <t>竹北分行　　　　　　</t>
  </si>
  <si>
    <t>大眾分行　　　　　　</t>
  </si>
  <si>
    <t>豐原分行　　　　　　</t>
  </si>
  <si>
    <t>東勢分行　　　　　　</t>
  </si>
  <si>
    <t>清水分行　　　　　　</t>
  </si>
  <si>
    <t>西豐原分行　　　　　</t>
  </si>
  <si>
    <t>台中分行　　　　　　</t>
  </si>
  <si>
    <t>南台中分行　　　　　</t>
  </si>
  <si>
    <t>北台中分行　　　　　</t>
  </si>
  <si>
    <t>台中港路分行　　　　</t>
  </si>
  <si>
    <t>大里分行　　　　　　</t>
  </si>
  <si>
    <t>水湳分行　　　　　　</t>
  </si>
  <si>
    <t>五權分行　　　　　　</t>
  </si>
  <si>
    <t>大甲分行　　　　　　</t>
  </si>
  <si>
    <t>太平分行　　　　　　</t>
  </si>
  <si>
    <t>中科分行　　　　　　</t>
  </si>
  <si>
    <t>沙鹿分行　　　　　　</t>
  </si>
  <si>
    <t>草屯分行　　　　　　</t>
  </si>
  <si>
    <t>南投分行　　　　　　</t>
  </si>
  <si>
    <t>彰化分行　　　　　　</t>
  </si>
  <si>
    <t>和美分行　　　　　　</t>
  </si>
  <si>
    <t>員林分行　　　　　　</t>
  </si>
  <si>
    <t>鹿港分行　　　　　　</t>
  </si>
  <si>
    <t>溪湖分行　　　　　　</t>
  </si>
  <si>
    <t>斗六分行　　　　　　</t>
  </si>
  <si>
    <t>虎尾分行　　　　　　</t>
  </si>
  <si>
    <t>西螺分行　　　　　　</t>
  </si>
  <si>
    <t>嘉義分行　　　　　　</t>
  </si>
  <si>
    <t>嘉南分行　　　　　　</t>
  </si>
  <si>
    <t>朴子分行　　　　　　</t>
  </si>
  <si>
    <t>新營分行　　　　　　</t>
  </si>
  <si>
    <t>麻豆分行　　　　　　</t>
  </si>
  <si>
    <t>永康分行　　　　　　</t>
  </si>
  <si>
    <t>台南分行　　　　　　</t>
  </si>
  <si>
    <t>東台南分行　　　　　</t>
  </si>
  <si>
    <t>西台南分行　　　　　</t>
  </si>
  <si>
    <t>北台南分行　　　　　</t>
  </si>
  <si>
    <t>南都分行　　　　　　</t>
  </si>
  <si>
    <t>安南分行　　　　　　</t>
  </si>
  <si>
    <t>仁德分行　　　　　　</t>
  </si>
  <si>
    <t>新市分行　　　　　　</t>
  </si>
  <si>
    <t>金華分行　　　　　　</t>
  </si>
  <si>
    <t>高雄分行　　　　　　</t>
  </si>
  <si>
    <t>東苓分行　　　　　　</t>
  </si>
  <si>
    <t>新興分行　　　　　　</t>
  </si>
  <si>
    <t>高雄三民分行　　　　</t>
  </si>
  <si>
    <t>苓雅分行　　　　　　</t>
  </si>
  <si>
    <t>前鎮分行　　　　　　</t>
  </si>
  <si>
    <t>高雄博愛分行　　　　</t>
  </si>
  <si>
    <t>南高雄分行　　　　　</t>
  </si>
  <si>
    <t>東高雄分行　　　　　</t>
  </si>
  <si>
    <t>大昌分行　　　　　　</t>
  </si>
  <si>
    <t>北高雄分行　　　　　</t>
  </si>
  <si>
    <t>楠梓分行　　　　　　</t>
  </si>
  <si>
    <t>左營分行　　　　　　</t>
  </si>
  <si>
    <t>岡山分行　　　　　　</t>
  </si>
  <si>
    <t>鳳山分行　　　　　　</t>
  </si>
  <si>
    <t>路竹分行　　　　　　</t>
  </si>
  <si>
    <t>仁武分行　　　　　　</t>
  </si>
  <si>
    <t>籬仔內分行　　　　　</t>
  </si>
  <si>
    <t>五甲分行　　　　　　</t>
  </si>
  <si>
    <t>光華分行　　　　　　</t>
  </si>
  <si>
    <t>小港分行　　　　　　</t>
  </si>
  <si>
    <t>高雄桂林分行　　　　</t>
  </si>
  <si>
    <t>屏東分行　　　　　　</t>
  </si>
  <si>
    <t>內埔分行　　　　　　</t>
  </si>
  <si>
    <t>潮州分行　　　　　　</t>
  </si>
  <si>
    <t>佳冬分行　　　　　　</t>
  </si>
  <si>
    <t>花蓮分行　　　　　　</t>
  </si>
  <si>
    <t>台東分行　　　　　　</t>
  </si>
  <si>
    <t>(A)</t>
    <phoneticPr fontId="13" type="noConversion"/>
  </si>
  <si>
    <t>(B)</t>
    <phoneticPr fontId="13" type="noConversion"/>
  </si>
  <si>
    <t>台北南門分行</t>
  </si>
  <si>
    <t>北一區</t>
    <phoneticPr fontId="13" type="noConversion"/>
  </si>
  <si>
    <t>北二區</t>
    <phoneticPr fontId="13" type="noConversion"/>
  </si>
  <si>
    <t>活期性存款平均餘額</t>
  </si>
  <si>
    <t>加權後存款餘額</t>
    <phoneticPr fontId="13" type="noConversion"/>
  </si>
  <si>
    <t>單位:新臺幣元/%</t>
    <phoneticPr fontId="13" type="noConversion"/>
  </si>
  <si>
    <t>單位代碼</t>
  </si>
  <si>
    <t>單位</t>
  </si>
  <si>
    <t>(C)</t>
    <phoneticPr fontId="13" type="noConversion"/>
  </si>
  <si>
    <t>★計算出分行財管目標後，再依個別分行最近三年信託及保險業績佔率切分各分行的信託及保險目標</t>
    <phoneticPr fontId="13" type="noConversion"/>
  </si>
  <si>
    <t>單位:新臺幣元</t>
    <phoneticPr fontId="13" type="noConversion"/>
  </si>
  <si>
    <t xml:space="preserve">                                                                                        </t>
    <phoneticPr fontId="13" type="noConversion"/>
  </si>
  <si>
    <t>基金
手續費收入目標</t>
    <phoneticPr fontId="13" type="noConversion"/>
  </si>
  <si>
    <t>保險業務
手續費收入目標</t>
    <phoneticPr fontId="13" type="noConversion"/>
  </si>
  <si>
    <t>財富管理
手續費收入目標</t>
    <phoneticPr fontId="13" type="noConversion"/>
  </si>
  <si>
    <t>通路中心</t>
    <phoneticPr fontId="13" type="noConversion"/>
  </si>
  <si>
    <t>財富管理手續費收入對盈餘目標之影響數</t>
    <phoneticPr fontId="13" type="noConversion"/>
  </si>
  <si>
    <t>調整後目標</t>
    <phoneticPr fontId="13" type="noConversion"/>
  </si>
  <si>
    <t>本項分攤數</t>
    <phoneticPr fontId="13" type="noConversion"/>
  </si>
  <si>
    <t>小計</t>
    <phoneticPr fontId="13" type="noConversion"/>
  </si>
  <si>
    <t>總計</t>
    <phoneticPr fontId="13" type="noConversion"/>
  </si>
  <si>
    <t xml:space="preserve">                                                                                                                                                                                                                                                                                                                                                                                                                                                                                                                                                                                                                                                                                                                                                                                                                                                                                                                                                                                                                                                                                                                                                                                                                                                                                                                                                                                                                                                                                                                                                                                                                                                                                                                                                                                                                                                                                                                                                                                                                                                                                                                                                                                                                                                                                                                                                                                                                                                                                                                                                                                                                                                                                                                                                                                                                                                                                                                                                                                                                                                                                                                                                                                                                                                                                                                                                                                                                                                                                                                                                                                                                                                                                                                                                                                                                                                                                                                                                                                                                                                                                                                                                                                                                                                                                                                                                                                                                                                                                                                                                                                                                                                                                                                                                                                                                                                                                                                                                                                                                                                                                                  </t>
    <phoneticPr fontId="13" type="noConversion"/>
  </si>
  <si>
    <t>單位代號</t>
    <phoneticPr fontId="13" type="noConversion"/>
  </si>
  <si>
    <t>總    計</t>
    <phoneticPr fontId="13" type="noConversion"/>
  </si>
  <si>
    <t>組別</t>
    <phoneticPr fontId="13" type="noConversion"/>
  </si>
  <si>
    <t>信託</t>
    <phoneticPr fontId="13" type="noConversion"/>
  </si>
  <si>
    <t>保險</t>
    <phoneticPr fontId="13" type="noConversion"/>
  </si>
  <si>
    <t>組織層別 :1</t>
  </si>
  <si>
    <t>單位代號</t>
  </si>
  <si>
    <t>分行</t>
  </si>
  <si>
    <t>達成率%</t>
  </si>
  <si>
    <t>信託</t>
    <phoneticPr fontId="35" type="noConversion"/>
  </si>
  <si>
    <t>保險</t>
    <phoneticPr fontId="35" type="noConversion"/>
  </si>
  <si>
    <t>達成目標家數</t>
  </si>
  <si>
    <t>達成目</t>
  </si>
  <si>
    <t>實績與目標取其低</t>
    <phoneticPr fontId="35" type="noConversion"/>
  </si>
  <si>
    <t>盈餘轉換率</t>
    <phoneticPr fontId="13" type="noConversion"/>
  </si>
  <si>
    <t>組合式商品
手續費收入目標</t>
    <phoneticPr fontId="13" type="noConversion"/>
  </si>
  <si>
    <t>外國債券
手續費收入目標</t>
    <phoneticPr fontId="13" type="noConversion"/>
  </si>
  <si>
    <t>(D)</t>
    <phoneticPr fontId="13" type="noConversion"/>
  </si>
  <si>
    <t>組合式商品佔率</t>
    <phoneticPr fontId="13" type="noConversion"/>
  </si>
  <si>
    <t xml:space="preserve"> 外國債券分配目標</t>
    <phoneticPr fontId="13" type="noConversion"/>
  </si>
  <si>
    <t>組合式商品分配目標</t>
    <phoneticPr fontId="13" type="noConversion"/>
  </si>
  <si>
    <t>(E)</t>
    <phoneticPr fontId="13" type="noConversion"/>
  </si>
  <si>
    <t>(F)=(A)+(B)+(C)+(D)+(E)</t>
    <phoneticPr fontId="13" type="noConversion"/>
  </si>
  <si>
    <t>財產信託
手續費收入目標</t>
    <phoneticPr fontId="13" type="noConversion"/>
  </si>
  <si>
    <t>財產信託佔率</t>
    <phoneticPr fontId="13" type="noConversion"/>
  </si>
  <si>
    <t>財產分配目標</t>
    <phoneticPr fontId="13" type="noConversion"/>
  </si>
  <si>
    <t>基金佔率</t>
    <phoneticPr fontId="13" type="noConversion"/>
  </si>
  <si>
    <t>基金分配目標</t>
    <phoneticPr fontId="13" type="noConversion"/>
  </si>
  <si>
    <t>分行目標</t>
    <phoneticPr fontId="13" type="noConversion"/>
  </si>
  <si>
    <t>外國債券佔率</t>
    <phoneticPr fontId="13" type="noConversion"/>
  </si>
  <si>
    <t>單位：新臺幣元</t>
    <phoneticPr fontId="13" type="noConversion"/>
  </si>
  <si>
    <t>代號</t>
    <phoneticPr fontId="13" type="noConversion"/>
  </si>
  <si>
    <t>1</t>
    <phoneticPr fontId="13" type="noConversion"/>
  </si>
  <si>
    <t>3</t>
    <phoneticPr fontId="13" type="noConversion"/>
  </si>
  <si>
    <t>5</t>
    <phoneticPr fontId="13" type="noConversion"/>
  </si>
  <si>
    <t>單位
名稱</t>
    <phoneticPr fontId="13" type="noConversion"/>
  </si>
  <si>
    <t>110年度</t>
    <phoneticPr fontId="13" type="noConversion"/>
  </si>
  <si>
    <t>計算權重</t>
    <phoneticPr fontId="13" type="noConversion"/>
  </si>
  <si>
    <t>109年度</t>
    <phoneticPr fontId="13" type="noConversion"/>
  </si>
  <si>
    <t>差異</t>
    <phoneticPr fontId="13" type="noConversion"/>
  </si>
  <si>
    <t>目的</t>
    <phoneticPr fontId="13" type="noConversion"/>
  </si>
  <si>
    <t>配合1110年全員協銷政策</t>
    <phoneticPr fontId="13" type="noConversion"/>
  </si>
  <si>
    <t>鼓勵分行積極衝刺手收</t>
    <phoneticPr fontId="13" type="noConversion"/>
  </si>
  <si>
    <r>
      <rPr>
        <b/>
        <sz val="16"/>
        <color rgb="FF0000CC"/>
        <rFont val="標楷體"/>
        <family val="4"/>
        <charset val="136"/>
      </rPr>
      <t>單位：億元</t>
    </r>
    <phoneticPr fontId="13" type="noConversion"/>
  </si>
  <si>
    <r>
      <rPr>
        <b/>
        <sz val="16"/>
        <color rgb="FF0000CC"/>
        <rFont val="標楷體"/>
        <family val="4"/>
        <charset val="136"/>
      </rPr>
      <t>總行目標</t>
    </r>
    <phoneticPr fontId="13" type="noConversion"/>
  </si>
  <si>
    <r>
      <rPr>
        <b/>
        <sz val="16"/>
        <color rgb="FF0000CC"/>
        <rFont val="標楷體"/>
        <family val="4"/>
        <charset val="136"/>
      </rPr>
      <t>分行目標</t>
    </r>
    <phoneticPr fontId="13" type="noConversion"/>
  </si>
  <si>
    <r>
      <rPr>
        <b/>
        <sz val="16"/>
        <color rgb="FF0000CC"/>
        <rFont val="標楷體"/>
        <family val="4"/>
        <charset val="136"/>
      </rPr>
      <t>基金</t>
    </r>
    <phoneticPr fontId="13" type="noConversion"/>
  </si>
  <si>
    <r>
      <rPr>
        <b/>
        <sz val="16"/>
        <color rgb="FF0000CC"/>
        <rFont val="標楷體"/>
        <family val="4"/>
        <charset val="136"/>
      </rPr>
      <t>保險</t>
    </r>
    <phoneticPr fontId="13" type="noConversion"/>
  </si>
  <si>
    <r>
      <rPr>
        <b/>
        <sz val="16"/>
        <color rgb="FF0000CC"/>
        <rFont val="標楷體"/>
        <family val="4"/>
        <charset val="136"/>
      </rPr>
      <t>外國債</t>
    </r>
    <phoneticPr fontId="13" type="noConversion"/>
  </si>
  <si>
    <r>
      <rPr>
        <b/>
        <sz val="16"/>
        <color rgb="FF0000CC"/>
        <rFont val="標楷體"/>
        <family val="4"/>
        <charset val="136"/>
      </rPr>
      <t>財產信託</t>
    </r>
    <phoneticPr fontId="13" type="noConversion"/>
  </si>
  <si>
    <r>
      <rPr>
        <b/>
        <sz val="16"/>
        <color rgb="FF0000CC"/>
        <rFont val="標楷體"/>
        <family val="4"/>
        <charset val="136"/>
      </rPr>
      <t>組合式</t>
    </r>
    <phoneticPr fontId="13" type="noConversion"/>
  </si>
  <si>
    <r>
      <rPr>
        <b/>
        <sz val="16"/>
        <color rgb="FF0000CC"/>
        <rFont val="標楷體"/>
        <family val="4"/>
        <charset val="136"/>
      </rPr>
      <t>合計</t>
    </r>
    <phoneticPr fontId="13" type="noConversion"/>
  </si>
  <si>
    <t>組別</t>
  </si>
  <si>
    <t>通路別</t>
  </si>
  <si>
    <t>1.國內外基金及連動債手續費收入-實績 (A1)</t>
  </si>
  <si>
    <t>1.國內外基金及連動債手續費收入-目標 (A2)</t>
  </si>
  <si>
    <t>1.國內外基金及連動債手續費收入-達成率% (A3) = (A1) / (A2)</t>
  </si>
  <si>
    <t>1.國內外基金及連動債手續費收入-區排名 (A4)</t>
  </si>
  <si>
    <t>1.國內外基金及連動債手續費收入-全行排名 (A5)</t>
  </si>
  <si>
    <t>1.國內外基金及連動債手續費收入-協銷比例% (A6) = 協銷金額 / (A1)</t>
  </si>
  <si>
    <t>1.國內外基金及連動債手續費收入-協銷達成率% (A7) = 協銷金額 / (A2)</t>
  </si>
  <si>
    <t>2.保險佣金收益-實績 (B1)</t>
  </si>
  <si>
    <t>2.保險佣金收益-目標 (B2)</t>
  </si>
  <si>
    <t>2.保險佣金收益-達成率% (B3) = (B1) / (B2)</t>
  </si>
  <si>
    <t>2.保險佣金收益-區排名 (B4)</t>
  </si>
  <si>
    <t>2.保險佣金收益-全行排名 (B5)</t>
  </si>
  <si>
    <t>2.保險佣金收益-協銷比例% (B6) = 協銷金額 / (B1)</t>
  </si>
  <si>
    <t>2.保險佣金收益-協銷達成率% (B7) = 協銷金額 / (B2)</t>
  </si>
  <si>
    <t>3.外國債券手續費收入-實績 (C1)</t>
  </si>
  <si>
    <t>3.外國債券手續費收入-目標 (C2)</t>
  </si>
  <si>
    <t>3.外國債券手續費收入-達成率% (C3) = (C1) / (C2)</t>
  </si>
  <si>
    <t>3.外國債券手續費收入-區排名 (C4)</t>
  </si>
  <si>
    <t>3.外國債券手續費收入-全行排名 (C5)</t>
  </si>
  <si>
    <t>3.外國債券手續費收入-協銷比例% (C6) = 協銷金額 / (C1)</t>
  </si>
  <si>
    <t>3.外國債券手續費收入-協銷達成率% (C7) = 協銷金額 / (C2)</t>
  </si>
  <si>
    <t>4.財產信託手續費收入-實績 (D1)</t>
  </si>
  <si>
    <t>4.財產信託手續費收入-目標 (D2)</t>
  </si>
  <si>
    <t>4.財產信託手續費收入-達成率% (D3) = (D1) / (D2)</t>
  </si>
  <si>
    <t>4.財產信託手續費收入-區排名 (D4)</t>
  </si>
  <si>
    <t>4.財產信託手續費收入-全行排名 (D5)</t>
  </si>
  <si>
    <t>4.財產信託手續費收入-協銷比例% (D6) = 協銷金額 / (D1)</t>
  </si>
  <si>
    <t>4.財產信託手續費收入-協銷達成率% (D7) = 協銷金額 / (D2)</t>
  </si>
  <si>
    <t>5.保管及簽證手續費收入-實績 (E1)</t>
  </si>
  <si>
    <t>5.保管及簽證手續費收入-目標 (E2)</t>
  </si>
  <si>
    <t>5.保管及簽證手續費收入-達成率% (E3) = (E1) / (E2)</t>
  </si>
  <si>
    <t>5.保管及簽證手續費收入-區排名 (E4)</t>
  </si>
  <si>
    <t>5.保管及簽證手續費收入-全行排名 (E5)</t>
  </si>
  <si>
    <t>5.保管及簽證手續費收入-協銷比例% (E6) = 協銷金額 / (E1)</t>
  </si>
  <si>
    <t>5.保管及簽證手續費收入-協銷達成率% (E7) = 協銷金額 / (E2)</t>
  </si>
  <si>
    <t>6.組合式商品手續費收入-實績 (F1)</t>
  </si>
  <si>
    <t>6.組合式商品手續費收入-目標 (F2)</t>
  </si>
  <si>
    <t>6.組合式商品手續費收入-達成率% (F3) = (F1) / (F2)</t>
  </si>
  <si>
    <t>6.組合式商品手續費收入-區排名 (F4)</t>
  </si>
  <si>
    <t>6.組合式商品手續費收入-全行排名 (F5)</t>
  </si>
  <si>
    <t>6.組合式商品手續費收入-協銷比例% (F6) = 協銷金額 / (F1)</t>
  </si>
  <si>
    <t>6.組合式商品手續費收入-協銷達成率% (F7) = 協銷金額 / (F2)</t>
  </si>
  <si>
    <t>7.財富管理手續費收入-實績 (G1)</t>
  </si>
  <si>
    <t>7.財富管理手續費收入-目標 (G2)</t>
  </si>
  <si>
    <t>第１組</t>
  </si>
  <si>
    <t>-</t>
  </si>
  <si>
    <t>第３組</t>
  </si>
  <si>
    <t>第２組</t>
  </si>
  <si>
    <t>第５組</t>
  </si>
  <si>
    <t>第６組</t>
  </si>
  <si>
    <t>第４組</t>
  </si>
  <si>
    <t>第７組</t>
  </si>
  <si>
    <t>第８組</t>
  </si>
  <si>
    <t>[26/31]</t>
  </si>
  <si>
    <t>[14/31]</t>
  </si>
  <si>
    <t>[5/31]</t>
  </si>
  <si>
    <t>[29/31]</t>
  </si>
  <si>
    <t>[1/31]</t>
  </si>
  <si>
    <t>[7/31]</t>
  </si>
  <si>
    <t>[24/31]</t>
  </si>
  <si>
    <t>[13/31]</t>
  </si>
  <si>
    <t>[22/31]</t>
  </si>
  <si>
    <t>[20/31]</t>
  </si>
  <si>
    <t>[8/31]</t>
  </si>
  <si>
    <t>[15/31]</t>
  </si>
  <si>
    <t>[17/31]</t>
  </si>
  <si>
    <t>[9/31]</t>
  </si>
  <si>
    <t>[3/31]</t>
  </si>
  <si>
    <t>[21/31]</t>
  </si>
  <si>
    <t>[18/31]</t>
  </si>
  <si>
    <t>[23/31]</t>
  </si>
  <si>
    <t>[16/31]</t>
  </si>
  <si>
    <t>[19/31]</t>
  </si>
  <si>
    <t>[2/31]</t>
  </si>
  <si>
    <t>[10/31]</t>
  </si>
  <si>
    <t>[12/31]</t>
  </si>
  <si>
    <t>[6/31]</t>
  </si>
  <si>
    <t>[28/31]</t>
  </si>
  <si>
    <t>[4/31]</t>
  </si>
  <si>
    <t>[31/31]</t>
  </si>
  <si>
    <t>[27/31]</t>
  </si>
  <si>
    <t>[11/31]</t>
  </si>
  <si>
    <t>[30/31]</t>
  </si>
  <si>
    <t>[25/31]</t>
  </si>
  <si>
    <t>[3/39]</t>
  </si>
  <si>
    <t>[25/39]</t>
  </si>
  <si>
    <t>[5/39]</t>
  </si>
  <si>
    <t>[23/39]</t>
  </si>
  <si>
    <t>[1/39]</t>
  </si>
  <si>
    <t>[13/39]</t>
  </si>
  <si>
    <t>[18/39]</t>
  </si>
  <si>
    <t>[15/39]</t>
  </si>
  <si>
    <t>[10/39]</t>
  </si>
  <si>
    <t>[20/39]</t>
  </si>
  <si>
    <t>[14/39]</t>
  </si>
  <si>
    <t>[19/39]</t>
  </si>
  <si>
    <t>[32/39]</t>
  </si>
  <si>
    <t>[17/39]</t>
  </si>
  <si>
    <t>[9/39]</t>
  </si>
  <si>
    <t>[4/39]</t>
  </si>
  <si>
    <t>[2/39]</t>
  </si>
  <si>
    <t>[8/39]</t>
  </si>
  <si>
    <t>[27/39]</t>
  </si>
  <si>
    <t>[31/39]</t>
  </si>
  <si>
    <t>[21/39]</t>
  </si>
  <si>
    <t>[7/39]</t>
  </si>
  <si>
    <t>[38/39]</t>
  </si>
  <si>
    <t>[30/39]</t>
  </si>
  <si>
    <t>[28/39]</t>
  </si>
  <si>
    <t>[11/39]</t>
  </si>
  <si>
    <t>[35/39]</t>
  </si>
  <si>
    <t>[37/39]</t>
  </si>
  <si>
    <t>[16/39]</t>
  </si>
  <si>
    <t>[34/39]</t>
  </si>
  <si>
    <t>[6/39]</t>
  </si>
  <si>
    <t>[36/39]</t>
  </si>
  <si>
    <t>[22/39]</t>
  </si>
  <si>
    <t>[29/39]</t>
  </si>
  <si>
    <t>[12/39]</t>
  </si>
  <si>
    <t>[33/39]</t>
  </si>
  <si>
    <t>[26/39]</t>
  </si>
  <si>
    <t>[39/39]</t>
  </si>
  <si>
    <t>[24/39]</t>
  </si>
  <si>
    <t>增減人數</t>
    <phoneticPr fontId="13" type="noConversion"/>
  </si>
  <si>
    <t>營運總部分行　　　　</t>
  </si>
  <si>
    <t>1月</t>
  </si>
  <si>
    <t>2月</t>
  </si>
  <si>
    <t>3月</t>
  </si>
  <si>
    <t>4月</t>
  </si>
  <si>
    <t>5月</t>
  </si>
  <si>
    <t>6月</t>
  </si>
  <si>
    <t>7月</t>
  </si>
  <si>
    <t>8月</t>
  </si>
  <si>
    <t>9月</t>
  </si>
  <si>
    <t>10月</t>
  </si>
  <si>
    <t>11月</t>
  </si>
  <si>
    <t>B</t>
    <phoneticPr fontId="13" type="noConversion"/>
  </si>
  <si>
    <t>G</t>
    <phoneticPr fontId="13" type="noConversion"/>
  </si>
  <si>
    <t>A</t>
    <phoneticPr fontId="13" type="noConversion"/>
  </si>
  <si>
    <t>中山分行</t>
    <phoneticPr fontId="13" type="noConversion"/>
  </si>
  <si>
    <t>外匯統轄行95%</t>
    <phoneticPr fontId="13" type="noConversion"/>
  </si>
  <si>
    <t>第1組</t>
  </si>
  <si>
    <t>第2組</t>
  </si>
  <si>
    <t>第3組</t>
  </si>
  <si>
    <t>第4組</t>
  </si>
  <si>
    <t>第5組</t>
  </si>
  <si>
    <t>第6組</t>
  </si>
  <si>
    <t>第7組</t>
  </si>
  <si>
    <t>第8組</t>
  </si>
  <si>
    <t>基金AUM</t>
    <phoneticPr fontId="13" type="noConversion"/>
  </si>
  <si>
    <t>外國債AUM</t>
    <phoneticPr fontId="13" type="noConversion"/>
  </si>
  <si>
    <t>保險AUM</t>
  </si>
  <si>
    <t>基金+外國債+保險
AUM合計</t>
    <phoneticPr fontId="13" type="noConversion"/>
  </si>
  <si>
    <t>分行別</t>
    <phoneticPr fontId="13" type="noConversion"/>
  </si>
  <si>
    <t>12月</t>
  </si>
  <si>
    <t>(F)</t>
    <phoneticPr fontId="13" type="noConversion"/>
  </si>
  <si>
    <t>(G)</t>
    <phoneticPr fontId="13" type="noConversion"/>
  </si>
  <si>
    <t>(H)</t>
    <phoneticPr fontId="13" type="noConversion"/>
  </si>
  <si>
    <t>(I)</t>
    <phoneticPr fontId="13" type="noConversion"/>
  </si>
  <si>
    <t>(J)</t>
    <phoneticPr fontId="13" type="noConversion"/>
  </si>
  <si>
    <t>(K)</t>
    <phoneticPr fontId="13" type="noConversion"/>
  </si>
  <si>
    <t>(L)</t>
    <phoneticPr fontId="13" type="noConversion"/>
  </si>
  <si>
    <t>(M) =
SUM(A:L)</t>
    <phoneticPr fontId="13" type="noConversion"/>
  </si>
  <si>
    <t>7.財富管理手續費收入-達成率% (G3) = (G1) / (G2)</t>
  </si>
  <si>
    <t>111年度</t>
    <phoneticPr fontId="13" type="noConversion"/>
  </si>
  <si>
    <t>112年度</t>
    <phoneticPr fontId="13" type="noConversion"/>
  </si>
  <si>
    <t>★業績缺額=(111年1-11月年化實績-111年目標)*0.05</t>
    <phoneticPr fontId="13" type="noConversion"/>
  </si>
  <si>
    <t>要改!!!!</t>
    <phoneticPr fontId="13" type="noConversion"/>
  </si>
  <si>
    <t>-</t>
    <phoneticPr fontId="13" type="noConversion"/>
  </si>
  <si>
    <t>全行</t>
    <phoneticPr fontId="13" type="noConversion"/>
  </si>
  <si>
    <t>H</t>
    <phoneticPr fontId="13" type="noConversion"/>
  </si>
  <si>
    <t>分行名稱</t>
    <phoneticPr fontId="63" type="noConversion"/>
  </si>
  <si>
    <t>潭美分行</t>
  </si>
  <si>
    <t>潭美分行</t>
    <phoneticPr fontId="13" type="noConversion"/>
  </si>
  <si>
    <t>7.財富管理手續費收入-區排名 (G4)</t>
  </si>
  <si>
    <t>7.財富管理手續費收入-全行排名 (G5)</t>
  </si>
  <si>
    <t>7.財富管理手續費收入-協銷比例% (G6) = 協銷金額 / (G1)</t>
  </si>
  <si>
    <t>7.財富管理手續費收入-協銷達成率% (G7) = 協銷金額 / (G2)</t>
  </si>
  <si>
    <t>8.基金通路服務費-實績 (H1)</t>
  </si>
  <si>
    <t>8.基金通路服務費-目標 (H2)</t>
  </si>
  <si>
    <t>8.基金通路服務費-達成率% (H3) = (H1) / (H2)</t>
  </si>
  <si>
    <t>8.基金通路服務費-區排名 (H4)</t>
  </si>
  <si>
    <t>8.基金通路服務費-全行排名 (H5)</t>
  </si>
  <si>
    <t>8.基金通路服務費-協銷比例% (H6) = 協銷金額 / (H1)</t>
  </si>
  <si>
    <t>8.基金通路服務費-協銷達成率% (H7) = 協銷金額 / (H2)</t>
  </si>
  <si>
    <t>[20/46]</t>
  </si>
  <si>
    <t>[76/187]</t>
  </si>
  <si>
    <t>[41/46]</t>
  </si>
  <si>
    <t>[180/187]</t>
  </si>
  <si>
    <t>[29/46]</t>
  </si>
  <si>
    <t>[108/187]</t>
  </si>
  <si>
    <t>[17/46]</t>
  </si>
  <si>
    <t>[38/187]</t>
  </si>
  <si>
    <t>[1/46]</t>
  </si>
  <si>
    <t>[1/187]</t>
  </si>
  <si>
    <t>[19/46]</t>
  </si>
  <si>
    <t>[68/187]</t>
  </si>
  <si>
    <t>[43/46]</t>
  </si>
  <si>
    <t>[182/187]</t>
  </si>
  <si>
    <t>[38/46]</t>
  </si>
  <si>
    <t>[136/187]</t>
  </si>
  <si>
    <t>[37/46]</t>
  </si>
  <si>
    <t>[176/187]</t>
  </si>
  <si>
    <t>[6/46]</t>
  </si>
  <si>
    <t>[22/187]</t>
  </si>
  <si>
    <t>[179/187]</t>
  </si>
  <si>
    <t>[26/46]</t>
  </si>
  <si>
    <t>[93/187]</t>
  </si>
  <si>
    <t>[44/46]</t>
  </si>
  <si>
    <t>[183/187]</t>
  </si>
  <si>
    <t>[56/187]</t>
  </si>
  <si>
    <t>[21/46]</t>
  </si>
  <si>
    <t>[74/187]</t>
  </si>
  <si>
    <t>[9/46]</t>
  </si>
  <si>
    <t>[21/187]</t>
  </si>
  <si>
    <t>[40/46]</t>
  </si>
  <si>
    <t>[147/187]</t>
  </si>
  <si>
    <t>[2/187]</t>
  </si>
  <si>
    <t>[15/46]</t>
  </si>
  <si>
    <t>[51/187]</t>
  </si>
  <si>
    <t>[10/46]</t>
  </si>
  <si>
    <t>[63/187]</t>
  </si>
  <si>
    <t>[91/187]</t>
  </si>
  <si>
    <t>[28/46]</t>
  </si>
  <si>
    <t>[104/187]</t>
  </si>
  <si>
    <t>[106/187]</t>
  </si>
  <si>
    <t>[14/46]</t>
  </si>
  <si>
    <t>[72/187]</t>
  </si>
  <si>
    <t>[88/187]</t>
  </si>
  <si>
    <t>[35/46]</t>
  </si>
  <si>
    <t>[173/187]</t>
  </si>
  <si>
    <t>[60/187]</t>
  </si>
  <si>
    <t>[35/187]</t>
  </si>
  <si>
    <t>[39/46]</t>
  </si>
  <si>
    <t>[146/187]</t>
  </si>
  <si>
    <t>[168/187]</t>
  </si>
  <si>
    <t>[137/187]</t>
  </si>
  <si>
    <t>[12/46]</t>
  </si>
  <si>
    <t>[97/187]</t>
  </si>
  <si>
    <t>[23/46]</t>
  </si>
  <si>
    <t>[83/187]</t>
  </si>
  <si>
    <t>[3/46]</t>
  </si>
  <si>
    <t>[10/187]</t>
  </si>
  <si>
    <t>[9/187]</t>
  </si>
  <si>
    <t>[130/187]</t>
  </si>
  <si>
    <t>[44/187]</t>
  </si>
  <si>
    <t>[174/187]</t>
  </si>
  <si>
    <t>[16/46]</t>
  </si>
  <si>
    <t>[8/46]</t>
  </si>
  <si>
    <t>[16/187]</t>
  </si>
  <si>
    <t>[27/46]</t>
  </si>
  <si>
    <t>[163/187]</t>
  </si>
  <si>
    <t>[11/187]</t>
  </si>
  <si>
    <t>[2/46]</t>
  </si>
  <si>
    <t>[4/187]</t>
  </si>
  <si>
    <t>[11/46]</t>
  </si>
  <si>
    <t>[50/187]</t>
  </si>
  <si>
    <t>[48/187]</t>
  </si>
  <si>
    <t>[78/187]</t>
  </si>
  <si>
    <t>[5/46]</t>
  </si>
  <si>
    <t>[20/187]</t>
  </si>
  <si>
    <t>[45/187]</t>
  </si>
  <si>
    <t>[24/46]</t>
  </si>
  <si>
    <t>[86/187]</t>
  </si>
  <si>
    <t>[178/187]</t>
  </si>
  <si>
    <t>[151/187]</t>
  </si>
  <si>
    <t>[4/46]</t>
  </si>
  <si>
    <t>[26/187]</t>
  </si>
  <si>
    <t>[32/46]</t>
  </si>
  <si>
    <t>[122/187]</t>
  </si>
  <si>
    <t>[34/46]</t>
  </si>
  <si>
    <t>[131/187]</t>
  </si>
  <si>
    <t>[42/46]</t>
  </si>
  <si>
    <t>[155/187]</t>
  </si>
  <si>
    <t>[55/187]</t>
  </si>
  <si>
    <t>[6/187]</t>
  </si>
  <si>
    <t>[46/46]</t>
  </si>
  <si>
    <t>[185/187]</t>
  </si>
  <si>
    <t>[32/187]</t>
  </si>
  <si>
    <t>[25/46]</t>
  </si>
  <si>
    <t>[142/187]</t>
  </si>
  <si>
    <t>[157/187]</t>
  </si>
  <si>
    <t>[33/46]</t>
  </si>
  <si>
    <t>[120/187]</t>
  </si>
  <si>
    <t>[45/46]</t>
  </si>
  <si>
    <t>[184/187]</t>
  </si>
  <si>
    <t>[15/187]</t>
  </si>
  <si>
    <t>[127/187]</t>
  </si>
  <si>
    <t>[7/187]</t>
  </si>
  <si>
    <t>[13/46]</t>
  </si>
  <si>
    <t>[8/187]</t>
  </si>
  <si>
    <t>[133/187]</t>
  </si>
  <si>
    <t>[70/187]</t>
  </si>
  <si>
    <t>[164/187]</t>
  </si>
  <si>
    <t>[13/187]</t>
  </si>
  <si>
    <t>[123/187]</t>
  </si>
  <si>
    <t>[22/46]</t>
  </si>
  <si>
    <t>[37/187]</t>
  </si>
  <si>
    <t>[19/187]</t>
  </si>
  <si>
    <t>[171/187]</t>
  </si>
  <si>
    <t>[169/187]</t>
  </si>
  <si>
    <t>[119/187]</t>
  </si>
  <si>
    <t>[150/187]</t>
  </si>
  <si>
    <t>[36/46]</t>
  </si>
  <si>
    <t>[170/187]</t>
  </si>
  <si>
    <t>[79/187]</t>
  </si>
  <si>
    <t>[94/187]</t>
  </si>
  <si>
    <t>[166/187]</t>
  </si>
  <si>
    <t>[7/46]</t>
  </si>
  <si>
    <t>[135/187]</t>
  </si>
  <si>
    <t>[109/187]</t>
  </si>
  <si>
    <t>[152/187]</t>
  </si>
  <si>
    <t>[66/187]</t>
  </si>
  <si>
    <t>[28/187]</t>
  </si>
  <si>
    <t>[141/187]</t>
  </si>
  <si>
    <t>[43/187]</t>
  </si>
  <si>
    <t>[30/46]</t>
  </si>
  <si>
    <t>[167/187]</t>
  </si>
  <si>
    <t>[82/187]</t>
  </si>
  <si>
    <t>[41/187]</t>
  </si>
  <si>
    <t>[31/187]</t>
  </si>
  <si>
    <t>[47/187]</t>
  </si>
  <si>
    <t>[162/187]</t>
  </si>
  <si>
    <t>[110/187]</t>
  </si>
  <si>
    <t>[75/187]</t>
  </si>
  <si>
    <t>[89/187]</t>
  </si>
  <si>
    <t>[116/187]</t>
  </si>
  <si>
    <t>[18/46]</t>
  </si>
  <si>
    <t>[39/187]</t>
  </si>
  <si>
    <t>[90/187]</t>
  </si>
  <si>
    <t>[153/187]</t>
  </si>
  <si>
    <t>[115/187]</t>
  </si>
  <si>
    <t>[145/187]</t>
  </si>
  <si>
    <t>[111/187]</t>
  </si>
  <si>
    <t>[87/187]</t>
  </si>
  <si>
    <t>[85/187]</t>
  </si>
  <si>
    <t>[172/187]</t>
  </si>
  <si>
    <t>[181/187]</t>
  </si>
  <si>
    <t>[18/187]</t>
  </si>
  <si>
    <t>[128/187]</t>
  </si>
  <si>
    <t>[154/187]</t>
  </si>
  <si>
    <t>[98/187]</t>
  </si>
  <si>
    <t>[31/46]</t>
  </si>
  <si>
    <t>[121/187]</t>
  </si>
  <si>
    <t>[156/187]</t>
  </si>
  <si>
    <t>[92/187]</t>
  </si>
  <si>
    <t>[100/187]</t>
  </si>
  <si>
    <t>[175/187]</t>
  </si>
  <si>
    <t>[67/187]</t>
  </si>
  <si>
    <t>[24/187]</t>
  </si>
  <si>
    <t>[134/187]</t>
  </si>
  <si>
    <t>[177/187]</t>
  </si>
  <si>
    <t>[80/187]</t>
  </si>
  <si>
    <t>[61/187]</t>
  </si>
  <si>
    <t>[117/187]</t>
  </si>
  <si>
    <t>[54/187]</t>
  </si>
  <si>
    <t>[62/187]</t>
  </si>
  <si>
    <t>[29/187]</t>
  </si>
  <si>
    <t>[139/187]</t>
  </si>
  <si>
    <t>[23/187]</t>
  </si>
  <si>
    <t>[59/187]</t>
  </si>
  <si>
    <t>[3/187]</t>
  </si>
  <si>
    <t>[77/187]</t>
  </si>
  <si>
    <t>[144/187]</t>
  </si>
  <si>
    <t>[33/187]</t>
  </si>
  <si>
    <t>[36/187]</t>
  </si>
  <si>
    <t>[30/187]</t>
  </si>
  <si>
    <t>[46/187]</t>
  </si>
  <si>
    <t>[140/187]</t>
  </si>
  <si>
    <t>[96/187]</t>
  </si>
  <si>
    <t>[112/187]</t>
  </si>
  <si>
    <t>[158/187]</t>
  </si>
  <si>
    <t>[58/187]</t>
  </si>
  <si>
    <t>[126/187]</t>
  </si>
  <si>
    <t>[159/187]</t>
  </si>
  <si>
    <t>[138/187]</t>
  </si>
  <si>
    <t>[132/187]</t>
  </si>
  <si>
    <t>[34/187]</t>
  </si>
  <si>
    <t>[52/187]</t>
  </si>
  <si>
    <t>[57/187]</t>
  </si>
  <si>
    <t>[161/187]</t>
  </si>
  <si>
    <t>[40/187]</t>
  </si>
  <si>
    <t>[71/187]</t>
  </si>
  <si>
    <t>[101/187]</t>
  </si>
  <si>
    <t>[160/187]</t>
  </si>
  <si>
    <t>[129/187]</t>
  </si>
  <si>
    <t>[42/187]</t>
  </si>
  <si>
    <t>[125/187]</t>
  </si>
  <si>
    <t>[17/187]</t>
  </si>
  <si>
    <t>[73/187]</t>
  </si>
  <si>
    <t>[107/187]</t>
  </si>
  <si>
    <t>[64/187]</t>
  </si>
  <si>
    <t>[114/187]</t>
  </si>
  <si>
    <t>[53/187]</t>
  </si>
  <si>
    <t>[113/187]</t>
  </si>
  <si>
    <t>[14/187]</t>
  </si>
  <si>
    <t>[99/187]</t>
  </si>
  <si>
    <t>[12/187]</t>
  </si>
  <si>
    <t>[149/187]</t>
  </si>
  <si>
    <t>[165/187]</t>
  </si>
  <si>
    <t>[95/187]</t>
  </si>
  <si>
    <t>[49/187]</t>
  </si>
  <si>
    <t>[186/187]</t>
  </si>
  <si>
    <t>[118/187]</t>
  </si>
  <si>
    <t>[84/187]</t>
  </si>
  <si>
    <t>[102/187]</t>
  </si>
  <si>
    <t>[69/187]</t>
  </si>
  <si>
    <t>[65/187]</t>
  </si>
  <si>
    <t>[5/187]</t>
  </si>
  <si>
    <t>[81/187]</t>
  </si>
  <si>
    <t>[148/187]</t>
  </si>
  <si>
    <t>[105/187]</t>
  </si>
  <si>
    <t>[27/187]</t>
  </si>
  <si>
    <t>[143/187]</t>
  </si>
  <si>
    <t>[124/187]</t>
  </si>
  <si>
    <t>[25/187]</t>
  </si>
  <si>
    <t>[103/187]</t>
  </si>
  <si>
    <r>
      <t>保險(1-12業績</t>
    </r>
    <r>
      <rPr>
        <sz val="12"/>
        <color indexed="10"/>
        <rFont val="新細明體"/>
        <family val="1"/>
        <charset val="136"/>
      </rPr>
      <t>)</t>
    </r>
    <phoneticPr fontId="35" type="noConversion"/>
  </si>
  <si>
    <r>
      <t>信託(1-12業績</t>
    </r>
    <r>
      <rPr>
        <sz val="12"/>
        <color indexed="10"/>
        <rFont val="新細明體"/>
        <family val="1"/>
        <charset val="136"/>
      </rPr>
      <t>)</t>
    </r>
    <phoneticPr fontId="35" type="noConversion"/>
  </si>
  <si>
    <t>合計(1-12業績)</t>
    <phoneticPr fontId="13" type="noConversion"/>
  </si>
  <si>
    <t>64歲以下</t>
    <phoneticPr fontId="13" type="noConversion"/>
  </si>
  <si>
    <t>潭美分行　　　　　　</t>
  </si>
  <si>
    <t>華南銀行八德分行　　</t>
  </si>
  <si>
    <t>113年度</t>
    <phoneticPr fontId="13" type="noConversion"/>
  </si>
  <si>
    <t>理專分行別</t>
  </si>
  <si>
    <t>理專代號</t>
  </si>
  <si>
    <t>基金餘額</t>
  </si>
  <si>
    <t>集合管理餘額</t>
  </si>
  <si>
    <t>HB14717</t>
  </si>
  <si>
    <t>HB15924</t>
  </si>
  <si>
    <t>HB6906</t>
  </si>
  <si>
    <t>HB14721</t>
  </si>
  <si>
    <t>HB9935</t>
  </si>
  <si>
    <t>HB16941</t>
  </si>
  <si>
    <t>HB15570</t>
  </si>
  <si>
    <t>HB11100</t>
  </si>
  <si>
    <t>HB14751</t>
  </si>
  <si>
    <t>HB11500</t>
  </si>
  <si>
    <t>HB13007</t>
  </si>
  <si>
    <t>HB15810</t>
  </si>
  <si>
    <t>HB18277</t>
  </si>
  <si>
    <t>HB18891</t>
  </si>
  <si>
    <t>HB18583</t>
  </si>
  <si>
    <t>HB17926</t>
  </si>
  <si>
    <t>HB14946</t>
  </si>
  <si>
    <t>HB18556</t>
  </si>
  <si>
    <t>HB9231</t>
  </si>
  <si>
    <t>HB13562</t>
  </si>
  <si>
    <t>HB15190</t>
  </si>
  <si>
    <t>HB17834</t>
  </si>
  <si>
    <t>HB17525</t>
  </si>
  <si>
    <t>HB13339</t>
  </si>
  <si>
    <t>HB16734</t>
  </si>
  <si>
    <t>HB10600</t>
  </si>
  <si>
    <t>HB15434</t>
  </si>
  <si>
    <t>HB1581</t>
  </si>
  <si>
    <t>HB9162</t>
  </si>
  <si>
    <t>HB17681</t>
  </si>
  <si>
    <t>HB13549</t>
  </si>
  <si>
    <t>HB16106</t>
  </si>
  <si>
    <t>HB16100</t>
  </si>
  <si>
    <t>HB15470</t>
  </si>
  <si>
    <t>HB13270</t>
  </si>
  <si>
    <t>HB12577</t>
  </si>
  <si>
    <t>HB16773</t>
  </si>
  <si>
    <t>HB17966</t>
  </si>
  <si>
    <t>HB17071</t>
  </si>
  <si>
    <t>HB15860</t>
  </si>
  <si>
    <t>HB16899</t>
  </si>
  <si>
    <t>HB15069</t>
  </si>
  <si>
    <t>HB15188</t>
  </si>
  <si>
    <t>HB12478</t>
  </si>
  <si>
    <t>HB15191</t>
  </si>
  <si>
    <t>HB15052</t>
  </si>
  <si>
    <t>HB13557</t>
  </si>
  <si>
    <t>HB8833</t>
  </si>
  <si>
    <t>HB13406</t>
  </si>
  <si>
    <t>HB12010</t>
  </si>
  <si>
    <t>HB15827</t>
  </si>
  <si>
    <t>HB17072</t>
  </si>
  <si>
    <t>HB12606</t>
  </si>
  <si>
    <t>HB17534</t>
  </si>
  <si>
    <t>HB13932</t>
  </si>
  <si>
    <t>HB15834</t>
  </si>
  <si>
    <t>HB9105</t>
  </si>
  <si>
    <t>HB15237</t>
  </si>
  <si>
    <t>HB13332</t>
  </si>
  <si>
    <t>HB8470</t>
  </si>
  <si>
    <t>HB14597</t>
  </si>
  <si>
    <t>HB11974</t>
  </si>
  <si>
    <t>HB7822</t>
  </si>
  <si>
    <t>HB13464</t>
  </si>
  <si>
    <t>HB15968</t>
  </si>
  <si>
    <t>HB15436</t>
  </si>
  <si>
    <t>HB16367</t>
  </si>
  <si>
    <t>HB14881</t>
  </si>
  <si>
    <t>HB15602</t>
  </si>
  <si>
    <t>HB18610</t>
  </si>
  <si>
    <t>HB11657</t>
  </si>
  <si>
    <t>HB16902</t>
  </si>
  <si>
    <t>HB15858</t>
  </si>
  <si>
    <t>HB7924</t>
  </si>
  <si>
    <t>HB13583</t>
  </si>
  <si>
    <t>HB13330</t>
  </si>
  <si>
    <t>HB16376</t>
  </si>
  <si>
    <t>HB14773</t>
  </si>
  <si>
    <t>HB10758</t>
  </si>
  <si>
    <t>HB15869</t>
  </si>
  <si>
    <t>HB17932</t>
  </si>
  <si>
    <t>HB12398</t>
  </si>
  <si>
    <t>HB9695</t>
  </si>
  <si>
    <t>HB17078</t>
  </si>
  <si>
    <t>HB12924</t>
  </si>
  <si>
    <t>HB17181</t>
  </si>
  <si>
    <t>HB13074</t>
  </si>
  <si>
    <t>HB17249</t>
  </si>
  <si>
    <t>HB18063</t>
  </si>
  <si>
    <t>HB14742</t>
  </si>
  <si>
    <t>HB9232</t>
  </si>
  <si>
    <t>HB17028</t>
  </si>
  <si>
    <t>HB10707</t>
  </si>
  <si>
    <t>HB16097</t>
  </si>
  <si>
    <t>HB14880</t>
  </si>
  <si>
    <t>HB16104</t>
  </si>
  <si>
    <t>HB12091</t>
  </si>
  <si>
    <t>HB16364</t>
  </si>
  <si>
    <t>HB13335</t>
  </si>
  <si>
    <t>HB13362</t>
  </si>
  <si>
    <t>HB13559</t>
  </si>
  <si>
    <t>HB16134</t>
  </si>
  <si>
    <t>HB15982</t>
  </si>
  <si>
    <t>HB13572</t>
  </si>
  <si>
    <t>HB8038</t>
  </si>
  <si>
    <t>HB16128</t>
  </si>
  <si>
    <t>HB15808</t>
  </si>
  <si>
    <t>HB12393</t>
  </si>
  <si>
    <t>HB9731</t>
  </si>
  <si>
    <t>HB16149</t>
  </si>
  <si>
    <t>HB15184</t>
  </si>
  <si>
    <t>HB14617</t>
  </si>
  <si>
    <t>HB13588</t>
  </si>
  <si>
    <t>HB12229</t>
  </si>
  <si>
    <t>HB13445</t>
  </si>
  <si>
    <t>HB14744</t>
  </si>
  <si>
    <t>HB14032</t>
  </si>
  <si>
    <t>HB16934</t>
  </si>
  <si>
    <t>HB18287</t>
  </si>
  <si>
    <t>HB3667</t>
  </si>
  <si>
    <t>HB7345</t>
  </si>
  <si>
    <t>HB8017</t>
  </si>
  <si>
    <t>HB11484</t>
  </si>
  <si>
    <t>HB10910</t>
  </si>
  <si>
    <t>HB14729</t>
  </si>
  <si>
    <t>HB7775</t>
  </si>
  <si>
    <t>HB14967</t>
  </si>
  <si>
    <t>HB7213</t>
  </si>
  <si>
    <t>HB11922</t>
  </si>
  <si>
    <t>HB14763</t>
  </si>
  <si>
    <t>HB16349</t>
  </si>
  <si>
    <t>HB9280</t>
  </si>
  <si>
    <t>HB7919</t>
  </si>
  <si>
    <t>HB16107</t>
  </si>
  <si>
    <t>HB12462</t>
  </si>
  <si>
    <t>HB0481</t>
  </si>
  <si>
    <t>HB15819</t>
  </si>
  <si>
    <t>HB16390</t>
  </si>
  <si>
    <t>HB17086</t>
  </si>
  <si>
    <t>HB15561</t>
  </si>
  <si>
    <t>HB7758</t>
  </si>
  <si>
    <t>HB14909</t>
  </si>
  <si>
    <t>HB13282</t>
  </si>
  <si>
    <t>HB15586</t>
  </si>
  <si>
    <t>HB8060</t>
  </si>
  <si>
    <t>HB16031</t>
  </si>
  <si>
    <t>HB16150</t>
  </si>
  <si>
    <t>HB13585</t>
  </si>
  <si>
    <t>HB7089</t>
  </si>
  <si>
    <t>HB17120</t>
  </si>
  <si>
    <t>HB17167</t>
  </si>
  <si>
    <t>HB17074</t>
  </si>
  <si>
    <t>HB9466</t>
  </si>
  <si>
    <t>HB16447</t>
  </si>
  <si>
    <t>HB9728</t>
  </si>
  <si>
    <t>HB15187</t>
  </si>
  <si>
    <t>HB8056</t>
  </si>
  <si>
    <t>HB15930</t>
  </si>
  <si>
    <t>HB15855</t>
  </si>
  <si>
    <t>HB16102</t>
  </si>
  <si>
    <t>HB14911</t>
  </si>
  <si>
    <t>HB17486</t>
  </si>
  <si>
    <t>HB16724</t>
  </si>
  <si>
    <t>HB16145</t>
  </si>
  <si>
    <t>HB15485</t>
  </si>
  <si>
    <t>HB14963</t>
  </si>
  <si>
    <t>HB14480</t>
  </si>
  <si>
    <t>HB14790</t>
  </si>
  <si>
    <t>HB15816</t>
  </si>
  <si>
    <t>HB13587</t>
  </si>
  <si>
    <t>HB7298</t>
  </si>
  <si>
    <t>HB11106</t>
  </si>
  <si>
    <t>HB15399</t>
  </si>
  <si>
    <t>HB8217</t>
  </si>
  <si>
    <t>HB11983</t>
  </si>
  <si>
    <t>HB12561</t>
  </si>
  <si>
    <t>HB18181</t>
  </si>
  <si>
    <t>HB7129</t>
  </si>
  <si>
    <t>HB14715</t>
  </si>
  <si>
    <t>HB16949</t>
  </si>
  <si>
    <t>HB17168</t>
  </si>
  <si>
    <t>HB10610</t>
  </si>
  <si>
    <t>HB14552</t>
  </si>
  <si>
    <t>HB18724</t>
  </si>
  <si>
    <t>HB16152</t>
  </si>
  <si>
    <t>HB18493</t>
  </si>
  <si>
    <t>HB14117</t>
  </si>
  <si>
    <t>HB14479</t>
  </si>
  <si>
    <t>HB14964</t>
  </si>
  <si>
    <t>HB16120</t>
  </si>
  <si>
    <t>HB13913</t>
  </si>
  <si>
    <t>HB13591</t>
  </si>
  <si>
    <t>HB14962</t>
  </si>
  <si>
    <t>HB14130</t>
  </si>
  <si>
    <t>HB13584</t>
  </si>
  <si>
    <t>HB14554</t>
  </si>
  <si>
    <t>HB17655</t>
  </si>
  <si>
    <t>HB16033</t>
  </si>
  <si>
    <t>HB14129</t>
  </si>
  <si>
    <t>HB14923</t>
  </si>
  <si>
    <t>HB12265</t>
  </si>
  <si>
    <t>HB14843</t>
  </si>
  <si>
    <t>HB11963</t>
  </si>
  <si>
    <t>HB12078</t>
  </si>
  <si>
    <t>HB14730</t>
  </si>
  <si>
    <t>HB15830</t>
  </si>
  <si>
    <t>HB16137</t>
  </si>
  <si>
    <t>HB14128</t>
  </si>
  <si>
    <t>HB9532</t>
  </si>
  <si>
    <t>HB16900</t>
  </si>
  <si>
    <t>HB14731</t>
  </si>
  <si>
    <t>HB15606</t>
  </si>
  <si>
    <t>HB14607</t>
  </si>
  <si>
    <t>HB9252</t>
  </si>
  <si>
    <t>HB16830</t>
  </si>
  <si>
    <t>HB11482</t>
  </si>
  <si>
    <t>HB16034</t>
  </si>
  <si>
    <t>HB15246</t>
  </si>
  <si>
    <t>HB9467</t>
  </si>
  <si>
    <t>HB16654</t>
  </si>
  <si>
    <t>HB17835</t>
  </si>
  <si>
    <t>HB14723</t>
  </si>
  <si>
    <t>HB13348</t>
  </si>
  <si>
    <t>HB15182</t>
  </si>
  <si>
    <t>HB14555</t>
  </si>
  <si>
    <t>HB10241</t>
  </si>
  <si>
    <t>HB16898</t>
  </si>
  <si>
    <t>HB10734</t>
  </si>
  <si>
    <t>HB14749</t>
  </si>
  <si>
    <t>HB15423</t>
  </si>
  <si>
    <t>HB16661</t>
  </si>
  <si>
    <t>HB13083</t>
  </si>
  <si>
    <t>HB10384</t>
  </si>
  <si>
    <t>HB8539</t>
  </si>
  <si>
    <t>HB13873</t>
  </si>
  <si>
    <t>HB16879</t>
  </si>
  <si>
    <t>HB15831</t>
  </si>
  <si>
    <t>HB15820</t>
  </si>
  <si>
    <t>HB17527</t>
  </si>
  <si>
    <t>HB12329</t>
  </si>
  <si>
    <t>HB10527</t>
  </si>
  <si>
    <t>HB16215</t>
  </si>
  <si>
    <t>HB8196</t>
  </si>
  <si>
    <t>HB17076</t>
  </si>
  <si>
    <t>HB15430</t>
  </si>
  <si>
    <t>HB17656</t>
  </si>
  <si>
    <t>HB9795</t>
  </si>
  <si>
    <t>HB17182</t>
  </si>
  <si>
    <t>HB16121</t>
  </si>
  <si>
    <t>HB15028</t>
  </si>
  <si>
    <t>HB17106</t>
  </si>
  <si>
    <t>HB16101</t>
  </si>
  <si>
    <t>HB18883</t>
  </si>
  <si>
    <t>HB18174</t>
  </si>
  <si>
    <t>HB11389</t>
  </si>
  <si>
    <t>HB17024</t>
  </si>
  <si>
    <t>HB10410</t>
  </si>
  <si>
    <t>HB16908</t>
  </si>
  <si>
    <t>HB16355</t>
  </si>
  <si>
    <t>HB14750</t>
  </si>
  <si>
    <t>HB10689</t>
  </si>
  <si>
    <t>HB13349</t>
  </si>
  <si>
    <t>HB10017</t>
  </si>
  <si>
    <t>HB7241</t>
  </si>
  <si>
    <t>HB9803</t>
  </si>
  <si>
    <t>HB12553</t>
  </si>
  <si>
    <t>HB10994</t>
  </si>
  <si>
    <t>HB8583</t>
  </si>
  <si>
    <t>HB14242</t>
  </si>
  <si>
    <t>HB6323</t>
  </si>
  <si>
    <t>HB4566</t>
  </si>
  <si>
    <t>HB9794</t>
  </si>
  <si>
    <t>HB16486</t>
  </si>
  <si>
    <t>HB4642</t>
  </si>
  <si>
    <t>HB10203</t>
  </si>
  <si>
    <t>HB11704</t>
  </si>
  <si>
    <t>HB14132</t>
  </si>
  <si>
    <t>HB13450</t>
  </si>
  <si>
    <t>HB16910</t>
  </si>
  <si>
    <t>HB12750</t>
  </si>
  <si>
    <t>HB12997</t>
  </si>
  <si>
    <t>HB16098</t>
  </si>
  <si>
    <t>HB16122</t>
  </si>
  <si>
    <t>HB10239</t>
  </si>
  <si>
    <t>HB11806</t>
  </si>
  <si>
    <t>HB14624</t>
  </si>
  <si>
    <t>HB14121</t>
  </si>
  <si>
    <t>HB17528</t>
  </si>
  <si>
    <t>HB14133</t>
  </si>
  <si>
    <t>HB11249</t>
  </si>
  <si>
    <t>HB14884</t>
  </si>
  <si>
    <t>HB13600</t>
  </si>
  <si>
    <t>HB16232</t>
  </si>
  <si>
    <t>HB10310</t>
  </si>
  <si>
    <t>HB14471</t>
  </si>
  <si>
    <t>HB14949</t>
  </si>
  <si>
    <t>HB16881</t>
  </si>
  <si>
    <t>HB13084</t>
  </si>
  <si>
    <t>HB14966</t>
  </si>
  <si>
    <t>HB17087</t>
  </si>
  <si>
    <t>HB14336</t>
  </si>
  <si>
    <t>HB14726</t>
  </si>
  <si>
    <t>HB10156</t>
  </si>
  <si>
    <t>HB15419</t>
  </si>
  <si>
    <t>HB13539</t>
  </si>
  <si>
    <t>HB16237</t>
  </si>
  <si>
    <t>HB11383</t>
  </si>
  <si>
    <t>HB10087</t>
  </si>
  <si>
    <t>HB12752</t>
  </si>
  <si>
    <t>HB16156</t>
  </si>
  <si>
    <t>HB16366</t>
  </si>
  <si>
    <t>HB13598</t>
  </si>
  <si>
    <t>HB9923</t>
  </si>
  <si>
    <t>HB16357</t>
  </si>
  <si>
    <t>HB10662</t>
  </si>
  <si>
    <t>HB13599</t>
  </si>
  <si>
    <t>HB17247</t>
  </si>
  <si>
    <t>HB7798</t>
  </si>
  <si>
    <t>HB12523</t>
  </si>
  <si>
    <t>HB17073</t>
  </si>
  <si>
    <t>HB14175</t>
  </si>
  <si>
    <t>HB7716</t>
  </si>
  <si>
    <t>HB17530</t>
  </si>
  <si>
    <t>HB10250</t>
  </si>
  <si>
    <t>HB14727</t>
  </si>
  <si>
    <t>HB16401</t>
  </si>
  <si>
    <t>HB14124</t>
  </si>
  <si>
    <t>HB14557</t>
  </si>
  <si>
    <t>HB18064</t>
  </si>
  <si>
    <t>HB15410</t>
  </si>
  <si>
    <t>HB13544</t>
  </si>
  <si>
    <t>HB14735</t>
  </si>
  <si>
    <t>HB7062</t>
  </si>
  <si>
    <t>HB15595</t>
  </si>
  <si>
    <t>HB10844</t>
  </si>
  <si>
    <t>HB13029</t>
  </si>
  <si>
    <t>HB13545</t>
  </si>
  <si>
    <t>HB18015</t>
  </si>
  <si>
    <t>HB16650</t>
  </si>
  <si>
    <t>HB16402</t>
  </si>
  <si>
    <t>HB13569</t>
  </si>
  <si>
    <t>HB17176</t>
  </si>
  <si>
    <t>HB17650</t>
  </si>
  <si>
    <t>HB10335</t>
  </si>
  <si>
    <t>HB13355</t>
  </si>
  <si>
    <t>HB11016</t>
  </si>
  <si>
    <t>HB7667</t>
  </si>
  <si>
    <t>HB18494</t>
  </si>
  <si>
    <t>HB9023</t>
  </si>
  <si>
    <t>HB9011</t>
  </si>
  <si>
    <t>HB14241</t>
  </si>
  <si>
    <t>HB12176</t>
  </si>
  <si>
    <t>HB15355</t>
  </si>
  <si>
    <t>HB7809</t>
  </si>
  <si>
    <t>HB11118</t>
  </si>
  <si>
    <t>傳統型保險躉繳</t>
  </si>
  <si>
    <t>傳統型分期繳</t>
  </si>
  <si>
    <t>投資型躉繳</t>
  </si>
  <si>
    <t>投資型分期繳</t>
  </si>
  <si>
    <t>外國債券餘額</t>
  </si>
  <si>
    <t>列標籤</t>
  </si>
  <si>
    <t>加總 - 基金餘額</t>
  </si>
  <si>
    <t>加總 - 傳統型保險躉繳</t>
  </si>
  <si>
    <t>加總 - 傳統型分期繳</t>
  </si>
  <si>
    <t>加總 - 投資型躉繳</t>
  </si>
  <si>
    <t>加總 - 投資型分期繳</t>
  </si>
  <si>
    <t>加總 - 外國債券餘額</t>
  </si>
  <si>
    <t>小於64歲</t>
    <phoneticPr fontId="13" type="noConversion"/>
  </si>
  <si>
    <t>基金</t>
    <phoneticPr fontId="13" type="noConversion"/>
  </si>
  <si>
    <t>外國債</t>
    <phoneticPr fontId="13" type="noConversion"/>
  </si>
  <si>
    <t>65歲~79歲</t>
    <phoneticPr fontId="13" type="noConversion"/>
  </si>
  <si>
    <t>存款指標
25%</t>
    <phoneticPr fontId="13" type="noConversion"/>
  </si>
  <si>
    <t>通路別</t>
    <phoneticPr fontId="13" type="noConversion"/>
  </si>
  <si>
    <t>投資類
AUM指標
25%</t>
    <phoneticPr fontId="13" type="noConversion"/>
  </si>
  <si>
    <t>C</t>
    <phoneticPr fontId="13" type="noConversion"/>
  </si>
  <si>
    <t>D =
 A / C</t>
    <phoneticPr fontId="13" type="noConversion"/>
  </si>
  <si>
    <t>I</t>
    <phoneticPr fontId="13" type="noConversion"/>
  </si>
  <si>
    <t>計數 - 單位代號</t>
  </si>
  <si>
    <t>年度</t>
    <phoneticPr fontId="13" type="noConversion"/>
  </si>
  <si>
    <t>青埔分行</t>
  </si>
  <si>
    <t>113年</t>
    <phoneticPr fontId="35" type="noConversion"/>
  </si>
  <si>
    <t>[76/186]</t>
  </si>
  <si>
    <t>[180/186]</t>
  </si>
  <si>
    <t>[65/186]</t>
  </si>
  <si>
    <t>[55/186]</t>
  </si>
  <si>
    <t>[1/186]</t>
  </si>
  <si>
    <t>[50/186]</t>
  </si>
  <si>
    <t>[177/186]</t>
  </si>
  <si>
    <t>[142/186]</t>
  </si>
  <si>
    <t>[98/186]</t>
  </si>
  <si>
    <t>[127/186]</t>
  </si>
  <si>
    <t>[141/186]</t>
  </si>
  <si>
    <t>[17/186]</t>
  </si>
  <si>
    <t>[121/186]</t>
  </si>
  <si>
    <t>[79/186]</t>
  </si>
  <si>
    <t>[10/186]</t>
  </si>
  <si>
    <t>[153/186]</t>
  </si>
  <si>
    <t>[40/186]</t>
  </si>
  <si>
    <t>[118/186]</t>
  </si>
  <si>
    <t>[111/186]</t>
  </si>
  <si>
    <t>[132/186]</t>
  </si>
  <si>
    <t>[70/186]</t>
  </si>
  <si>
    <t>[72/186]</t>
  </si>
  <si>
    <t>[126/186]</t>
  </si>
  <si>
    <t>[175/186]</t>
  </si>
  <si>
    <t>[179/186]</t>
  </si>
  <si>
    <t>[38/186]</t>
  </si>
  <si>
    <t>[4/186]</t>
  </si>
  <si>
    <t>[116/186]</t>
  </si>
  <si>
    <t>[166/186]</t>
  </si>
  <si>
    <t>[151/186]</t>
  </si>
  <si>
    <t>[74/186]</t>
  </si>
  <si>
    <t>[176/186]</t>
  </si>
  <si>
    <t>[20/186]</t>
  </si>
  <si>
    <t>[159/186]</t>
  </si>
  <si>
    <t>[3/186]</t>
  </si>
  <si>
    <t>[78/186]</t>
  </si>
  <si>
    <t>[123/186]</t>
  </si>
  <si>
    <t>[90/186]</t>
  </si>
  <si>
    <t>[37/186]</t>
  </si>
  <si>
    <t>[36/186]</t>
  </si>
  <si>
    <t>[54/186]</t>
  </si>
  <si>
    <t>[156/186]</t>
  </si>
  <si>
    <t>[2/186]</t>
  </si>
  <si>
    <t>[26/186]</t>
  </si>
  <si>
    <t>[108/186]</t>
  </si>
  <si>
    <t>[34/186]</t>
  </si>
  <si>
    <t>[178/186]</t>
  </si>
  <si>
    <t>[94/186]</t>
  </si>
  <si>
    <t>[25/186]</t>
  </si>
  <si>
    <t>[158/186]</t>
  </si>
  <si>
    <t>[168/186]</t>
  </si>
  <si>
    <t>[107/186]</t>
  </si>
  <si>
    <t>[71/186]</t>
  </si>
  <si>
    <t>[114/186]</t>
  </si>
  <si>
    <t>[117/186]</t>
  </si>
  <si>
    <t>[157/186]</t>
  </si>
  <si>
    <t>[115/186]</t>
  </si>
  <si>
    <t>[27/186]</t>
  </si>
  <si>
    <t>[73/186]</t>
  </si>
  <si>
    <t>[184/186]</t>
  </si>
  <si>
    <t>[95/186]</t>
  </si>
  <si>
    <t>[68/186]</t>
  </si>
  <si>
    <t>[183/186]</t>
  </si>
  <si>
    <t>[5/186]</t>
  </si>
  <si>
    <t>[52/186]</t>
  </si>
  <si>
    <t>[15/186]</t>
  </si>
  <si>
    <t>[104/186]</t>
  </si>
  <si>
    <t>[75/186]</t>
  </si>
  <si>
    <t>[174/186]</t>
  </si>
  <si>
    <t>[102/186]</t>
  </si>
  <si>
    <t>[99/186]</t>
  </si>
  <si>
    <t>[173/186]</t>
  </si>
  <si>
    <t>[84/186]</t>
  </si>
  <si>
    <t>[7/186]</t>
  </si>
  <si>
    <t>[69/186]</t>
  </si>
  <si>
    <t>[135/186]</t>
  </si>
  <si>
    <t>[182/186]</t>
  </si>
  <si>
    <t>[89/186]</t>
  </si>
  <si>
    <t>[64/186]</t>
  </si>
  <si>
    <t>[8/186]</t>
  </si>
  <si>
    <t>[136/186]</t>
  </si>
  <si>
    <t>[22/186]</t>
  </si>
  <si>
    <t>[83/186]</t>
  </si>
  <si>
    <t>[42/186]</t>
  </si>
  <si>
    <t>[133/186]</t>
  </si>
  <si>
    <t>[128/186]</t>
  </si>
  <si>
    <t>[49/186]</t>
  </si>
  <si>
    <t>[150/186]</t>
  </si>
  <si>
    <t>[145/186]</t>
  </si>
  <si>
    <t>[122/186]</t>
  </si>
  <si>
    <t>[120/186]</t>
  </si>
  <si>
    <t>[29/186]</t>
  </si>
  <si>
    <t>[161/186]</t>
  </si>
  <si>
    <t>[56/186]</t>
  </si>
  <si>
    <t>[60/186]</t>
  </si>
  <si>
    <t>[91/186]</t>
  </si>
  <si>
    <t>[105/186]</t>
  </si>
  <si>
    <t>[61/186]</t>
  </si>
  <si>
    <t>[112/186]</t>
  </si>
  <si>
    <t>[58/186]</t>
  </si>
  <si>
    <t>[106/186]</t>
  </si>
  <si>
    <t>[46/186]</t>
  </si>
  <si>
    <t>[45/186]</t>
  </si>
  <si>
    <t>[82/186]</t>
  </si>
  <si>
    <t>[14/186]</t>
  </si>
  <si>
    <t>[140/186]</t>
  </si>
  <si>
    <t>[47/186]</t>
  </si>
  <si>
    <t>[28/186]</t>
  </si>
  <si>
    <t>[172/186]</t>
  </si>
  <si>
    <t>[16/186]</t>
  </si>
  <si>
    <t>[12/186]</t>
  </si>
  <si>
    <t>[77/186]</t>
  </si>
  <si>
    <t>[125/186]</t>
  </si>
  <si>
    <t>[169/186]</t>
  </si>
  <si>
    <t>[23/186]</t>
  </si>
  <si>
    <t>[170/186]</t>
  </si>
  <si>
    <t>[88/186]</t>
  </si>
  <si>
    <t>[19/186]</t>
  </si>
  <si>
    <t>[149/186]</t>
  </si>
  <si>
    <t>[48/186]</t>
  </si>
  <si>
    <t>[44/186]</t>
  </si>
  <si>
    <t>[97/186]</t>
  </si>
  <si>
    <t>[167/186]</t>
  </si>
  <si>
    <t>[171/186]</t>
  </si>
  <si>
    <t>[11/186]</t>
  </si>
  <si>
    <t>[113/186]</t>
  </si>
  <si>
    <t>[138/186]</t>
  </si>
  <si>
    <t>[164/186]</t>
  </si>
  <si>
    <t>[109/186]</t>
  </si>
  <si>
    <t>[119/186]</t>
  </si>
  <si>
    <t>[30/186]</t>
  </si>
  <si>
    <t>[110/186]</t>
  </si>
  <si>
    <t>[18/186]</t>
  </si>
  <si>
    <t>[80/186]</t>
  </si>
  <si>
    <t>[33/186]</t>
  </si>
  <si>
    <t>[124/186]</t>
  </si>
  <si>
    <t>[162/186]</t>
  </si>
  <si>
    <t>[6/186]</t>
  </si>
  <si>
    <t>[154/186]</t>
  </si>
  <si>
    <t>[57/186]</t>
  </si>
  <si>
    <t>[100/186]</t>
  </si>
  <si>
    <t>[181/186]</t>
  </si>
  <si>
    <t>[86/186]</t>
  </si>
  <si>
    <t>[129/186]</t>
  </si>
  <si>
    <t>[92/186]</t>
  </si>
  <si>
    <t>[147/186]</t>
  </si>
  <si>
    <t>[93/186]</t>
  </si>
  <si>
    <t>[21/186]</t>
  </si>
  <si>
    <t>[155/186]</t>
  </si>
  <si>
    <t>[39/186]</t>
  </si>
  <si>
    <t>[144/186]</t>
  </si>
  <si>
    <t>[67/186]</t>
  </si>
  <si>
    <t>[62/186]</t>
  </si>
  <si>
    <t>[31/186]</t>
  </si>
  <si>
    <t>[87/186]</t>
  </si>
  <si>
    <t>[152/186]</t>
  </si>
  <si>
    <t>[101/186]</t>
  </si>
  <si>
    <t>[66/186]</t>
  </si>
  <si>
    <t>[165/186]</t>
  </si>
  <si>
    <t>[131/186]</t>
  </si>
  <si>
    <t>[41/186]</t>
  </si>
  <si>
    <t>[13/186]</t>
  </si>
  <si>
    <t>[160/186]</t>
  </si>
  <si>
    <t>[43/186]</t>
  </si>
  <si>
    <t>[130/186]</t>
  </si>
  <si>
    <t>[81/186]</t>
  </si>
  <si>
    <t>[63/186]</t>
  </si>
  <si>
    <t>[9/186]</t>
  </si>
  <si>
    <t>[146/186]</t>
  </si>
  <si>
    <t>[59/186]</t>
  </si>
  <si>
    <t>[148/186]</t>
  </si>
  <si>
    <t>[137/186]</t>
  </si>
  <si>
    <t>[51/186]</t>
  </si>
  <si>
    <t>[32/186]</t>
  </si>
  <si>
    <t>[143/186]</t>
  </si>
  <si>
    <t>[24/186]</t>
  </si>
  <si>
    <t>[53/186]</t>
  </si>
  <si>
    <t>[163/186]</t>
  </si>
  <si>
    <t>[103/186]</t>
  </si>
  <si>
    <t>[85/186]</t>
  </si>
  <si>
    <t>[134/186]</t>
  </si>
  <si>
    <t>[96/186]</t>
  </si>
  <si>
    <t>[35/186]</t>
  </si>
  <si>
    <t>[139/186]</t>
  </si>
  <si>
    <t>[185/186]</t>
  </si>
  <si>
    <t>青埔分行</t>
    <phoneticPr fontId="13" type="noConversion"/>
  </si>
  <si>
    <t>[36/37]</t>
  </si>
  <si>
    <t>[9/37]</t>
  </si>
  <si>
    <t>[35/37]</t>
  </si>
  <si>
    <t>[24/37]</t>
  </si>
  <si>
    <t>[1/37]</t>
  </si>
  <si>
    <t>[33/37]</t>
  </si>
  <si>
    <t>[28/37]</t>
  </si>
  <si>
    <t>[17/37]</t>
  </si>
  <si>
    <t>[26/37]</t>
  </si>
  <si>
    <t>[6/37]</t>
  </si>
  <si>
    <t>[7/37]</t>
  </si>
  <si>
    <t>[14/37]</t>
  </si>
  <si>
    <t>[20/37]</t>
  </si>
  <si>
    <t>板橋文化分行(已裁撤)</t>
  </si>
  <si>
    <t>[30/37]</t>
  </si>
  <si>
    <t>[5/37]</t>
  </si>
  <si>
    <t>[34/37]</t>
  </si>
  <si>
    <t>[4/37]</t>
  </si>
  <si>
    <t>[2/37]</t>
  </si>
  <si>
    <t>[16/37]</t>
  </si>
  <si>
    <t>[31/37]</t>
  </si>
  <si>
    <t>[23/37]</t>
  </si>
  <si>
    <t>[22/37]</t>
  </si>
  <si>
    <t>[32/37]</t>
  </si>
  <si>
    <t>[10/37]</t>
  </si>
  <si>
    <t>[15/37]</t>
  </si>
  <si>
    <t>[3/37]</t>
  </si>
  <si>
    <t>[8/37]</t>
  </si>
  <si>
    <t>[11/37]</t>
  </si>
  <si>
    <t>[19/37]</t>
  </si>
  <si>
    <t>[13/37]</t>
  </si>
  <si>
    <t>[15/34]</t>
  </si>
  <si>
    <t>[34/34]</t>
  </si>
  <si>
    <t>[21/34]</t>
  </si>
  <si>
    <t>[24/34]</t>
  </si>
  <si>
    <t>[1/34]</t>
  </si>
  <si>
    <t>[9/34]</t>
  </si>
  <si>
    <t>[33/34]</t>
  </si>
  <si>
    <t>[37/37]</t>
  </si>
  <si>
    <t>[27/37]</t>
  </si>
  <si>
    <t>[12/37]</t>
  </si>
  <si>
    <t>[21/37]</t>
  </si>
  <si>
    <t>[29/37]</t>
  </si>
  <si>
    <t>[25/37]</t>
  </si>
  <si>
    <t>[18/37]</t>
  </si>
  <si>
    <t>[12/34]</t>
  </si>
  <si>
    <t>[31/34]</t>
  </si>
  <si>
    <t>[5/34]</t>
  </si>
  <si>
    <t>[13/34]</t>
  </si>
  <si>
    <t>[17/34]</t>
  </si>
  <si>
    <t>[27/34]</t>
  </si>
  <si>
    <t>[29/34]</t>
  </si>
  <si>
    <t>[20/34]</t>
  </si>
  <si>
    <t>[2/34]</t>
  </si>
  <si>
    <t>[28/34]</t>
  </si>
  <si>
    <t>[6/34]</t>
  </si>
  <si>
    <t>[22/34]</t>
  </si>
  <si>
    <t>[7/34]</t>
  </si>
  <si>
    <t>[10/34]</t>
  </si>
  <si>
    <t>[23/34]</t>
  </si>
  <si>
    <t>[25/34]</t>
  </si>
  <si>
    <t>[18/34]</t>
  </si>
  <si>
    <t>[30/34]</t>
  </si>
  <si>
    <t>[32/34]</t>
  </si>
  <si>
    <t>[19/34]</t>
  </si>
  <si>
    <t>[4/34]</t>
  </si>
  <si>
    <t>[26/34]</t>
  </si>
  <si>
    <t>[11/34]</t>
  </si>
  <si>
    <t>[16/34]</t>
  </si>
  <si>
    <t>[14/34]</t>
  </si>
  <si>
    <t>[8/34]</t>
  </si>
  <si>
    <t>[3/34]</t>
  </si>
  <si>
    <t>青埔分行　　　　　　</t>
  </si>
  <si>
    <t>HB18603</t>
  </si>
  <si>
    <t>HB16814</t>
  </si>
  <si>
    <t>HB16973</t>
  </si>
  <si>
    <t>HB16192</t>
  </si>
  <si>
    <t>HB16280</t>
  </si>
  <si>
    <t>HB7873</t>
  </si>
  <si>
    <t>HB12081</t>
  </si>
  <si>
    <t>HB15648</t>
  </si>
  <si>
    <t>HB18622</t>
  </si>
  <si>
    <t>HB16929</t>
  </si>
  <si>
    <t>HB17897</t>
  </si>
  <si>
    <t>HB15040</t>
  </si>
  <si>
    <t>HB19748</t>
  </si>
  <si>
    <t>HB13297</t>
  </si>
  <si>
    <t>HB15682</t>
  </si>
  <si>
    <t>HB10163</t>
  </si>
  <si>
    <t>HB16774</t>
  </si>
  <si>
    <t>HB16717</t>
  </si>
  <si>
    <t>HB14019</t>
  </si>
  <si>
    <t>HB16794</t>
  </si>
  <si>
    <t>HB16937</t>
  </si>
  <si>
    <t>HB18615</t>
  </si>
  <si>
    <t>HB15859</t>
  </si>
  <si>
    <t>HB19009</t>
  </si>
  <si>
    <t>HB17457</t>
  </si>
  <si>
    <t>HB16999</t>
  </si>
  <si>
    <t>HB15136</t>
  </si>
  <si>
    <t>HB16833</t>
  </si>
  <si>
    <t>HB16470</t>
  </si>
  <si>
    <t>HB16838</t>
  </si>
  <si>
    <t>HB12681</t>
  </si>
  <si>
    <t>HB4026</t>
  </si>
  <si>
    <t>HB16483</t>
  </si>
  <si>
    <t>HB19003</t>
  </si>
  <si>
    <t>HB14100</t>
  </si>
  <si>
    <t>HB12897</t>
  </si>
  <si>
    <t>HB10612</t>
  </si>
  <si>
    <t>HB16000</t>
  </si>
  <si>
    <t>HB8560</t>
  </si>
  <si>
    <t>HB14384</t>
  </si>
  <si>
    <t>HB11017</t>
  </si>
  <si>
    <t>HB11050</t>
  </si>
  <si>
    <t>HB7933</t>
  </si>
  <si>
    <t>HB18144</t>
  </si>
  <si>
    <t>HB16605</t>
  </si>
  <si>
    <t>HB5031</t>
  </si>
  <si>
    <t>HB10547</t>
  </si>
  <si>
    <t>HB16599</t>
  </si>
  <si>
    <t>HB16517</t>
  </si>
  <si>
    <t>HB14629</t>
  </si>
  <si>
    <t>HB14808</t>
  </si>
  <si>
    <t>HB17335</t>
  </si>
  <si>
    <t>HB17652</t>
  </si>
  <si>
    <t>HB17331</t>
  </si>
  <si>
    <t>HB16245</t>
  </si>
  <si>
    <t>HB14034</t>
  </si>
  <si>
    <t>HB16986</t>
  </si>
  <si>
    <t>80歲以上排除，65歲以上未滿80歲以80%計算</t>
    <phoneticPr fontId="13" type="noConversion"/>
  </si>
  <si>
    <t>J</t>
    <phoneticPr fontId="13" type="noConversion"/>
  </si>
  <si>
    <t>Q</t>
    <phoneticPr fontId="13" type="noConversion"/>
  </si>
  <si>
    <t>P</t>
    <phoneticPr fontId="13" type="noConversion"/>
  </si>
  <si>
    <t>客群經營目標</t>
    <phoneticPr fontId="13" type="noConversion"/>
  </si>
  <si>
    <t>新組別</t>
  </si>
  <si>
    <t>分行代號</t>
    <phoneticPr fontId="63" type="noConversion"/>
  </si>
  <si>
    <t>1.國內外基金手續費收入-實績 (A1)</t>
  </si>
  <si>
    <t>1.國內外基金手續費收入-目標 (A2)</t>
  </si>
  <si>
    <t>1.國內外基金手續費收入-達成率% (A3) = (A1) / (A2)</t>
  </si>
  <si>
    <t>1.國內外基金手續費收入-區排名 (A4)</t>
  </si>
  <si>
    <t>1.國內外基金手續費收入-全行排名 (A5)</t>
  </si>
  <si>
    <t>1.國內外基金手續費收入-協銷比例% (A6) = 協銷金額 / (A1)</t>
  </si>
  <si>
    <t>1.國內外基金手續費收入-協銷達成率% (A7) = 協銷金額 / (A2)</t>
  </si>
  <si>
    <t>3.外國債券(含SN、境內結構債)手續費收入-實績 (C1)</t>
  </si>
  <si>
    <t>3.外國債券(含SN、境內結構債)手續費收入-目標 (C2)</t>
  </si>
  <si>
    <t>3.外國債券(含SN、境內結構債)手續費收入-達成率% (C3) = (C1) / (C2)</t>
  </si>
  <si>
    <t>3.外國債券(含SN、境內結構債)手續費收入-區排名 (C4)</t>
  </si>
  <si>
    <t>3.外國債券(含SN、境內結構債)手續費收入-全行排名 (C5)</t>
  </si>
  <si>
    <t>3.外國債券(含SN、境內結構債)手續費收入-協銷比例% (C6) = 協銷金額 / (C1)</t>
  </si>
  <si>
    <t>3.外國債券(含SN、境內結構債)手續費收入-協銷達成率% (C7) = 協銷金額 / (C2)</t>
  </si>
  <si>
    <t>[187/187]</t>
  </si>
  <si>
    <t>[35/36]</t>
  </si>
  <si>
    <t>[25/36]</t>
  </si>
  <si>
    <t>[15/36]</t>
  </si>
  <si>
    <t>[26/36]</t>
  </si>
  <si>
    <t>[1/36]</t>
  </si>
  <si>
    <t>[33/36]</t>
  </si>
  <si>
    <t>[31/36]</t>
  </si>
  <si>
    <t>[23/36]</t>
  </si>
  <si>
    <t>[4/36]</t>
  </si>
  <si>
    <t>[9/36]</t>
  </si>
  <si>
    <t>[12/36]</t>
  </si>
  <si>
    <t>[11/36]</t>
  </si>
  <si>
    <t>[7/36]</t>
  </si>
  <si>
    <t>[8/36]</t>
  </si>
  <si>
    <t>[10/36]</t>
  </si>
  <si>
    <t>[6/36]</t>
  </si>
  <si>
    <t>[19/36]</t>
  </si>
  <si>
    <t>[2/36]</t>
  </si>
  <si>
    <t>[32/36]</t>
  </si>
  <si>
    <t>[20/36]</t>
  </si>
  <si>
    <t>[3/36]</t>
  </si>
  <si>
    <t>[27/36]</t>
  </si>
  <si>
    <t>[24/36]</t>
  </si>
  <si>
    <t>[17/36]</t>
  </si>
  <si>
    <t>[16/36]</t>
  </si>
  <si>
    <t>[22/36]</t>
  </si>
  <si>
    <t>[5/36]</t>
  </si>
  <si>
    <t>[18/36]</t>
  </si>
  <si>
    <t>[28/36]</t>
  </si>
  <si>
    <t>[14/36]</t>
  </si>
  <si>
    <t>[21/36]</t>
  </si>
  <si>
    <t>[36/36]</t>
  </si>
  <si>
    <t>[34/36]</t>
  </si>
  <si>
    <t>[29/36]</t>
  </si>
  <si>
    <t>[13/36]</t>
  </si>
  <si>
    <t>[30/36]</t>
  </si>
  <si>
    <t>114年</t>
    <phoneticPr fontId="35" type="noConversion"/>
  </si>
  <si>
    <t>113年信託業績</t>
    <phoneticPr fontId="13" type="noConversion"/>
  </si>
  <si>
    <t>113年保險業績</t>
    <phoneticPr fontId="13" type="noConversion"/>
  </si>
  <si>
    <t>113年業績</t>
    <phoneticPr fontId="13" type="noConversion"/>
  </si>
  <si>
    <t>114年1-10月</t>
    <phoneticPr fontId="13" type="noConversion"/>
  </si>
  <si>
    <t>HB19264</t>
  </si>
  <si>
    <t>HB18339</t>
  </si>
  <si>
    <t>HB19306</t>
  </si>
  <si>
    <t>HB20008</t>
  </si>
  <si>
    <t>HB17960</t>
  </si>
  <si>
    <t>HB16465</t>
  </si>
  <si>
    <t>HB9717</t>
  </si>
  <si>
    <t>HB9918</t>
  </si>
  <si>
    <t>HB14209</t>
  </si>
  <si>
    <t>HB18718</t>
  </si>
  <si>
    <t>HB15557</t>
  </si>
  <si>
    <t>HB15973</t>
  </si>
  <si>
    <t>HB18173</t>
  </si>
  <si>
    <t>HB18597</t>
  </si>
  <si>
    <t>HB15906</t>
  </si>
  <si>
    <t>HB16420</t>
  </si>
  <si>
    <t>HB17624</t>
  </si>
  <si>
    <t>HB14522</t>
  </si>
  <si>
    <t>HB15122</t>
  </si>
  <si>
    <t>HB14701</t>
  </si>
  <si>
    <t>HB18993</t>
  </si>
  <si>
    <t>HB13683</t>
  </si>
  <si>
    <t>HB19288</t>
  </si>
  <si>
    <t>HB8366</t>
  </si>
  <si>
    <t>HB16455</t>
  </si>
  <si>
    <t>HB19431</t>
  </si>
  <si>
    <t>HB18337</t>
  </si>
  <si>
    <t>HB16426</t>
  </si>
  <si>
    <t>HB7487</t>
  </si>
  <si>
    <t>HB8688</t>
  </si>
  <si>
    <t>HB19598</t>
  </si>
  <si>
    <t>HB9299</t>
  </si>
  <si>
    <t>HB17372</t>
  </si>
  <si>
    <t>HB14027</t>
  </si>
  <si>
    <t>HB18903</t>
  </si>
  <si>
    <t>HB15481</t>
  </si>
  <si>
    <t>HB15872</t>
  </si>
  <si>
    <t>HB11231</t>
  </si>
  <si>
    <t>HB15240</t>
  </si>
  <si>
    <t>HB16200</t>
  </si>
  <si>
    <t>HB18575</t>
  </si>
  <si>
    <t>HB14647</t>
  </si>
  <si>
    <t>HB11060</t>
  </si>
  <si>
    <t>HB16174</t>
  </si>
  <si>
    <t>HB16950</t>
  </si>
  <si>
    <t>HB10632</t>
  </si>
  <si>
    <t>HB18866</t>
  </si>
  <si>
    <t>HB15622</t>
  </si>
  <si>
    <t>HB19332</t>
  </si>
  <si>
    <t>HB7907</t>
  </si>
  <si>
    <t>HB20049</t>
  </si>
  <si>
    <t>HB18607</t>
  </si>
  <si>
    <t>HB19324</t>
  </si>
  <si>
    <t>HB19270</t>
  </si>
  <si>
    <t>HB12215</t>
  </si>
  <si>
    <t>HB10071</t>
  </si>
  <si>
    <t>HB19101</t>
  </si>
  <si>
    <t>HB20125</t>
  </si>
  <si>
    <t>HB15697</t>
  </si>
  <si>
    <t>HB14839</t>
  </si>
  <si>
    <t>HB8214</t>
  </si>
  <si>
    <t>HB12043</t>
  </si>
  <si>
    <t>HB8037</t>
  </si>
  <si>
    <t>HB16825</t>
  </si>
  <si>
    <t>HB19652</t>
  </si>
  <si>
    <t>HB19122</t>
  </si>
  <si>
    <t>HB16971</t>
  </si>
  <si>
    <t>HB17631</t>
  </si>
  <si>
    <t>HB15874</t>
  </si>
  <si>
    <t>HB17395</t>
  </si>
  <si>
    <t>HB17152</t>
  </si>
  <si>
    <t>HB15217</t>
  </si>
  <si>
    <t>HB17723</t>
  </si>
  <si>
    <t>HB16443</t>
  </si>
  <si>
    <t>HB14801</t>
  </si>
  <si>
    <t>HB9448</t>
  </si>
  <si>
    <t>HB15953</t>
  </si>
  <si>
    <t>HB18999</t>
  </si>
  <si>
    <t>HB19126</t>
  </si>
  <si>
    <t>HB16285</t>
  </si>
  <si>
    <t>HB13507</t>
  </si>
  <si>
    <t>HB19128</t>
  </si>
  <si>
    <t>HB12154</t>
  </si>
  <si>
    <t>HB10670</t>
  </si>
  <si>
    <t>HB12678</t>
  </si>
  <si>
    <t>HB19277</t>
  </si>
  <si>
    <t>HB15072</t>
  </si>
  <si>
    <t>HB9673</t>
  </si>
  <si>
    <t>HB13730</t>
  </si>
  <si>
    <t>HB11271</t>
  </si>
  <si>
    <t>HB15216</t>
  </si>
  <si>
    <t>HB14594</t>
  </si>
  <si>
    <t>HB16865</t>
  </si>
  <si>
    <t>HB19666</t>
  </si>
  <si>
    <t>HB18852</t>
  </si>
  <si>
    <t>HB19343</t>
  </si>
  <si>
    <t>HB19671</t>
  </si>
  <si>
    <t>HB17913</t>
  </si>
  <si>
    <t>HB16656</t>
  </si>
  <si>
    <t>HB19938</t>
  </si>
  <si>
    <t>HB7652</t>
  </si>
  <si>
    <t>HB17205</t>
  </si>
  <si>
    <t>HB12932</t>
  </si>
  <si>
    <t>HB16840</t>
  </si>
  <si>
    <t>HB7645</t>
  </si>
  <si>
    <t>HB9199</t>
  </si>
  <si>
    <t>HB9219</t>
  </si>
  <si>
    <t>HB15249</t>
  </si>
  <si>
    <t>HB13199</t>
  </si>
  <si>
    <t>HB19218</t>
  </si>
  <si>
    <t>HB19674</t>
  </si>
  <si>
    <t>HB12362</t>
  </si>
  <si>
    <t>HB16957</t>
  </si>
  <si>
    <t>HB7647</t>
  </si>
  <si>
    <t>HB13252</t>
  </si>
  <si>
    <t>HB18924</t>
  </si>
  <si>
    <t>HB8526</t>
  </si>
  <si>
    <t>HB17430</t>
  </si>
  <si>
    <t>HB10820</t>
  </si>
  <si>
    <t>HB10229</t>
  </si>
  <si>
    <t>HB10740</t>
  </si>
  <si>
    <t>HB9657</t>
  </si>
  <si>
    <t>HB11032</t>
  </si>
  <si>
    <t>HB12568</t>
  </si>
  <si>
    <t>HB19353</t>
  </si>
  <si>
    <t>HB13296</t>
  </si>
  <si>
    <t>HB16491</t>
  </si>
  <si>
    <t>HB9651</t>
  </si>
  <si>
    <t>HB18154</t>
  </si>
  <si>
    <t>HB18931</t>
  </si>
  <si>
    <t>HB11033</t>
  </si>
  <si>
    <t>HB11656</t>
  </si>
  <si>
    <t>HB18155</t>
  </si>
  <si>
    <t>HB16852</t>
  </si>
  <si>
    <t>HB15523</t>
  </si>
  <si>
    <t>HB7295</t>
  </si>
  <si>
    <t>HB18857</t>
  </si>
  <si>
    <t>HB17420</t>
  </si>
  <si>
    <t>HB16290</t>
  </si>
  <si>
    <t>HB18935</t>
  </si>
  <si>
    <t>HB18012</t>
  </si>
  <si>
    <t>HB18423</t>
  </si>
  <si>
    <t>HB9110</t>
  </si>
  <si>
    <t>HB19168</t>
  </si>
  <si>
    <t>HB10286</t>
  </si>
  <si>
    <t>HB10160</t>
  </si>
  <si>
    <t>HB17439</t>
  </si>
  <si>
    <t>HB11141</t>
  </si>
  <si>
    <t>HB17139</t>
  </si>
  <si>
    <t>HB9873</t>
  </si>
  <si>
    <t>HB19966</t>
  </si>
  <si>
    <t>HB14673</t>
  </si>
  <si>
    <t>HB19499</t>
  </si>
  <si>
    <t>HB16246</t>
  </si>
  <si>
    <t>HB19978</t>
  </si>
  <si>
    <t>HB15158</t>
  </si>
  <si>
    <t>HB19187</t>
  </si>
  <si>
    <t>HB18944</t>
  </si>
  <si>
    <t>HB15876</t>
  </si>
  <si>
    <t>HB15741</t>
  </si>
  <si>
    <t>HB19006</t>
  </si>
  <si>
    <t>HB9545</t>
  </si>
  <si>
    <t>HB13601</t>
  </si>
  <si>
    <t>HB16856</t>
  </si>
  <si>
    <t>HB13274</t>
  </si>
  <si>
    <t>113年1-10月
平均人數</t>
    <phoneticPr fontId="13" type="noConversion"/>
  </si>
  <si>
    <t>114/1</t>
    <phoneticPr fontId="13" type="noConversion"/>
  </si>
  <si>
    <t>114/2</t>
    <phoneticPr fontId="13" type="noConversion"/>
  </si>
  <si>
    <t>114/3</t>
  </si>
  <si>
    <t>114/4</t>
  </si>
  <si>
    <t>114/5</t>
  </si>
  <si>
    <t>114/6</t>
  </si>
  <si>
    <t>114/7</t>
  </si>
  <si>
    <t>114/8</t>
  </si>
  <si>
    <t>114/9</t>
  </si>
  <si>
    <t>114/10</t>
  </si>
  <si>
    <t>114/11</t>
  </si>
  <si>
    <t>114年1-10月
平均人數</t>
    <phoneticPr fontId="13" type="noConversion"/>
  </si>
  <si>
    <t>114年度</t>
    <phoneticPr fontId="13" type="noConversion"/>
  </si>
  <si>
    <t>平均三年業績佔115年目標比率</t>
    <phoneticPr fontId="13" type="noConversion"/>
  </si>
  <si>
    <t>參數</t>
    <phoneticPr fontId="13" type="noConversion"/>
  </si>
  <si>
    <t>計數 - 分行代號</t>
  </si>
  <si>
    <t>組別目標</t>
    <phoneticPr fontId="13" type="noConversion"/>
  </si>
  <si>
    <t>序號</t>
    <phoneticPr fontId="13" type="noConversion"/>
  </si>
  <si>
    <r>
      <rPr>
        <sz val="12"/>
        <rFont val="標楷體"/>
        <family val="4"/>
        <charset val="136"/>
      </rPr>
      <t>權重</t>
    </r>
    <phoneticPr fontId="13" type="noConversion"/>
  </si>
  <si>
    <r>
      <rPr>
        <sz val="12"/>
        <rFont val="標楷體"/>
        <family val="4"/>
        <charset val="136"/>
      </rPr>
      <t>目標分配數</t>
    </r>
    <phoneticPr fontId="13" type="noConversion"/>
  </si>
  <si>
    <t>F</t>
    <phoneticPr fontId="13" type="noConversion"/>
  </si>
  <si>
    <t>O</t>
    <phoneticPr fontId="13" type="noConversion"/>
  </si>
  <si>
    <t>115年
目標</t>
    <phoneticPr fontId="13" type="noConversion"/>
  </si>
  <si>
    <t>114年
目標</t>
    <phoneticPr fontId="13" type="noConversion"/>
  </si>
  <si>
    <t>115年目標
較114年目標
成長率</t>
    <phoneticPr fontId="13" type="noConversion"/>
  </si>
  <si>
    <t>115年目標
較114年實績
成長率</t>
    <phoneticPr fontId="13" type="noConversion"/>
  </si>
  <si>
    <t>114年
年化實績</t>
    <phoneticPr fontId="13" type="noConversion"/>
  </si>
  <si>
    <t>114年
年化達成率</t>
    <phoneticPr fontId="13" type="noConversion"/>
  </si>
  <si>
    <t>類型</t>
    <phoneticPr fontId="13" type="noConversion"/>
  </si>
  <si>
    <t>115年
客群經營目標</t>
    <phoneticPr fontId="13" type="noConversion"/>
  </si>
  <si>
    <t>115年度營業單位財富管理業務手續費收入目標表</t>
    <phoneticPr fontId="13" type="noConversion"/>
  </si>
  <si>
    <t>115年度營業單位客群經營目標表</t>
    <phoneticPr fontId="13" type="noConversion"/>
  </si>
  <si>
    <t>客戶經營目標
(分行目標
X55%)</t>
    <phoneticPr fontId="13" type="noConversion"/>
  </si>
  <si>
    <t>K</t>
    <phoneticPr fontId="13" type="noConversion"/>
  </si>
  <si>
    <t>L</t>
    <phoneticPr fontId="13" type="noConversion"/>
  </si>
  <si>
    <t>M</t>
    <phoneticPr fontId="13" type="noConversion"/>
  </si>
  <si>
    <t>N</t>
    <phoneticPr fontId="13" type="noConversion"/>
  </si>
  <si>
    <t>114年達成情形之成長目標(95%)</t>
    <phoneticPr fontId="13" type="noConversion"/>
  </si>
  <si>
    <t>各營業單位綜合指標之目標(5%)</t>
    <phoneticPr fontId="13" type="noConversion"/>
  </si>
  <si>
    <t>(F)=(D+E)</t>
    <phoneticPr fontId="13" type="noConversion"/>
  </si>
  <si>
    <t>(J)=(F/G)-1</t>
    <phoneticPr fontId="13" type="noConversion"/>
  </si>
  <si>
    <t>(K)=(F/H)-1</t>
    <phoneticPr fontId="13" type="noConversion"/>
  </si>
  <si>
    <t>尾差調整</t>
    <phoneticPr fontId="13" type="noConversion"/>
  </si>
  <si>
    <t>(L)=(FX55%)</t>
    <phoneticPr fontId="13" type="noConversion"/>
  </si>
  <si>
    <t>115年
目標較前版差異</t>
    <phoneticPr fontId="13" type="noConversion"/>
  </si>
  <si>
    <t>115年
前版目標</t>
    <phoneticPr fontId="13" type="noConversion"/>
  </si>
  <si>
    <t>(M)</t>
    <phoneticPr fontId="13" type="noConversion"/>
  </si>
  <si>
    <t>(N)=(F-M)</t>
    <phoneticPr fontId="13" type="noConversion"/>
  </si>
  <si>
    <t>115年度各月營業單位財富管理業務手續費收入目標表</t>
    <phoneticPr fontId="13" type="noConversion"/>
  </si>
  <si>
    <t>115年度各月營業單位客群經營目標表</t>
    <phoneticPr fontId="13" type="noConversion"/>
  </si>
  <si>
    <t>(F)*0.9608</t>
    <phoneticPr fontId="13" type="noConversion"/>
  </si>
  <si>
    <r>
      <t>=(特定金錢信託佔率30.36%*</t>
    </r>
    <r>
      <rPr>
        <sz val="16"/>
        <color theme="4" tint="-0.249977111117893"/>
        <rFont val="標楷體"/>
        <family val="4"/>
        <charset val="136"/>
      </rPr>
      <t>XX</t>
    </r>
    <r>
      <rPr>
        <b/>
        <sz val="16"/>
        <color theme="4" tint="-0.249977111117893"/>
        <rFont val="標楷體"/>
        <family val="4"/>
        <charset val="136"/>
      </rPr>
      <t>年</t>
    </r>
    <r>
      <rPr>
        <b/>
        <sz val="16"/>
        <color indexed="36"/>
        <rFont val="標楷體"/>
        <family val="4"/>
        <charset val="136"/>
      </rPr>
      <t>特定金錢信託平均補息率</t>
    </r>
    <r>
      <rPr>
        <b/>
        <sz val="16"/>
        <color theme="4" tint="-0.249977111117893"/>
        <rFont val="標楷體"/>
        <family val="4"/>
        <charset val="136"/>
      </rPr>
      <t>X%</t>
    </r>
    <r>
      <rPr>
        <sz val="16"/>
        <color rgb="FFFF0000"/>
        <rFont val="標楷體"/>
        <family val="4"/>
        <charset val="136"/>
      </rPr>
      <t>)</t>
    </r>
    <r>
      <rPr>
        <sz val="16"/>
        <color indexed="10"/>
        <rFont val="標楷體"/>
        <family val="4"/>
        <charset val="136"/>
      </rPr>
      <t>+(</t>
    </r>
    <r>
      <rPr>
        <sz val="16"/>
        <color indexed="30"/>
        <rFont val="標楷體"/>
        <family val="4"/>
        <charset val="136"/>
      </rPr>
      <t>人身保險佔率55.43%*補息率97.85%</t>
    </r>
    <r>
      <rPr>
        <sz val="16"/>
        <color indexed="10"/>
        <rFont val="標楷體"/>
        <family val="4"/>
        <charset val="136"/>
      </rPr>
      <t>)+(外國債券佔率6.87%*補息率97.45%)+(財產信託佔率6.17%*補息率97.45%)</t>
    </r>
    <phoneticPr fontId="13" type="noConversion"/>
  </si>
  <si>
    <t>[186/186]</t>
  </si>
  <si>
    <t>114年化業績</t>
    <phoneticPr fontId="35" type="noConversion"/>
  </si>
  <si>
    <t>平均兩年
信託業績</t>
    <phoneticPr fontId="13" type="noConversion"/>
  </si>
  <si>
    <t>平均兩年
保險業績</t>
    <phoneticPr fontId="13" type="noConversion"/>
  </si>
  <si>
    <t>114年信託業績</t>
    <phoneticPr fontId="13" type="noConversion"/>
  </si>
  <si>
    <t>114年保險業績</t>
    <phoneticPr fontId="13" type="noConversion"/>
  </si>
  <si>
    <t>114年業績</t>
    <phoneticPr fontId="13" type="noConversion"/>
  </si>
  <si>
    <t>調整後
平均兩年業績</t>
    <phoneticPr fontId="13" type="noConversion"/>
  </si>
  <si>
    <t>115年度</t>
    <phoneticPr fontId="13" type="noConversion"/>
  </si>
  <si>
    <t>115年組別</t>
    <phoneticPr fontId="13" type="noConversion"/>
  </si>
  <si>
    <t>前兩年平均業績</t>
    <phoneticPr fontId="13" type="noConversion"/>
  </si>
  <si>
    <t>林口站前分行　　　　</t>
  </si>
  <si>
    <t>116年分行目標參數表</t>
    <phoneticPr fontId="13" type="noConversion"/>
  </si>
  <si>
    <t>★前兩年業績佔116年目標比率</t>
    <phoneticPr fontId="13" type="noConversion"/>
  </si>
  <si>
    <t>115.1~9</t>
    <phoneticPr fontId="13" type="noConversion"/>
  </si>
  <si>
    <t>116年營業單位財富管理業務手續費收入目標暨115年目標及實績成長比較表</t>
    <phoneticPr fontId="13" type="noConversion"/>
  </si>
  <si>
    <t>2026年01月至09</t>
  </si>
  <si>
    <t>財管手續費收入實績_1150109</t>
    <phoneticPr fontId="61" type="noConversion"/>
  </si>
  <si>
    <t>財管手續費收入目標_1150109</t>
    <phoneticPr fontId="61" type="noConversion"/>
  </si>
  <si>
    <t>財管手續費收入目標達成率_1150109</t>
    <phoneticPr fontId="61" type="noConversion"/>
  </si>
  <si>
    <t>財管手續費收入實績_115年年化</t>
    <phoneticPr fontId="61" type="noConversion"/>
  </si>
  <si>
    <t>財管手續費收入目標_115年</t>
    <phoneticPr fontId="61" type="noConversion"/>
  </si>
  <si>
    <t>財管手續費收入目標達成率_115年年化</t>
    <phoneticPr fontId="61" type="noConversion"/>
  </si>
  <si>
    <t>財管手續費收入目標達成率_115年年化分類</t>
    <phoneticPr fontId="61" type="noConversion"/>
  </si>
  <si>
    <t>原版_實績參數</t>
    <phoneticPr fontId="61" type="noConversion"/>
  </si>
  <si>
    <t>原版_目標參數</t>
    <phoneticPr fontId="61" type="noConversion"/>
  </si>
  <si>
    <t>原版_116年試算成長目標</t>
    <phoneticPr fontId="61" type="noConversion"/>
  </si>
  <si>
    <t>原版_116年試算目標比例</t>
    <phoneticPr fontId="61" type="noConversion"/>
  </si>
  <si>
    <t>通路建議_達成超過120上限</t>
    <phoneticPr fontId="61" type="noConversion"/>
  </si>
  <si>
    <t>通路建議_116年試算目標</t>
    <phoneticPr fontId="61" type="noConversion"/>
  </si>
  <si>
    <t>通路建議_116年試算目標差異數</t>
    <phoneticPr fontId="61" type="noConversion"/>
  </si>
  <si>
    <t>通路建議_未達成分行目標</t>
    <phoneticPr fontId="61" type="noConversion"/>
  </si>
  <si>
    <t>通路建議_未達成分行目標佔比</t>
    <phoneticPr fontId="61" type="noConversion"/>
  </si>
  <si>
    <t>通路建議_試算目標差異數加回</t>
    <phoneticPr fontId="61" type="noConversion"/>
  </si>
  <si>
    <t>通路建議_116年試算調整差異數合計</t>
    <phoneticPr fontId="61" type="noConversion"/>
  </si>
  <si>
    <t>通路建議_116年試算調整後目標數</t>
    <phoneticPr fontId="61" type="noConversion"/>
  </si>
  <si>
    <t>通路建議_116年試算調整後目標達成率</t>
    <phoneticPr fontId="61" type="noConversion"/>
  </si>
  <si>
    <t>通路建議_調整後目標達成率分類</t>
    <phoneticPr fontId="61" type="noConversion"/>
  </si>
  <si>
    <t>本部建議_達成分類</t>
    <phoneticPr fontId="61" type="noConversion"/>
  </si>
  <si>
    <t>本部建議_調整參數</t>
    <phoneticPr fontId="61" type="noConversion"/>
  </si>
  <si>
    <t>本部建議_調整目標</t>
    <phoneticPr fontId="61" type="noConversion"/>
  </si>
  <si>
    <t>本部建議_調整目標_較115年目標差異</t>
    <phoneticPr fontId="61" type="noConversion"/>
  </si>
  <si>
    <t>本部建議_調整目標_較115年目標差異比例</t>
    <phoneticPr fontId="61" type="noConversion"/>
  </si>
  <si>
    <t>本部建議_調整目標_較115年實績差異</t>
    <phoneticPr fontId="61" type="noConversion"/>
  </si>
  <si>
    <t>本部建議_調整目標_較115年實績差異比例</t>
    <phoneticPr fontId="61" type="noConversion"/>
  </si>
  <si>
    <t>HB15807</t>
  </si>
  <si>
    <t>HB19099</t>
  </si>
  <si>
    <t>HB14468</t>
  </si>
  <si>
    <t>HB8121</t>
  </si>
  <si>
    <t>HB14013</t>
  </si>
  <si>
    <t>HB16448</t>
  </si>
  <si>
    <t>HB17641</t>
  </si>
  <si>
    <t>HB2092</t>
  </si>
  <si>
    <t>HB20235</t>
  </si>
  <si>
    <t>HB19905</t>
  </si>
  <si>
    <t>HB11953</t>
  </si>
  <si>
    <t>HB18238</t>
  </si>
  <si>
    <t>HB18826</t>
  </si>
  <si>
    <t>HB19424</t>
  </si>
  <si>
    <t>HB9721</t>
  </si>
  <si>
    <t>HB10040</t>
  </si>
  <si>
    <t>HB8213</t>
  </si>
  <si>
    <t>HB8670</t>
  </si>
  <si>
    <t>HB11198</t>
  </si>
  <si>
    <t>HB17748</t>
  </si>
  <si>
    <t>HB20263</t>
  </si>
  <si>
    <t>HB19894</t>
  </si>
  <si>
    <t>HB17225</t>
  </si>
  <si>
    <t>HB19653</t>
  </si>
  <si>
    <t>HB16711</t>
  </si>
  <si>
    <t>HB17411</t>
  </si>
  <si>
    <t>HB15888</t>
  </si>
  <si>
    <t>HB19459</t>
  </si>
  <si>
    <t>HB17950</t>
  </si>
  <si>
    <t>HB19620</t>
  </si>
  <si>
    <t>HB17230</t>
  </si>
  <si>
    <t>HB17948</t>
  </si>
  <si>
    <t>HB20250</t>
  </si>
  <si>
    <t>HB14184</t>
  </si>
  <si>
    <t>HB13765</t>
  </si>
  <si>
    <t>HB16206</t>
  </si>
  <si>
    <t>HB18668</t>
  </si>
  <si>
    <t>HB8063</t>
  </si>
  <si>
    <t>HB20065</t>
  </si>
  <si>
    <t>HB9967</t>
  </si>
  <si>
    <t>HB15150</t>
  </si>
  <si>
    <t>HB14358</t>
  </si>
  <si>
    <t>HB19337</t>
  </si>
  <si>
    <t>HB20378</t>
  </si>
  <si>
    <t>HB17572</t>
  </si>
  <si>
    <t>HB17066</t>
  </si>
  <si>
    <t>HB19667</t>
  </si>
  <si>
    <t>HB20150</t>
  </si>
  <si>
    <t>HB15508</t>
  </si>
  <si>
    <t>HB9337</t>
  </si>
  <si>
    <t>HB20264</t>
  </si>
  <si>
    <t>HB13886</t>
  </si>
  <si>
    <t>HB13907</t>
  </si>
  <si>
    <t>HB18397</t>
  </si>
  <si>
    <t>HB18917</t>
  </si>
  <si>
    <t>HB11509</t>
  </si>
  <si>
    <t>HB10939</t>
  </si>
  <si>
    <t>HB20165</t>
  </si>
  <si>
    <t>HB8331</t>
  </si>
  <si>
    <t>HB18022</t>
  </si>
  <si>
    <t>HB13248</t>
  </si>
  <si>
    <t>HB11052</t>
  </si>
  <si>
    <t>HB17243</t>
  </si>
  <si>
    <t>HB7377</t>
  </si>
  <si>
    <t>HB12814</t>
  </si>
  <si>
    <t>HB18016</t>
  </si>
  <si>
    <t>HB15990</t>
  </si>
  <si>
    <t>HB17403</t>
  </si>
  <si>
    <t>HB19954</t>
  </si>
  <si>
    <t>HB14922</t>
  </si>
  <si>
    <t>HB13836</t>
  </si>
  <si>
    <t>HB17103</t>
  </si>
  <si>
    <t>HB19956</t>
  </si>
  <si>
    <t>HB20178</t>
  </si>
  <si>
    <t>HB14223</t>
  </si>
  <si>
    <t>HB17454</t>
  </si>
  <si>
    <t>115年
年化達成率</t>
    <phoneticPr fontId="13" type="noConversion"/>
  </si>
  <si>
    <t>115年
年化達成率
成長目標類型</t>
    <phoneticPr fontId="13" type="noConversion"/>
  </si>
  <si>
    <t>114年年化達成率</t>
  </si>
  <si>
    <t>115年成長目標</t>
  </si>
  <si>
    <t>成長目標計算公式</t>
  </si>
  <si>
    <t>預估實績參數</t>
    <phoneticPr fontId="61" type="noConversion"/>
  </si>
  <si>
    <t>分行目標參數</t>
    <phoneticPr fontId="61" type="noConversion"/>
  </si>
  <si>
    <t>未達75%</t>
  </si>
  <si>
    <t>114年分行目標成長15%</t>
  </si>
  <si>
    <t>75%以上，未達90%</t>
  </si>
  <si>
    <t>114年分行目標成長10%</t>
  </si>
  <si>
    <t>90%以上，未達100%</t>
  </si>
  <si>
    <t>114年分行目標成長5%</t>
  </si>
  <si>
    <t>100%以上，未達110%</t>
  </si>
  <si>
    <t>114年預估實績成長5%</t>
  </si>
  <si>
    <t>110%以上，未達120%</t>
    <phoneticPr fontId="61" type="noConversion"/>
  </si>
  <si>
    <t>114年預估實績成長3%</t>
  </si>
  <si>
    <t>120%以上，未達130%</t>
    <phoneticPr fontId="61" type="noConversion"/>
  </si>
  <si>
    <t>114年預估實績成長1%</t>
  </si>
  <si>
    <t>130%以上，未達150%</t>
    <phoneticPr fontId="61" type="noConversion"/>
  </si>
  <si>
    <t>114年預估實績打9折</t>
    <phoneticPr fontId="61" type="noConversion"/>
  </si>
  <si>
    <t>150%以上，未達200%</t>
    <phoneticPr fontId="61" type="noConversion"/>
  </si>
  <si>
    <t>114年預估實績打8折</t>
    <phoneticPr fontId="61" type="noConversion"/>
  </si>
  <si>
    <t>200%以上</t>
    <phoneticPr fontId="61" type="noConversion"/>
  </si>
  <si>
    <t>114年預估實績打7折</t>
    <phoneticPr fontId="61" type="noConversion"/>
  </si>
  <si>
    <t>116年
原始規則
目標參數</t>
    <phoneticPr fontId="13" type="noConversion"/>
  </si>
  <si>
    <t>分行目標*115%</t>
  </si>
  <si>
    <t>分行目標*110%</t>
  </si>
  <si>
    <t>分行目標*105%</t>
  </si>
  <si>
    <t>預估實績*105%</t>
  </si>
  <si>
    <t>預估實績*103%</t>
  </si>
  <si>
    <t>預估實績*101%</t>
  </si>
  <si>
    <t>預估實績*90%</t>
  </si>
  <si>
    <t>預估實績*80%</t>
  </si>
  <si>
    <t>預估實績*70%</t>
  </si>
  <si>
    <t>116年
原始規則
目標數</t>
    <phoneticPr fontId="13" type="noConversion"/>
  </si>
  <si>
    <t>115年
年化實績</t>
    <phoneticPr fontId="13" type="noConversion"/>
  </si>
  <si>
    <t>116年
調整規則
目標參數</t>
    <phoneticPr fontId="13" type="noConversion"/>
  </si>
  <si>
    <t>115年組別</t>
    <phoneticPr fontId="61" type="noConversion"/>
  </si>
  <si>
    <t>115年1-9月
年化業績
(未刪除超過100%)</t>
    <phoneticPr fontId="13" type="noConversion"/>
  </si>
  <si>
    <t>前2年
平均業績
(113~114年，
未刪除超過
100%)</t>
    <phoneticPr fontId="13" type="noConversion"/>
  </si>
  <si>
    <t>115年年中
調整後目標</t>
    <phoneticPr fontId="13" type="noConversion"/>
  </si>
  <si>
    <t>115年
年化
達成率</t>
    <phoneticPr fontId="13" type="noConversion"/>
  </si>
  <si>
    <t>前2年
業績分攤指標
(刪除超過
100%)
20%</t>
  </si>
  <si>
    <t>前2年
業績分攤指標
(刪除超過
100%)
20%</t>
    <phoneticPr fontId="13" type="noConversion"/>
  </si>
  <si>
    <t>投資類
AUM指標
25%</t>
  </si>
  <si>
    <t>人數指標
25%</t>
  </si>
  <si>
    <t>人數指標
25%</t>
    <phoneticPr fontId="13" type="noConversion"/>
  </si>
  <si>
    <t>組別指標
5%</t>
  </si>
  <si>
    <t>組別指標
5%</t>
    <phoneticPr fontId="13" type="noConversion"/>
  </si>
  <si>
    <r>
      <t>115</t>
    </r>
    <r>
      <rPr>
        <sz val="12"/>
        <rFont val="標楷體"/>
        <family val="4"/>
        <charset val="136"/>
      </rPr>
      <t>年組別</t>
    </r>
    <phoneticPr fontId="13" type="noConversion"/>
  </si>
  <si>
    <t>116年
試算
達成率
(115年化業績)</t>
  </si>
  <si>
    <t>116年
試算
達成率
(115年化業績)</t>
    <phoneticPr fontId="13" type="noConversion"/>
  </si>
  <si>
    <t>116年綜合指標
目標數合計
(以萬元為單位)</t>
  </si>
  <si>
    <t>116年綜合指標
目標數合計
(以萬元為單位)</t>
    <phoneticPr fontId="13" type="noConversion"/>
  </si>
  <si>
    <t>116年成長目標
原規則
分類</t>
  </si>
  <si>
    <t>116年成長目標
原規則
計算公式</t>
  </si>
  <si>
    <t>116年成長目標
原規則
計算公式</t>
    <phoneticPr fontId="13" type="noConversion"/>
  </si>
  <si>
    <t>116年成長目標
原規則
計算目標數</t>
  </si>
  <si>
    <t>116年成長目標
原規則
計算目標數</t>
    <phoneticPr fontId="13" type="noConversion"/>
  </si>
  <si>
    <t>116年成長目標
調整規則
分類</t>
  </si>
  <si>
    <t>116年成長目標
調整規則
計算公式</t>
  </si>
  <si>
    <t>116年成長目標
調整規則
計算公式</t>
    <phoneticPr fontId="13" type="noConversion"/>
  </si>
  <si>
    <t>116年成長目標
調整規則
計算目標數</t>
  </si>
  <si>
    <t>116年成長目標
調整規則
計算目標數</t>
    <phoneticPr fontId="13" type="noConversion"/>
  </si>
  <si>
    <t>116年成長目標
調整規則
與原規則
目標差異數</t>
  </si>
  <si>
    <t>116年成長目標
調整規則
與原規則
目標差異數</t>
    <phoneticPr fontId="13" type="noConversion"/>
  </si>
  <si>
    <t>116年目標合計
(以萬元為單位)</t>
    <phoneticPr fontId="13" type="noConversion"/>
  </si>
  <si>
    <t>116年目標
vs.115年
業績成長</t>
    <phoneticPr fontId="13" type="noConversion"/>
  </si>
  <si>
    <t>116年目標
vs.115年
目標成長</t>
    <phoneticPr fontId="13" type="noConversion"/>
  </si>
  <si>
    <t>116年成長目標</t>
    <phoneticPr fontId="13" type="noConversion"/>
  </si>
  <si>
    <t>116年綜合指標目標</t>
    <phoneticPr fontId="13" type="noConversion"/>
  </si>
  <si>
    <t>R</t>
    <phoneticPr fontId="13" type="noConversion"/>
  </si>
  <si>
    <t>S = ROUND(
SUM(M:Q), -4)+R</t>
    <phoneticPr fontId="13" type="noConversion"/>
  </si>
  <si>
    <t>T = 
K+S</t>
    <phoneticPr fontId="13" type="noConversion"/>
  </si>
  <si>
    <t>U = 
T / A - 1</t>
    <phoneticPr fontId="13" type="noConversion"/>
  </si>
  <si>
    <t>V = 
T / C - 1</t>
    <phoneticPr fontId="13" type="noConversion"/>
  </si>
  <si>
    <t>W = 
T X 55%</t>
    <phoneticPr fontId="13" type="noConversion"/>
  </si>
  <si>
    <t>E =
A / T</t>
    <phoneticPr fontId="13" type="noConversion"/>
  </si>
  <si>
    <t>✽116年度營業單位財富管理業務手續費收入目標明細表</t>
    <phoneticPr fontId="13" type="noConversion"/>
  </si>
  <si>
    <t>序號</t>
  </si>
  <si>
    <t>單位
代號</t>
  </si>
  <si>
    <t>單位名稱</t>
  </si>
  <si>
    <t>115年組別</t>
  </si>
  <si>
    <t>115年1-9月
年化業績
(未刪除超過100%)</t>
  </si>
  <si>
    <t>前2年
平均業績
(113~114年，
未刪除超過
100%)</t>
  </si>
  <si>
    <t>115年年中
調整後目標</t>
  </si>
  <si>
    <t>115年
年化
達成率</t>
  </si>
  <si>
    <t>存款指標
25%</t>
  </si>
  <si>
    <t>尾差調整</t>
  </si>
  <si>
    <t>116年度</t>
    <phoneticPr fontId="13" type="noConversion"/>
  </si>
  <si>
    <t>業績平均</t>
    <phoneticPr fontId="13" type="noConversion"/>
  </si>
  <si>
    <t>116年度營業單位財富管理業務手續費收入目標訂定對照表 - 160億元版本重點呈報</t>
    <phoneticPr fontId="13" type="noConversion"/>
  </si>
  <si>
    <t>116年
目標</t>
    <phoneticPr fontId="13" type="noConversion"/>
  </si>
  <si>
    <t>116年目標
較115年目標
成長率</t>
    <phoneticPr fontId="13" type="noConversion"/>
  </si>
  <si>
    <t>116年目標
較115年實績
成長率</t>
    <phoneticPr fontId="13" type="noConversion"/>
  </si>
  <si>
    <t>116年成長目標
調整規則
目標差異數</t>
    <phoneticPr fontId="13" type="noConversion"/>
  </si>
  <si>
    <t>116年綜合指標
目標數
(15%)</t>
    <phoneticPr fontId="13" type="noConversion"/>
  </si>
  <si>
    <t>116年成長目標
原規則
目標數(85%)</t>
    <phoneticPr fontId="13" type="noConversion"/>
  </si>
  <si>
    <t>116年成長目標
調整規則
目標數(85%)</t>
    <phoneticPr fontId="13" type="noConversion"/>
  </si>
  <si>
    <t>115年
年中調整後目標</t>
    <phoneticPr fontId="13" type="noConversion"/>
  </si>
  <si>
    <t>116年
目標
較115年
目標
成長率
排名
前20名</t>
    <phoneticPr fontId="13" type="noConversion"/>
  </si>
  <si>
    <t>(F)=(E-C)</t>
    <phoneticPr fontId="13" type="noConversion"/>
  </si>
  <si>
    <t>(H)=(E+G)</t>
    <phoneticPr fontId="13" type="noConversion"/>
  </si>
  <si>
    <t>(K)=(H/J)-1</t>
    <phoneticPr fontId="13" type="noConversion"/>
  </si>
  <si>
    <t>(L)=(H/I)-1</t>
    <phoneticPr fontId="13" type="noConversion"/>
  </si>
  <si>
    <t>116年
目標
較115年
實績
成長率
排名
前20名</t>
    <phoneticPr fontId="13" type="noConversion"/>
  </si>
  <si>
    <t>TYPE_1</t>
    <phoneticPr fontId="13" type="noConversion"/>
  </si>
  <si>
    <t>TYPE_2</t>
    <phoneticPr fontId="13" type="noConversion"/>
  </si>
  <si>
    <t>TYPE_3</t>
  </si>
  <si>
    <t>TYPE_4</t>
  </si>
  <si>
    <t>達成率門檻</t>
    <phoneticPr fontId="13" type="noConversion"/>
  </si>
  <si>
    <t>目標參數1</t>
    <phoneticPr fontId="13" type="noConversion"/>
  </si>
  <si>
    <t>目標參數2</t>
    <phoneticPr fontId="13" type="noConversion"/>
  </si>
  <si>
    <t>NO</t>
    <phoneticPr fontId="13" type="noConversion"/>
  </si>
  <si>
    <t>TYPE</t>
    <phoneticPr fontId="13" type="noConversion"/>
  </si>
  <si>
    <t>116年成長目標
原規則
年化達成
分類</t>
    <phoneticPr fontId="13" type="noConversion"/>
  </si>
  <si>
    <t>116年成長目標
調整規則
年化達成
分類</t>
    <phoneticPr fontId="13" type="noConversion"/>
  </si>
  <si>
    <t>120%以上</t>
    <phoneticPr fontId="13" type="noConversion"/>
  </si>
  <si>
    <t>115年目標之120%再成長1%</t>
    <phoneticPr fontId="13" type="noConversion"/>
  </si>
  <si>
    <t>100%以上，未達120%</t>
    <phoneticPr fontId="13" type="noConversion"/>
  </si>
  <si>
    <t>80%以上，未達100%</t>
  </si>
  <si>
    <t>115年預估實績成長3%</t>
    <phoneticPr fontId="13" type="noConversion"/>
  </si>
  <si>
    <t>預估實績*103%</t>
    <phoneticPr fontId="13" type="noConversion"/>
  </si>
  <si>
    <t>未達80%</t>
  </si>
  <si>
    <t>115年目標之80%再成長20%</t>
    <phoneticPr fontId="13" type="noConversion"/>
  </si>
  <si>
    <t>TYPE_1</t>
  </si>
  <si>
    <t>TYPE_2</t>
  </si>
  <si>
    <t>TYPE_3</t>
    <phoneticPr fontId="13" type="noConversion"/>
  </si>
  <si>
    <t>TYPE_4</t>
    <phoneticPr fontId="13" type="noConversion"/>
  </si>
  <si>
    <t>分行數</t>
    <phoneticPr fontId="13" type="noConversion"/>
  </si>
  <si>
    <t>分行數佔比</t>
    <phoneticPr fontId="13" type="noConversion"/>
  </si>
  <si>
    <t>116年
成長目標數</t>
    <phoneticPr fontId="13" type="noConversion"/>
  </si>
  <si>
    <t>116年
綜合指標目標數</t>
    <phoneticPr fontId="13" type="noConversion"/>
  </si>
  <si>
    <t>116年
目標數合計</t>
    <phoneticPr fontId="13" type="noConversion"/>
  </si>
  <si>
    <t>計數 - 單位</t>
  </si>
  <si>
    <t>加總 - 116年成長目標
調整規則
計算目標數</t>
  </si>
  <si>
    <t>加總 - 116年綜合指標
目標數合計
(以萬元為單位)</t>
  </si>
  <si>
    <t>加總 - 116年目標合計
(以萬元為單位)</t>
  </si>
  <si>
    <t>115年年化達成率</t>
  </si>
  <si>
    <t>116年成長目標</t>
  </si>
  <si>
    <t>分行目標*120%*101%</t>
    <phoneticPr fontId="13" type="noConversion"/>
  </si>
  <si>
    <t>115年預估實績成長5%</t>
    <phoneticPr fontId="13" type="noConversion"/>
  </si>
  <si>
    <t>預估實績*105%</t>
    <phoneticPr fontId="13" type="noConversion"/>
  </si>
  <si>
    <t>分行目標*80%*120%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</si>
</sst>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76" formatCode="_-* #,##0_-;\-* #,##0_-;_-* &quot;-&quot;??_-;_-@_-"/>
    <numFmt numFmtId="177" formatCode="#,##0_);[Red]\(#,##0\)"/>
    <numFmt numFmtId="178" formatCode="0.0%"/>
    <numFmt numFmtId="179" formatCode="_-* #,##0.00000_-;\-* #,##0.00000_-;_-* &quot;-&quot;??_-;_-@_-"/>
    <numFmt numFmtId="180" formatCode="0_);[Red]\(0\)"/>
    <numFmt numFmtId="181" formatCode="_-* #,##0.0000_-;\-* #,##0.0000_-;_-* &quot;-&quot;??_-;_-@_-"/>
    <numFmt numFmtId="182" formatCode="0.0_ "/>
    <numFmt numFmtId="183" formatCode="0_ "/>
    <numFmt numFmtId="184" formatCode="_-* #,##0_-;\-* #,##0_-;_-* &quot;-&quot;?_-;_-@_-"/>
    <numFmt numFmtId="185" formatCode="#,##0_ "/>
    <numFmt numFmtId="186" formatCode="#,##0_ ;[Red]\-#,##0\ "/>
    <numFmt numFmtId="187" formatCode="0.0;_唂"/>
    <numFmt numFmtId="188" formatCode="0;_唂"/>
    <numFmt numFmtId="189" formatCode="0.00000_ "/>
    <numFmt numFmtId="190" formatCode="0.000"/>
    <numFmt numFmtId="191" formatCode="0_ ;[Red]\-0\ "/>
    <numFmt numFmtId="192" formatCode="#,##0.0000_ "/>
    <numFmt numFmtId="193" formatCode="#,##0.00_ ;[Red]\-#,##0.00\ "/>
    <numFmt numFmtId="194" formatCode="0.0000%"/>
    <numFmt numFmtId="300" formatCode="0.0%"/>
    <numFmt numFmtId="301" formatCode="0.000"/>
    <numFmt numFmtId="302" formatCode="#,##0.00"/>
  </numFmts>
  <fonts count="88">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b/>
      <sz val="12"/>
      <name val="新細明體"/>
      <family val="1"/>
      <charset val="136"/>
    </font>
    <font>
      <sz val="12"/>
      <color indexed="10"/>
      <name val="新細明體"/>
      <family val="1"/>
      <charset val="136"/>
    </font>
    <font>
      <u/>
      <sz val="16"/>
      <name val="新細明體"/>
      <family val="1"/>
      <charset val="136"/>
    </font>
    <font>
      <b/>
      <sz val="16"/>
      <name val="新細明體"/>
      <family val="1"/>
      <charset val="136"/>
    </font>
    <font>
      <sz val="16"/>
      <name val="新細明體"/>
      <family val="1"/>
      <charset val="136"/>
    </font>
    <font>
      <b/>
      <sz val="10"/>
      <name val="新細明體"/>
      <family val="1"/>
      <charset val="136"/>
    </font>
    <font>
      <sz val="10"/>
      <name val="新細明體"/>
      <family val="1"/>
      <charset val="136"/>
    </font>
    <font>
      <sz val="12"/>
      <color indexed="55"/>
      <name val="新細明體"/>
      <family val="1"/>
      <charset val="136"/>
    </font>
    <font>
      <b/>
      <sz val="28"/>
      <name val="標楷體"/>
      <family val="4"/>
      <charset val="136"/>
    </font>
    <font>
      <sz val="12"/>
      <name val="標楷體"/>
      <family val="4"/>
      <charset val="136"/>
    </font>
    <font>
      <b/>
      <sz val="14"/>
      <name val="標楷體"/>
      <family val="4"/>
      <charset val="136"/>
    </font>
    <font>
      <sz val="14"/>
      <name val="標楷體"/>
      <family val="4"/>
      <charset val="136"/>
    </font>
    <font>
      <b/>
      <sz val="12"/>
      <name val="標楷體"/>
      <family val="4"/>
      <charset val="136"/>
    </font>
    <font>
      <sz val="12"/>
      <color indexed="10"/>
      <name val="標楷體"/>
      <family val="4"/>
      <charset val="136"/>
    </font>
    <font>
      <b/>
      <sz val="20"/>
      <name val="標楷體"/>
      <family val="4"/>
      <charset val="136"/>
    </font>
    <font>
      <sz val="12"/>
      <color indexed="8"/>
      <name val="新細明體"/>
      <family val="1"/>
      <charset val="136"/>
    </font>
    <font>
      <sz val="12"/>
      <color indexed="8"/>
      <name val="新細明體"/>
      <family val="1"/>
      <charset val="136"/>
    </font>
    <font>
      <sz val="14"/>
      <name val="新細明體"/>
      <family val="1"/>
      <charset val="136"/>
    </font>
    <font>
      <b/>
      <u/>
      <sz val="20"/>
      <name val="新細明體"/>
      <family val="1"/>
      <charset val="136"/>
    </font>
    <font>
      <sz val="12"/>
      <color indexed="8"/>
      <name val="標楷體"/>
      <family val="4"/>
      <charset val="136"/>
    </font>
    <font>
      <sz val="12"/>
      <color indexed="8"/>
      <name val="新細明體"/>
      <family val="1"/>
      <charset val="136"/>
    </font>
    <font>
      <sz val="9"/>
      <name val="新細明體"/>
      <family val="1"/>
      <charset val="136"/>
    </font>
    <font>
      <sz val="14"/>
      <color indexed="8"/>
      <name val="標楷體"/>
      <family val="4"/>
      <charset val="136"/>
    </font>
    <font>
      <sz val="14"/>
      <name val="Times New Roman"/>
      <family val="1"/>
    </font>
    <font>
      <sz val="14"/>
      <color indexed="8"/>
      <name val="Times New Roman"/>
      <family val="1"/>
    </font>
    <font>
      <b/>
      <sz val="14"/>
      <name val="Times New Roman"/>
      <family val="1"/>
    </font>
    <font>
      <sz val="24"/>
      <name val="標楷體"/>
      <family val="4"/>
      <charset val="136"/>
    </font>
    <font>
      <sz val="16"/>
      <color indexed="10"/>
      <name val="標楷體"/>
      <family val="4"/>
      <charset val="136"/>
    </font>
    <font>
      <b/>
      <sz val="16"/>
      <name val="標楷體"/>
      <family val="4"/>
      <charset val="136"/>
    </font>
    <font>
      <sz val="16"/>
      <name val="標楷體"/>
      <family val="4"/>
      <charset val="136"/>
    </font>
    <font>
      <b/>
      <sz val="16"/>
      <color indexed="36"/>
      <name val="標楷體"/>
      <family val="4"/>
      <charset val="136"/>
    </font>
    <font>
      <sz val="16"/>
      <color indexed="30"/>
      <name val="標楷體"/>
      <family val="4"/>
      <charset val="136"/>
    </font>
    <font>
      <sz val="12"/>
      <color theme="1"/>
      <name val="新細明體"/>
      <family val="1"/>
      <charset val="136"/>
      <scheme val="minor"/>
    </font>
    <font>
      <sz val="12"/>
      <color rgb="FFFF0000"/>
      <name val="新細明體"/>
      <family val="1"/>
      <charset val="136"/>
      <scheme val="minor"/>
    </font>
    <font>
      <sz val="12"/>
      <color rgb="FFFF0000"/>
      <name val="新細明體"/>
      <family val="1"/>
      <charset val="136"/>
    </font>
    <font>
      <b/>
      <sz val="12"/>
      <color rgb="FFFF0000"/>
      <name val="新細明體"/>
      <family val="1"/>
      <charset val="136"/>
    </font>
    <font>
      <sz val="12"/>
      <color rgb="FF0070C0"/>
      <name val="標楷體"/>
      <family val="4"/>
      <charset val="136"/>
    </font>
    <font>
      <sz val="9"/>
      <color rgb="FF000000"/>
      <name val="新細明體"/>
      <family val="1"/>
      <charset val="136"/>
      <scheme val="minor"/>
    </font>
    <font>
      <b/>
      <sz val="9"/>
      <color rgb="FF000000"/>
      <name val="新細明體"/>
      <family val="1"/>
      <charset val="136"/>
      <scheme val="minor"/>
    </font>
    <font>
      <sz val="12"/>
      <color rgb="FFFF0000"/>
      <name val="標楷體"/>
      <family val="4"/>
      <charset val="136"/>
    </font>
    <font>
      <b/>
      <sz val="16"/>
      <color rgb="FF0000CC"/>
      <name val="標楷體"/>
      <family val="4"/>
      <charset val="136"/>
    </font>
    <font>
      <sz val="16"/>
      <color rgb="FFFF0000"/>
      <name val="標楷體"/>
      <family val="4"/>
      <charset val="136"/>
    </font>
    <font>
      <b/>
      <sz val="16"/>
      <color rgb="FFFF0000"/>
      <name val="標楷體"/>
      <family val="4"/>
      <charset val="136"/>
    </font>
    <font>
      <b/>
      <sz val="12"/>
      <color rgb="FFFF0000"/>
      <name val="新細明體"/>
      <family val="1"/>
      <charset val="136"/>
      <scheme val="minor"/>
    </font>
    <font>
      <b/>
      <sz val="16"/>
      <color rgb="FF0000CC"/>
      <name val="Times New Roman"/>
      <family val="1"/>
    </font>
    <font>
      <b/>
      <u/>
      <sz val="16"/>
      <color rgb="FF0000CC"/>
      <name val="Times New Roman"/>
      <family val="1"/>
    </font>
    <font>
      <b/>
      <sz val="12"/>
      <color theme="1"/>
      <name val="Times New Roman"/>
      <family val="1"/>
    </font>
    <font>
      <sz val="9"/>
      <name val="新細明體"/>
      <family val="2"/>
      <charset val="136"/>
      <scheme val="minor"/>
    </font>
    <font>
      <b/>
      <sz val="12"/>
      <color rgb="FF0000CC"/>
      <name val="新細明體"/>
      <family val="1"/>
      <charset val="136"/>
    </font>
    <font>
      <sz val="10"/>
      <name val="Arial"/>
      <family val="2"/>
    </font>
    <font>
      <sz val="10"/>
      <name val="標楷體"/>
      <family val="4"/>
      <charset val="136"/>
    </font>
    <font>
      <b/>
      <sz val="20"/>
      <color rgb="FFFF0000"/>
      <name val="新細明體"/>
      <family val="1"/>
      <charset val="136"/>
    </font>
    <font>
      <b/>
      <sz val="14"/>
      <name val="微軟正黑體"/>
      <family val="2"/>
      <charset val="136"/>
    </font>
    <font>
      <b/>
      <sz val="12"/>
      <name val="微軟正黑體"/>
      <family val="2"/>
      <charset val="136"/>
    </font>
    <font>
      <b/>
      <sz val="20"/>
      <name val="微軟正黑體"/>
      <family val="2"/>
      <charset val="136"/>
    </font>
    <font>
      <sz val="11"/>
      <color theme="1"/>
      <name val="新細明體"/>
      <family val="2"/>
      <scheme val="minor"/>
    </font>
    <font>
      <sz val="10"/>
      <color theme="1"/>
      <name val="標楷體"/>
      <family val="4"/>
      <charset val="136"/>
    </font>
    <font>
      <sz val="12"/>
      <name val="Times New Roman"/>
      <family val="1"/>
    </font>
    <font>
      <sz val="16"/>
      <color theme="4" tint="-0.249977111117893"/>
      <name val="標楷體"/>
      <family val="4"/>
      <charset val="136"/>
    </font>
    <font>
      <b/>
      <sz val="16"/>
      <color theme="4" tint="-0.249977111117893"/>
      <name val="標楷體"/>
      <family val="4"/>
      <charset val="136"/>
    </font>
    <font>
      <b/>
      <sz val="12"/>
      <color theme="1"/>
      <name val="微軟正黑體"/>
      <family val="2"/>
      <charset val="136"/>
    </font>
    <font>
      <b/>
      <sz val="12"/>
      <color theme="1"/>
      <name val="Microsoft JhengHei"/>
      <family val="2"/>
    </font>
    <font>
      <b/>
      <sz val="14"/>
      <color rgb="FFEE0000"/>
      <name val="微軟正黑體"/>
      <family val="2"/>
      <charset val="136"/>
    </font>
    <font>
      <b/>
      <sz val="12"/>
      <color rgb="FFFF0000"/>
      <name val="微軟正黑體"/>
      <family val="2"/>
      <charset val="136"/>
    </font>
    <font>
      <b/>
      <sz val="30"/>
      <name val="微軟正黑體"/>
      <family val="2"/>
      <charset val="136"/>
    </font>
    <font>
      <b/>
      <sz val="14"/>
      <color rgb="FFFF0000"/>
      <name val="微軟正黑體"/>
      <family val="2"/>
      <charset val="136"/>
    </font>
    <font>
      <sz val="14"/>
      <name val="微軟正黑體"/>
      <family val="2"/>
      <charset val="136"/>
    </font>
    <font>
      <sz val="11"/>
      <name val="微軟正黑體"/>
      <family val="2"/>
    </font>
    <font>
      <b/>
      <sz val="11"/>
      <name val="微軟正黑體"/>
      <family val="2"/>
    </font>
    <font>
      <b/>
      <sz val="14"/>
      <name val="微軟正黑體"/>
      <family val="2"/>
    </font>
    <font>
      <sz val="11"/>
      <color rgb="FF0000FF"/>
      <name val="微軟正黑體"/>
      <family val="2"/>
    </font>
    <font>
      <i/>
      <sz val="10"/>
      <color rgb="FF7F7F7F"/>
      <name val="微軟正黑體"/>
      <family val="2"/>
    </font>
    <font>
      <b/>
      <sz val="11"/>
      <color rgb="FFC00000"/>
      <name val="微軟正黑體"/>
      <family val="2"/>
    </font>
    <font>
      <sz val="11"/>
      <color rgb="FF008000"/>
      <name val="微軟正黑體"/>
      <family val="2"/>
    </font>
  </fonts>
  <fills count="2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indexed="27"/>
        <bgColor indexed="64"/>
      </patternFill>
    </fill>
    <fill>
      <patternFill patternType="solid">
        <fgColor theme="5"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D9D9D9"/>
        <bgColor indexed="64"/>
      </patternFill>
    </fill>
    <fill>
      <patternFill patternType="solid">
        <fgColor rgb="FFFFFF00"/>
        <bgColor indexed="64"/>
      </patternFill>
    </fill>
    <fill>
      <patternFill patternType="solid">
        <fgColor rgb="FFDDEBF7"/>
        <bgColor indexed="64"/>
      </patternFill>
    </fill>
    <fill>
      <patternFill patternType="solid">
        <fgColor rgb="FFFCE4D6"/>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right style="thin">
        <color indexed="64"/>
      </right>
      <top style="thick">
        <color indexed="64"/>
      </top>
      <bottom style="thin">
        <color indexed="64"/>
      </bottom>
      <diagonal/>
    </border>
    <border>
      <left/>
      <right style="thin">
        <color indexed="64"/>
      </right>
      <top style="thin">
        <color indexed="64"/>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ck">
        <color indexed="64"/>
      </right>
      <top/>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style="thin">
        <color indexed="64"/>
      </right>
      <top/>
      <bottom style="thin">
        <color indexed="64"/>
      </bottom>
      <diagonal style="thin">
        <color indexed="64"/>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n">
        <color indexed="64"/>
      </left>
      <right/>
      <top/>
      <bottom style="thin">
        <color indexed="64"/>
      </bottom>
      <diagonal/>
    </border>
    <border>
      <left style="thick">
        <color indexed="64"/>
      </left>
      <right style="thick">
        <color indexed="64"/>
      </right>
      <top/>
      <bottom style="thin">
        <color indexed="64"/>
      </bottom>
      <diagonal/>
    </border>
    <border>
      <left style="thick">
        <color indexed="64"/>
      </left>
      <right style="thick">
        <color indexed="64"/>
      </right>
      <top style="thick">
        <color indexed="64"/>
      </top>
      <bottom/>
      <diagonal/>
    </border>
    <border>
      <left/>
      <right style="thick">
        <color indexed="64"/>
      </right>
      <top/>
      <bottom style="thin">
        <color indexed="64"/>
      </bottom>
      <diagonal/>
    </border>
    <border>
      <left/>
      <right style="thick">
        <color indexed="64"/>
      </right>
      <top/>
      <bottom style="thick">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32">
    <xf numFmtId="0" fontId="0" fillId="0" borderId="0">
      <alignment vertical="center"/>
    </xf>
    <xf numFmtId="0" fontId="12" fillId="0" borderId="0">
      <alignment vertical="center"/>
    </xf>
    <xf numFmtId="0" fontId="29" fillId="0" borderId="0">
      <alignment vertical="center"/>
    </xf>
    <xf numFmtId="0" fontId="46" fillId="0" borderId="0">
      <alignment vertical="center"/>
    </xf>
    <xf numFmtId="0" fontId="23" fillId="0" borderId="0">
      <alignment vertical="center"/>
    </xf>
    <xf numFmtId="0" fontId="12" fillId="0" borderId="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xf numFmtId="0" fontId="11" fillId="0" borderId="0">
      <alignment vertical="center"/>
    </xf>
    <xf numFmtId="0" fontId="10" fillId="0" borderId="0">
      <alignment vertical="center"/>
    </xf>
    <xf numFmtId="43" fontId="9" fillId="0" borderId="0" applyFont="0" applyFill="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8" fillId="0" borderId="0">
      <alignment vertical="center"/>
    </xf>
    <xf numFmtId="0" fontId="63" fillId="0" borderId="0"/>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43" fontId="69" fillId="0" borderId="0" applyFont="0" applyFill="0" applyBorder="0" applyAlignment="0" applyProtection="0">
      <alignment vertical="center"/>
    </xf>
    <xf numFmtId="43" fontId="5" fillId="0" borderId="0" applyFont="0" applyFill="0" applyBorder="0" applyAlignment="0" applyProtection="0">
      <alignment vertical="center"/>
    </xf>
    <xf numFmtId="0" fontId="12" fillId="0" borderId="0">
      <alignment vertical="center"/>
    </xf>
    <xf numFmtId="0" fontId="46" fillId="0" borderId="0">
      <alignment vertical="center"/>
    </xf>
    <xf numFmtId="0" fontId="23" fillId="0" borderId="0">
      <alignment vertical="center"/>
    </xf>
    <xf numFmtId="0" fontId="12" fillId="0" borderId="0">
      <alignment vertical="center"/>
    </xf>
    <xf numFmtId="0" fontId="4" fillId="0" borderId="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0" fontId="1" fillId="0" borderId="0">
      <alignment vertical="center"/>
    </xf>
  </cellStyleXfs>
  <cellXfs count="638">
    <xf numFmtId="0" fontId="0" fillId="0" borderId="0" xfId="0">
      <alignment vertical="center"/>
    </xf>
    <xf numFmtId="0" fontId="12" fillId="0" borderId="0" xfId="0" applyFont="1">
      <alignment vertical="center"/>
    </xf>
    <xf numFmtId="0" fontId="0" fillId="0" borderId="0" xfId="0"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9" fontId="19" fillId="0" borderId="0" xfId="0" applyNumberFormat="1" applyFont="1" applyAlignment="1">
      <alignment horizontal="left" vertical="center"/>
    </xf>
    <xf numFmtId="9" fontId="0" fillId="0" borderId="0" xfId="0" applyNumberFormat="1" applyAlignment="1">
      <alignment horizontal="center" vertical="center"/>
    </xf>
    <xf numFmtId="0" fontId="14" fillId="0" borderId="0" xfId="0" applyFont="1" applyAlignment="1">
      <alignment horizontal="center" vertical="center"/>
    </xf>
    <xf numFmtId="9" fontId="0" fillId="0" borderId="0" xfId="0" applyNumberFormat="1">
      <alignment vertical="center"/>
    </xf>
    <xf numFmtId="0" fontId="0" fillId="0" borderId="1" xfId="0" applyBorder="1" applyAlignment="1">
      <alignment horizontal="center" vertical="center"/>
    </xf>
    <xf numFmtId="182" fontId="14" fillId="0" borderId="0" xfId="0" applyNumberFormat="1" applyFont="1" applyAlignment="1">
      <alignment horizontal="center" vertical="center"/>
    </xf>
    <xf numFmtId="183" fontId="0" fillId="0" borderId="0" xfId="0" applyNumberFormat="1">
      <alignment vertical="center"/>
    </xf>
    <xf numFmtId="0" fontId="0" fillId="0" borderId="0" xfId="0" applyAlignment="1"/>
    <xf numFmtId="0" fontId="14" fillId="0" borderId="0" xfId="0" applyFont="1" applyAlignment="1">
      <alignment horizontal="left"/>
    </xf>
    <xf numFmtId="0" fontId="14" fillId="0" borderId="1" xfId="0" applyFont="1" applyBorder="1" applyAlignment="1">
      <alignment horizontal="left"/>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76" fontId="12" fillId="0" borderId="0" xfId="6" applyNumberFormat="1" applyFont="1" applyAlignment="1"/>
    <xf numFmtId="9" fontId="0" fillId="0" borderId="0" xfId="0" applyNumberFormat="1" applyAlignment="1"/>
    <xf numFmtId="0" fontId="0" fillId="0" borderId="0" xfId="0" applyAlignment="1">
      <alignment horizontal="center"/>
    </xf>
    <xf numFmtId="176" fontId="0" fillId="0" borderId="0" xfId="0" applyNumberFormat="1">
      <alignment vertical="center"/>
    </xf>
    <xf numFmtId="176" fontId="21" fillId="0" borderId="0" xfId="0" applyNumberFormat="1" applyFont="1">
      <alignment vertical="center"/>
    </xf>
    <xf numFmtId="9" fontId="14" fillId="0" borderId="0" xfId="8" applyFont="1" applyFill="1" applyBorder="1" applyAlignment="1">
      <alignment horizontal="left" vertical="center"/>
    </xf>
    <xf numFmtId="9" fontId="12" fillId="0" borderId="0" xfId="8" applyFont="1" applyFill="1" applyBorder="1" applyAlignment="1">
      <alignment horizontal="center" vertical="center"/>
    </xf>
    <xf numFmtId="0" fontId="12" fillId="0" borderId="1" xfId="6" applyNumberFormat="1" applyFont="1" applyFill="1" applyBorder="1" applyAlignment="1">
      <alignment horizontal="left" vertical="center"/>
    </xf>
    <xf numFmtId="176" fontId="12" fillId="0" borderId="0" xfId="6" applyNumberFormat="1" applyFont="1" applyFill="1" applyBorder="1" applyAlignment="1">
      <alignment horizontal="center" vertical="center"/>
    </xf>
    <xf numFmtId="176" fontId="12" fillId="0" borderId="0" xfId="6" applyNumberFormat="1" applyFont="1" applyFill="1" applyBorder="1" applyAlignment="1">
      <alignment vertical="center"/>
    </xf>
    <xf numFmtId="9" fontId="12" fillId="0" borderId="0" xfId="8" applyFont="1" applyFill="1" applyBorder="1" applyAlignment="1">
      <alignment vertical="center"/>
    </xf>
    <xf numFmtId="0" fontId="12" fillId="0" borderId="0" xfId="6" applyNumberFormat="1" applyFont="1" applyFill="1" applyBorder="1" applyAlignment="1">
      <alignment horizontal="left" vertical="center"/>
    </xf>
    <xf numFmtId="0" fontId="12" fillId="0" borderId="0" xfId="6" applyNumberFormat="1" applyFont="1" applyFill="1" applyBorder="1" applyAlignment="1">
      <alignment vertical="center"/>
    </xf>
    <xf numFmtId="176" fontId="12" fillId="0" borderId="0" xfId="6" applyNumberFormat="1" applyFont="1" applyFill="1" applyAlignment="1"/>
    <xf numFmtId="9" fontId="12" fillId="0" borderId="0" xfId="8" applyFont="1" applyFill="1" applyBorder="1" applyAlignment="1">
      <alignment horizontal="center"/>
    </xf>
    <xf numFmtId="176" fontId="23" fillId="0" borderId="0" xfId="6" applyNumberFormat="1" applyFont="1" applyFill="1" applyAlignment="1">
      <alignment vertical="center"/>
    </xf>
    <xf numFmtId="176" fontId="23" fillId="2" borderId="0" xfId="6" applyNumberFormat="1" applyFont="1" applyFill="1" applyAlignment="1">
      <alignment vertical="center"/>
    </xf>
    <xf numFmtId="176" fontId="27" fillId="0" borderId="0" xfId="6" applyNumberFormat="1" applyFont="1" applyFill="1" applyAlignment="1">
      <alignment vertical="center"/>
    </xf>
    <xf numFmtId="176" fontId="23" fillId="0" borderId="0" xfId="6" applyNumberFormat="1" applyFont="1" applyFill="1" applyAlignment="1">
      <alignment horizontal="center" vertical="center"/>
    </xf>
    <xf numFmtId="176" fontId="0" fillId="0" borderId="0" xfId="6" applyNumberFormat="1" applyFont="1">
      <alignment vertical="center"/>
    </xf>
    <xf numFmtId="186" fontId="0" fillId="0" borderId="0" xfId="0" applyNumberFormat="1">
      <alignment vertical="center"/>
    </xf>
    <xf numFmtId="0" fontId="14" fillId="0" borderId="0" xfId="0" applyFont="1">
      <alignment vertical="center"/>
    </xf>
    <xf numFmtId="0" fontId="24" fillId="0" borderId="0" xfId="0" applyFont="1" applyAlignment="1">
      <alignment horizontal="center" vertical="center"/>
    </xf>
    <xf numFmtId="0" fontId="26" fillId="0" borderId="0" xfId="0" applyFont="1">
      <alignment vertical="center"/>
    </xf>
    <xf numFmtId="186" fontId="0" fillId="0" borderId="1" xfId="0" applyNumberFormat="1" applyBorder="1">
      <alignment vertical="center"/>
    </xf>
    <xf numFmtId="186" fontId="0" fillId="0" borderId="1" xfId="0" applyNumberFormat="1" applyBorder="1" applyAlignment="1">
      <alignment horizontal="center" vertical="center"/>
    </xf>
    <xf numFmtId="187" fontId="0" fillId="0" borderId="0" xfId="0" applyNumberFormat="1" applyAlignment="1">
      <alignment horizontal="center" vertical="center"/>
    </xf>
    <xf numFmtId="0" fontId="23" fillId="0" borderId="0" xfId="0" applyFont="1">
      <alignment vertical="center"/>
    </xf>
    <xf numFmtId="176" fontId="23" fillId="0" borderId="0" xfId="6" applyNumberFormat="1" applyFont="1" applyAlignment="1"/>
    <xf numFmtId="0" fontId="23" fillId="0" borderId="0" xfId="0" applyFont="1" applyAlignment="1">
      <alignment horizontal="center"/>
    </xf>
    <xf numFmtId="0" fontId="23" fillId="0" borderId="0" xfId="0" applyFont="1" applyAlignment="1">
      <alignment horizontal="right"/>
    </xf>
    <xf numFmtId="0" fontId="33" fillId="0" borderId="1" xfId="6" applyNumberFormat="1" applyFont="1" applyFill="1" applyBorder="1" applyAlignment="1">
      <alignment horizontal="center" vertical="center"/>
    </xf>
    <xf numFmtId="0" fontId="29" fillId="0" borderId="0" xfId="0" applyFont="1">
      <alignment vertical="center"/>
    </xf>
    <xf numFmtId="0" fontId="25" fillId="0" borderId="1" xfId="0" applyFont="1" applyBorder="1" applyAlignment="1">
      <alignment horizontal="center" vertical="center"/>
    </xf>
    <xf numFmtId="0" fontId="25" fillId="0" borderId="1" xfId="5" applyFont="1" applyBorder="1" applyAlignment="1">
      <alignment horizontal="center" vertical="center" wrapText="1"/>
    </xf>
    <xf numFmtId="176" fontId="25" fillId="0" borderId="1" xfId="6" applyNumberFormat="1" applyFont="1" applyFill="1" applyBorder="1" applyAlignment="1">
      <alignment horizontal="center" vertical="center" wrapText="1"/>
    </xf>
    <xf numFmtId="176" fontId="25" fillId="0" borderId="1" xfId="6" applyNumberFormat="1" applyFont="1" applyBorder="1" applyAlignment="1">
      <alignment horizontal="center" vertical="center" wrapText="1"/>
    </xf>
    <xf numFmtId="176" fontId="25" fillId="0" borderId="1" xfId="6" applyNumberFormat="1" applyFont="1" applyFill="1" applyBorder="1" applyAlignment="1">
      <alignment horizontal="center" vertical="center"/>
    </xf>
    <xf numFmtId="180" fontId="25" fillId="0" borderId="1" xfId="6" applyNumberFormat="1" applyFont="1" applyFill="1" applyBorder="1" applyAlignment="1">
      <alignment horizontal="center" vertical="center"/>
    </xf>
    <xf numFmtId="0" fontId="33" fillId="0" borderId="1" xfId="5" applyFont="1" applyBorder="1" applyAlignment="1">
      <alignment horizontal="center" vertical="center" wrapText="1"/>
    </xf>
    <xf numFmtId="176" fontId="33" fillId="0" borderId="1" xfId="6" applyNumberFormat="1" applyFont="1" applyFill="1" applyBorder="1" applyAlignment="1">
      <alignment horizontal="center" vertical="center" wrapText="1"/>
    </xf>
    <xf numFmtId="0" fontId="33" fillId="0" borderId="1" xfId="5" applyFont="1" applyBorder="1" applyAlignment="1">
      <alignment horizontal="center" vertical="center"/>
    </xf>
    <xf numFmtId="185" fontId="33" fillId="0" borderId="3" xfId="6" applyNumberFormat="1" applyFont="1" applyFill="1" applyBorder="1" applyAlignment="1">
      <alignment vertical="center" wrapText="1"/>
    </xf>
    <xf numFmtId="185" fontId="33" fillId="0" borderId="1" xfId="6" applyNumberFormat="1" applyFont="1" applyFill="1" applyBorder="1" applyAlignment="1">
      <alignment vertical="center" wrapText="1"/>
    </xf>
    <xf numFmtId="176" fontId="12" fillId="0" borderId="1" xfId="6" applyNumberFormat="1" applyFont="1" applyFill="1" applyBorder="1" applyAlignment="1">
      <alignment vertical="center" wrapText="1"/>
    </xf>
    <xf numFmtId="0" fontId="0" fillId="0" borderId="1" xfId="0" applyBorder="1" applyAlignment="1">
      <alignment horizontal="center" vertical="center" wrapText="1"/>
    </xf>
    <xf numFmtId="0" fontId="12" fillId="0" borderId="1" xfId="6" applyNumberFormat="1" applyFont="1" applyFill="1" applyBorder="1" applyAlignment="1">
      <alignment horizontal="center" vertical="center" wrapText="1"/>
    </xf>
    <xf numFmtId="0" fontId="0" fillId="0" borderId="1" xfId="0" applyBorder="1" applyAlignment="1">
      <alignment horizontal="left" vertical="center"/>
    </xf>
    <xf numFmtId="0" fontId="12" fillId="0" borderId="1" xfId="0" applyFont="1" applyBorder="1">
      <alignment vertical="center"/>
    </xf>
    <xf numFmtId="177" fontId="14" fillId="0" borderId="1" xfId="0" applyNumberFormat="1" applyFont="1" applyBorder="1" applyAlignment="1">
      <alignment horizontal="center" vertical="center" wrapText="1"/>
    </xf>
    <xf numFmtId="178" fontId="14" fillId="0" borderId="1" xfId="9" applyNumberFormat="1" applyFont="1" applyFill="1" applyBorder="1" applyAlignment="1">
      <alignment horizontal="center" vertical="center"/>
    </xf>
    <xf numFmtId="184" fontId="14" fillId="4" borderId="1" xfId="0" applyNumberFormat="1" applyFont="1" applyFill="1" applyBorder="1">
      <alignment vertical="center"/>
    </xf>
    <xf numFmtId="49" fontId="0" fillId="0" borderId="1" xfId="0" applyNumberFormat="1" applyBorder="1" applyAlignment="1">
      <alignment horizontal="center" vertical="center"/>
    </xf>
    <xf numFmtId="186" fontId="0" fillId="5" borderId="1" xfId="0" applyNumberFormat="1" applyFill="1" applyBorder="1" applyAlignment="1">
      <alignment horizontal="center" vertical="center"/>
    </xf>
    <xf numFmtId="0" fontId="29" fillId="0" borderId="1" xfId="0" applyFont="1" applyBorder="1" applyAlignment="1">
      <alignment horizontal="center" vertical="center" wrapText="1"/>
    </xf>
    <xf numFmtId="3" fontId="33" fillId="0" borderId="1" xfId="6" applyNumberFormat="1" applyFont="1" applyFill="1" applyBorder="1" applyAlignment="1">
      <alignment vertical="center" wrapText="1"/>
    </xf>
    <xf numFmtId="176" fontId="23" fillId="2" borderId="0" xfId="6" applyNumberFormat="1" applyFont="1" applyFill="1" applyAlignment="1">
      <alignment horizontal="center" vertical="center"/>
    </xf>
    <xf numFmtId="0" fontId="48" fillId="0" borderId="1" xfId="0" applyFont="1" applyBorder="1" applyAlignment="1">
      <alignment horizontal="center" vertical="center"/>
    </xf>
    <xf numFmtId="0" fontId="48" fillId="0" borderId="1" xfId="0" applyFont="1" applyBorder="1" applyAlignment="1">
      <alignment horizontal="center" vertical="center" wrapText="1"/>
    </xf>
    <xf numFmtId="179" fontId="48" fillId="0" borderId="1" xfId="6" applyNumberFormat="1" applyFont="1" applyFill="1" applyBorder="1" applyAlignment="1">
      <alignment vertical="center"/>
    </xf>
    <xf numFmtId="189" fontId="48" fillId="0" borderId="1" xfId="6" applyNumberFormat="1" applyFont="1" applyFill="1" applyBorder="1" applyAlignment="1">
      <alignment vertical="center"/>
    </xf>
    <xf numFmtId="176" fontId="48" fillId="0" borderId="1" xfId="6" applyNumberFormat="1" applyFont="1" applyFill="1" applyBorder="1" applyAlignment="1">
      <alignment vertical="center"/>
    </xf>
    <xf numFmtId="0" fontId="49" fillId="0" borderId="1" xfId="0" applyFont="1" applyBorder="1" applyAlignment="1">
      <alignment horizontal="center" vertical="center" wrapText="1"/>
    </xf>
    <xf numFmtId="0" fontId="33" fillId="6" borderId="1" xfId="6" applyNumberFormat="1" applyFont="1" applyFill="1" applyBorder="1" applyAlignment="1">
      <alignment horizontal="center" vertical="center"/>
    </xf>
    <xf numFmtId="0" fontId="20" fillId="0" borderId="1" xfId="0" applyFont="1" applyBorder="1">
      <alignment vertical="center"/>
    </xf>
    <xf numFmtId="10" fontId="23" fillId="0" borderId="0" xfId="0" applyNumberFormat="1" applyFont="1">
      <alignment vertical="center"/>
    </xf>
    <xf numFmtId="185" fontId="50" fillId="0" borderId="1" xfId="6" applyNumberFormat="1" applyFont="1" applyFill="1" applyBorder="1" applyAlignment="1">
      <alignment vertical="center"/>
    </xf>
    <xf numFmtId="0" fontId="46" fillId="0" borderId="0" xfId="0" applyFont="1">
      <alignment vertical="center"/>
    </xf>
    <xf numFmtId="0" fontId="51" fillId="0" borderId="0" xfId="0" applyFont="1" applyAlignment="1">
      <alignment vertical="center" wrapText="1"/>
    </xf>
    <xf numFmtId="0" fontId="52" fillId="6" borderId="12" xfId="0" applyFont="1" applyFill="1" applyBorder="1" applyAlignment="1">
      <alignment horizontal="center" vertical="center" wrapText="1"/>
    </xf>
    <xf numFmtId="0" fontId="51" fillId="0" borderId="12" xfId="0" applyFont="1" applyBorder="1" applyAlignment="1">
      <alignment horizontal="center" vertical="center" wrapText="1"/>
    </xf>
    <xf numFmtId="43" fontId="46" fillId="0" borderId="0" xfId="0" applyNumberFormat="1" applyFont="1">
      <alignment vertical="center"/>
    </xf>
    <xf numFmtId="176" fontId="46" fillId="0" borderId="0" xfId="6" applyNumberFormat="1" applyFont="1">
      <alignment vertical="center"/>
    </xf>
    <xf numFmtId="0" fontId="46" fillId="6" borderId="0" xfId="0" applyFont="1" applyFill="1">
      <alignment vertical="center"/>
    </xf>
    <xf numFmtId="176" fontId="23" fillId="6" borderId="0" xfId="6" applyNumberFormat="1" applyFont="1" applyFill="1" applyAlignment="1">
      <alignment vertical="center"/>
    </xf>
    <xf numFmtId="0" fontId="0" fillId="6" borderId="0" xfId="0" applyFill="1">
      <alignment vertical="center"/>
    </xf>
    <xf numFmtId="176" fontId="12" fillId="6" borderId="0" xfId="6" applyNumberFormat="1" applyFont="1" applyFill="1" applyBorder="1" applyAlignment="1">
      <alignment vertical="center"/>
    </xf>
    <xf numFmtId="0" fontId="48" fillId="0" borderId="0" xfId="0" applyFont="1">
      <alignment vertical="center"/>
    </xf>
    <xf numFmtId="0" fontId="48" fillId="7" borderId="1" xfId="0" applyFont="1" applyFill="1" applyBorder="1" applyAlignment="1">
      <alignment horizontal="center" vertical="center"/>
    </xf>
    <xf numFmtId="0" fontId="0" fillId="7" borderId="0" xfId="0" applyFill="1">
      <alignment vertical="center"/>
    </xf>
    <xf numFmtId="186" fontId="0" fillId="8" borderId="1" xfId="0" applyNumberFormat="1" applyFill="1" applyBorder="1" applyAlignment="1">
      <alignment horizontal="center" vertical="center"/>
    </xf>
    <xf numFmtId="176" fontId="53" fillId="2" borderId="0" xfId="6" applyNumberFormat="1" applyFont="1" applyFill="1" applyAlignment="1">
      <alignment vertical="center"/>
    </xf>
    <xf numFmtId="177" fontId="53" fillId="0" borderId="1" xfId="6" applyNumberFormat="1" applyFont="1" applyFill="1" applyBorder="1" applyAlignment="1">
      <alignment vertical="center" wrapText="1"/>
    </xf>
    <xf numFmtId="176" fontId="48" fillId="0" borderId="0" xfId="0" applyNumberFormat="1" applyFont="1">
      <alignment vertical="center"/>
    </xf>
    <xf numFmtId="0" fontId="23" fillId="0" borderId="0" xfId="0" applyFont="1" applyAlignment="1">
      <alignment horizontal="center" vertical="center"/>
    </xf>
    <xf numFmtId="177" fontId="0" fillId="0" borderId="1" xfId="0" applyNumberFormat="1" applyBorder="1">
      <alignment vertical="center"/>
    </xf>
    <xf numFmtId="10" fontId="12" fillId="0" borderId="1" xfId="8" applyNumberFormat="1" applyFont="1" applyFill="1" applyBorder="1" applyAlignment="1">
      <alignment horizontal="center" vertical="center"/>
    </xf>
    <xf numFmtId="10" fontId="12" fillId="0" borderId="0" xfId="8" applyNumberFormat="1" applyFont="1" applyFill="1" applyBorder="1" applyAlignment="1">
      <alignment horizontal="center" vertical="center"/>
    </xf>
    <xf numFmtId="0" fontId="0" fillId="0" borderId="1" xfId="6" applyNumberFormat="1" applyFont="1" applyFill="1" applyBorder="1" applyAlignment="1">
      <alignment horizontal="left" vertical="center"/>
    </xf>
    <xf numFmtId="0" fontId="0" fillId="0" borderId="1" xfId="6" applyNumberFormat="1" applyFont="1" applyFill="1" applyBorder="1" applyAlignment="1">
      <alignment horizontal="center" vertical="center"/>
    </xf>
    <xf numFmtId="177" fontId="0" fillId="0" borderId="1" xfId="6" applyNumberFormat="1" applyFont="1" applyFill="1" applyBorder="1" applyAlignment="1">
      <alignment horizontal="left" vertical="center"/>
    </xf>
    <xf numFmtId="176" fontId="48" fillId="0" borderId="0" xfId="6" applyNumberFormat="1" applyFont="1" applyFill="1" applyAlignment="1"/>
    <xf numFmtId="0" fontId="0" fillId="0" borderId="1" xfId="0" applyBorder="1">
      <alignment vertical="center"/>
    </xf>
    <xf numFmtId="0" fontId="20" fillId="0" borderId="1" xfId="0" applyFont="1" applyBorder="1" applyAlignment="1">
      <alignment horizontal="center" vertical="center"/>
    </xf>
    <xf numFmtId="176" fontId="0" fillId="0" borderId="1" xfId="0" applyNumberFormat="1" applyBorder="1">
      <alignment vertical="center"/>
    </xf>
    <xf numFmtId="176" fontId="14" fillId="0" borderId="1" xfId="6" applyNumberFormat="1" applyFont="1" applyFill="1" applyBorder="1" applyAlignment="1">
      <alignment horizontal="center" vertical="center"/>
    </xf>
    <xf numFmtId="176" fontId="12" fillId="0" borderId="0" xfId="6" applyNumberFormat="1" applyFont="1" applyAlignment="1">
      <alignment vertical="center"/>
    </xf>
    <xf numFmtId="176" fontId="25" fillId="0" borderId="1" xfId="6" applyNumberFormat="1" applyFont="1" applyBorder="1" applyAlignment="1"/>
    <xf numFmtId="176" fontId="25" fillId="0" borderId="1" xfId="6" applyNumberFormat="1" applyFont="1" applyFill="1" applyBorder="1" applyAlignment="1"/>
    <xf numFmtId="176" fontId="24" fillId="0" borderId="1" xfId="6" applyNumberFormat="1" applyFont="1" applyFill="1" applyBorder="1" applyAlignment="1">
      <alignment horizontal="right"/>
    </xf>
    <xf numFmtId="176" fontId="23" fillId="0" borderId="0" xfId="6" applyNumberFormat="1" applyFont="1" applyAlignment="1">
      <alignment horizontal="right"/>
    </xf>
    <xf numFmtId="176" fontId="36" fillId="0" borderId="1" xfId="6" applyNumberFormat="1" applyFont="1" applyFill="1" applyBorder="1" applyAlignment="1">
      <alignment horizontal="center" vertical="center"/>
    </xf>
    <xf numFmtId="0" fontId="0" fillId="0" borderId="0" xfId="0" applyAlignment="1">
      <alignment horizontal="right" vertical="center"/>
    </xf>
    <xf numFmtId="176" fontId="0" fillId="4" borderId="1" xfId="6" applyNumberFormat="1" applyFont="1" applyFill="1" applyBorder="1" applyAlignment="1">
      <alignment horizontal="center" vertical="center" wrapText="1"/>
    </xf>
    <xf numFmtId="176" fontId="0" fillId="0" borderId="0" xfId="6" applyNumberFormat="1" applyFont="1" applyAlignment="1">
      <alignment horizontal="center" vertical="center"/>
    </xf>
    <xf numFmtId="176" fontId="48" fillId="0" borderId="0" xfId="6" applyNumberFormat="1" applyFont="1" applyFill="1">
      <alignment vertical="center"/>
    </xf>
    <xf numFmtId="176" fontId="12" fillId="9" borderId="0" xfId="6" applyNumberFormat="1" applyFont="1" applyFill="1">
      <alignment vertical="center"/>
    </xf>
    <xf numFmtId="176" fontId="46" fillId="9" borderId="0" xfId="6" applyNumberFormat="1" applyFont="1" applyFill="1">
      <alignment vertical="center"/>
    </xf>
    <xf numFmtId="176" fontId="47" fillId="9" borderId="0" xfId="6" applyNumberFormat="1" applyFont="1" applyFill="1">
      <alignment vertical="center"/>
    </xf>
    <xf numFmtId="176" fontId="47" fillId="9" borderId="6" xfId="6" applyNumberFormat="1" applyFont="1" applyFill="1" applyBorder="1">
      <alignment vertical="center"/>
    </xf>
    <xf numFmtId="176" fontId="47" fillId="0" borderId="7" xfId="6" applyNumberFormat="1" applyFont="1" applyBorder="1">
      <alignment vertical="center"/>
    </xf>
    <xf numFmtId="176" fontId="47" fillId="9" borderId="8" xfId="6" applyNumberFormat="1" applyFont="1" applyFill="1" applyBorder="1">
      <alignment vertical="center"/>
    </xf>
    <xf numFmtId="0" fontId="20" fillId="9" borderId="10" xfId="0" applyFont="1" applyFill="1" applyBorder="1" applyAlignment="1">
      <alignment horizontal="center" vertical="center"/>
    </xf>
    <xf numFmtId="176" fontId="0" fillId="9" borderId="10" xfId="0" applyNumberFormat="1" applyFill="1" applyBorder="1" applyAlignment="1"/>
    <xf numFmtId="176" fontId="48" fillId="4" borderId="1" xfId="6" applyNumberFormat="1" applyFont="1" applyFill="1" applyBorder="1" applyAlignment="1">
      <alignment horizontal="center" vertical="center" wrapText="1"/>
    </xf>
    <xf numFmtId="176" fontId="53" fillId="0" borderId="1" xfId="6" applyNumberFormat="1" applyFont="1" applyFill="1" applyBorder="1" applyAlignment="1">
      <alignment vertical="center"/>
    </xf>
    <xf numFmtId="176" fontId="37" fillId="0" borderId="1" xfId="6" applyNumberFormat="1" applyFont="1" applyFill="1" applyBorder="1" applyAlignment="1">
      <alignment horizontal="center" vertical="center"/>
    </xf>
    <xf numFmtId="43" fontId="48" fillId="0" borderId="0" xfId="0" applyNumberFormat="1" applyFont="1">
      <alignment vertical="center"/>
    </xf>
    <xf numFmtId="180" fontId="37" fillId="0" borderId="1" xfId="6" applyNumberFormat="1" applyFont="1" applyFill="1" applyBorder="1" applyAlignment="1">
      <alignment horizontal="center" vertical="center"/>
    </xf>
    <xf numFmtId="176" fontId="37" fillId="0" borderId="1" xfId="6" applyNumberFormat="1" applyFont="1" applyBorder="1" applyAlignment="1">
      <alignment horizontal="center" vertical="center"/>
    </xf>
    <xf numFmtId="176" fontId="37" fillId="0" borderId="1" xfId="0" applyNumberFormat="1" applyFont="1" applyBorder="1" applyAlignment="1">
      <alignment horizontal="center" vertical="center"/>
    </xf>
    <xf numFmtId="180" fontId="38" fillId="0" borderId="1" xfId="6" applyNumberFormat="1" applyFont="1" applyFill="1" applyBorder="1" applyAlignment="1">
      <alignment horizontal="center" vertical="center"/>
    </xf>
    <xf numFmtId="0" fontId="40" fillId="0" borderId="0" xfId="0" applyFont="1">
      <alignment vertical="center"/>
    </xf>
    <xf numFmtId="181" fontId="23" fillId="0" borderId="0" xfId="0" applyNumberFormat="1" applyFont="1">
      <alignment vertical="center"/>
    </xf>
    <xf numFmtId="0" fontId="25" fillId="0" borderId="0" xfId="0" applyFont="1">
      <alignment vertical="center"/>
    </xf>
    <xf numFmtId="0" fontId="25" fillId="0" borderId="0" xfId="0" applyFont="1" applyAlignment="1">
      <alignment horizontal="center" vertical="center"/>
    </xf>
    <xf numFmtId="0" fontId="36" fillId="0" borderId="0" xfId="0" applyFont="1" applyAlignment="1">
      <alignment horizontal="center" vertical="center"/>
    </xf>
    <xf numFmtId="10" fontId="23" fillId="0" borderId="0" xfId="8" applyNumberFormat="1" applyFont="1" applyAlignment="1"/>
    <xf numFmtId="10" fontId="23" fillId="0" borderId="0" xfId="6" applyNumberFormat="1" applyFont="1" applyAlignment="1"/>
    <xf numFmtId="176" fontId="43" fillId="11" borderId="0" xfId="6" applyNumberFormat="1" applyFont="1" applyFill="1" applyAlignment="1"/>
    <xf numFmtId="0" fontId="43" fillId="11" borderId="0" xfId="0" applyFont="1" applyFill="1">
      <alignment vertical="center"/>
    </xf>
    <xf numFmtId="185" fontId="0" fillId="0" borderId="0" xfId="0" applyNumberFormat="1">
      <alignment vertical="center"/>
    </xf>
    <xf numFmtId="176" fontId="39" fillId="0" borderId="1" xfId="6" applyNumberFormat="1" applyFont="1" applyFill="1" applyBorder="1" applyAlignment="1">
      <alignment horizontal="center" vertical="center"/>
    </xf>
    <xf numFmtId="176" fontId="39" fillId="0" borderId="1" xfId="6" applyNumberFormat="1" applyFont="1" applyFill="1" applyBorder="1" applyAlignment="1">
      <alignment horizontal="right" vertical="center"/>
    </xf>
    <xf numFmtId="177" fontId="31" fillId="0" borderId="1" xfId="0" applyNumberFormat="1" applyFont="1" applyBorder="1" applyAlignment="1">
      <alignment horizontal="center" vertical="center" wrapText="1"/>
    </xf>
    <xf numFmtId="190" fontId="31" fillId="0" borderId="1" xfId="0" applyNumberFormat="1" applyFont="1" applyBorder="1" applyAlignment="1">
      <alignment horizontal="center" vertical="center"/>
    </xf>
    <xf numFmtId="0" fontId="31" fillId="0" borderId="1" xfId="0" applyFont="1" applyBorder="1" applyAlignment="1">
      <alignment horizontal="center" vertical="center"/>
    </xf>
    <xf numFmtId="9" fontId="31" fillId="0" borderId="1" xfId="9" applyFont="1" applyFill="1" applyBorder="1" applyAlignment="1">
      <alignment horizontal="right" vertical="center"/>
    </xf>
    <xf numFmtId="9" fontId="31" fillId="0" borderId="1" xfId="6" applyNumberFormat="1" applyFont="1" applyBorder="1" applyAlignment="1">
      <alignment horizontal="right" vertical="center"/>
    </xf>
    <xf numFmtId="9" fontId="12" fillId="0" borderId="1" xfId="8" applyFont="1" applyBorder="1" applyAlignment="1">
      <alignment vertical="center"/>
    </xf>
    <xf numFmtId="176" fontId="0" fillId="0" borderId="1" xfId="6" applyNumberFormat="1" applyFont="1" applyBorder="1" applyAlignment="1">
      <alignment vertical="center"/>
    </xf>
    <xf numFmtId="9" fontId="31" fillId="0" borderId="1" xfId="0" applyNumberFormat="1" applyFont="1" applyBorder="1" applyAlignment="1">
      <alignment horizontal="right" vertical="center"/>
    </xf>
    <xf numFmtId="9" fontId="31" fillId="0" borderId="1" xfId="6" applyNumberFormat="1" applyFont="1" applyFill="1" applyBorder="1" applyAlignment="1">
      <alignment horizontal="right" vertical="center"/>
    </xf>
    <xf numFmtId="183" fontId="0" fillId="0" borderId="1" xfId="0" applyNumberFormat="1" applyBorder="1">
      <alignment vertical="center"/>
    </xf>
    <xf numFmtId="9" fontId="12" fillId="0" borderId="1" xfId="8" applyFont="1" applyFill="1" applyBorder="1" applyAlignment="1">
      <alignment horizontal="center" vertical="center"/>
    </xf>
    <xf numFmtId="0" fontId="59" fillId="0" borderId="0" xfId="0" applyFont="1" applyAlignment="1">
      <alignment horizontal="center" vertical="center"/>
    </xf>
    <xf numFmtId="0" fontId="58" fillId="0" borderId="1" xfId="0" applyFont="1" applyBorder="1">
      <alignment vertical="center"/>
    </xf>
    <xf numFmtId="0" fontId="58" fillId="0" borderId="0" xfId="0" applyFont="1" applyAlignment="1">
      <alignment horizontal="center" vertical="center"/>
    </xf>
    <xf numFmtId="2" fontId="58" fillId="0" borderId="1" xfId="0" applyNumberFormat="1" applyFont="1" applyBorder="1" applyAlignment="1">
      <alignment horizontal="right" vertical="center"/>
    </xf>
    <xf numFmtId="2" fontId="58" fillId="0" borderId="1" xfId="6" applyNumberFormat="1" applyFont="1" applyFill="1" applyBorder="1" applyAlignment="1">
      <alignment horizontal="center" vertical="center"/>
    </xf>
    <xf numFmtId="0" fontId="58" fillId="0" borderId="11" xfId="0" applyFont="1" applyBorder="1">
      <alignment vertical="center"/>
    </xf>
    <xf numFmtId="2" fontId="58" fillId="0" borderId="1" xfId="0" applyNumberFormat="1" applyFont="1" applyBorder="1">
      <alignment vertical="center"/>
    </xf>
    <xf numFmtId="0" fontId="58" fillId="0" borderId="1" xfId="0" applyFont="1" applyBorder="1" applyAlignment="1">
      <alignment horizontal="center" vertical="center"/>
    </xf>
    <xf numFmtId="0" fontId="48" fillId="12" borderId="1" xfId="1" applyFont="1" applyFill="1" applyBorder="1" applyAlignment="1">
      <alignment horizontal="center" vertical="center" wrapText="1"/>
    </xf>
    <xf numFmtId="191" fontId="15" fillId="3" borderId="1" xfId="1" applyNumberFormat="1" applyFont="1" applyFill="1" applyBorder="1">
      <alignment vertical="center"/>
    </xf>
    <xf numFmtId="0" fontId="48" fillId="12" borderId="1" xfId="1" applyFont="1" applyFill="1" applyBorder="1" applyAlignment="1">
      <alignment horizontal="center" vertical="center"/>
    </xf>
    <xf numFmtId="0" fontId="48" fillId="0" borderId="1" xfId="1" applyFont="1" applyBorder="1" applyAlignment="1">
      <alignment horizontal="center" vertical="center"/>
    </xf>
    <xf numFmtId="176" fontId="47" fillId="0" borderId="5" xfId="6" applyNumberFormat="1" applyFont="1" applyBorder="1" applyAlignment="1">
      <alignment vertical="center" wrapText="1"/>
    </xf>
    <xf numFmtId="4" fontId="0" fillId="0" borderId="0" xfId="0" applyNumberFormat="1">
      <alignment vertical="center"/>
    </xf>
    <xf numFmtId="10" fontId="46" fillId="0" borderId="0" xfId="0" applyNumberFormat="1" applyFont="1">
      <alignment vertical="center"/>
    </xf>
    <xf numFmtId="0" fontId="0" fillId="13" borderId="0" xfId="0" applyFill="1">
      <alignment vertical="center"/>
    </xf>
    <xf numFmtId="0" fontId="46" fillId="13" borderId="0" xfId="0" applyFont="1" applyFill="1">
      <alignment vertical="center"/>
    </xf>
    <xf numFmtId="0" fontId="52" fillId="13" borderId="12" xfId="0" applyFont="1" applyFill="1" applyBorder="1" applyAlignment="1">
      <alignment horizontal="center" vertical="center" wrapText="1"/>
    </xf>
    <xf numFmtId="176" fontId="46" fillId="13" borderId="0" xfId="0" applyNumberFormat="1" applyFont="1" applyFill="1">
      <alignment vertical="center"/>
    </xf>
    <xf numFmtId="176" fontId="47" fillId="13" borderId="0" xfId="6" applyNumberFormat="1" applyFont="1" applyFill="1">
      <alignment vertical="center"/>
    </xf>
    <xf numFmtId="176" fontId="46" fillId="13" borderId="0" xfId="6" applyNumberFormat="1" applyFont="1" applyFill="1">
      <alignment vertical="center"/>
    </xf>
    <xf numFmtId="184" fontId="48" fillId="6" borderId="1" xfId="0" applyNumberFormat="1" applyFont="1" applyFill="1" applyBorder="1">
      <alignment vertical="center"/>
    </xf>
    <xf numFmtId="10" fontId="48" fillId="0" borderId="1" xfId="0" applyNumberFormat="1" applyFont="1" applyBorder="1" applyAlignment="1">
      <alignment horizontal="center" vertical="center"/>
    </xf>
    <xf numFmtId="0" fontId="24" fillId="0" borderId="0" xfId="5" applyFont="1" applyAlignment="1">
      <alignment vertical="center"/>
    </xf>
    <xf numFmtId="186" fontId="14" fillId="0" borderId="0" xfId="0" applyNumberFormat="1" applyFont="1">
      <alignment vertical="center"/>
    </xf>
    <xf numFmtId="186" fontId="14" fillId="0" borderId="0" xfId="6" applyNumberFormat="1" applyFont="1">
      <alignment vertical="center"/>
    </xf>
    <xf numFmtId="186" fontId="14" fillId="0" borderId="0" xfId="0" applyNumberFormat="1" applyFont="1" applyAlignment="1">
      <alignment horizontal="center" vertical="center"/>
    </xf>
    <xf numFmtId="186" fontId="14" fillId="0" borderId="0" xfId="0" applyNumberFormat="1" applyFont="1" applyAlignment="1">
      <alignment horizontal="right" vertical="center"/>
    </xf>
    <xf numFmtId="186" fontId="14" fillId="0" borderId="0" xfId="6" applyNumberFormat="1" applyFont="1" applyBorder="1">
      <alignment vertical="center"/>
    </xf>
    <xf numFmtId="186" fontId="14" fillId="0" borderId="1" xfId="6" applyNumberFormat="1" applyFont="1" applyBorder="1">
      <alignment vertical="center"/>
    </xf>
    <xf numFmtId="186" fontId="14" fillId="0" borderId="1" xfId="6" applyNumberFormat="1" applyFont="1" applyBorder="1" applyAlignment="1">
      <alignment horizontal="center" vertical="center"/>
    </xf>
    <xf numFmtId="186" fontId="14" fillId="5" borderId="1" xfId="0" applyNumberFormat="1" applyFont="1" applyFill="1" applyBorder="1" applyAlignment="1">
      <alignment horizontal="center" vertical="center" wrapText="1"/>
    </xf>
    <xf numFmtId="186" fontId="14" fillId="4" borderId="1" xfId="6" applyNumberFormat="1" applyFont="1" applyFill="1" applyBorder="1" applyAlignment="1">
      <alignment horizontal="center" vertical="center"/>
    </xf>
    <xf numFmtId="186" fontId="49" fillId="0" borderId="1" xfId="6" applyNumberFormat="1" applyFont="1" applyBorder="1">
      <alignment vertical="center"/>
    </xf>
    <xf numFmtId="186" fontId="14" fillId="5" borderId="1" xfId="0" applyNumberFormat="1" applyFont="1" applyFill="1" applyBorder="1">
      <alignment vertical="center"/>
    </xf>
    <xf numFmtId="186" fontId="14" fillId="4" borderId="1" xfId="0" applyNumberFormat="1" applyFont="1" applyFill="1" applyBorder="1">
      <alignment vertical="center"/>
    </xf>
    <xf numFmtId="186" fontId="62" fillId="9" borderId="0" xfId="6" applyNumberFormat="1" applyFont="1" applyFill="1">
      <alignment vertical="center"/>
    </xf>
    <xf numFmtId="186" fontId="14" fillId="0" borderId="0" xfId="0" applyNumberFormat="1" applyFont="1" applyAlignment="1">
      <alignment horizontal="left" vertical="center"/>
    </xf>
    <xf numFmtId="49" fontId="14" fillId="0" borderId="1" xfId="0" applyNumberFormat="1" applyFont="1" applyBorder="1" applyAlignment="1">
      <alignment horizontal="center" vertical="center"/>
    </xf>
    <xf numFmtId="9" fontId="48" fillId="0" borderId="1" xfId="0" applyNumberFormat="1" applyFont="1" applyBorder="1" applyAlignment="1">
      <alignment horizontal="center" vertical="center"/>
    </xf>
    <xf numFmtId="9" fontId="48" fillId="7" borderId="1" xfId="0" applyNumberFormat="1" applyFont="1" applyFill="1" applyBorder="1" applyAlignment="1">
      <alignment horizontal="center" vertical="center"/>
    </xf>
    <xf numFmtId="0" fontId="48" fillId="14" borderId="1" xfId="0" applyFont="1" applyFill="1" applyBorder="1" applyAlignment="1">
      <alignment horizontal="center" vertical="center"/>
    </xf>
    <xf numFmtId="0" fontId="48" fillId="14" borderId="1" xfId="1" applyFont="1" applyFill="1" applyBorder="1" applyAlignment="1">
      <alignment horizontal="center" vertical="center"/>
    </xf>
    <xf numFmtId="9" fontId="48" fillId="14" borderId="1" xfId="0" applyNumberFormat="1" applyFont="1" applyFill="1" applyBorder="1" applyAlignment="1">
      <alignment horizontal="center" vertical="center"/>
    </xf>
    <xf numFmtId="0" fontId="0" fillId="14" borderId="0" xfId="0" applyFill="1">
      <alignment vertical="center"/>
    </xf>
    <xf numFmtId="0" fontId="48" fillId="7" borderId="1" xfId="1" applyFont="1" applyFill="1" applyBorder="1" applyAlignment="1">
      <alignment horizontal="center" vertical="center"/>
    </xf>
    <xf numFmtId="9" fontId="48" fillId="0" borderId="1" xfId="0" applyNumberFormat="1" applyFont="1" applyBorder="1" applyAlignment="1">
      <alignment horizontal="center" vertical="center" wrapText="1"/>
    </xf>
    <xf numFmtId="188" fontId="0" fillId="0" borderId="1" xfId="0" applyNumberFormat="1" applyBorder="1" applyAlignment="1">
      <alignment horizontal="center" vertical="center"/>
    </xf>
    <xf numFmtId="176" fontId="37" fillId="0" borderId="3" xfId="6" applyNumberFormat="1"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48" fillId="0" borderId="11" xfId="1" applyFont="1" applyBorder="1" applyAlignment="1">
      <alignment horizontal="center" vertical="center"/>
    </xf>
    <xf numFmtId="0" fontId="57" fillId="6" borderId="0" xfId="0" applyFont="1" applyFill="1">
      <alignment vertical="center"/>
    </xf>
    <xf numFmtId="0" fontId="57" fillId="6" borderId="0" xfId="0" applyFont="1" applyFill="1" applyAlignment="1">
      <alignment horizontal="center" vertical="center"/>
    </xf>
    <xf numFmtId="0" fontId="49" fillId="6" borderId="0" xfId="0" applyFont="1" applyFill="1">
      <alignment vertical="center"/>
    </xf>
    <xf numFmtId="43" fontId="57" fillId="6" borderId="0" xfId="0" applyNumberFormat="1" applyFont="1" applyFill="1">
      <alignment vertical="center"/>
    </xf>
    <xf numFmtId="176" fontId="57" fillId="6" borderId="0" xfId="6" applyNumberFormat="1" applyFont="1" applyFill="1">
      <alignment vertical="center"/>
    </xf>
    <xf numFmtId="186" fontId="30" fillId="0" borderId="1" xfId="6" applyNumberFormat="1" applyFont="1" applyBorder="1" applyAlignment="1">
      <alignment vertical="center"/>
    </xf>
    <xf numFmtId="186" fontId="14" fillId="0" borderId="1" xfId="6" applyNumberFormat="1" applyFont="1" applyBorder="1" applyAlignment="1">
      <alignment vertical="center"/>
    </xf>
    <xf numFmtId="186" fontId="30" fillId="0" borderId="1" xfId="0" applyNumberFormat="1" applyFont="1" applyBorder="1">
      <alignment vertical="center"/>
    </xf>
    <xf numFmtId="10" fontId="14" fillId="0" borderId="0" xfId="0" applyNumberFormat="1" applyFont="1" applyAlignment="1">
      <alignment horizontal="right" vertical="center"/>
    </xf>
    <xf numFmtId="186" fontId="18" fillId="0" borderId="0" xfId="0" applyNumberFormat="1" applyFont="1" applyAlignment="1">
      <alignment horizontal="center" vertical="center"/>
    </xf>
    <xf numFmtId="186" fontId="17" fillId="0" borderId="0" xfId="0" applyNumberFormat="1" applyFont="1" applyAlignment="1">
      <alignment horizontal="right" vertical="center"/>
    </xf>
    <xf numFmtId="0" fontId="29" fillId="6" borderId="1" xfId="0" applyFont="1" applyFill="1" applyBorder="1" applyAlignment="1">
      <alignment horizontal="center" vertical="center" wrapText="1"/>
    </xf>
    <xf numFmtId="0" fontId="0" fillId="17" borderId="0" xfId="0" applyFill="1">
      <alignment vertical="center"/>
    </xf>
    <xf numFmtId="0" fontId="33" fillId="18" borderId="1" xfId="6" applyNumberFormat="1" applyFont="1" applyFill="1" applyBorder="1" applyAlignment="1">
      <alignment horizontal="center" vertical="center"/>
    </xf>
    <xf numFmtId="185" fontId="50" fillId="18" borderId="1" xfId="6" applyNumberFormat="1" applyFont="1" applyFill="1" applyBorder="1" applyAlignment="1">
      <alignment vertical="center"/>
    </xf>
    <xf numFmtId="185" fontId="33" fillId="18" borderId="1" xfId="6" applyNumberFormat="1" applyFont="1" applyFill="1" applyBorder="1" applyAlignment="1">
      <alignment vertical="center" wrapText="1"/>
    </xf>
    <xf numFmtId="3" fontId="33" fillId="18" borderId="1" xfId="6" applyNumberFormat="1" applyFont="1" applyFill="1" applyBorder="1" applyAlignment="1">
      <alignment vertical="center" wrapText="1"/>
    </xf>
    <xf numFmtId="177" fontId="53" fillId="18" borderId="1" xfId="6" applyNumberFormat="1" applyFont="1" applyFill="1" applyBorder="1" applyAlignment="1">
      <alignment vertical="center" wrapText="1"/>
    </xf>
    <xf numFmtId="176" fontId="23" fillId="18" borderId="0" xfId="6" applyNumberFormat="1" applyFont="1" applyFill="1" applyAlignment="1">
      <alignment vertical="center"/>
    </xf>
    <xf numFmtId="178" fontId="14" fillId="16" borderId="1" xfId="8" applyNumberFormat="1" applyFont="1" applyFill="1" applyBorder="1" applyAlignment="1">
      <alignment vertical="center"/>
    </xf>
    <xf numFmtId="178" fontId="12" fillId="16" borderId="1" xfId="8" applyNumberFormat="1" applyFont="1" applyFill="1" applyBorder="1" applyAlignment="1">
      <alignment vertical="center"/>
    </xf>
    <xf numFmtId="187" fontId="0" fillId="12" borderId="1" xfId="1" applyNumberFormat="1" applyFont="1" applyFill="1" applyBorder="1" applyAlignment="1">
      <alignment horizontal="center" vertical="center" wrapText="1"/>
    </xf>
    <xf numFmtId="0" fontId="48" fillId="6" borderId="1" xfId="1" applyFont="1" applyFill="1" applyBorder="1" applyAlignment="1">
      <alignment horizontal="center" vertical="center"/>
    </xf>
    <xf numFmtId="186" fontId="49" fillId="6" borderId="1" xfId="6" applyNumberFormat="1" applyFont="1" applyFill="1" applyBorder="1">
      <alignment vertical="center"/>
    </xf>
    <xf numFmtId="0" fontId="0" fillId="0" borderId="0" xfId="0" pivotButton="1">
      <alignment vertical="center"/>
    </xf>
    <xf numFmtId="0" fontId="0" fillId="0" borderId="0" xfId="0" applyAlignment="1">
      <alignment horizontal="left" vertical="center"/>
    </xf>
    <xf numFmtId="10" fontId="0" fillId="0" borderId="0" xfId="0" applyNumberFormat="1" applyAlignment="1"/>
    <xf numFmtId="0" fontId="65" fillId="6" borderId="0" xfId="0" applyFont="1" applyFill="1">
      <alignment vertical="center"/>
    </xf>
    <xf numFmtId="0" fontId="0" fillId="9" borderId="0" xfId="0" applyFill="1">
      <alignment vertical="center"/>
    </xf>
    <xf numFmtId="0" fontId="65" fillId="9" borderId="0" xfId="0" applyFont="1" applyFill="1">
      <alignment vertical="center"/>
    </xf>
    <xf numFmtId="4" fontId="0" fillId="9" borderId="0" xfId="0" applyNumberFormat="1" applyFill="1">
      <alignment vertical="center"/>
    </xf>
    <xf numFmtId="0" fontId="48" fillId="19" borderId="0" xfId="0" applyFont="1" applyFill="1">
      <alignment vertical="center"/>
    </xf>
    <xf numFmtId="4" fontId="48" fillId="19" borderId="0" xfId="0" applyNumberFormat="1" applyFont="1" applyFill="1">
      <alignment vertical="center"/>
    </xf>
    <xf numFmtId="43" fontId="0" fillId="0" borderId="0" xfId="0" applyNumberFormat="1">
      <alignment vertical="center"/>
    </xf>
    <xf numFmtId="186" fontId="0" fillId="0" borderId="0" xfId="6" applyNumberFormat="1" applyFont="1" applyBorder="1">
      <alignment vertical="center"/>
    </xf>
    <xf numFmtId="186" fontId="0" fillId="4" borderId="1" xfId="6" applyNumberFormat="1" applyFont="1" applyFill="1" applyBorder="1" applyAlignment="1">
      <alignment horizontal="center" vertical="center"/>
    </xf>
    <xf numFmtId="186" fontId="12" fillId="8" borderId="1" xfId="6" applyNumberFormat="1" applyFont="1" applyFill="1" applyBorder="1">
      <alignment vertical="center"/>
    </xf>
    <xf numFmtId="186" fontId="0" fillId="5" borderId="1" xfId="0" applyNumberFormat="1" applyFill="1" applyBorder="1">
      <alignment vertical="center"/>
    </xf>
    <xf numFmtId="186" fontId="0" fillId="4" borderId="1" xfId="0" applyNumberFormat="1" applyFill="1" applyBorder="1">
      <alignment vertical="center"/>
    </xf>
    <xf numFmtId="176" fontId="67" fillId="10" borderId="1" xfId="0" applyNumberFormat="1" applyFont="1" applyFill="1" applyBorder="1">
      <alignment vertical="center"/>
    </xf>
    <xf numFmtId="0" fontId="67" fillId="0" borderId="0" xfId="0" applyFont="1" applyAlignment="1">
      <alignment horizontal="center" vertical="center"/>
    </xf>
    <xf numFmtId="176" fontId="67" fillId="0" borderId="0" xfId="6" applyNumberFormat="1" applyFont="1" applyFill="1" applyAlignment="1">
      <alignment horizontal="center" vertical="center"/>
    </xf>
    <xf numFmtId="176" fontId="67" fillId="0" borderId="0" xfId="6" applyNumberFormat="1" applyFont="1" applyFill="1" applyAlignment="1">
      <alignment vertical="center"/>
    </xf>
    <xf numFmtId="176" fontId="67" fillId="15" borderId="0" xfId="6" applyNumberFormat="1" applyFont="1" applyFill="1" applyAlignment="1">
      <alignment vertical="center"/>
    </xf>
    <xf numFmtId="178" fontId="67" fillId="14" borderId="0" xfId="8" applyNumberFormat="1" applyFont="1" applyFill="1" applyAlignment="1"/>
    <xf numFmtId="0" fontId="67" fillId="0" borderId="0" xfId="0" applyFont="1">
      <alignment vertical="center"/>
    </xf>
    <xf numFmtId="176" fontId="66" fillId="0" borderId="1" xfId="6" applyNumberFormat="1" applyFont="1" applyFill="1" applyBorder="1" applyAlignment="1">
      <alignment horizontal="center" vertical="center" wrapText="1"/>
    </xf>
    <xf numFmtId="176" fontId="66" fillId="20" borderId="1" xfId="6" applyNumberFormat="1" applyFont="1" applyFill="1" applyBorder="1" applyAlignment="1">
      <alignment horizontal="center" vertical="center" wrapText="1"/>
    </xf>
    <xf numFmtId="0" fontId="66" fillId="20" borderId="1" xfId="0" applyFont="1" applyFill="1" applyBorder="1" applyAlignment="1">
      <alignment horizontal="center" vertical="center" wrapText="1"/>
    </xf>
    <xf numFmtId="0" fontId="66" fillId="18" borderId="1" xfId="0" applyFont="1" applyFill="1" applyBorder="1" applyAlignment="1">
      <alignment horizontal="center" vertical="center" wrapText="1"/>
    </xf>
    <xf numFmtId="0" fontId="66" fillId="0" borderId="0" xfId="0" applyFont="1">
      <alignment vertical="center"/>
    </xf>
    <xf numFmtId="176" fontId="67" fillId="0" borderId="1" xfId="6" applyNumberFormat="1" applyFont="1" applyFill="1" applyBorder="1" applyAlignment="1">
      <alignment horizontal="center" vertical="center" wrapText="1"/>
    </xf>
    <xf numFmtId="178" fontId="67" fillId="20" borderId="1" xfId="8" applyNumberFormat="1" applyFont="1" applyFill="1" applyBorder="1" applyAlignment="1">
      <alignment horizontal="center" vertical="center" wrapText="1"/>
    </xf>
    <xf numFmtId="9" fontId="67" fillId="18" borderId="1" xfId="0" applyNumberFormat="1" applyFont="1" applyFill="1" applyBorder="1" applyAlignment="1">
      <alignment horizontal="center" vertical="center" wrapText="1"/>
    </xf>
    <xf numFmtId="178" fontId="67" fillId="14" borderId="1" xfId="8" applyNumberFormat="1" applyFont="1" applyFill="1" applyBorder="1" applyAlignment="1">
      <alignment horizontal="center" vertical="center" wrapText="1"/>
    </xf>
    <xf numFmtId="0" fontId="67" fillId="0" borderId="1" xfId="0" applyFont="1" applyBorder="1" applyAlignment="1">
      <alignment horizontal="center" vertical="center"/>
    </xf>
    <xf numFmtId="0" fontId="67" fillId="14" borderId="1" xfId="0" applyFont="1" applyFill="1" applyBorder="1" applyAlignment="1">
      <alignment horizontal="center" vertical="center"/>
    </xf>
    <xf numFmtId="180" fontId="67" fillId="14" borderId="1" xfId="6" applyNumberFormat="1" applyFont="1" applyFill="1" applyBorder="1" applyAlignment="1">
      <alignment horizontal="center" vertical="center"/>
    </xf>
    <xf numFmtId="176" fontId="67" fillId="14" borderId="1" xfId="6" applyNumberFormat="1" applyFont="1" applyFill="1" applyBorder="1" applyAlignment="1">
      <alignment horizontal="center" vertical="center"/>
    </xf>
    <xf numFmtId="176" fontId="67" fillId="14" borderId="1" xfId="6" applyNumberFormat="1" applyFont="1" applyFill="1" applyBorder="1" applyAlignment="1">
      <alignment vertical="center"/>
    </xf>
    <xf numFmtId="176" fontId="67" fillId="14" borderId="1" xfId="0" applyNumberFormat="1" applyFont="1" applyFill="1" applyBorder="1">
      <alignment vertical="center"/>
    </xf>
    <xf numFmtId="178" fontId="67" fillId="14" borderId="1" xfId="8" applyNumberFormat="1" applyFont="1" applyFill="1" applyBorder="1" applyAlignment="1">
      <alignment vertical="center"/>
    </xf>
    <xf numFmtId="185" fontId="67" fillId="14" borderId="1" xfId="8" applyNumberFormat="1" applyFont="1" applyFill="1" applyBorder="1" applyAlignment="1">
      <alignment vertical="center"/>
    </xf>
    <xf numFmtId="186" fontId="67" fillId="14" borderId="1" xfId="6" applyNumberFormat="1" applyFont="1" applyFill="1" applyBorder="1" applyAlignment="1">
      <alignment vertical="center"/>
    </xf>
    <xf numFmtId="0" fontId="67" fillId="14" borderId="0" xfId="0" applyFont="1" applyFill="1">
      <alignment vertical="center"/>
    </xf>
    <xf numFmtId="180" fontId="67" fillId="0" borderId="1" xfId="6" applyNumberFormat="1" applyFont="1" applyFill="1" applyBorder="1" applyAlignment="1">
      <alignment horizontal="center" vertical="center"/>
    </xf>
    <xf numFmtId="176" fontId="67" fillId="0" borderId="1" xfId="6" applyNumberFormat="1" applyFont="1" applyFill="1" applyBorder="1" applyAlignment="1">
      <alignment horizontal="center" vertical="center"/>
    </xf>
    <xf numFmtId="180" fontId="67" fillId="10" borderId="1" xfId="6" applyNumberFormat="1" applyFont="1" applyFill="1" applyBorder="1" applyAlignment="1">
      <alignment horizontal="center" vertical="center"/>
    </xf>
    <xf numFmtId="176" fontId="67" fillId="10" borderId="1" xfId="6" applyNumberFormat="1" applyFont="1" applyFill="1" applyBorder="1" applyAlignment="1">
      <alignment horizontal="center" vertical="center"/>
    </xf>
    <xf numFmtId="176" fontId="67" fillId="10" borderId="1" xfId="6" applyNumberFormat="1" applyFont="1" applyFill="1" applyBorder="1" applyAlignment="1">
      <alignment vertical="center"/>
    </xf>
    <xf numFmtId="178" fontId="67" fillId="10" borderId="1" xfId="8" applyNumberFormat="1" applyFont="1" applyFill="1" applyBorder="1" applyAlignment="1">
      <alignment vertical="center"/>
    </xf>
    <xf numFmtId="186" fontId="67" fillId="10" borderId="1" xfId="6" applyNumberFormat="1" applyFont="1" applyFill="1" applyBorder="1" applyAlignment="1">
      <alignment vertical="center"/>
    </xf>
    <xf numFmtId="0" fontId="67" fillId="10" borderId="0" xfId="0" applyFont="1" applyFill="1">
      <alignment vertical="center"/>
    </xf>
    <xf numFmtId="185" fontId="67" fillId="10" borderId="1" xfId="8" applyNumberFormat="1" applyFont="1" applyFill="1" applyBorder="1" applyAlignment="1">
      <alignment vertical="center"/>
    </xf>
    <xf numFmtId="176" fontId="67" fillId="14" borderId="0" xfId="6" applyNumberFormat="1" applyFont="1" applyFill="1" applyAlignment="1">
      <alignment horizontal="center" vertical="center"/>
    </xf>
    <xf numFmtId="10" fontId="67" fillId="14" borderId="0" xfId="0" applyNumberFormat="1" applyFont="1" applyFill="1">
      <alignment vertical="center"/>
    </xf>
    <xf numFmtId="178" fontId="60" fillId="0" borderId="0" xfId="8" applyNumberFormat="1" applyFont="1" applyFill="1" applyBorder="1" applyAlignment="1">
      <alignment horizontal="center" vertical="center"/>
    </xf>
    <xf numFmtId="0" fontId="24" fillId="0" borderId="1" xfId="5" applyFont="1" applyBorder="1" applyAlignment="1">
      <alignment horizontal="center" vertical="center"/>
    </xf>
    <xf numFmtId="0" fontId="23" fillId="14" borderId="0" xfId="0" applyFont="1" applyFill="1">
      <alignment vertical="center"/>
    </xf>
    <xf numFmtId="0" fontId="55" fillId="14" borderId="0" xfId="0" applyFont="1" applyFill="1" applyAlignment="1">
      <alignment horizontal="left" vertical="center"/>
    </xf>
    <xf numFmtId="0" fontId="55" fillId="14" borderId="0" xfId="0" applyFont="1" applyFill="1">
      <alignment vertical="center"/>
    </xf>
    <xf numFmtId="181" fontId="42" fillId="14" borderId="0" xfId="6" applyNumberFormat="1" applyFont="1" applyFill="1" applyAlignment="1">
      <alignment horizontal="right"/>
    </xf>
    <xf numFmtId="0" fontId="55" fillId="14" borderId="0" xfId="0" quotePrefix="1" applyFont="1" applyFill="1">
      <alignment vertical="center"/>
    </xf>
    <xf numFmtId="176" fontId="55" fillId="14" borderId="0" xfId="6" applyNumberFormat="1" applyFont="1" applyFill="1" applyAlignment="1"/>
    <xf numFmtId="176" fontId="43" fillId="14" borderId="0" xfId="6" applyNumberFormat="1" applyFont="1" applyFill="1" applyAlignment="1"/>
    <xf numFmtId="180" fontId="56" fillId="14" borderId="1" xfId="6" applyNumberFormat="1" applyFont="1" applyFill="1" applyBorder="1" applyAlignment="1">
      <alignment horizontal="center" vertical="center"/>
    </xf>
    <xf numFmtId="0" fontId="56" fillId="14" borderId="1" xfId="0" applyFont="1" applyFill="1" applyBorder="1" applyAlignment="1">
      <alignment horizontal="center" vertical="center"/>
    </xf>
    <xf numFmtId="192" fontId="56" fillId="14" borderId="1" xfId="6" applyNumberFormat="1" applyFont="1" applyFill="1" applyBorder="1" applyAlignment="1">
      <alignment horizontal="center" vertical="center"/>
    </xf>
    <xf numFmtId="0" fontId="46" fillId="6" borderId="0" xfId="0" applyFont="1" applyFill="1" applyAlignment="1">
      <alignment horizontal="center" vertical="center"/>
    </xf>
    <xf numFmtId="0" fontId="5" fillId="0" borderId="0" xfId="19">
      <alignment vertical="center"/>
    </xf>
    <xf numFmtId="0" fontId="5" fillId="9" borderId="0" xfId="19" applyFill="1">
      <alignment vertical="center"/>
    </xf>
    <xf numFmtId="0" fontId="5" fillId="0" borderId="0" xfId="19" applyAlignment="1">
      <alignment vertical="center" wrapText="1"/>
    </xf>
    <xf numFmtId="0" fontId="5" fillId="9" borderId="0" xfId="19" applyFill="1" applyAlignment="1">
      <alignment vertical="center" wrapText="1"/>
    </xf>
    <xf numFmtId="0" fontId="5" fillId="8" borderId="0" xfId="19" applyFill="1">
      <alignment vertical="center"/>
    </xf>
    <xf numFmtId="0" fontId="33" fillId="14" borderId="1" xfId="6" applyNumberFormat="1" applyFont="1" applyFill="1" applyBorder="1" applyAlignment="1">
      <alignment horizontal="center" vertical="center"/>
    </xf>
    <xf numFmtId="185" fontId="50" fillId="14" borderId="1" xfId="6" applyNumberFormat="1" applyFont="1" applyFill="1" applyBorder="1" applyAlignment="1">
      <alignment vertical="center"/>
    </xf>
    <xf numFmtId="185" fontId="33" fillId="14" borderId="1" xfId="6" applyNumberFormat="1" applyFont="1" applyFill="1" applyBorder="1" applyAlignment="1">
      <alignment vertical="center" wrapText="1"/>
    </xf>
    <xf numFmtId="3" fontId="33" fillId="14" borderId="1" xfId="6" applyNumberFormat="1" applyFont="1" applyFill="1" applyBorder="1" applyAlignment="1">
      <alignment vertical="center" wrapText="1"/>
    </xf>
    <xf numFmtId="177" fontId="53" fillId="14" borderId="1" xfId="6" applyNumberFormat="1" applyFont="1" applyFill="1" applyBorder="1" applyAlignment="1">
      <alignment vertical="center" wrapText="1"/>
    </xf>
    <xf numFmtId="176" fontId="23" fillId="14" borderId="0" xfId="6" applyNumberFormat="1" applyFont="1" applyFill="1" applyAlignment="1">
      <alignment vertical="center"/>
    </xf>
    <xf numFmtId="177" fontId="53" fillId="6" borderId="1" xfId="6" applyNumberFormat="1" applyFont="1" applyFill="1" applyBorder="1" applyAlignment="1">
      <alignment vertical="center" wrapText="1"/>
    </xf>
    <xf numFmtId="0" fontId="53" fillId="6" borderId="1" xfId="6" applyNumberFormat="1" applyFont="1" applyFill="1" applyBorder="1" applyAlignment="1">
      <alignment horizontal="center" vertical="center"/>
    </xf>
    <xf numFmtId="185" fontId="53" fillId="6" borderId="1" xfId="6" applyNumberFormat="1" applyFont="1" applyFill="1" applyBorder="1" applyAlignment="1">
      <alignment vertical="center"/>
    </xf>
    <xf numFmtId="185" fontId="53" fillId="6" borderId="1" xfId="6" applyNumberFormat="1" applyFont="1" applyFill="1" applyBorder="1" applyAlignment="1">
      <alignment vertical="center" wrapText="1"/>
    </xf>
    <xf numFmtId="176" fontId="53" fillId="6" borderId="0" xfId="6" applyNumberFormat="1" applyFont="1" applyFill="1" applyAlignment="1">
      <alignment vertical="center"/>
    </xf>
    <xf numFmtId="0" fontId="0" fillId="0" borderId="1" xfId="1" applyFont="1" applyBorder="1" applyAlignment="1">
      <alignment horizontal="center" vertical="center"/>
    </xf>
    <xf numFmtId="193" fontId="14" fillId="0" borderId="0" xfId="0" applyNumberFormat="1" applyFont="1" applyAlignment="1">
      <alignment horizontal="right" vertical="center"/>
    </xf>
    <xf numFmtId="49" fontId="0" fillId="0" borderId="0" xfId="0" applyNumberFormat="1" applyAlignment="1">
      <alignment horizontal="center" vertical="center"/>
    </xf>
    <xf numFmtId="4" fontId="0" fillId="8" borderId="0" xfId="0" applyNumberFormat="1" applyFill="1">
      <alignment vertical="center"/>
    </xf>
    <xf numFmtId="0" fontId="0" fillId="8" borderId="0" xfId="0" applyFill="1">
      <alignment vertical="center"/>
    </xf>
    <xf numFmtId="185" fontId="66" fillId="14" borderId="0" xfId="0" applyNumberFormat="1" applyFont="1" applyFill="1">
      <alignment vertical="center"/>
    </xf>
    <xf numFmtId="0" fontId="68" fillId="14" borderId="0" xfId="0" applyFont="1" applyFill="1" applyAlignment="1"/>
    <xf numFmtId="184" fontId="48" fillId="14" borderId="1" xfId="0" applyNumberFormat="1" applyFont="1" applyFill="1" applyBorder="1">
      <alignment vertical="center"/>
    </xf>
    <xf numFmtId="0" fontId="64" fillId="14" borderId="18" xfId="0" applyFont="1" applyFill="1" applyBorder="1" applyAlignment="1" applyProtection="1">
      <alignment horizontal="center" vertical="center" wrapText="1" readingOrder="1"/>
      <protection locked="0"/>
    </xf>
    <xf numFmtId="0" fontId="64" fillId="21" borderId="18" xfId="0" applyFont="1" applyFill="1" applyBorder="1" applyAlignment="1" applyProtection="1">
      <alignment horizontal="center" vertical="center" wrapText="1" readingOrder="1"/>
      <protection locked="0"/>
    </xf>
    <xf numFmtId="0" fontId="70" fillId="14" borderId="18" xfId="0" applyFont="1" applyFill="1" applyBorder="1" applyAlignment="1" applyProtection="1">
      <alignment horizontal="center" vertical="center" wrapText="1" readingOrder="1"/>
      <protection locked="0"/>
    </xf>
    <xf numFmtId="0" fontId="64" fillId="0" borderId="18" xfId="0" applyFont="1" applyBorder="1" applyAlignment="1" applyProtection="1">
      <alignment horizontal="center" vertical="center" wrapText="1" readingOrder="1"/>
      <protection locked="0"/>
    </xf>
    <xf numFmtId="0" fontId="64" fillId="0" borderId="18" xfId="0" applyFont="1" applyBorder="1" applyAlignment="1">
      <alignment horizontal="center" vertical="center" wrapText="1" readingOrder="1"/>
    </xf>
    <xf numFmtId="0" fontId="64" fillId="0" borderId="18" xfId="0" applyFont="1" applyBorder="1" applyAlignment="1">
      <alignment horizontal="center" vertical="center"/>
    </xf>
    <xf numFmtId="0" fontId="48" fillId="6" borderId="0" xfId="0" applyFont="1" applyFill="1">
      <alignment vertical="center"/>
    </xf>
    <xf numFmtId="0" fontId="0" fillId="0" borderId="0" xfId="0" applyAlignment="1">
      <alignment vertical="center" wrapText="1"/>
    </xf>
    <xf numFmtId="0" fontId="0" fillId="9" borderId="0" xfId="0" applyFill="1" applyAlignment="1">
      <alignment vertical="center" wrapText="1"/>
    </xf>
    <xf numFmtId="0" fontId="5" fillId="17" borderId="0" xfId="19" applyFill="1">
      <alignment vertical="center"/>
    </xf>
    <xf numFmtId="185" fontId="50" fillId="6" borderId="1" xfId="6" applyNumberFormat="1" applyFont="1" applyFill="1" applyBorder="1" applyAlignment="1">
      <alignment vertical="center"/>
    </xf>
    <xf numFmtId="185" fontId="33" fillId="6" borderId="1" xfId="6" applyNumberFormat="1" applyFont="1" applyFill="1" applyBorder="1" applyAlignment="1">
      <alignment vertical="center" wrapText="1"/>
    </xf>
    <xf numFmtId="3" fontId="33" fillId="6" borderId="1" xfId="6" applyNumberFormat="1" applyFont="1" applyFill="1" applyBorder="1" applyAlignment="1">
      <alignment vertical="center" wrapText="1"/>
    </xf>
    <xf numFmtId="3" fontId="53" fillId="6" borderId="1" xfId="6" applyNumberFormat="1" applyFont="1" applyFill="1" applyBorder="1" applyAlignment="1">
      <alignment vertical="center" wrapText="1"/>
    </xf>
    <xf numFmtId="0" fontId="0" fillId="22" borderId="0" xfId="0" applyFill="1">
      <alignment vertical="center"/>
    </xf>
    <xf numFmtId="186" fontId="0" fillId="0" borderId="0" xfId="0" applyNumberFormat="1" applyAlignment="1">
      <alignment horizontal="center" vertical="center"/>
    </xf>
    <xf numFmtId="0" fontId="0" fillId="0" borderId="18" xfId="0" applyBorder="1" applyAlignment="1">
      <alignment horizontal="center" vertical="center"/>
    </xf>
    <xf numFmtId="186" fontId="0" fillId="0" borderId="18" xfId="0" applyNumberFormat="1" applyBorder="1" applyAlignment="1">
      <alignment horizontal="center" vertical="center"/>
    </xf>
    <xf numFmtId="10" fontId="66" fillId="15" borderId="0" xfId="6" applyNumberFormat="1" applyFont="1" applyFill="1" applyAlignment="1">
      <alignment vertical="center"/>
    </xf>
    <xf numFmtId="188" fontId="49" fillId="6" borderId="1" xfId="0" applyNumberFormat="1" applyFont="1" applyFill="1" applyBorder="1" applyAlignment="1">
      <alignment horizontal="center" vertical="center"/>
    </xf>
    <xf numFmtId="186" fontId="48" fillId="0" borderId="1" xfId="6" applyNumberFormat="1" applyFont="1" applyFill="1" applyBorder="1" applyAlignment="1">
      <alignment vertical="center"/>
    </xf>
    <xf numFmtId="0" fontId="71" fillId="0" borderId="1" xfId="0" applyFont="1" applyBorder="1" applyAlignment="1">
      <alignment horizontal="center" vertical="center"/>
    </xf>
    <xf numFmtId="186" fontId="71" fillId="0" borderId="1" xfId="0" applyNumberFormat="1" applyFont="1" applyBorder="1" applyAlignment="1">
      <alignment horizontal="center" vertical="center"/>
    </xf>
    <xf numFmtId="176" fontId="67" fillId="15" borderId="0" xfId="6" applyNumberFormat="1" applyFont="1" applyFill="1" applyAlignment="1">
      <alignment horizontal="center" vertical="center"/>
    </xf>
    <xf numFmtId="0" fontId="28" fillId="0" borderId="0" xfId="6" applyNumberFormat="1" applyFont="1" applyFill="1" applyBorder="1" applyAlignment="1">
      <alignment vertical="center"/>
    </xf>
    <xf numFmtId="178" fontId="25" fillId="0" borderId="1" xfId="6" applyNumberFormat="1" applyFont="1" applyBorder="1" applyAlignment="1">
      <alignment horizontal="center" vertical="center" wrapText="1"/>
    </xf>
    <xf numFmtId="176" fontId="25" fillId="6" borderId="1" xfId="6" applyNumberFormat="1" applyFont="1" applyFill="1" applyBorder="1" applyAlignment="1">
      <alignment horizontal="center" vertical="center"/>
    </xf>
    <xf numFmtId="178" fontId="25" fillId="6" borderId="1" xfId="0" applyNumberFormat="1" applyFont="1" applyFill="1" applyBorder="1" applyAlignment="1">
      <alignment horizontal="center" vertical="center"/>
    </xf>
    <xf numFmtId="178" fontId="25" fillId="0" borderId="1" xfId="0" applyNumberFormat="1" applyFont="1" applyBorder="1" applyAlignment="1">
      <alignment horizontal="center" vertical="center"/>
    </xf>
    <xf numFmtId="176" fontId="25" fillId="6" borderId="1" xfId="6" applyNumberFormat="1" applyFont="1" applyFill="1" applyBorder="1" applyAlignment="1"/>
    <xf numFmtId="178" fontId="23" fillId="0" borderId="0" xfId="0" applyNumberFormat="1" applyFont="1">
      <alignment vertical="center"/>
    </xf>
    <xf numFmtId="0" fontId="33" fillId="0" borderId="0" xfId="0" applyFont="1">
      <alignment vertical="center"/>
    </xf>
    <xf numFmtId="176" fontId="25" fillId="14" borderId="1" xfId="6" applyNumberFormat="1" applyFont="1" applyFill="1" applyBorder="1" applyAlignment="1">
      <alignment horizontal="center" vertical="center" wrapText="1"/>
    </xf>
    <xf numFmtId="176" fontId="24" fillId="21" borderId="1" xfId="6" applyNumberFormat="1" applyFont="1" applyFill="1" applyBorder="1" applyAlignment="1">
      <alignment horizontal="center" vertical="center" wrapText="1"/>
    </xf>
    <xf numFmtId="176" fontId="24" fillId="21" borderId="1" xfId="6" applyNumberFormat="1" applyFont="1" applyFill="1" applyBorder="1" applyAlignment="1"/>
    <xf numFmtId="180" fontId="25" fillId="0" borderId="3" xfId="6" applyNumberFormat="1" applyFont="1" applyFill="1" applyBorder="1" applyAlignment="1">
      <alignment horizontal="center" vertical="center"/>
    </xf>
    <xf numFmtId="176" fontId="25" fillId="0" borderId="3" xfId="6" applyNumberFormat="1" applyFont="1" applyFill="1" applyBorder="1" applyAlignment="1">
      <alignment horizontal="center" vertical="center"/>
    </xf>
    <xf numFmtId="176" fontId="25" fillId="0" borderId="19" xfId="6" applyNumberFormat="1" applyFont="1" applyBorder="1" applyAlignment="1">
      <alignment horizontal="center" vertical="center" wrapText="1"/>
    </xf>
    <xf numFmtId="176" fontId="25" fillId="0" borderId="22" xfId="6" applyNumberFormat="1" applyFont="1" applyBorder="1" applyAlignment="1">
      <alignment horizontal="center" vertical="center" wrapText="1"/>
    </xf>
    <xf numFmtId="180" fontId="25" fillId="0" borderId="25" xfId="6" applyNumberFormat="1" applyFont="1" applyFill="1" applyBorder="1" applyAlignment="1">
      <alignment horizontal="center" vertical="center"/>
    </xf>
    <xf numFmtId="180" fontId="25" fillId="0" borderId="21" xfId="6" applyNumberFormat="1" applyFont="1" applyFill="1" applyBorder="1" applyAlignment="1">
      <alignment horizontal="center" vertical="center"/>
    </xf>
    <xf numFmtId="176" fontId="25" fillId="0" borderId="31" xfId="6" applyNumberFormat="1" applyFont="1" applyFill="1" applyBorder="1" applyAlignment="1">
      <alignment horizontal="center" vertical="center"/>
    </xf>
    <xf numFmtId="10" fontId="12" fillId="0" borderId="0" xfId="6" applyNumberFormat="1" applyFont="1" applyFill="1" applyBorder="1" applyAlignment="1">
      <alignment horizontal="center" vertical="center"/>
    </xf>
    <xf numFmtId="0" fontId="23" fillId="6" borderId="0" xfId="0" applyFont="1" applyFill="1">
      <alignment vertical="center"/>
    </xf>
    <xf numFmtId="9" fontId="66" fillId="0" borderId="1" xfId="6" applyNumberFormat="1" applyFont="1" applyFill="1" applyBorder="1" applyAlignment="1">
      <alignment horizontal="center" vertical="center" wrapText="1"/>
    </xf>
    <xf numFmtId="9" fontId="67" fillId="0" borderId="1" xfId="6" applyNumberFormat="1" applyFont="1" applyFill="1" applyBorder="1" applyAlignment="1">
      <alignment horizontal="center" vertical="center" wrapText="1"/>
    </xf>
    <xf numFmtId="176" fontId="24" fillId="0" borderId="1" xfId="5" applyNumberFormat="1" applyFont="1" applyBorder="1" applyAlignment="1">
      <alignment horizontal="center" vertical="center"/>
    </xf>
    <xf numFmtId="9" fontId="25" fillId="14" borderId="1" xfId="0" applyNumberFormat="1" applyFont="1" applyFill="1" applyBorder="1" applyAlignment="1">
      <alignment horizontal="center" vertical="center"/>
    </xf>
    <xf numFmtId="9" fontId="25" fillId="6" borderId="1" xfId="0" applyNumberFormat="1" applyFont="1" applyFill="1" applyBorder="1" applyAlignment="1">
      <alignment horizontal="center" vertical="center"/>
    </xf>
    <xf numFmtId="176" fontId="24" fillId="6" borderId="1" xfId="6" applyNumberFormat="1" applyFont="1" applyFill="1" applyBorder="1" applyAlignment="1"/>
    <xf numFmtId="176" fontId="25" fillId="0" borderId="19" xfId="6" applyNumberFormat="1" applyFont="1" applyFill="1" applyBorder="1" applyAlignment="1">
      <alignment horizontal="center" vertical="center" wrapText="1"/>
    </xf>
    <xf numFmtId="176" fontId="24" fillId="21" borderId="19" xfId="6" applyNumberFormat="1" applyFont="1" applyFill="1" applyBorder="1" applyAlignment="1">
      <alignment horizontal="center" vertical="center" wrapText="1"/>
    </xf>
    <xf numFmtId="176" fontId="25" fillId="0" borderId="22" xfId="6" applyNumberFormat="1" applyFont="1" applyFill="1" applyBorder="1" applyAlignment="1">
      <alignment horizontal="center" vertical="center" wrapText="1"/>
    </xf>
    <xf numFmtId="176" fontId="24" fillId="21" borderId="22" xfId="6" applyNumberFormat="1" applyFont="1" applyFill="1" applyBorder="1" applyAlignment="1">
      <alignment horizontal="center" vertical="center" wrapText="1"/>
    </xf>
    <xf numFmtId="178" fontId="25" fillId="0" borderId="36" xfId="6" applyNumberFormat="1" applyFont="1" applyBorder="1" applyAlignment="1">
      <alignment horizontal="center" vertical="center" wrapText="1"/>
    </xf>
    <xf numFmtId="178" fontId="25" fillId="0" borderId="37" xfId="6" applyNumberFormat="1" applyFont="1" applyBorder="1" applyAlignment="1">
      <alignment horizontal="center" vertical="center" wrapText="1"/>
    </xf>
    <xf numFmtId="176" fontId="23" fillId="0" borderId="0" xfId="6" applyNumberFormat="1" applyFont="1" applyAlignment="1">
      <alignment horizontal="right" vertical="center"/>
    </xf>
    <xf numFmtId="176" fontId="24" fillId="21" borderId="3" xfId="6" applyNumberFormat="1" applyFont="1" applyFill="1" applyBorder="1" applyAlignment="1">
      <alignment vertical="center"/>
    </xf>
    <xf numFmtId="176" fontId="25" fillId="0" borderId="3" xfId="6" applyNumberFormat="1" applyFont="1" applyBorder="1" applyAlignment="1">
      <alignment vertical="center"/>
    </xf>
    <xf numFmtId="176" fontId="25" fillId="0" borderId="32" xfId="6" applyNumberFormat="1" applyFont="1" applyBorder="1" applyAlignment="1">
      <alignment vertical="center"/>
    </xf>
    <xf numFmtId="176" fontId="24" fillId="21" borderId="1" xfId="6" applyNumberFormat="1" applyFont="1" applyFill="1" applyBorder="1" applyAlignment="1">
      <alignment vertical="center"/>
    </xf>
    <xf numFmtId="176" fontId="25" fillId="0" borderId="1" xfId="6" applyNumberFormat="1" applyFont="1" applyBorder="1" applyAlignment="1">
      <alignment vertical="center"/>
    </xf>
    <xf numFmtId="176" fontId="24" fillId="21" borderId="22" xfId="6" applyNumberFormat="1" applyFont="1" applyFill="1" applyBorder="1" applyAlignment="1">
      <alignment vertical="center"/>
    </xf>
    <xf numFmtId="176" fontId="25" fillId="0" borderId="22" xfId="6" applyNumberFormat="1" applyFont="1" applyFill="1" applyBorder="1" applyAlignment="1">
      <alignment horizontal="center" vertical="center"/>
    </xf>
    <xf numFmtId="176" fontId="25" fillId="0" borderId="22" xfId="6" applyNumberFormat="1" applyFont="1" applyBorder="1" applyAlignment="1">
      <alignment vertical="center"/>
    </xf>
    <xf numFmtId="176" fontId="24" fillId="14" borderId="1" xfId="6" applyNumberFormat="1" applyFont="1" applyFill="1" applyBorder="1" applyAlignment="1">
      <alignment horizontal="center" vertical="center" wrapText="1"/>
    </xf>
    <xf numFmtId="186" fontId="25" fillId="0" borderId="1" xfId="6" applyNumberFormat="1" applyFont="1" applyBorder="1" applyAlignment="1"/>
    <xf numFmtId="186" fontId="25" fillId="6" borderId="1" xfId="6" applyNumberFormat="1" applyFont="1" applyFill="1" applyBorder="1" applyAlignment="1"/>
    <xf numFmtId="176" fontId="25" fillId="0" borderId="1" xfId="6" applyNumberFormat="1" applyFont="1" applyFill="1" applyBorder="1" applyAlignment="1">
      <alignment horizontal="right" vertical="center"/>
    </xf>
    <xf numFmtId="176" fontId="25" fillId="6" borderId="1" xfId="6" applyNumberFormat="1" applyFont="1" applyFill="1" applyBorder="1" applyAlignment="1">
      <alignment horizontal="right" vertical="center"/>
    </xf>
    <xf numFmtId="0" fontId="74" fillId="14" borderId="0" xfId="28" applyFont="1" applyFill="1" applyAlignment="1">
      <alignment horizontal="left" vertical="center"/>
    </xf>
    <xf numFmtId="0" fontId="74" fillId="14" borderId="0" xfId="28" applyFont="1" applyFill="1" applyAlignment="1">
      <alignment horizontal="center" vertical="center"/>
    </xf>
    <xf numFmtId="176" fontId="74" fillId="14" borderId="0" xfId="29" applyNumberFormat="1" applyFont="1" applyFill="1">
      <alignment vertical="center"/>
    </xf>
    <xf numFmtId="10" fontId="74" fillId="14" borderId="0" xfId="28" applyNumberFormat="1" applyFont="1" applyFill="1">
      <alignment vertical="center"/>
    </xf>
    <xf numFmtId="186" fontId="74" fillId="14" borderId="0" xfId="29" applyNumberFormat="1" applyFont="1" applyFill="1">
      <alignment vertical="center"/>
    </xf>
    <xf numFmtId="194" fontId="74" fillId="14" borderId="0" xfId="28" applyNumberFormat="1" applyFont="1" applyFill="1">
      <alignment vertical="center"/>
    </xf>
    <xf numFmtId="0" fontId="74" fillId="14" borderId="0" xfId="28" applyFont="1" applyFill="1">
      <alignment vertical="center"/>
    </xf>
    <xf numFmtId="10" fontId="74" fillId="14" borderId="0" xfId="29" applyNumberFormat="1" applyFont="1" applyFill="1">
      <alignment vertical="center"/>
    </xf>
    <xf numFmtId="0" fontId="74" fillId="14" borderId="0" xfId="28" applyFont="1" applyFill="1" applyAlignment="1">
      <alignment horizontal="center" vertical="center" wrapText="1"/>
    </xf>
    <xf numFmtId="176" fontId="74" fillId="14" borderId="0" xfId="29" applyNumberFormat="1" applyFont="1" applyFill="1" applyAlignment="1">
      <alignment horizontal="center" vertical="center" wrapText="1"/>
    </xf>
    <xf numFmtId="0" fontId="75" fillId="14" borderId="0" xfId="28" applyFont="1" applyFill="1" applyAlignment="1">
      <alignment horizontal="center" vertical="center" wrapText="1"/>
    </xf>
    <xf numFmtId="186" fontId="74" fillId="14" borderId="0" xfId="28" applyNumberFormat="1" applyFont="1" applyFill="1" applyAlignment="1">
      <alignment horizontal="center" vertical="center" wrapText="1"/>
    </xf>
    <xf numFmtId="186" fontId="75" fillId="14" borderId="0" xfId="28" applyNumberFormat="1" applyFont="1" applyFill="1" applyAlignment="1">
      <alignment horizontal="center" vertical="center" wrapText="1"/>
    </xf>
    <xf numFmtId="10" fontId="75" fillId="14" borderId="0" xfId="28" applyNumberFormat="1" applyFont="1" applyFill="1" applyAlignment="1">
      <alignment horizontal="center" vertical="center" wrapText="1"/>
    </xf>
    <xf numFmtId="10" fontId="74" fillId="14" borderId="0" xfId="28" applyNumberFormat="1" applyFont="1" applyFill="1" applyAlignment="1">
      <alignment horizontal="center" vertical="center"/>
    </xf>
    <xf numFmtId="186" fontId="74" fillId="14" borderId="0" xfId="28" applyNumberFormat="1" applyFont="1" applyFill="1">
      <alignment vertical="center"/>
    </xf>
    <xf numFmtId="9" fontId="74" fillId="14" borderId="0" xfId="28" applyNumberFormat="1" applyFont="1" applyFill="1">
      <alignment vertical="center"/>
    </xf>
    <xf numFmtId="176" fontId="74" fillId="14" borderId="0" xfId="28" applyNumberFormat="1" applyFont="1" applyFill="1">
      <alignment vertical="center"/>
    </xf>
    <xf numFmtId="0" fontId="74" fillId="6" borderId="0" xfId="28" applyFont="1" applyFill="1" applyAlignment="1">
      <alignment horizontal="center" vertical="center"/>
    </xf>
    <xf numFmtId="176" fontId="74" fillId="6" borderId="0" xfId="29" applyNumberFormat="1" applyFont="1" applyFill="1">
      <alignment vertical="center"/>
    </xf>
    <xf numFmtId="10" fontId="74" fillId="6" borderId="0" xfId="28" applyNumberFormat="1" applyFont="1" applyFill="1">
      <alignment vertical="center"/>
    </xf>
    <xf numFmtId="10" fontId="74" fillId="6" borderId="0" xfId="28" applyNumberFormat="1" applyFont="1" applyFill="1" applyAlignment="1">
      <alignment horizontal="center" vertical="center"/>
    </xf>
    <xf numFmtId="186" fontId="74" fillId="6" borderId="0" xfId="28" applyNumberFormat="1" applyFont="1" applyFill="1">
      <alignment vertical="center"/>
    </xf>
    <xf numFmtId="194" fontId="74" fillId="6" borderId="0" xfId="28" applyNumberFormat="1" applyFont="1" applyFill="1">
      <alignment vertical="center"/>
    </xf>
    <xf numFmtId="0" fontId="74" fillId="6" borderId="0" xfId="28" applyFont="1" applyFill="1">
      <alignment vertical="center"/>
    </xf>
    <xf numFmtId="176" fontId="74" fillId="9" borderId="0" xfId="29" applyNumberFormat="1" applyFont="1" applyFill="1">
      <alignment vertical="center"/>
    </xf>
    <xf numFmtId="10" fontId="74" fillId="9" borderId="0" xfId="28" applyNumberFormat="1" applyFont="1" applyFill="1">
      <alignment vertical="center"/>
    </xf>
    <xf numFmtId="176" fontId="74" fillId="9" borderId="0" xfId="29" applyNumberFormat="1" applyFont="1" applyFill="1" applyAlignment="1">
      <alignment horizontal="center" vertical="center" wrapText="1"/>
    </xf>
    <xf numFmtId="0" fontId="74" fillId="9" borderId="0" xfId="28" applyFont="1" applyFill="1">
      <alignment vertical="center"/>
    </xf>
    <xf numFmtId="10" fontId="25" fillId="0" borderId="1" xfId="6" applyNumberFormat="1" applyFont="1" applyFill="1" applyBorder="1" applyAlignment="1">
      <alignment horizontal="center" vertical="center"/>
    </xf>
    <xf numFmtId="10" fontId="24" fillId="0" borderId="1" xfId="5" applyNumberFormat="1" applyFont="1" applyBorder="1" applyAlignment="1">
      <alignment horizontal="center" vertical="center"/>
    </xf>
    <xf numFmtId="49" fontId="0" fillId="6" borderId="1" xfId="0" applyNumberFormat="1" applyFill="1" applyBorder="1" applyAlignment="1">
      <alignment horizontal="center" vertical="center"/>
    </xf>
    <xf numFmtId="186" fontId="0" fillId="6" borderId="1" xfId="0" applyNumberFormat="1" applyFill="1" applyBorder="1">
      <alignment vertical="center"/>
    </xf>
    <xf numFmtId="186" fontId="12" fillId="6" borderId="1" xfId="6" applyNumberFormat="1" applyFont="1" applyFill="1" applyBorder="1">
      <alignment vertical="center"/>
    </xf>
    <xf numFmtId="49" fontId="14" fillId="6" borderId="1" xfId="0" applyNumberFormat="1" applyFont="1" applyFill="1" applyBorder="1" applyAlignment="1">
      <alignment horizontal="center" vertical="center"/>
    </xf>
    <xf numFmtId="176" fontId="23" fillId="6" borderId="0" xfId="6" applyNumberFormat="1" applyFont="1" applyFill="1" applyAlignment="1">
      <alignment horizontal="center" vertical="center"/>
    </xf>
    <xf numFmtId="176" fontId="53" fillId="6" borderId="1" xfId="6" applyNumberFormat="1" applyFont="1" applyFill="1" applyBorder="1" applyAlignment="1">
      <alignment vertical="center"/>
    </xf>
    <xf numFmtId="0" fontId="48" fillId="6" borderId="1" xfId="0" applyFont="1" applyFill="1" applyBorder="1" applyAlignment="1">
      <alignment horizontal="center" vertical="center"/>
    </xf>
    <xf numFmtId="188" fontId="0" fillId="6" borderId="1" xfId="0" applyNumberFormat="1" applyFill="1" applyBorder="1" applyAlignment="1">
      <alignment horizontal="center" vertical="center"/>
    </xf>
    <xf numFmtId="9" fontId="48" fillId="6" borderId="1" xfId="0" applyNumberFormat="1" applyFont="1" applyFill="1" applyBorder="1" applyAlignment="1">
      <alignment horizontal="center" vertical="center"/>
    </xf>
    <xf numFmtId="176" fontId="0" fillId="6" borderId="1" xfId="0" applyNumberFormat="1" applyFill="1" applyBorder="1">
      <alignment vertical="center"/>
    </xf>
    <xf numFmtId="0" fontId="74" fillId="0" borderId="0" xfId="30" applyFont="1" applyAlignment="1">
      <alignment horizontal="center" vertical="center"/>
    </xf>
    <xf numFmtId="0" fontId="76" fillId="0" borderId="39" xfId="30" applyFont="1" applyBorder="1" applyAlignment="1">
      <alignment horizontal="center" vertical="center" wrapText="1"/>
    </xf>
    <xf numFmtId="0" fontId="76" fillId="0" borderId="40" xfId="30" applyFont="1" applyBorder="1" applyAlignment="1">
      <alignment horizontal="center" vertical="center" wrapText="1"/>
    </xf>
    <xf numFmtId="0" fontId="74" fillId="0" borderId="0" xfId="30" applyFont="1">
      <alignment vertical="center"/>
    </xf>
    <xf numFmtId="0" fontId="76" fillId="0" borderId="41" xfId="30" applyFont="1" applyBorder="1" applyAlignment="1">
      <alignment horizontal="center" vertical="center" wrapText="1"/>
    </xf>
    <xf numFmtId="0" fontId="76" fillId="0" borderId="42" xfId="30" applyFont="1" applyBorder="1" applyAlignment="1">
      <alignment horizontal="center" vertical="center" wrapText="1"/>
    </xf>
    <xf numFmtId="0" fontId="2" fillId="0" borderId="18" xfId="27" applyFont="1" applyBorder="1" applyAlignment="1">
      <alignment horizontal="center" vertical="center"/>
    </xf>
    <xf numFmtId="0" fontId="5" fillId="6" borderId="0" xfId="19" applyFill="1">
      <alignment vertical="center"/>
    </xf>
    <xf numFmtId="176" fontId="66" fillId="9" borderId="1" xfId="6" applyNumberFormat="1" applyFont="1" applyFill="1" applyBorder="1" applyAlignment="1">
      <alignment horizontal="center" vertical="center" wrapText="1"/>
    </xf>
    <xf numFmtId="176" fontId="66" fillId="7" borderId="1" xfId="6" applyNumberFormat="1" applyFont="1" applyFill="1" applyBorder="1" applyAlignment="1">
      <alignment horizontal="center" vertical="center" wrapText="1"/>
    </xf>
    <xf numFmtId="176" fontId="66" fillId="15" borderId="1" xfId="6" applyNumberFormat="1" applyFont="1" applyFill="1" applyBorder="1" applyAlignment="1">
      <alignment horizontal="center" vertical="center" wrapText="1"/>
    </xf>
    <xf numFmtId="10" fontId="67" fillId="6" borderId="1" xfId="0" applyNumberFormat="1" applyFont="1" applyFill="1" applyBorder="1" applyAlignment="1">
      <alignment horizontal="center" vertical="center" wrapText="1"/>
    </xf>
    <xf numFmtId="185" fontId="67" fillId="6" borderId="1" xfId="8" applyNumberFormat="1" applyFont="1" applyFill="1" applyBorder="1" applyAlignment="1">
      <alignment vertical="center"/>
    </xf>
    <xf numFmtId="186" fontId="67" fillId="14" borderId="1" xfId="6" applyNumberFormat="1" applyFont="1" applyFill="1" applyBorder="1" applyAlignment="1">
      <alignment horizontal="right" vertical="center"/>
    </xf>
    <xf numFmtId="186" fontId="67" fillId="10" borderId="1" xfId="6" applyNumberFormat="1" applyFont="1" applyFill="1" applyBorder="1" applyAlignment="1">
      <alignment horizontal="right" vertical="center"/>
    </xf>
    <xf numFmtId="0" fontId="67" fillId="14" borderId="0" xfId="0" applyFont="1" applyFill="1" applyAlignment="1">
      <alignment horizontal="center" vertical="center"/>
    </xf>
    <xf numFmtId="176" fontId="67" fillId="14" borderId="0" xfId="6" applyNumberFormat="1" applyFont="1" applyFill="1" applyAlignment="1">
      <alignment vertical="center"/>
    </xf>
    <xf numFmtId="9" fontId="67" fillId="14" borderId="1" xfId="8" applyFont="1" applyFill="1" applyBorder="1" applyAlignment="1">
      <alignment horizontal="center" vertical="center"/>
    </xf>
    <xf numFmtId="178" fontId="67" fillId="14" borderId="0" xfId="6" applyNumberFormat="1" applyFont="1" applyFill="1" applyAlignment="1">
      <alignment horizontal="center" vertical="center"/>
    </xf>
    <xf numFmtId="9" fontId="67" fillId="0" borderId="0" xfId="6" applyNumberFormat="1" applyFont="1" applyFill="1" applyAlignment="1">
      <alignment horizontal="center" vertical="center"/>
    </xf>
    <xf numFmtId="9" fontId="67" fillId="14" borderId="0" xfId="6" applyNumberFormat="1" applyFont="1" applyFill="1" applyAlignment="1">
      <alignment horizontal="center" vertical="center"/>
    </xf>
    <xf numFmtId="9" fontId="66" fillId="14" borderId="1" xfId="6" applyNumberFormat="1" applyFont="1" applyFill="1" applyBorder="1" applyAlignment="1">
      <alignment horizontal="center" vertical="center" wrapText="1"/>
    </xf>
    <xf numFmtId="9" fontId="67" fillId="10" borderId="1" xfId="8" applyFont="1" applyFill="1" applyBorder="1" applyAlignment="1">
      <alignment horizontal="center" vertical="center"/>
    </xf>
    <xf numFmtId="9" fontId="67" fillId="0" borderId="0" xfId="6" applyNumberFormat="1" applyFont="1" applyFill="1" applyAlignment="1">
      <alignment vertical="center"/>
    </xf>
    <xf numFmtId="0" fontId="68" fillId="14" borderId="0" xfId="6" applyNumberFormat="1" applyFont="1" applyFill="1" applyBorder="1" applyAlignment="1">
      <alignment vertical="center" wrapText="1"/>
    </xf>
    <xf numFmtId="10" fontId="79" fillId="6" borderId="17" xfId="0" applyNumberFormat="1" applyFont="1" applyFill="1" applyBorder="1" applyAlignment="1">
      <alignment vertical="center" wrapText="1"/>
    </xf>
    <xf numFmtId="0" fontId="79" fillId="6" borderId="1" xfId="5" applyFont="1" applyFill="1" applyBorder="1" applyAlignment="1">
      <alignment horizontal="center" vertical="center" wrapText="1"/>
    </xf>
    <xf numFmtId="176" fontId="79" fillId="6" borderId="1" xfId="6" applyNumberFormat="1" applyFont="1" applyFill="1" applyBorder="1" applyAlignment="1">
      <alignment horizontal="center" vertical="center"/>
    </xf>
    <xf numFmtId="176" fontId="79" fillId="6" borderId="1" xfId="6" applyNumberFormat="1" applyFont="1" applyFill="1" applyBorder="1" applyAlignment="1">
      <alignment horizontal="center" vertical="center" wrapText="1"/>
    </xf>
    <xf numFmtId="176" fontId="77" fillId="6" borderId="1" xfId="6" applyNumberFormat="1" applyFont="1" applyFill="1" applyBorder="1" applyAlignment="1">
      <alignment horizontal="center" vertical="center" wrapText="1"/>
    </xf>
    <xf numFmtId="9" fontId="77" fillId="6" borderId="1" xfId="6" applyNumberFormat="1" applyFont="1" applyFill="1" applyBorder="1" applyAlignment="1">
      <alignment horizontal="center" vertical="center" wrapText="1"/>
    </xf>
    <xf numFmtId="178" fontId="77" fillId="6" borderId="1" xfId="8" applyNumberFormat="1" applyFont="1" applyFill="1" applyBorder="1" applyAlignment="1">
      <alignment horizontal="center" vertical="center" wrapText="1"/>
    </xf>
    <xf numFmtId="9" fontId="77" fillId="6" borderId="1" xfId="0" applyNumberFormat="1" applyFont="1" applyFill="1" applyBorder="1" applyAlignment="1">
      <alignment horizontal="center" vertical="center" wrapText="1"/>
    </xf>
    <xf numFmtId="178" fontId="79" fillId="6" borderId="17" xfId="8" applyNumberFormat="1" applyFont="1" applyFill="1" applyBorder="1" applyAlignment="1">
      <alignment vertical="center" wrapText="1"/>
    </xf>
    <xf numFmtId="0" fontId="77" fillId="6" borderId="0" xfId="0" applyFont="1" applyFill="1" applyAlignment="1">
      <alignment horizontal="center" vertical="center"/>
    </xf>
    <xf numFmtId="178" fontId="66" fillId="14" borderId="17" xfId="8" applyNumberFormat="1" applyFont="1" applyFill="1" applyBorder="1" applyAlignment="1">
      <alignment horizontal="center" vertical="center" wrapText="1"/>
    </xf>
    <xf numFmtId="186" fontId="23" fillId="0" borderId="0" xfId="0" applyNumberFormat="1" applyFont="1">
      <alignment vertical="center"/>
    </xf>
    <xf numFmtId="186" fontId="25" fillId="0" borderId="22" xfId="6" applyNumberFormat="1" applyFont="1" applyFill="1" applyBorder="1" applyAlignment="1">
      <alignment horizontal="center" vertical="center" wrapText="1"/>
    </xf>
    <xf numFmtId="186" fontId="25" fillId="0" borderId="3" xfId="6" applyNumberFormat="1" applyFont="1" applyFill="1" applyBorder="1" applyAlignment="1">
      <alignment horizontal="right" vertical="center"/>
    </xf>
    <xf numFmtId="176" fontId="25" fillId="0" borderId="46" xfId="6" applyNumberFormat="1" applyFont="1" applyBorder="1" applyAlignment="1">
      <alignment horizontal="center" vertical="center" wrapText="1"/>
    </xf>
    <xf numFmtId="176" fontId="25" fillId="0" borderId="47" xfId="6" applyNumberFormat="1" applyFont="1" applyBorder="1" applyAlignment="1">
      <alignment horizontal="center" vertical="center" wrapText="1"/>
    </xf>
    <xf numFmtId="176" fontId="25" fillId="0" borderId="48" xfId="6" applyNumberFormat="1" applyFont="1" applyBorder="1" applyAlignment="1">
      <alignment vertical="center"/>
    </xf>
    <xf numFmtId="178" fontId="25" fillId="0" borderId="49" xfId="0" applyNumberFormat="1" applyFont="1" applyBorder="1" applyAlignment="1">
      <alignment horizontal="center" vertical="center"/>
    </xf>
    <xf numFmtId="178" fontId="25" fillId="9" borderId="49" xfId="0" applyNumberFormat="1" applyFont="1" applyFill="1" applyBorder="1" applyAlignment="1">
      <alignment horizontal="center" vertical="center"/>
    </xf>
    <xf numFmtId="178" fontId="25" fillId="9" borderId="38" xfId="0" applyNumberFormat="1" applyFont="1" applyFill="1" applyBorder="1" applyAlignment="1">
      <alignment horizontal="center" vertical="center"/>
    </xf>
    <xf numFmtId="180" fontId="25" fillId="0" borderId="34" xfId="6" applyNumberFormat="1" applyFont="1" applyFill="1" applyBorder="1" applyAlignment="1">
      <alignment horizontal="center" vertical="center"/>
    </xf>
    <xf numFmtId="176" fontId="25" fillId="0" borderId="19" xfId="6" applyNumberFormat="1" applyFont="1" applyFill="1" applyBorder="1" applyAlignment="1">
      <alignment horizontal="center" vertical="center"/>
    </xf>
    <xf numFmtId="180" fontId="25" fillId="0" borderId="19" xfId="6" applyNumberFormat="1" applyFont="1" applyFill="1" applyBorder="1" applyAlignment="1">
      <alignment horizontal="center" vertical="center"/>
    </xf>
    <xf numFmtId="176" fontId="25" fillId="0" borderId="20" xfId="6" applyNumberFormat="1" applyFont="1" applyFill="1" applyBorder="1" applyAlignment="1">
      <alignment horizontal="center" vertical="center"/>
    </xf>
    <xf numFmtId="178" fontId="25" fillId="6" borderId="31" xfId="0" applyNumberFormat="1" applyFont="1" applyFill="1" applyBorder="1" applyAlignment="1">
      <alignment horizontal="center" vertical="center"/>
    </xf>
    <xf numFmtId="178" fontId="25" fillId="14" borderId="31" xfId="0" applyNumberFormat="1" applyFont="1" applyFill="1" applyBorder="1" applyAlignment="1">
      <alignment horizontal="center" vertical="center"/>
    </xf>
    <xf numFmtId="176" fontId="25" fillId="0" borderId="23" xfId="6" applyNumberFormat="1" applyFont="1" applyFill="1" applyBorder="1" applyAlignment="1">
      <alignment horizontal="center" vertical="center"/>
    </xf>
    <xf numFmtId="180" fontId="25" fillId="0" borderId="23" xfId="6" applyNumberFormat="1" applyFont="1" applyFill="1" applyBorder="1" applyAlignment="1">
      <alignment horizontal="center" vertical="center"/>
    </xf>
    <xf numFmtId="176" fontId="25" fillId="0" borderId="33" xfId="6" applyNumberFormat="1" applyFont="1" applyFill="1" applyBorder="1" applyAlignment="1">
      <alignment horizontal="center" vertical="center"/>
    </xf>
    <xf numFmtId="178" fontId="25" fillId="14" borderId="33" xfId="0" applyNumberFormat="1" applyFont="1" applyFill="1" applyBorder="1" applyAlignment="1">
      <alignment horizontal="center" vertical="center"/>
    </xf>
    <xf numFmtId="176" fontId="25" fillId="0" borderId="36" xfId="6" applyNumberFormat="1" applyFont="1" applyBorder="1" applyAlignment="1">
      <alignment vertical="center"/>
    </xf>
    <xf numFmtId="176" fontId="25" fillId="0" borderId="51" xfId="6" applyNumberFormat="1" applyFont="1" applyBorder="1" applyAlignment="1">
      <alignment vertical="center"/>
    </xf>
    <xf numFmtId="178" fontId="25" fillId="0" borderId="38" xfId="0" applyNumberFormat="1" applyFont="1" applyBorder="1" applyAlignment="1">
      <alignment horizontal="center" vertical="center"/>
    </xf>
    <xf numFmtId="178" fontId="25" fillId="6" borderId="33" xfId="0" applyNumberFormat="1" applyFont="1" applyFill="1" applyBorder="1" applyAlignment="1">
      <alignment horizontal="center" vertical="center"/>
    </xf>
    <xf numFmtId="176" fontId="25" fillId="0" borderId="52" xfId="6" applyNumberFormat="1" applyFont="1" applyBorder="1" applyAlignment="1">
      <alignment vertical="center"/>
    </xf>
    <xf numFmtId="186" fontId="25" fillId="0" borderId="19" xfId="6" applyNumberFormat="1" applyFont="1" applyFill="1" applyBorder="1" applyAlignment="1">
      <alignment horizontal="center" vertical="center" wrapText="1"/>
    </xf>
    <xf numFmtId="176" fontId="25" fillId="14" borderId="34" xfId="6" applyNumberFormat="1" applyFont="1" applyFill="1" applyBorder="1" applyAlignment="1">
      <alignment horizontal="center" vertical="center" wrapText="1"/>
    </xf>
    <xf numFmtId="9" fontId="25" fillId="0" borderId="25" xfId="6" applyNumberFormat="1" applyFont="1" applyFill="1" applyBorder="1" applyAlignment="1">
      <alignment horizontal="center" vertical="center"/>
    </xf>
    <xf numFmtId="9" fontId="25" fillId="0" borderId="1" xfId="6" applyNumberFormat="1" applyFont="1" applyFill="1" applyBorder="1" applyAlignment="1">
      <alignment horizontal="center" vertical="center"/>
    </xf>
    <xf numFmtId="186" fontId="25" fillId="0" borderId="1" xfId="6" applyNumberFormat="1" applyFont="1" applyFill="1" applyBorder="1" applyAlignment="1">
      <alignment horizontal="right" vertical="center"/>
    </xf>
    <xf numFmtId="176" fontId="25" fillId="0" borderId="4" xfId="6" applyNumberFormat="1" applyFont="1" applyBorder="1" applyAlignment="1">
      <alignment vertical="center"/>
    </xf>
    <xf numFmtId="9" fontId="25" fillId="0" borderId="21" xfId="6" applyNumberFormat="1" applyFont="1" applyFill="1" applyBorder="1" applyAlignment="1">
      <alignment horizontal="center" vertical="center"/>
    </xf>
    <xf numFmtId="9" fontId="25" fillId="0" borderId="22" xfId="6" applyNumberFormat="1" applyFont="1" applyFill="1" applyBorder="1" applyAlignment="1">
      <alignment horizontal="center" vertical="center"/>
    </xf>
    <xf numFmtId="186" fontId="25" fillId="0" borderId="22" xfId="6" applyNumberFormat="1" applyFont="1" applyFill="1" applyBorder="1" applyAlignment="1">
      <alignment horizontal="right" vertical="center"/>
    </xf>
    <xf numFmtId="176" fontId="25" fillId="0" borderId="47" xfId="6" applyNumberFormat="1" applyFont="1" applyBorder="1" applyAlignment="1">
      <alignment vertical="center"/>
    </xf>
    <xf numFmtId="9" fontId="25" fillId="0" borderId="30" xfId="6" applyNumberFormat="1" applyFont="1" applyFill="1" applyBorder="1" applyAlignment="1">
      <alignment horizontal="center" vertical="center"/>
    </xf>
    <xf numFmtId="9" fontId="25" fillId="0" borderId="3" xfId="6" applyNumberFormat="1" applyFont="1" applyFill="1" applyBorder="1" applyAlignment="1">
      <alignment horizontal="center" vertical="center"/>
    </xf>
    <xf numFmtId="178" fontId="25" fillId="6" borderId="20" xfId="6" applyNumberFormat="1" applyFont="1" applyFill="1" applyBorder="1" applyAlignment="1">
      <alignment horizontal="center" vertical="center" wrapText="1"/>
    </xf>
    <xf numFmtId="176" fontId="25" fillId="14" borderId="21" xfId="6" applyNumberFormat="1" applyFont="1" applyFill="1" applyBorder="1" applyAlignment="1">
      <alignment horizontal="center" vertical="center" wrapText="1"/>
    </xf>
    <xf numFmtId="178" fontId="25" fillId="6" borderId="24" xfId="6" applyNumberFormat="1" applyFont="1" applyFill="1" applyBorder="1" applyAlignment="1">
      <alignment horizontal="center" vertical="center" wrapText="1"/>
    </xf>
    <xf numFmtId="178" fontId="25" fillId="9" borderId="34" xfId="6" applyNumberFormat="1" applyFont="1" applyFill="1" applyBorder="1" applyAlignment="1">
      <alignment horizontal="center" vertical="center" wrapText="1"/>
    </xf>
    <xf numFmtId="178" fontId="25" fillId="9" borderId="21" xfId="6" applyNumberFormat="1" applyFont="1" applyFill="1" applyBorder="1" applyAlignment="1">
      <alignment horizontal="center" vertical="center" wrapText="1"/>
    </xf>
    <xf numFmtId="180" fontId="25" fillId="0" borderId="4" xfId="6" applyNumberFormat="1" applyFont="1" applyFill="1" applyBorder="1" applyAlignment="1">
      <alignment horizontal="center" vertical="center"/>
    </xf>
    <xf numFmtId="180" fontId="25" fillId="0" borderId="9" xfId="6" applyNumberFormat="1" applyFont="1" applyFill="1" applyBorder="1" applyAlignment="1">
      <alignment horizontal="center" vertical="center"/>
    </xf>
    <xf numFmtId="180" fontId="25" fillId="0" borderId="10" xfId="6" applyNumberFormat="1" applyFont="1" applyFill="1" applyBorder="1" applyAlignment="1">
      <alignment horizontal="center" vertical="center"/>
    </xf>
    <xf numFmtId="0" fontId="28" fillId="0" borderId="0" xfId="6" applyNumberFormat="1" applyFont="1" applyFill="1" applyBorder="1" applyAlignment="1">
      <alignment horizontal="center" vertical="center"/>
    </xf>
    <xf numFmtId="0" fontId="25" fillId="0" borderId="17" xfId="0" applyFont="1" applyBorder="1" applyAlignment="1">
      <alignment horizontal="center" vertical="center"/>
    </xf>
    <xf numFmtId="0" fontId="25" fillId="0" borderId="3" xfId="0" applyFont="1" applyBorder="1" applyAlignment="1">
      <alignment horizontal="center" vertical="center"/>
    </xf>
    <xf numFmtId="0" fontId="25" fillId="0" borderId="17" xfId="5" applyFont="1" applyBorder="1" applyAlignment="1">
      <alignment horizontal="center" vertical="center" wrapText="1"/>
    </xf>
    <xf numFmtId="0" fontId="25" fillId="0" borderId="3" xfId="5" applyFont="1" applyBorder="1" applyAlignment="1">
      <alignment horizontal="center" vertical="center" wrapText="1"/>
    </xf>
    <xf numFmtId="176" fontId="25" fillId="0" borderId="17" xfId="6" applyNumberFormat="1" applyFont="1" applyFill="1" applyBorder="1" applyAlignment="1">
      <alignment horizontal="center" vertical="center" wrapText="1"/>
    </xf>
    <xf numFmtId="176" fontId="25" fillId="0" borderId="3" xfId="6" applyNumberFormat="1" applyFont="1" applyFill="1" applyBorder="1" applyAlignment="1">
      <alignment horizontal="center" vertical="center" wrapText="1"/>
    </xf>
    <xf numFmtId="0" fontId="24" fillId="0" borderId="1" xfId="5" applyFont="1" applyBorder="1" applyAlignment="1">
      <alignment horizontal="center" vertical="center"/>
    </xf>
    <xf numFmtId="180" fontId="25" fillId="0" borderId="1" xfId="6" applyNumberFormat="1" applyFont="1" applyFill="1" applyBorder="1" applyAlignment="1">
      <alignment horizontal="center" vertical="center"/>
    </xf>
    <xf numFmtId="0" fontId="25" fillId="0" borderId="1" xfId="0" applyFont="1" applyBorder="1" applyAlignment="1">
      <alignment horizontal="center" vertical="center"/>
    </xf>
    <xf numFmtId="0" fontId="24" fillId="0" borderId="4" xfId="5" applyFont="1" applyBorder="1" applyAlignment="1">
      <alignment horizontal="center" vertical="center"/>
    </xf>
    <xf numFmtId="0" fontId="24" fillId="0" borderId="9" xfId="5" applyFont="1" applyBorder="1" applyAlignment="1">
      <alignment horizontal="center" vertical="center"/>
    </xf>
    <xf numFmtId="0" fontId="24" fillId="0" borderId="10" xfId="5" applyFont="1" applyBorder="1" applyAlignment="1">
      <alignment horizontal="center" vertical="center"/>
    </xf>
    <xf numFmtId="0" fontId="22" fillId="0" borderId="0" xfId="0" applyFont="1" applyAlignment="1">
      <alignment horizontal="center" vertical="center"/>
    </xf>
    <xf numFmtId="0" fontId="42" fillId="0" borderId="50" xfId="0" applyFont="1" applyBorder="1" applyAlignment="1">
      <alignment horizontal="center" vertical="center" wrapText="1"/>
    </xf>
    <xf numFmtId="0" fontId="42" fillId="0" borderId="35" xfId="0" applyFont="1" applyBorder="1" applyAlignment="1">
      <alignment horizontal="center" vertical="center" wrapText="1"/>
    </xf>
    <xf numFmtId="0" fontId="42" fillId="0" borderId="38" xfId="0" applyFont="1" applyBorder="1" applyAlignment="1">
      <alignment horizontal="center" vertical="center" wrapText="1"/>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19" xfId="0" applyFont="1" applyBorder="1" applyAlignment="1">
      <alignment horizontal="center" vertical="center"/>
    </xf>
    <xf numFmtId="0" fontId="25" fillId="0" borderId="22" xfId="0" applyFont="1" applyBorder="1" applyAlignment="1">
      <alignment horizontal="center" vertical="center"/>
    </xf>
    <xf numFmtId="0" fontId="25" fillId="0" borderId="19" xfId="5" applyFont="1" applyBorder="1" applyAlignment="1">
      <alignment horizontal="center" vertical="center" wrapText="1"/>
    </xf>
    <xf numFmtId="0" fontId="25" fillId="0" borderId="22" xfId="5" applyFont="1" applyBorder="1" applyAlignment="1">
      <alignment horizontal="center" vertical="center" wrapText="1"/>
    </xf>
    <xf numFmtId="176" fontId="25" fillId="0" borderId="20" xfId="6" applyNumberFormat="1" applyFont="1" applyFill="1" applyBorder="1" applyAlignment="1">
      <alignment horizontal="center" vertical="center" wrapText="1"/>
    </xf>
    <xf numFmtId="176" fontId="25" fillId="0" borderId="24" xfId="6" applyNumberFormat="1" applyFont="1" applyFill="1" applyBorder="1" applyAlignment="1">
      <alignment horizontal="center" vertical="center" wrapText="1"/>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78" fillId="14" borderId="0" xfId="6" applyNumberFormat="1" applyFont="1" applyFill="1" applyBorder="1" applyAlignment="1">
      <alignment horizontal="left" vertical="center" wrapText="1"/>
    </xf>
    <xf numFmtId="180" fontId="67" fillId="10" borderId="4" xfId="6" applyNumberFormat="1" applyFont="1" applyFill="1" applyBorder="1" applyAlignment="1">
      <alignment horizontal="center" vertical="center"/>
    </xf>
    <xf numFmtId="180" fontId="67" fillId="10" borderId="10" xfId="6" applyNumberFormat="1" applyFont="1" applyFill="1" applyBorder="1" applyAlignment="1">
      <alignment horizontal="center" vertical="center"/>
    </xf>
    <xf numFmtId="0" fontId="66" fillId="14" borderId="17" xfId="5" applyFont="1" applyFill="1" applyBorder="1" applyAlignment="1">
      <alignment horizontal="center" vertical="center" wrapText="1"/>
    </xf>
    <xf numFmtId="0" fontId="66" fillId="14" borderId="3" xfId="5" applyFont="1" applyFill="1" applyBorder="1" applyAlignment="1">
      <alignment horizontal="center" vertical="center" wrapText="1"/>
    </xf>
    <xf numFmtId="0" fontId="68" fillId="13" borderId="4" xfId="6" applyNumberFormat="1" applyFont="1" applyFill="1" applyBorder="1" applyAlignment="1">
      <alignment horizontal="center" vertical="center" wrapText="1"/>
    </xf>
    <xf numFmtId="0" fontId="68" fillId="13" borderId="9" xfId="6" applyNumberFormat="1" applyFont="1" applyFill="1" applyBorder="1" applyAlignment="1">
      <alignment horizontal="center" vertical="center" wrapText="1"/>
    </xf>
    <xf numFmtId="0" fontId="68" fillId="13" borderId="10" xfId="6" applyNumberFormat="1" applyFont="1" applyFill="1" applyBorder="1" applyAlignment="1">
      <alignment horizontal="center" vertical="center" wrapText="1"/>
    </xf>
    <xf numFmtId="0" fontId="68" fillId="19" borderId="4" xfId="6" applyNumberFormat="1" applyFont="1" applyFill="1" applyBorder="1" applyAlignment="1">
      <alignment horizontal="center" vertical="center" wrapText="1"/>
    </xf>
    <xf numFmtId="0" fontId="68" fillId="19" borderId="9" xfId="6" applyNumberFormat="1" applyFont="1" applyFill="1" applyBorder="1" applyAlignment="1">
      <alignment horizontal="center" vertical="center" wrapText="1"/>
    </xf>
    <xf numFmtId="0" fontId="68" fillId="19" borderId="10" xfId="6" applyNumberFormat="1" applyFont="1" applyFill="1" applyBorder="1" applyAlignment="1">
      <alignment horizontal="center" vertical="center" wrapText="1"/>
    </xf>
    <xf numFmtId="10" fontId="66" fillId="6" borderId="17" xfId="0" applyNumberFormat="1" applyFont="1" applyFill="1" applyBorder="1" applyAlignment="1">
      <alignment horizontal="center" vertical="center" wrapText="1"/>
    </xf>
    <xf numFmtId="10" fontId="66" fillId="6" borderId="3" xfId="0" applyNumberFormat="1" applyFont="1" applyFill="1" applyBorder="1" applyAlignment="1">
      <alignment horizontal="center" vertical="center" wrapText="1"/>
    </xf>
    <xf numFmtId="178" fontId="66" fillId="14" borderId="17" xfId="8" applyNumberFormat="1" applyFont="1" applyFill="1" applyBorder="1" applyAlignment="1">
      <alignment horizontal="center" vertical="center" wrapText="1"/>
    </xf>
    <xf numFmtId="178" fontId="66" fillId="14" borderId="3" xfId="8" applyNumberFormat="1" applyFont="1" applyFill="1" applyBorder="1" applyAlignment="1">
      <alignment horizontal="center" vertical="center" wrapText="1"/>
    </xf>
    <xf numFmtId="10" fontId="66" fillId="14" borderId="0" xfId="0" applyNumberFormat="1" applyFont="1" applyFill="1" applyAlignment="1">
      <alignment horizontal="center" vertical="center" wrapText="1"/>
    </xf>
    <xf numFmtId="10" fontId="66" fillId="14" borderId="2" xfId="0" applyNumberFormat="1" applyFont="1" applyFill="1" applyBorder="1" applyAlignment="1">
      <alignment horizontal="center" vertical="center" wrapText="1"/>
    </xf>
    <xf numFmtId="176" fontId="67" fillId="10" borderId="43" xfId="6" applyNumberFormat="1" applyFont="1" applyFill="1" applyBorder="1" applyAlignment="1">
      <alignment horizontal="center" vertical="center"/>
    </xf>
    <xf numFmtId="176" fontId="67" fillId="10" borderId="44" xfId="6" applyNumberFormat="1" applyFont="1" applyFill="1" applyBorder="1" applyAlignment="1">
      <alignment horizontal="center" vertical="center"/>
    </xf>
    <xf numFmtId="176" fontId="67" fillId="10" borderId="45" xfId="6" applyNumberFormat="1" applyFont="1" applyFill="1" applyBorder="1" applyAlignment="1">
      <alignment horizontal="center" vertical="center"/>
    </xf>
    <xf numFmtId="176" fontId="66" fillId="0" borderId="17" xfId="6" applyNumberFormat="1" applyFont="1" applyFill="1" applyBorder="1" applyAlignment="1">
      <alignment horizontal="center" vertical="center" wrapText="1"/>
    </xf>
    <xf numFmtId="176" fontId="66" fillId="0" borderId="3" xfId="6" applyNumberFormat="1" applyFont="1" applyFill="1" applyBorder="1" applyAlignment="1">
      <alignment horizontal="center" vertical="center" wrapText="1"/>
    </xf>
    <xf numFmtId="176" fontId="67" fillId="10" borderId="4" xfId="6" applyNumberFormat="1" applyFont="1" applyFill="1" applyBorder="1" applyAlignment="1">
      <alignment horizontal="center" vertical="center"/>
    </xf>
    <xf numFmtId="176" fontId="67" fillId="10" borderId="10" xfId="6" applyNumberFormat="1" applyFont="1" applyFill="1" applyBorder="1" applyAlignment="1">
      <alignment horizontal="center" vertical="center"/>
    </xf>
    <xf numFmtId="176" fontId="66" fillId="0" borderId="17" xfId="6" applyNumberFormat="1" applyFont="1" applyFill="1" applyBorder="1" applyAlignment="1">
      <alignment horizontal="center" vertical="center"/>
    </xf>
    <xf numFmtId="176" fontId="66" fillId="0" borderId="3" xfId="6" applyNumberFormat="1" applyFont="1" applyFill="1" applyBorder="1" applyAlignment="1">
      <alignment horizontal="center" vertical="center"/>
    </xf>
    <xf numFmtId="0" fontId="66" fillId="0" borderId="17" xfId="5" applyFont="1" applyBorder="1" applyAlignment="1">
      <alignment horizontal="center" vertical="center" wrapText="1"/>
    </xf>
    <xf numFmtId="0" fontId="66" fillId="0" borderId="3" xfId="5" applyFont="1" applyBorder="1" applyAlignment="1">
      <alignment horizontal="center" vertical="center" wrapText="1"/>
    </xf>
    <xf numFmtId="0" fontId="32" fillId="0" borderId="0" xfId="0" applyFont="1" applyAlignment="1">
      <alignment horizontal="center" vertical="center"/>
    </xf>
    <xf numFmtId="0" fontId="58" fillId="0" borderId="1" xfId="0" applyFont="1" applyBorder="1" applyAlignment="1">
      <alignment horizontal="center" vertical="center"/>
    </xf>
    <xf numFmtId="176" fontId="31" fillId="6" borderId="1" xfId="6" applyNumberFormat="1" applyFont="1" applyFill="1" applyBorder="1" applyAlignment="1">
      <alignment vertical="center"/>
    </xf>
    <xf numFmtId="0" fontId="31" fillId="6" borderId="1" xfId="0" applyFont="1" applyFill="1" applyBorder="1" applyAlignment="1"/>
    <xf numFmtId="0" fontId="34" fillId="0" borderId="1" xfId="5" applyFont="1" applyBorder="1" applyAlignment="1">
      <alignment vertical="center"/>
    </xf>
    <xf numFmtId="0" fontId="34" fillId="0" borderId="9" xfId="0" applyFont="1" applyBorder="1" applyAlignment="1">
      <alignment horizontal="center" vertical="center"/>
    </xf>
    <xf numFmtId="0" fontId="34" fillId="0" borderId="10"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52" fillId="0" borderId="15" xfId="0" applyFont="1" applyBorder="1" applyAlignment="1">
      <alignment horizontal="center" vertical="center" wrapText="1"/>
    </xf>
    <xf numFmtId="0" fontId="52" fillId="0" borderId="16" xfId="0" applyFont="1" applyBorder="1" applyAlignment="1">
      <alignment horizontal="center" vertical="center" wrapText="1"/>
    </xf>
    <xf numFmtId="0" fontId="46" fillId="13" borderId="0" xfId="0" applyFont="1" applyFill="1" applyAlignment="1">
      <alignment horizontal="center" vertical="center"/>
    </xf>
    <xf numFmtId="0" fontId="51" fillId="0" borderId="13" xfId="0" applyFont="1" applyBorder="1" applyAlignment="1">
      <alignment horizontal="center" vertical="center" wrapText="1"/>
    </xf>
    <xf numFmtId="0" fontId="51" fillId="0" borderId="14" xfId="0" applyFont="1" applyBorder="1" applyAlignment="1">
      <alignment horizontal="center" vertical="center" wrapText="1"/>
    </xf>
    <xf numFmtId="10" fontId="66" fillId="14" borderId="0" xfId="0" applyNumberFormat="1" applyFont="1" applyFill="1">
      <alignment vertical="center"/>
    </xf>
    <xf numFmtId="180" fontId="76" fillId="0" borderId="40" xfId="0" applyNumberFormat="1" applyFont="1" applyBorder="1" applyAlignment="1">
      <alignment horizontal="center" vertical="center" wrapText="1"/>
    </xf>
    <xf numFmtId="180" fontId="76" fillId="0" borderId="39" xfId="0" applyNumberFormat="1" applyFont="1" applyBorder="1" applyAlignment="1">
      <alignment horizontal="center" vertical="center" wrapText="1"/>
    </xf>
    <xf numFmtId="10" fontId="76" fillId="0" borderId="40" xfId="0" applyNumberFormat="1" applyFont="1" applyBorder="1" applyAlignment="1">
      <alignment horizontal="right" vertical="center" wrapText="1"/>
    </xf>
    <xf numFmtId="176" fontId="76" fillId="0" borderId="39" xfId="0" applyNumberFormat="1" applyFont="1" applyBorder="1" applyAlignment="1">
      <alignment horizontal="right" vertical="center" wrapText="1"/>
    </xf>
    <xf numFmtId="0" fontId="76" fillId="0" borderId="39" xfId="0" applyFont="1" applyBorder="1" applyAlignment="1">
      <alignment horizontal="justify" vertical="center" wrapText="1"/>
    </xf>
    <xf numFmtId="0" fontId="76" fillId="0" borderId="40" xfId="0" applyFont="1" applyBorder="1" applyAlignment="1">
      <alignment horizontal="justify" vertical="center" wrapText="1"/>
    </xf>
    <xf numFmtId="0" fontId="66" fillId="0" borderId="0" xfId="0" applyFont="1" applyAlignment="1">
      <alignment horizontal="center" vertical="center"/>
    </xf>
    <xf numFmtId="0" fontId="66" fillId="0" borderId="39" xfId="0" applyFont="1" applyBorder="1" applyAlignment="1">
      <alignment horizontal="center" vertical="center"/>
    </xf>
    <xf numFmtId="0" fontId="80" fillId="0" borderId="0" xfId="0" pivotButton="1" applyFont="1">
      <alignment vertical="center"/>
    </xf>
    <xf numFmtId="0" fontId="80" fillId="0" borderId="0" xfId="0" applyFont="1">
      <alignment vertical="center"/>
    </xf>
    <xf numFmtId="10" fontId="66" fillId="0" borderId="39" xfId="0" applyNumberFormat="1" applyFont="1" applyBorder="1" applyAlignment="1">
      <alignment horizontal="center" vertical="center"/>
    </xf>
    <xf numFmtId="0" fontId="80" fillId="0" borderId="0" xfId="0" applyFont="1" applyAlignment="1">
      <alignment horizontal="left" vertical="center"/>
    </xf>
    <xf numFmtId="0" fontId="80" fillId="0" borderId="0" xfId="0" applyNumberFormat="1" applyFont="1">
      <alignment vertical="center"/>
    </xf>
    <xf numFmtId="176" fontId="80" fillId="0" borderId="0" xfId="0" applyNumberFormat="1" applyFont="1">
      <alignment vertical="center"/>
    </xf>
    <xf numFmtId="185" fontId="80" fillId="0" borderId="0" xfId="0" applyNumberFormat="1" applyFont="1">
      <alignment vertical="center"/>
    </xf>
    <xf numFmtId="0" fontId="76" fillId="0" borderId="41" xfId="0" applyFont="1" applyBorder="1" applyAlignment="1">
      <alignment horizontal="justify" vertical="center" wrapText="1"/>
    </xf>
    <xf numFmtId="0" fontId="76" fillId="0" borderId="42" xfId="0" applyFont="1" applyBorder="1" applyAlignment="1">
      <alignment horizontal="justify" vertical="center" wrapText="1"/>
    </xf>
    <xf numFmtId="0" fontId="66" fillId="0" borderId="53" xfId="0" applyFont="1" applyBorder="1" applyAlignment="1">
      <alignment horizontal="center" vertical="center"/>
    </xf>
    <xf numFmtId="10" fontId="66" fillId="0" borderId="53" xfId="0" applyNumberFormat="1" applyFont="1" applyBorder="1" applyAlignment="1">
      <alignment horizontal="center" vertical="center"/>
    </xf>
    <xf numFmtId="180" fontId="76" fillId="0" borderId="39" xfId="0" applyNumberFormat="1" applyFont="1" applyBorder="1" applyAlignment="1">
      <alignment horizontal="right" vertical="center" wrapText="1"/>
    </xf>
    <xf numFmtId="0" fontId="83" fillId="0" borderId="0" xfId="0" applyFont="1" applyAlignment="1">
      <alignment vertical="center"/>
    </xf>
    <xf numFmtId="0" fontId="82" fillId="25" borderId="0" xfId="0" applyFont="1" applyFill="1" applyAlignment="1">
      <alignment horizontal="left" vertical="center"/>
    </xf>
    <xf numFmtId="0" fontId="82" fillId="23" borderId="54" xfId="0" applyFont="1" applyFill="1" applyBorder="1" applyAlignment="1">
      <alignment horizontal="center" vertical="center" wrapText="1"/>
    </xf>
    <xf numFmtId="0" fontId="81" fillId="0" borderId="54" xfId="0" applyFont="1" applyBorder="1" applyAlignment="1">
      <alignment horizontal="left" vertical="center" wrapText="1"/>
    </xf>
    <xf numFmtId="0" fontId="81" fillId="0" borderId="54" xfId="0" applyFont="1" applyBorder="1" applyAlignment="1">
      <alignment horizontal="left" vertical="center"/>
    </xf>
    <xf numFmtId="0" fontId="81" fillId="0" borderId="0" xfId="0" applyFont="1" applyAlignment="1">
      <alignment vertical="center"/>
    </xf>
    <xf numFmtId="0" fontId="82" fillId="0" borderId="0" xfId="0" applyFont="1" applyAlignment="1">
      <alignment vertical="center"/>
    </xf>
    <xf numFmtId="3" fontId="81" fillId="0" borderId="54" xfId="0" applyFont="1" applyBorder="1" applyNumberFormat="1" applyAlignment="1">
      <alignment vertical="center"/>
    </xf>
    <xf numFmtId="302" fontId="81" fillId="0" borderId="54" xfId="0" applyFont="1" applyBorder="1" applyNumberFormat="1" applyAlignment="1">
      <alignment vertical="center"/>
    </xf>
    <xf numFmtId="300" fontId="81" fillId="0" borderId="54" xfId="0" applyFont="1" applyBorder="1" applyNumberFormat="1" applyAlignment="1">
      <alignment vertical="center"/>
    </xf>
    <xf numFmtId="301" fontId="81" fillId="0" borderId="54" xfId="0" applyFont="1" applyBorder="1" applyNumberFormat="1" applyAlignment="1">
      <alignment vertical="center"/>
    </xf>
    <xf numFmtId="2" fontId="81" fillId="0" borderId="54" xfId="0" applyFont="1" applyBorder="1" applyNumberFormat="1" applyAlignment="1">
      <alignment vertical="center"/>
    </xf>
    <xf numFmtId="2" fontId="84" fillId="24" borderId="54" xfId="0" applyFont="1" applyFill="1" applyBorder="1" applyNumberFormat="1" applyAlignment="1">
      <alignment vertical="center"/>
    </xf>
    <xf numFmtId="300" fontId="84" fillId="24" borderId="54" xfId="0" applyFont="1" applyFill="1" applyBorder="1" applyNumberFormat="1" applyAlignment="1">
      <alignment vertical="center"/>
    </xf>
    <xf numFmtId="3" fontId="84" fillId="24" borderId="54" xfId="0" applyFont="1" applyFill="1" applyBorder="1" applyNumberFormat="1" applyAlignment="1">
      <alignment vertical="center"/>
    </xf>
    <xf numFmtId="0" fontId="85" fillId="0" borderId="0" xfId="0" applyFont="1" applyAlignment="1">
      <alignment vertical="center"/>
    </xf>
    <xf numFmtId="0" fontId="86" fillId="0" borderId="0" xfId="0" applyFont="1" applyAlignment="1">
      <alignment vertical="center"/>
    </xf>
    <xf numFmtId="0" fontId="82" fillId="26" borderId="54" xfId="0" applyFont="1" applyFill="1" applyBorder="1" applyAlignment="1">
      <alignment horizontal="left" vertical="center" wrapText="1"/>
    </xf>
    <xf numFmtId="300" fontId="82" fillId="26" borderId="54" xfId="0" applyFont="1" applyFill="1" applyBorder="1" applyNumberFormat="1" applyAlignment="1">
      <alignment vertical="center"/>
    </xf>
    <xf numFmtId="302" fontId="82" fillId="26" borderId="54" xfId="0" applyFont="1" applyFill="1" applyBorder="1" applyNumberFormat="1" applyAlignment="1">
      <alignment vertical="center"/>
    </xf>
    <xf numFmtId="301" fontId="82" fillId="26" borderId="54" xfId="0" applyFont="1" applyFill="1" applyBorder="1" applyNumberFormat="1" applyAlignment="1">
      <alignment vertical="center"/>
    </xf>
    <xf numFmtId="3" fontId="82" fillId="26" borderId="54" xfId="0" applyFont="1" applyFill="1" applyBorder="1" applyNumberFormat="1" applyAlignment="1">
      <alignment vertical="center"/>
    </xf>
    <xf numFmtId="3" fontId="82" fillId="0" borderId="54" xfId="0" applyFont="1" applyBorder="1" applyNumberFormat="1" applyAlignment="1">
      <alignment vertical="center"/>
    </xf>
    <xf numFmtId="302" fontId="82" fillId="0" borderId="54" xfId="0" applyFont="1" applyBorder="1" applyNumberFormat="1" applyAlignment="1">
      <alignment vertical="center"/>
    </xf>
    <xf numFmtId="300" fontId="82" fillId="0" borderId="54" xfId="0" applyFont="1" applyBorder="1" applyNumberFormat="1" applyAlignment="1">
      <alignment vertical="center"/>
    </xf>
    <xf numFmtId="3" fontId="87" fillId="0" borderId="54" xfId="0" applyFont="1" applyBorder="1" applyNumberFormat="1" applyAlignment="1">
      <alignment vertical="center"/>
    </xf>
    <xf numFmtId="2" fontId="87" fillId="0" borderId="54" xfId="0" applyFont="1" applyBorder="1" applyNumberFormat="1" applyAlignment="1">
      <alignment vertical="center"/>
    </xf>
    <xf numFmtId="0" fontId="87" fillId="0" borderId="54" xfId="0" applyFont="1" applyBorder="1" applyAlignment="1">
      <alignment horizontal="left" vertical="center"/>
    </xf>
    <xf numFmtId="0" fontId="82" fillId="23" borderId="54" xfId="0" applyFont="1" applyFill="1" applyBorder="1" applyAlignment="1">
      <alignment horizontal="center" vertical="center"/>
    </xf>
  </cellXfs>
  <cellStyles count="32">
    <cellStyle name="一般" xfId="0" builtinId="0"/>
    <cellStyle name="一般 10" xfId="19" xr:uid="{00000000-0005-0000-0000-000001000000}"/>
    <cellStyle name="一般 10 2" xfId="23" xr:uid="{00000000-0005-0000-0000-000002000000}"/>
    <cellStyle name="一般 11" xfId="25" xr:uid="{00000000-0005-0000-0000-000003000000}"/>
    <cellStyle name="一般 12" xfId="20" xr:uid="{00000000-0005-0000-0000-000004000000}"/>
    <cellStyle name="一般 13" xfId="27" xr:uid="{00000000-0005-0000-0000-000005000000}"/>
    <cellStyle name="一般 14" xfId="28" xr:uid="{E8ABAEB9-FCDD-43CA-8418-4B08B680F679}"/>
    <cellStyle name="一般 15" xfId="30" xr:uid="{25573A29-F9C4-4705-B68D-DFC71BC8CBBB}"/>
    <cellStyle name="一般 2" xfId="1" xr:uid="{00000000-0005-0000-0000-000006000000}"/>
    <cellStyle name="一般 2 2" xfId="2" xr:uid="{00000000-0005-0000-0000-000007000000}"/>
    <cellStyle name="一般 2 3" xfId="31" xr:uid="{BF18F810-786D-404B-A888-B24006978DDB}"/>
    <cellStyle name="一般 2 4" xfId="3" xr:uid="{00000000-0005-0000-0000-000008000000}"/>
    <cellStyle name="一般 26" xfId="24" xr:uid="{00000000-0005-0000-0000-000009000000}"/>
    <cellStyle name="一般 3" xfId="10" xr:uid="{00000000-0005-0000-0000-00000A000000}"/>
    <cellStyle name="一般 3 2" xfId="16" xr:uid="{00000000-0005-0000-0000-00000B000000}"/>
    <cellStyle name="一般 33" xfId="26" xr:uid="{00000000-0005-0000-0000-00000C000000}"/>
    <cellStyle name="一般 4" xfId="11" xr:uid="{00000000-0005-0000-0000-00000D000000}"/>
    <cellStyle name="一般 5" xfId="13" xr:uid="{00000000-0005-0000-0000-00000E000000}"/>
    <cellStyle name="一般 6" xfId="15" xr:uid="{00000000-0005-0000-0000-00000F000000}"/>
    <cellStyle name="一般 7" xfId="4" xr:uid="{00000000-0005-0000-0000-000010000000}"/>
    <cellStyle name="一般 8" xfId="17" xr:uid="{00000000-0005-0000-0000-000011000000}"/>
    <cellStyle name="一般 9" xfId="18" xr:uid="{00000000-0005-0000-0000-000012000000}"/>
    <cellStyle name="一般_12月分行" xfId="5" xr:uid="{00000000-0005-0000-0000-000013000000}"/>
    <cellStyle name="千分位" xfId="6" builtinId="3"/>
    <cellStyle name="千分位 2" xfId="7" xr:uid="{00000000-0005-0000-0000-000015000000}"/>
    <cellStyle name="千分位 3" xfId="12" xr:uid="{00000000-0005-0000-0000-000016000000}"/>
    <cellStyle name="千分位 3 2" xfId="21" xr:uid="{00000000-0005-0000-0000-000017000000}"/>
    <cellStyle name="千分位 4" xfId="22" xr:uid="{00000000-0005-0000-0000-000018000000}"/>
    <cellStyle name="千分位 5" xfId="29" xr:uid="{5F38C9D8-4607-4D55-BE37-F7138BF01022}"/>
    <cellStyle name="百分比" xfId="8" builtinId="5"/>
    <cellStyle name="百分比 2" xfId="14" xr:uid="{00000000-0005-0000-0000-00001A000000}"/>
    <cellStyle name="百分比 3" xfId="9" xr:uid="{00000000-0005-0000-0000-00001B000000}"/>
  </cellStyles>
  <dxfs count="26">
    <dxf>
      <font>
        <sz val="14"/>
      </font>
    </dxf>
    <dxf>
      <font>
        <sz val="14"/>
      </font>
    </dxf>
    <dxf>
      <font>
        <sz val="14"/>
      </font>
    </dxf>
    <dxf>
      <font>
        <sz val="14"/>
      </font>
    </dxf>
    <dxf>
      <font>
        <sz val="14"/>
      </font>
    </dxf>
    <dxf>
      <font>
        <sz val="14"/>
      </font>
    </dxf>
    <dxf>
      <font>
        <name val="微軟正黑體"/>
        <family val="2"/>
        <charset val="136"/>
      </font>
    </dxf>
    <dxf>
      <font>
        <name val="微軟正黑體"/>
        <family val="2"/>
        <charset val="136"/>
      </font>
    </dxf>
    <dxf>
      <font>
        <name val="微軟正黑體"/>
        <family val="2"/>
        <charset val="136"/>
      </font>
    </dxf>
    <dxf>
      <font>
        <name val="微軟正黑體"/>
        <family val="2"/>
        <charset val="136"/>
      </font>
    </dxf>
    <dxf>
      <font>
        <name val="微軟正黑體"/>
        <family val="2"/>
        <charset val="136"/>
      </font>
    </dxf>
    <dxf>
      <font>
        <name val="微軟正黑體"/>
        <family val="2"/>
        <charset val="136"/>
      </font>
    </dxf>
    <dxf>
      <font>
        <color rgb="FF9C0006"/>
      </font>
      <fill>
        <patternFill>
          <bgColor rgb="FFFFC7CE"/>
        </patternFill>
      </fill>
    </dxf>
    <dxf>
      <font>
        <color rgb="FFFF0000"/>
      </font>
      <fill>
        <patternFill>
          <bgColor rgb="FFFFFF00"/>
        </patternFill>
      </fill>
    </dxf>
    <dxf>
      <fill>
        <patternFill>
          <bgColor rgb="FF00FF00"/>
        </patternFill>
      </fill>
    </dxf>
    <dxf>
      <fill>
        <patternFill>
          <bgColor rgb="FFFFC000"/>
        </patternFill>
      </fill>
    </dxf>
    <dxf>
      <fill>
        <patternFill>
          <bgColor rgb="FF00FF00"/>
        </patternFill>
      </fill>
    </dxf>
    <dxf>
      <fill>
        <patternFill>
          <bgColor rgb="FFFFC000"/>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ill>
        <patternFill>
          <bgColor rgb="FF00FF00"/>
        </patternFill>
      </fill>
    </dxf>
    <dxf>
      <fill>
        <patternFill>
          <bgColor rgb="FFFFC000"/>
        </patternFill>
      </fill>
    </dxf>
    <dxf>
      <font>
        <b/>
        <i val="0"/>
        <color rgb="FFFF0000"/>
      </font>
    </dxf>
    <dxf>
      <font>
        <b/>
        <i val="0"/>
        <color rgb="FFFF0000"/>
      </font>
    </dxf>
  </dxfs>
  <tableStyles count="0" defaultTableStyle="TableStyleMedium9" defaultPivotStyle="PivotStyleLight16"/>
  <colors>
    <mruColors>
      <color rgb="FFF6CEFE"/>
      <color rgb="FFFF99CC"/>
      <color rgb="FFFF66CC"/>
      <color rgb="FF00FF00"/>
      <color rgb="FF66FF66"/>
      <color rgb="FF4DFC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pivotCacheDefinition" Target="pivotCache/pivotCacheDefinition6.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pivotCacheDefinition" Target="pivotCache/pivotCacheDefinition4.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pivotCacheDefinition" Target="pivotCache/pivotCacheDefinition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pivotCacheDefinition" Target="pivotCache/pivotCacheDefinition5.xml"/><Relationship Id="rId44" Type="http://schemas.openxmlformats.org/officeDocument/2006/relationships/worksheet" Target="worksheets/sheet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年年化達成率</a:t>
            </a: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 v.s 116</a:t>
            </a:r>
            <a:r>
              <a:rPr lang="zh-TW" altLang="en-US"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年目標相對</a:t>
            </a: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en-US"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年業績成長率</a:t>
            </a:r>
            <a:endParaRPr lang="zh-TW"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scatterChart>
        <c:scatterStyle val="lineMarker"/>
        <c:varyColors val="0"/>
        <c:ser>
          <c:idx val="0"/>
          <c:order val="0"/>
          <c:tx>
            <c:strRef>
              <c:f>SUMMARYPLOT!$A$1</c:f>
              <c:strCache>
                <c:ptCount val="1"/>
                <c:pt idx="0">
                  <c:v>115年
年化
達成率</c:v>
                </c:pt>
              </c:strCache>
            </c:strRef>
          </c:tx>
          <c:spPr>
            <a:ln w="25400" cap="rnd">
              <a:noFill/>
              <a:round/>
            </a:ln>
            <a:effectLst/>
          </c:spPr>
          <c:marker>
            <c:symbol val="circle"/>
            <c:size val="5"/>
            <c:spPr>
              <a:solidFill>
                <a:schemeClr val="accent1"/>
              </a:solidFill>
              <a:ln w="9525">
                <a:solidFill>
                  <a:schemeClr val="accent1"/>
                </a:solidFill>
              </a:ln>
              <a:effectLst/>
            </c:spPr>
          </c:marker>
          <c:xVal>
            <c:numRef>
              <c:f>SUMMARYPLOT!$A$2:$A$184</c:f>
              <c:numCache>
                <c:formatCode>0%</c:formatCode>
                <c:ptCount val="183"/>
                <c:pt idx="0">
                  <c:v>1.46</c:v>
                </c:pt>
                <c:pt idx="1">
                  <c:v>0.69</c:v>
                </c:pt>
                <c:pt idx="2">
                  <c:v>0.97</c:v>
                </c:pt>
                <c:pt idx="3">
                  <c:v>1.33</c:v>
                </c:pt>
                <c:pt idx="4">
                  <c:v>0.52</c:v>
                </c:pt>
                <c:pt idx="5">
                  <c:v>0.92</c:v>
                </c:pt>
                <c:pt idx="6">
                  <c:v>1.21</c:v>
                </c:pt>
                <c:pt idx="7">
                  <c:v>1.4</c:v>
                </c:pt>
                <c:pt idx="8">
                  <c:v>0.78</c:v>
                </c:pt>
                <c:pt idx="9">
                  <c:v>0.74</c:v>
                </c:pt>
                <c:pt idx="10">
                  <c:v>1.53</c:v>
                </c:pt>
                <c:pt idx="11">
                  <c:v>1.19</c:v>
                </c:pt>
                <c:pt idx="12">
                  <c:v>1.08</c:v>
                </c:pt>
                <c:pt idx="13">
                  <c:v>0.74</c:v>
                </c:pt>
                <c:pt idx="14">
                  <c:v>0.85</c:v>
                </c:pt>
                <c:pt idx="15">
                  <c:v>0.78</c:v>
                </c:pt>
                <c:pt idx="16">
                  <c:v>1.1100000000000001</c:v>
                </c:pt>
                <c:pt idx="17">
                  <c:v>0.91</c:v>
                </c:pt>
                <c:pt idx="18">
                  <c:v>0.99</c:v>
                </c:pt>
                <c:pt idx="19">
                  <c:v>1.1200000000000001</c:v>
                </c:pt>
                <c:pt idx="20">
                  <c:v>0.96</c:v>
                </c:pt>
                <c:pt idx="21">
                  <c:v>1.05</c:v>
                </c:pt>
                <c:pt idx="22">
                  <c:v>1.05</c:v>
                </c:pt>
                <c:pt idx="23">
                  <c:v>1.01</c:v>
                </c:pt>
                <c:pt idx="24">
                  <c:v>0.75</c:v>
                </c:pt>
                <c:pt idx="25">
                  <c:v>1.23</c:v>
                </c:pt>
                <c:pt idx="26">
                  <c:v>0.98</c:v>
                </c:pt>
                <c:pt idx="27">
                  <c:v>0.85</c:v>
                </c:pt>
                <c:pt idx="28">
                  <c:v>0.87</c:v>
                </c:pt>
                <c:pt idx="29">
                  <c:v>0.74</c:v>
                </c:pt>
                <c:pt idx="30">
                  <c:v>0.99</c:v>
                </c:pt>
                <c:pt idx="31">
                  <c:v>0.71</c:v>
                </c:pt>
                <c:pt idx="32">
                  <c:v>0.81</c:v>
                </c:pt>
                <c:pt idx="33">
                  <c:v>1.43</c:v>
                </c:pt>
                <c:pt idx="34">
                  <c:v>1.3</c:v>
                </c:pt>
                <c:pt idx="35">
                  <c:v>1.07</c:v>
                </c:pt>
                <c:pt idx="36">
                  <c:v>1.35</c:v>
                </c:pt>
                <c:pt idx="37">
                  <c:v>1.18</c:v>
                </c:pt>
                <c:pt idx="38">
                  <c:v>0.84</c:v>
                </c:pt>
                <c:pt idx="39">
                  <c:v>1.01</c:v>
                </c:pt>
                <c:pt idx="40">
                  <c:v>1.1399999999999999</c:v>
                </c:pt>
                <c:pt idx="41">
                  <c:v>0.8</c:v>
                </c:pt>
                <c:pt idx="42">
                  <c:v>1.3</c:v>
                </c:pt>
                <c:pt idx="43">
                  <c:v>1.3</c:v>
                </c:pt>
                <c:pt idx="44">
                  <c:v>0.96</c:v>
                </c:pt>
                <c:pt idx="45">
                  <c:v>1</c:v>
                </c:pt>
                <c:pt idx="46">
                  <c:v>1.1599999999999999</c:v>
                </c:pt>
                <c:pt idx="47">
                  <c:v>1.23</c:v>
                </c:pt>
                <c:pt idx="48">
                  <c:v>1.3</c:v>
                </c:pt>
                <c:pt idx="49">
                  <c:v>0.82</c:v>
                </c:pt>
                <c:pt idx="50">
                  <c:v>1.6</c:v>
                </c:pt>
                <c:pt idx="51">
                  <c:v>0.82</c:v>
                </c:pt>
                <c:pt idx="52">
                  <c:v>0.77</c:v>
                </c:pt>
                <c:pt idx="53">
                  <c:v>1.55</c:v>
                </c:pt>
                <c:pt idx="54">
                  <c:v>0.9</c:v>
                </c:pt>
                <c:pt idx="55">
                  <c:v>0.87</c:v>
                </c:pt>
                <c:pt idx="56">
                  <c:v>1.06</c:v>
                </c:pt>
                <c:pt idx="57">
                  <c:v>0.95</c:v>
                </c:pt>
                <c:pt idx="58">
                  <c:v>1.2</c:v>
                </c:pt>
                <c:pt idx="59">
                  <c:v>1.47</c:v>
                </c:pt>
                <c:pt idx="60">
                  <c:v>1.38</c:v>
                </c:pt>
                <c:pt idx="61">
                  <c:v>0.71</c:v>
                </c:pt>
                <c:pt idx="62">
                  <c:v>1.19</c:v>
                </c:pt>
                <c:pt idx="63">
                  <c:v>0.89</c:v>
                </c:pt>
                <c:pt idx="64">
                  <c:v>0.89</c:v>
                </c:pt>
                <c:pt idx="65">
                  <c:v>0.86</c:v>
                </c:pt>
                <c:pt idx="66">
                  <c:v>1.91</c:v>
                </c:pt>
                <c:pt idx="67">
                  <c:v>0.97</c:v>
                </c:pt>
                <c:pt idx="68">
                  <c:v>1.26</c:v>
                </c:pt>
                <c:pt idx="69">
                  <c:v>1.1499999999999999</c:v>
                </c:pt>
                <c:pt idx="70">
                  <c:v>0.82</c:v>
                </c:pt>
                <c:pt idx="71">
                  <c:v>1.1299999999999999</c:v>
                </c:pt>
                <c:pt idx="72">
                  <c:v>0.98</c:v>
                </c:pt>
                <c:pt idx="73">
                  <c:v>0.66</c:v>
                </c:pt>
                <c:pt idx="74">
                  <c:v>1.33</c:v>
                </c:pt>
                <c:pt idx="75">
                  <c:v>1.1299999999999999</c:v>
                </c:pt>
                <c:pt idx="76">
                  <c:v>1.36</c:v>
                </c:pt>
                <c:pt idx="77">
                  <c:v>1.0900000000000001</c:v>
                </c:pt>
                <c:pt idx="78">
                  <c:v>1.23</c:v>
                </c:pt>
                <c:pt idx="79">
                  <c:v>0.72</c:v>
                </c:pt>
                <c:pt idx="80">
                  <c:v>0.75</c:v>
                </c:pt>
                <c:pt idx="81">
                  <c:v>0.93</c:v>
                </c:pt>
                <c:pt idx="82">
                  <c:v>0.98</c:v>
                </c:pt>
                <c:pt idx="83">
                  <c:v>0.83</c:v>
                </c:pt>
                <c:pt idx="84">
                  <c:v>1.38</c:v>
                </c:pt>
                <c:pt idx="85">
                  <c:v>0.84</c:v>
                </c:pt>
                <c:pt idx="86">
                  <c:v>0.98</c:v>
                </c:pt>
                <c:pt idx="87">
                  <c:v>1.47</c:v>
                </c:pt>
                <c:pt idx="88">
                  <c:v>1.22</c:v>
                </c:pt>
                <c:pt idx="89">
                  <c:v>1.0900000000000001</c:v>
                </c:pt>
                <c:pt idx="90">
                  <c:v>1.21</c:v>
                </c:pt>
                <c:pt idx="91">
                  <c:v>1.1100000000000001</c:v>
                </c:pt>
                <c:pt idx="92">
                  <c:v>1.01</c:v>
                </c:pt>
                <c:pt idx="93">
                  <c:v>0.84</c:v>
                </c:pt>
                <c:pt idx="94">
                  <c:v>1.17</c:v>
                </c:pt>
                <c:pt idx="95">
                  <c:v>1.3</c:v>
                </c:pt>
                <c:pt idx="96">
                  <c:v>0.98</c:v>
                </c:pt>
                <c:pt idx="97">
                  <c:v>1.36</c:v>
                </c:pt>
                <c:pt idx="98">
                  <c:v>1.21</c:v>
                </c:pt>
                <c:pt idx="99">
                  <c:v>1.3</c:v>
                </c:pt>
                <c:pt idx="100">
                  <c:v>1.22</c:v>
                </c:pt>
                <c:pt idx="101">
                  <c:v>1.1599999999999999</c:v>
                </c:pt>
                <c:pt idx="102">
                  <c:v>0.9</c:v>
                </c:pt>
                <c:pt idx="103">
                  <c:v>1.1499999999999999</c:v>
                </c:pt>
                <c:pt idx="104">
                  <c:v>0.92</c:v>
                </c:pt>
                <c:pt idx="105">
                  <c:v>1.82</c:v>
                </c:pt>
                <c:pt idx="106">
                  <c:v>0.9</c:v>
                </c:pt>
                <c:pt idx="107">
                  <c:v>0.93</c:v>
                </c:pt>
                <c:pt idx="108">
                  <c:v>0.74</c:v>
                </c:pt>
                <c:pt idx="109">
                  <c:v>1.04</c:v>
                </c:pt>
                <c:pt idx="110">
                  <c:v>1.17</c:v>
                </c:pt>
                <c:pt idx="111">
                  <c:v>1.17</c:v>
                </c:pt>
                <c:pt idx="112">
                  <c:v>0.65</c:v>
                </c:pt>
                <c:pt idx="113">
                  <c:v>0.91</c:v>
                </c:pt>
                <c:pt idx="114">
                  <c:v>1.04</c:v>
                </c:pt>
                <c:pt idx="115">
                  <c:v>1.1299999999999999</c:v>
                </c:pt>
                <c:pt idx="116">
                  <c:v>0.95</c:v>
                </c:pt>
                <c:pt idx="117">
                  <c:v>0.9</c:v>
                </c:pt>
                <c:pt idx="118">
                  <c:v>1.23</c:v>
                </c:pt>
                <c:pt idx="119">
                  <c:v>0.96</c:v>
                </c:pt>
                <c:pt idx="120">
                  <c:v>1.1299999999999999</c:v>
                </c:pt>
                <c:pt idx="121">
                  <c:v>1.63</c:v>
                </c:pt>
                <c:pt idx="122">
                  <c:v>1.03</c:v>
                </c:pt>
                <c:pt idx="123">
                  <c:v>1.1399999999999999</c:v>
                </c:pt>
                <c:pt idx="124">
                  <c:v>0.8</c:v>
                </c:pt>
                <c:pt idx="125">
                  <c:v>0.87</c:v>
                </c:pt>
                <c:pt idx="126">
                  <c:v>0.97</c:v>
                </c:pt>
                <c:pt idx="127">
                  <c:v>1.28</c:v>
                </c:pt>
                <c:pt idx="128">
                  <c:v>0.73</c:v>
                </c:pt>
                <c:pt idx="129">
                  <c:v>1.1399999999999999</c:v>
                </c:pt>
                <c:pt idx="130">
                  <c:v>0.73</c:v>
                </c:pt>
                <c:pt idx="131">
                  <c:v>1.1599999999999999</c:v>
                </c:pt>
                <c:pt idx="132">
                  <c:v>0.76</c:v>
                </c:pt>
                <c:pt idx="133">
                  <c:v>1</c:v>
                </c:pt>
                <c:pt idx="134">
                  <c:v>1.31</c:v>
                </c:pt>
                <c:pt idx="135">
                  <c:v>1.18</c:v>
                </c:pt>
                <c:pt idx="136">
                  <c:v>0.87</c:v>
                </c:pt>
                <c:pt idx="137">
                  <c:v>0.89</c:v>
                </c:pt>
                <c:pt idx="138">
                  <c:v>0.79</c:v>
                </c:pt>
                <c:pt idx="139">
                  <c:v>1.01</c:v>
                </c:pt>
                <c:pt idx="140">
                  <c:v>0.77</c:v>
                </c:pt>
                <c:pt idx="141">
                  <c:v>1.06</c:v>
                </c:pt>
                <c:pt idx="142">
                  <c:v>1.02</c:v>
                </c:pt>
                <c:pt idx="143">
                  <c:v>0.94</c:v>
                </c:pt>
                <c:pt idx="144">
                  <c:v>1.24</c:v>
                </c:pt>
                <c:pt idx="145">
                  <c:v>0.71</c:v>
                </c:pt>
                <c:pt idx="146">
                  <c:v>0.99</c:v>
                </c:pt>
                <c:pt idx="147">
                  <c:v>1.2</c:v>
                </c:pt>
                <c:pt idx="148">
                  <c:v>0.77</c:v>
                </c:pt>
                <c:pt idx="149">
                  <c:v>1.0900000000000001</c:v>
                </c:pt>
                <c:pt idx="150">
                  <c:v>0.66</c:v>
                </c:pt>
                <c:pt idx="151">
                  <c:v>1.02</c:v>
                </c:pt>
                <c:pt idx="152">
                  <c:v>0.78</c:v>
                </c:pt>
                <c:pt idx="153">
                  <c:v>1.01</c:v>
                </c:pt>
                <c:pt idx="154">
                  <c:v>1.34</c:v>
                </c:pt>
                <c:pt idx="155">
                  <c:v>0.69</c:v>
                </c:pt>
                <c:pt idx="156">
                  <c:v>1.22</c:v>
                </c:pt>
                <c:pt idx="157">
                  <c:v>1.23</c:v>
                </c:pt>
                <c:pt idx="158">
                  <c:v>2.14</c:v>
                </c:pt>
                <c:pt idx="159">
                  <c:v>0.64</c:v>
                </c:pt>
                <c:pt idx="160">
                  <c:v>1.1200000000000001</c:v>
                </c:pt>
                <c:pt idx="161">
                  <c:v>1.05</c:v>
                </c:pt>
                <c:pt idx="162">
                  <c:v>0.8</c:v>
                </c:pt>
                <c:pt idx="163">
                  <c:v>0.86</c:v>
                </c:pt>
                <c:pt idx="164">
                  <c:v>0.63</c:v>
                </c:pt>
                <c:pt idx="165">
                  <c:v>1.18</c:v>
                </c:pt>
                <c:pt idx="166">
                  <c:v>1.36</c:v>
                </c:pt>
                <c:pt idx="167">
                  <c:v>1.01</c:v>
                </c:pt>
                <c:pt idx="168">
                  <c:v>0.89</c:v>
                </c:pt>
                <c:pt idx="169">
                  <c:v>1.0900000000000001</c:v>
                </c:pt>
                <c:pt idx="170">
                  <c:v>1.05</c:v>
                </c:pt>
                <c:pt idx="171">
                  <c:v>0.79</c:v>
                </c:pt>
                <c:pt idx="172">
                  <c:v>0.97</c:v>
                </c:pt>
                <c:pt idx="173">
                  <c:v>0.9</c:v>
                </c:pt>
                <c:pt idx="174">
                  <c:v>1.1399999999999999</c:v>
                </c:pt>
                <c:pt idx="175">
                  <c:v>1.46</c:v>
                </c:pt>
                <c:pt idx="176">
                  <c:v>0.83</c:v>
                </c:pt>
                <c:pt idx="177">
                  <c:v>1.1100000000000001</c:v>
                </c:pt>
                <c:pt idx="178">
                  <c:v>1.1499999999999999</c:v>
                </c:pt>
                <c:pt idx="179">
                  <c:v>0.78</c:v>
                </c:pt>
                <c:pt idx="180">
                  <c:v>1.2</c:v>
                </c:pt>
                <c:pt idx="181">
                  <c:v>0.57999999999999996</c:v>
                </c:pt>
                <c:pt idx="182">
                  <c:v>1.36</c:v>
                </c:pt>
              </c:numCache>
            </c:numRef>
          </c:xVal>
          <c:yVal>
            <c:numRef>
              <c:f>SUMMARYPLOT!$B$2:$B$184</c:f>
              <c:numCache>
                <c:formatCode>0.0%</c:formatCode>
                <c:ptCount val="183"/>
                <c:pt idx="0">
                  <c:v>-0.1434988868153243</c:v>
                </c:pt>
                <c:pt idx="1">
                  <c:v>0.46449645622536129</c:v>
                </c:pt>
                <c:pt idx="2">
                  <c:v>6.9473132729424236E-2</c:v>
                </c:pt>
                <c:pt idx="3">
                  <c:v>-5.9988864697721689E-2</c:v>
                </c:pt>
                <c:pt idx="4">
                  <c:v>0.91765739751881936</c:v>
                </c:pt>
                <c:pt idx="5">
                  <c:v>6.8700414458627179E-2</c:v>
                </c:pt>
                <c:pt idx="6">
                  <c:v>3.6014792970014531E-2</c:v>
                </c:pt>
                <c:pt idx="7">
                  <c:v>-0.11193954561296782</c:v>
                </c:pt>
                <c:pt idx="8">
                  <c:v>0.29610726729076542</c:v>
                </c:pt>
                <c:pt idx="9">
                  <c:v>0.34441073893773155</c:v>
                </c:pt>
                <c:pt idx="10">
                  <c:v>-0.18675880077157769</c:v>
                </c:pt>
                <c:pt idx="11">
                  <c:v>5.2397531246170637E-2</c:v>
                </c:pt>
                <c:pt idx="12">
                  <c:v>4.1732880831797381E-2</c:v>
                </c:pt>
                <c:pt idx="13">
                  <c:v>0.34995241531477794</c:v>
                </c:pt>
                <c:pt idx="14">
                  <c:v>7.094367146791436E-2</c:v>
                </c:pt>
                <c:pt idx="15">
                  <c:v>0.28687191346003127</c:v>
                </c:pt>
                <c:pt idx="16">
                  <c:v>4.4368793103476856E-2</c:v>
                </c:pt>
                <c:pt idx="17">
                  <c:v>6.8341726210414455E-2</c:v>
                </c:pt>
                <c:pt idx="18">
                  <c:v>6.5493605883276462E-2</c:v>
                </c:pt>
                <c:pt idx="19">
                  <c:v>4.4222271990913775E-2</c:v>
                </c:pt>
                <c:pt idx="20">
                  <c:v>6.8014979248063323E-2</c:v>
                </c:pt>
                <c:pt idx="21">
                  <c:v>4.5468977217013151E-2</c:v>
                </c:pt>
                <c:pt idx="22">
                  <c:v>4.2388100609323187E-2</c:v>
                </c:pt>
                <c:pt idx="23">
                  <c:v>5.7560349081672735E-2</c:v>
                </c:pt>
                <c:pt idx="24">
                  <c:v>0.3255498547875797</c:v>
                </c:pt>
                <c:pt idx="25">
                  <c:v>1.6706343702953097E-2</c:v>
                </c:pt>
                <c:pt idx="26">
                  <c:v>7.0709927895304503E-2</c:v>
                </c:pt>
                <c:pt idx="27">
                  <c:v>7.8712246878351877E-2</c:v>
                </c:pt>
                <c:pt idx="28">
                  <c:v>7.2115738911579852E-2</c:v>
                </c:pt>
                <c:pt idx="29">
                  <c:v>0.35185681359356935</c:v>
                </c:pt>
                <c:pt idx="30">
                  <c:v>7.6423394569271608E-2</c:v>
                </c:pt>
                <c:pt idx="31">
                  <c:v>0.40126820995328516</c:v>
                </c:pt>
                <c:pt idx="32">
                  <c:v>7.2441479712218593E-2</c:v>
                </c:pt>
                <c:pt idx="33">
                  <c:v>-0.12838433530232951</c:v>
                </c:pt>
                <c:pt idx="34">
                  <c:v>-3.5470617228645418E-2</c:v>
                </c:pt>
                <c:pt idx="35">
                  <c:v>4.3891404628477959E-2</c:v>
                </c:pt>
                <c:pt idx="36">
                  <c:v>-7.0674015296085857E-2</c:v>
                </c:pt>
                <c:pt idx="37">
                  <c:v>4.4695589572044669E-2</c:v>
                </c:pt>
                <c:pt idx="38">
                  <c:v>7.3332809638929852E-2</c:v>
                </c:pt>
                <c:pt idx="39">
                  <c:v>4.5709850129010965E-2</c:v>
                </c:pt>
                <c:pt idx="40">
                  <c:v>4.0237247121244213E-2</c:v>
                </c:pt>
                <c:pt idx="41">
                  <c:v>7.7845338242823026E-2</c:v>
                </c:pt>
                <c:pt idx="42">
                  <c:v>-3.8419564010140905E-2</c:v>
                </c:pt>
                <c:pt idx="43">
                  <c:v>-3.3748249335377345E-2</c:v>
                </c:pt>
                <c:pt idx="44">
                  <c:v>7.0424918395697089E-2</c:v>
                </c:pt>
                <c:pt idx="45">
                  <c:v>5.8910940117390842E-2</c:v>
                </c:pt>
                <c:pt idx="46">
                  <c:v>4.3537168580144003E-2</c:v>
                </c:pt>
                <c:pt idx="47">
                  <c:v>1.636498534344355E-2</c:v>
                </c:pt>
                <c:pt idx="48">
                  <c:v>-4.4666397630757304E-2</c:v>
                </c:pt>
                <c:pt idx="49">
                  <c:v>7.4223732163744893E-2</c:v>
                </c:pt>
                <c:pt idx="50">
                  <c:v>-0.2214946396739369</c:v>
                </c:pt>
                <c:pt idx="51">
                  <c:v>7.6520926640343268E-2</c:v>
                </c:pt>
                <c:pt idx="52">
                  <c:v>0.29917091915638938</c:v>
                </c:pt>
                <c:pt idx="53">
                  <c:v>-0.19490246608850059</c:v>
                </c:pt>
                <c:pt idx="54">
                  <c:v>7.7325048238095606E-2</c:v>
                </c:pt>
                <c:pt idx="55">
                  <c:v>6.8998099317742589E-2</c:v>
                </c:pt>
                <c:pt idx="56">
                  <c:v>4.2503514048594981E-2</c:v>
                </c:pt>
                <c:pt idx="57">
                  <c:v>6.7658554461065723E-2</c:v>
                </c:pt>
                <c:pt idx="58">
                  <c:v>4.5165553169870476E-2</c:v>
                </c:pt>
                <c:pt idx="59">
                  <c:v>-0.14695401548153608</c:v>
                </c:pt>
                <c:pt idx="60">
                  <c:v>-8.9529412092265392E-2</c:v>
                </c:pt>
                <c:pt idx="61">
                  <c:v>0.4068392532589713</c:v>
                </c:pt>
                <c:pt idx="62">
                  <c:v>3.9759853685475965E-2</c:v>
                </c:pt>
                <c:pt idx="63">
                  <c:v>7.0661640122511971E-2</c:v>
                </c:pt>
                <c:pt idx="64">
                  <c:v>7.8408128847864633E-2</c:v>
                </c:pt>
                <c:pt idx="65">
                  <c:v>7.2795764505395599E-2</c:v>
                </c:pt>
                <c:pt idx="66">
                  <c:v>-0.34435691655323375</c:v>
                </c:pt>
                <c:pt idx="67">
                  <c:v>6.6973379656932508E-2</c:v>
                </c:pt>
                <c:pt idx="68">
                  <c:v>-1.1201441581118687E-2</c:v>
                </c:pt>
                <c:pt idx="69">
                  <c:v>4.1284051304089298E-2</c:v>
                </c:pt>
                <c:pt idx="70">
                  <c:v>8.3469456888579652E-2</c:v>
                </c:pt>
                <c:pt idx="71">
                  <c:v>4.0369698341713445E-2</c:v>
                </c:pt>
                <c:pt idx="72">
                  <c:v>6.6694621650696284E-2</c:v>
                </c:pt>
                <c:pt idx="73">
                  <c:v>0.5168303326529704</c:v>
                </c:pt>
                <c:pt idx="74">
                  <c:v>-6.4081285122800535E-2</c:v>
                </c:pt>
                <c:pt idx="75">
                  <c:v>3.9950853835910349E-2</c:v>
                </c:pt>
                <c:pt idx="76">
                  <c:v>-8.2270295396748572E-2</c:v>
                </c:pt>
                <c:pt idx="77">
                  <c:v>4.3654655748851745E-2</c:v>
                </c:pt>
                <c:pt idx="78">
                  <c:v>1.2447399677675497E-2</c:v>
                </c:pt>
                <c:pt idx="79">
                  <c:v>0.38817787428248396</c:v>
                </c:pt>
                <c:pt idx="80">
                  <c:v>0.34512249230246961</c:v>
                </c:pt>
                <c:pt idx="81">
                  <c:v>6.7179504323072958E-2</c:v>
                </c:pt>
                <c:pt idx="82">
                  <c:v>6.837776536820761E-2</c:v>
                </c:pt>
                <c:pt idx="83">
                  <c:v>7.5188361638051093E-2</c:v>
                </c:pt>
                <c:pt idx="84">
                  <c:v>-9.576590454880185E-2</c:v>
                </c:pt>
                <c:pt idx="85">
                  <c:v>7.5328869056530356E-2</c:v>
                </c:pt>
                <c:pt idx="86">
                  <c:v>6.6963393849419406E-2</c:v>
                </c:pt>
                <c:pt idx="87">
                  <c:v>-0.15072359512568179</c:v>
                </c:pt>
                <c:pt idx="88">
                  <c:v>2.8285204492387805E-2</c:v>
                </c:pt>
                <c:pt idx="89">
                  <c:v>4.4258973148334713E-2</c:v>
                </c:pt>
                <c:pt idx="90">
                  <c:v>2.7785766518361621E-2</c:v>
                </c:pt>
                <c:pt idx="91">
                  <c:v>4.0993791314118511E-2</c:v>
                </c:pt>
                <c:pt idx="92">
                  <c:v>4.527624512895656E-2</c:v>
                </c:pt>
                <c:pt idx="93">
                  <c:v>7.1123400063174413E-2</c:v>
                </c:pt>
                <c:pt idx="94">
                  <c:v>3.8268827400891547E-2</c:v>
                </c:pt>
                <c:pt idx="95">
                  <c:v>-3.7131928199015118E-2</c:v>
                </c:pt>
                <c:pt idx="96">
                  <c:v>6.8395002518334858E-2</c:v>
                </c:pt>
                <c:pt idx="97">
                  <c:v>-7.9874287594050131E-2</c:v>
                </c:pt>
                <c:pt idx="98">
                  <c:v>3.2869126545028715E-2</c:v>
                </c:pt>
                <c:pt idx="99">
                  <c:v>-3.9549123763785388E-2</c:v>
                </c:pt>
                <c:pt idx="100">
                  <c:v>2.8403036517740565E-2</c:v>
                </c:pt>
                <c:pt idx="101">
                  <c:v>4.5871965762676936E-2</c:v>
                </c:pt>
                <c:pt idx="102">
                  <c:v>7.3571758990410352E-2</c:v>
                </c:pt>
                <c:pt idx="103">
                  <c:v>4.1712544397559226E-2</c:v>
                </c:pt>
                <c:pt idx="104">
                  <c:v>6.9105294936085082E-2</c:v>
                </c:pt>
                <c:pt idx="105">
                  <c:v>-0.3148274798598657</c:v>
                </c:pt>
                <c:pt idx="106">
                  <c:v>7.1216708104582915E-2</c:v>
                </c:pt>
                <c:pt idx="107">
                  <c:v>6.6017132410810309E-2</c:v>
                </c:pt>
                <c:pt idx="108">
                  <c:v>0.35042776913017493</c:v>
                </c:pt>
                <c:pt idx="109">
                  <c:v>4.4811001752905977E-2</c:v>
                </c:pt>
                <c:pt idx="110">
                  <c:v>4.4063697754683107E-2</c:v>
                </c:pt>
                <c:pt idx="111">
                  <c:v>4.1614188827632681E-2</c:v>
                </c:pt>
                <c:pt idx="112">
                  <c:v>0.53249063777069039</c:v>
                </c:pt>
                <c:pt idx="113">
                  <c:v>7.0838060967302274E-2</c:v>
                </c:pt>
                <c:pt idx="114">
                  <c:v>4.8091015793450653E-2</c:v>
                </c:pt>
                <c:pt idx="115">
                  <c:v>4.1359803045627919E-2</c:v>
                </c:pt>
                <c:pt idx="116">
                  <c:v>6.5180239480318702E-2</c:v>
                </c:pt>
                <c:pt idx="117">
                  <c:v>7.1017696212057224E-2</c:v>
                </c:pt>
                <c:pt idx="118">
                  <c:v>1.1158720243972908E-2</c:v>
                </c:pt>
                <c:pt idx="119">
                  <c:v>6.6014718745369017E-2</c:v>
                </c:pt>
                <c:pt idx="120">
                  <c:v>4.354621856273222E-2</c:v>
                </c:pt>
                <c:pt idx="121">
                  <c:v>-0.23857271285100812</c:v>
                </c:pt>
                <c:pt idx="122">
                  <c:v>4.6375747042849857E-2</c:v>
                </c:pt>
                <c:pt idx="123">
                  <c:v>3.8141983033580296E-2</c:v>
                </c:pt>
                <c:pt idx="124">
                  <c:v>7.4277253533467258E-2</c:v>
                </c:pt>
                <c:pt idx="125">
                  <c:v>7.4693196620521318E-2</c:v>
                </c:pt>
                <c:pt idx="126">
                  <c:v>6.8422203532201742E-2</c:v>
                </c:pt>
                <c:pt idx="127">
                  <c:v>-2.999579164490318E-2</c:v>
                </c:pt>
                <c:pt idx="128">
                  <c:v>0.36556550783721442</c:v>
                </c:pt>
                <c:pt idx="129">
                  <c:v>4.1783259017301511E-2</c:v>
                </c:pt>
                <c:pt idx="130">
                  <c:v>0.36994705437843867</c:v>
                </c:pt>
                <c:pt idx="131">
                  <c:v>4.0571990052881146E-2</c:v>
                </c:pt>
                <c:pt idx="132">
                  <c:v>0.30679307464973804</c:v>
                </c:pt>
                <c:pt idx="133">
                  <c:v>4.1997574298288098E-2</c:v>
                </c:pt>
                <c:pt idx="134">
                  <c:v>-4.7745552094940136E-2</c:v>
                </c:pt>
                <c:pt idx="135">
                  <c:v>4.163191217053086E-2</c:v>
                </c:pt>
                <c:pt idx="136">
                  <c:v>7.3719038034332218E-2</c:v>
                </c:pt>
                <c:pt idx="137">
                  <c:v>7.2703763330462134E-2</c:v>
                </c:pt>
                <c:pt idx="138">
                  <c:v>0.26041440233523727</c:v>
                </c:pt>
                <c:pt idx="139">
                  <c:v>4.7767114031902702E-2</c:v>
                </c:pt>
                <c:pt idx="140">
                  <c:v>0.29362562254010638</c:v>
                </c:pt>
                <c:pt idx="141">
                  <c:v>4.3449128933156445E-2</c:v>
                </c:pt>
                <c:pt idx="142">
                  <c:v>4.5741099315666167E-2</c:v>
                </c:pt>
                <c:pt idx="143">
                  <c:v>6.8380787173383251E-2</c:v>
                </c:pt>
                <c:pt idx="144">
                  <c:v>1.3823695863242502E-2</c:v>
                </c:pt>
                <c:pt idx="145">
                  <c:v>0.41020149952587603</c:v>
                </c:pt>
                <c:pt idx="146">
                  <c:v>6.3378874704279831E-2</c:v>
                </c:pt>
                <c:pt idx="147">
                  <c:v>4.4193136157815838E-2</c:v>
                </c:pt>
                <c:pt idx="148">
                  <c:v>0.28607738307927755</c:v>
                </c:pt>
                <c:pt idx="149">
                  <c:v>4.4293247243143874E-2</c:v>
                </c:pt>
                <c:pt idx="150">
                  <c:v>0.51587280851616835</c:v>
                </c:pt>
                <c:pt idx="151">
                  <c:v>4.7897849413978344E-2</c:v>
                </c:pt>
                <c:pt idx="152">
                  <c:v>0.2834608371431071</c:v>
                </c:pt>
                <c:pt idx="153">
                  <c:v>5.125777236722584E-2</c:v>
                </c:pt>
                <c:pt idx="154">
                  <c:v>-6.2786587085590373E-2</c:v>
                </c:pt>
                <c:pt idx="155">
                  <c:v>0.44914049685476365</c:v>
                </c:pt>
                <c:pt idx="156">
                  <c:v>2.2149984706440362E-2</c:v>
                </c:pt>
                <c:pt idx="157">
                  <c:v>1.6085816162190403E-2</c:v>
                </c:pt>
                <c:pt idx="158">
                  <c:v>-0.42331489411283585</c:v>
                </c:pt>
                <c:pt idx="159">
                  <c:v>0.54544702182723781</c:v>
                </c:pt>
                <c:pt idx="160">
                  <c:v>4.1831699452888671E-2</c:v>
                </c:pt>
                <c:pt idx="161">
                  <c:v>4.7428419746178063E-2</c:v>
                </c:pt>
                <c:pt idx="162">
                  <c:v>7.3380685099552423E-2</c:v>
                </c:pt>
                <c:pt idx="163">
                  <c:v>7.2178734986775073E-2</c:v>
                </c:pt>
                <c:pt idx="164">
                  <c:v>0.59008536703208581</c:v>
                </c:pt>
                <c:pt idx="165">
                  <c:v>4.0412882059396527E-2</c:v>
                </c:pt>
                <c:pt idx="166">
                  <c:v>-8.1012845916124787E-2</c:v>
                </c:pt>
                <c:pt idx="167">
                  <c:v>4.8840178357256514E-2</c:v>
                </c:pt>
                <c:pt idx="168">
                  <c:v>7.9187701510480046E-2</c:v>
                </c:pt>
                <c:pt idx="169">
                  <c:v>4.3349389374544689E-2</c:v>
                </c:pt>
                <c:pt idx="170">
                  <c:v>4.4746261952338218E-2</c:v>
                </c:pt>
                <c:pt idx="171">
                  <c:v>0.2675009232193315</c:v>
                </c:pt>
                <c:pt idx="172">
                  <c:v>7.3522187331984012E-2</c:v>
                </c:pt>
                <c:pt idx="173">
                  <c:v>7.3146487742113298E-2</c:v>
                </c:pt>
                <c:pt idx="174">
                  <c:v>4.2736021615955577E-2</c:v>
                </c:pt>
                <c:pt idx="175">
                  <c:v>-0.14417965970914937</c:v>
                </c:pt>
                <c:pt idx="176">
                  <c:v>7.1136542340730857E-2</c:v>
                </c:pt>
                <c:pt idx="177">
                  <c:v>4.2283849218604397E-2</c:v>
                </c:pt>
                <c:pt idx="178">
                  <c:v>3.875950681536855E-2</c:v>
                </c:pt>
                <c:pt idx="179">
                  <c:v>0.27793455080580554</c:v>
                </c:pt>
                <c:pt idx="180">
                  <c:v>3.4493128957819419E-2</c:v>
                </c:pt>
                <c:pt idx="181">
                  <c:v>0.71959067459515236</c:v>
                </c:pt>
                <c:pt idx="182">
                  <c:v>-6.0592674917665401E-2</c:v>
                </c:pt>
              </c:numCache>
            </c:numRef>
          </c:yVal>
          <c:smooth val="0"/>
          <c:extLst>
            <c:ext xmlns:c16="http://schemas.microsoft.com/office/drawing/2014/chart" uri="{C3380CC4-5D6E-409C-BE32-E72D297353CC}">
              <c16:uniqueId val="{00000001-3DF5-42EB-9C23-9D4C79D14241}"/>
            </c:ext>
          </c:extLst>
        </c:ser>
        <c:dLbls>
          <c:showLegendKey val="0"/>
          <c:showVal val="0"/>
          <c:showCatName val="0"/>
          <c:showSerName val="0"/>
          <c:showPercent val="0"/>
          <c:showBubbleSize val="0"/>
        </c:dLbls>
        <c:axId val="1328543903"/>
        <c:axId val="1328545823"/>
      </c:scatterChart>
      <c:valAx>
        <c:axId val="13285439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年年化達成率</a:t>
                </a:r>
                <a:endParaRPr lang="zh-TW"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28545823"/>
        <c:crosses val="autoZero"/>
        <c:crossBetween val="midCat"/>
      </c:valAx>
      <c:valAx>
        <c:axId val="132854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116</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年目標</a:t>
                </a:r>
              </a:p>
              <a:p>
                <a:pPr>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vs.115</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a:t>
                </a:r>
              </a:p>
              <a:p>
                <a:pPr>
                  <a:defRPr/>
                </a:pP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業績成長</a:t>
                </a:r>
                <a:endParaRPr lang="zh-TW"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285439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年年化達成率</a:t>
            </a: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 v.s 116</a:t>
            </a:r>
            <a:r>
              <a:rPr lang="zh-TW" altLang="en-US"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年目標相對</a:t>
            </a:r>
            <a:r>
              <a:rPr lang="en-US"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en-US"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年目標成長率</a:t>
            </a:r>
            <a:endParaRPr lang="zh-TW" altLang="zh-TW" sz="1400" b="1" i="0" u="none" strike="noStrike" kern="1200" spc="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scatterChart>
        <c:scatterStyle val="lineMarker"/>
        <c:varyColors val="0"/>
        <c:ser>
          <c:idx val="0"/>
          <c:order val="0"/>
          <c:tx>
            <c:strRef>
              <c:f>SUMMARYPLOT!$A$1</c:f>
              <c:strCache>
                <c:ptCount val="1"/>
                <c:pt idx="0">
                  <c:v>115年
年化
達成率</c:v>
                </c:pt>
              </c:strCache>
            </c:strRef>
          </c:tx>
          <c:spPr>
            <a:ln w="28575" cap="rnd">
              <a:noFill/>
              <a:round/>
            </a:ln>
            <a:effectLst/>
          </c:spPr>
          <c:marker>
            <c:symbol val="circle"/>
            <c:size val="5"/>
            <c:spPr>
              <a:solidFill>
                <a:schemeClr val="accent1"/>
              </a:solidFill>
              <a:ln w="9525">
                <a:solidFill>
                  <a:schemeClr val="accent1"/>
                </a:solidFill>
              </a:ln>
              <a:effectLst/>
            </c:spPr>
          </c:marker>
          <c:xVal>
            <c:numRef>
              <c:f>SUMMARYPLOT!$A$2:$A$187</c:f>
              <c:numCache>
                <c:formatCode>0%</c:formatCode>
                <c:ptCount val="186"/>
                <c:pt idx="0">
                  <c:v>1.46</c:v>
                </c:pt>
                <c:pt idx="1">
                  <c:v>0.69</c:v>
                </c:pt>
                <c:pt idx="2">
                  <c:v>0.97</c:v>
                </c:pt>
                <c:pt idx="3">
                  <c:v>1.33</c:v>
                </c:pt>
                <c:pt idx="4">
                  <c:v>0.52</c:v>
                </c:pt>
                <c:pt idx="5">
                  <c:v>0.92</c:v>
                </c:pt>
                <c:pt idx="6">
                  <c:v>1.21</c:v>
                </c:pt>
                <c:pt idx="7">
                  <c:v>1.4</c:v>
                </c:pt>
                <c:pt idx="8">
                  <c:v>0.78</c:v>
                </c:pt>
                <c:pt idx="9">
                  <c:v>0.74</c:v>
                </c:pt>
                <c:pt idx="10">
                  <c:v>1.53</c:v>
                </c:pt>
                <c:pt idx="11">
                  <c:v>1.19</c:v>
                </c:pt>
                <c:pt idx="12">
                  <c:v>1.08</c:v>
                </c:pt>
                <c:pt idx="13">
                  <c:v>0.74</c:v>
                </c:pt>
                <c:pt idx="14">
                  <c:v>0.85</c:v>
                </c:pt>
                <c:pt idx="15">
                  <c:v>0.78</c:v>
                </c:pt>
                <c:pt idx="16">
                  <c:v>1.1100000000000001</c:v>
                </c:pt>
                <c:pt idx="17">
                  <c:v>0.91</c:v>
                </c:pt>
                <c:pt idx="18">
                  <c:v>0.99</c:v>
                </c:pt>
                <c:pt idx="19">
                  <c:v>1.1200000000000001</c:v>
                </c:pt>
                <c:pt idx="20">
                  <c:v>0.96</c:v>
                </c:pt>
                <c:pt idx="21">
                  <c:v>1.05</c:v>
                </c:pt>
                <c:pt idx="22">
                  <c:v>1.05</c:v>
                </c:pt>
                <c:pt idx="23">
                  <c:v>1.01</c:v>
                </c:pt>
                <c:pt idx="24">
                  <c:v>0.75</c:v>
                </c:pt>
                <c:pt idx="25">
                  <c:v>1.23</c:v>
                </c:pt>
                <c:pt idx="26">
                  <c:v>0.98</c:v>
                </c:pt>
                <c:pt idx="27">
                  <c:v>0.85</c:v>
                </c:pt>
                <c:pt idx="28">
                  <c:v>0.87</c:v>
                </c:pt>
                <c:pt idx="29">
                  <c:v>0.74</c:v>
                </c:pt>
                <c:pt idx="30">
                  <c:v>0.99</c:v>
                </c:pt>
                <c:pt idx="31">
                  <c:v>0.71</c:v>
                </c:pt>
                <c:pt idx="32">
                  <c:v>0.81</c:v>
                </c:pt>
                <c:pt idx="33">
                  <c:v>1.43</c:v>
                </c:pt>
                <c:pt idx="34">
                  <c:v>1.3</c:v>
                </c:pt>
                <c:pt idx="35">
                  <c:v>1.07</c:v>
                </c:pt>
                <c:pt idx="36">
                  <c:v>1.35</c:v>
                </c:pt>
                <c:pt idx="37">
                  <c:v>1.18</c:v>
                </c:pt>
                <c:pt idx="38">
                  <c:v>0.84</c:v>
                </c:pt>
                <c:pt idx="39">
                  <c:v>1.01</c:v>
                </c:pt>
                <c:pt idx="40">
                  <c:v>1.1399999999999999</c:v>
                </c:pt>
                <c:pt idx="41">
                  <c:v>0.8</c:v>
                </c:pt>
                <c:pt idx="42">
                  <c:v>1.3</c:v>
                </c:pt>
                <c:pt idx="43">
                  <c:v>1.3</c:v>
                </c:pt>
                <c:pt idx="44">
                  <c:v>0.96</c:v>
                </c:pt>
                <c:pt idx="45">
                  <c:v>1</c:v>
                </c:pt>
                <c:pt idx="46">
                  <c:v>1.1599999999999999</c:v>
                </c:pt>
                <c:pt idx="47">
                  <c:v>1.23</c:v>
                </c:pt>
                <c:pt idx="48">
                  <c:v>1.3</c:v>
                </c:pt>
                <c:pt idx="49">
                  <c:v>0.82</c:v>
                </c:pt>
                <c:pt idx="50">
                  <c:v>1.6</c:v>
                </c:pt>
                <c:pt idx="51">
                  <c:v>0.82</c:v>
                </c:pt>
                <c:pt idx="52">
                  <c:v>0.77</c:v>
                </c:pt>
                <c:pt idx="53">
                  <c:v>1.55</c:v>
                </c:pt>
                <c:pt idx="54">
                  <c:v>0.9</c:v>
                </c:pt>
                <c:pt idx="55">
                  <c:v>0.87</c:v>
                </c:pt>
                <c:pt idx="56">
                  <c:v>1.06</c:v>
                </c:pt>
                <c:pt idx="57">
                  <c:v>0.95</c:v>
                </c:pt>
                <c:pt idx="58">
                  <c:v>1.2</c:v>
                </c:pt>
                <c:pt idx="59">
                  <c:v>1.47</c:v>
                </c:pt>
                <c:pt idx="60">
                  <c:v>1.38</c:v>
                </c:pt>
                <c:pt idx="61">
                  <c:v>0.71</c:v>
                </c:pt>
                <c:pt idx="62">
                  <c:v>1.19</c:v>
                </c:pt>
                <c:pt idx="63">
                  <c:v>0.89</c:v>
                </c:pt>
                <c:pt idx="64">
                  <c:v>0.89</c:v>
                </c:pt>
                <c:pt idx="65">
                  <c:v>0.86</c:v>
                </c:pt>
                <c:pt idx="66">
                  <c:v>1.91</c:v>
                </c:pt>
                <c:pt idx="67">
                  <c:v>0.97</c:v>
                </c:pt>
                <c:pt idx="68">
                  <c:v>1.26</c:v>
                </c:pt>
                <c:pt idx="69">
                  <c:v>1.1499999999999999</c:v>
                </c:pt>
                <c:pt idx="70">
                  <c:v>0.82</c:v>
                </c:pt>
                <c:pt idx="71">
                  <c:v>1.1299999999999999</c:v>
                </c:pt>
                <c:pt idx="72">
                  <c:v>0.98</c:v>
                </c:pt>
                <c:pt idx="73">
                  <c:v>0.66</c:v>
                </c:pt>
                <c:pt idx="74">
                  <c:v>1.33</c:v>
                </c:pt>
                <c:pt idx="75">
                  <c:v>1.1299999999999999</c:v>
                </c:pt>
                <c:pt idx="76">
                  <c:v>1.36</c:v>
                </c:pt>
                <c:pt idx="77">
                  <c:v>1.0900000000000001</c:v>
                </c:pt>
                <c:pt idx="78">
                  <c:v>1.23</c:v>
                </c:pt>
                <c:pt idx="79">
                  <c:v>0.72</c:v>
                </c:pt>
                <c:pt idx="80">
                  <c:v>0.75</c:v>
                </c:pt>
                <c:pt idx="81">
                  <c:v>0.93</c:v>
                </c:pt>
                <c:pt idx="82">
                  <c:v>0.98</c:v>
                </c:pt>
                <c:pt idx="83">
                  <c:v>0.83</c:v>
                </c:pt>
                <c:pt idx="84">
                  <c:v>1.38</c:v>
                </c:pt>
                <c:pt idx="85">
                  <c:v>0.84</c:v>
                </c:pt>
                <c:pt idx="86">
                  <c:v>0.98</c:v>
                </c:pt>
                <c:pt idx="87">
                  <c:v>1.47</c:v>
                </c:pt>
                <c:pt idx="88">
                  <c:v>1.22</c:v>
                </c:pt>
                <c:pt idx="89">
                  <c:v>1.0900000000000001</c:v>
                </c:pt>
                <c:pt idx="90">
                  <c:v>1.21</c:v>
                </c:pt>
                <c:pt idx="91">
                  <c:v>1.1100000000000001</c:v>
                </c:pt>
                <c:pt idx="92">
                  <c:v>1.01</c:v>
                </c:pt>
                <c:pt idx="93">
                  <c:v>0.84</c:v>
                </c:pt>
                <c:pt idx="94">
                  <c:v>1.17</c:v>
                </c:pt>
                <c:pt idx="95">
                  <c:v>1.3</c:v>
                </c:pt>
                <c:pt idx="96">
                  <c:v>0.98</c:v>
                </c:pt>
                <c:pt idx="97">
                  <c:v>1.36</c:v>
                </c:pt>
                <c:pt idx="98">
                  <c:v>1.21</c:v>
                </c:pt>
                <c:pt idx="99">
                  <c:v>1.3</c:v>
                </c:pt>
                <c:pt idx="100">
                  <c:v>1.22</c:v>
                </c:pt>
                <c:pt idx="101">
                  <c:v>1.1599999999999999</c:v>
                </c:pt>
                <c:pt idx="102">
                  <c:v>0.9</c:v>
                </c:pt>
                <c:pt idx="103">
                  <c:v>1.1499999999999999</c:v>
                </c:pt>
                <c:pt idx="104">
                  <c:v>0.92</c:v>
                </c:pt>
                <c:pt idx="105">
                  <c:v>1.82</c:v>
                </c:pt>
                <c:pt idx="106">
                  <c:v>0.9</c:v>
                </c:pt>
                <c:pt idx="107">
                  <c:v>0.93</c:v>
                </c:pt>
                <c:pt idx="108">
                  <c:v>0.74</c:v>
                </c:pt>
                <c:pt idx="109">
                  <c:v>1.04</c:v>
                </c:pt>
                <c:pt idx="110">
                  <c:v>1.17</c:v>
                </c:pt>
                <c:pt idx="111">
                  <c:v>1.17</c:v>
                </c:pt>
                <c:pt idx="112">
                  <c:v>0.65</c:v>
                </c:pt>
                <c:pt idx="113">
                  <c:v>0.91</c:v>
                </c:pt>
                <c:pt idx="114">
                  <c:v>1.04</c:v>
                </c:pt>
                <c:pt idx="115">
                  <c:v>1.1299999999999999</c:v>
                </c:pt>
                <c:pt idx="116">
                  <c:v>0.95</c:v>
                </c:pt>
                <c:pt idx="117">
                  <c:v>0.9</c:v>
                </c:pt>
                <c:pt idx="118">
                  <c:v>1.23</c:v>
                </c:pt>
                <c:pt idx="119">
                  <c:v>0.96</c:v>
                </c:pt>
                <c:pt idx="120">
                  <c:v>1.1299999999999999</c:v>
                </c:pt>
                <c:pt idx="121">
                  <c:v>1.63</c:v>
                </c:pt>
                <c:pt idx="122">
                  <c:v>1.03</c:v>
                </c:pt>
                <c:pt idx="123">
                  <c:v>1.1399999999999999</c:v>
                </c:pt>
                <c:pt idx="124">
                  <c:v>0.8</c:v>
                </c:pt>
                <c:pt idx="125">
                  <c:v>0.87</c:v>
                </c:pt>
                <c:pt idx="126">
                  <c:v>0.97</c:v>
                </c:pt>
                <c:pt idx="127">
                  <c:v>1.28</c:v>
                </c:pt>
                <c:pt idx="128">
                  <c:v>0.73</c:v>
                </c:pt>
                <c:pt idx="129">
                  <c:v>1.1399999999999999</c:v>
                </c:pt>
                <c:pt idx="130">
                  <c:v>0.73</c:v>
                </c:pt>
                <c:pt idx="131">
                  <c:v>1.1599999999999999</c:v>
                </c:pt>
                <c:pt idx="132">
                  <c:v>0.76</c:v>
                </c:pt>
                <c:pt idx="133">
                  <c:v>1</c:v>
                </c:pt>
                <c:pt idx="134">
                  <c:v>1.31</c:v>
                </c:pt>
                <c:pt idx="135">
                  <c:v>1.18</c:v>
                </c:pt>
                <c:pt idx="136">
                  <c:v>0.87</c:v>
                </c:pt>
                <c:pt idx="137">
                  <c:v>0.89</c:v>
                </c:pt>
                <c:pt idx="138">
                  <c:v>0.79</c:v>
                </c:pt>
                <c:pt idx="139">
                  <c:v>1.01</c:v>
                </c:pt>
                <c:pt idx="140">
                  <c:v>0.77</c:v>
                </c:pt>
                <c:pt idx="141">
                  <c:v>1.06</c:v>
                </c:pt>
                <c:pt idx="142">
                  <c:v>1.02</c:v>
                </c:pt>
                <c:pt idx="143">
                  <c:v>0.94</c:v>
                </c:pt>
                <c:pt idx="144">
                  <c:v>1.24</c:v>
                </c:pt>
                <c:pt idx="145">
                  <c:v>0.71</c:v>
                </c:pt>
                <c:pt idx="146">
                  <c:v>0.99</c:v>
                </c:pt>
                <c:pt idx="147">
                  <c:v>1.2</c:v>
                </c:pt>
                <c:pt idx="148">
                  <c:v>0.77</c:v>
                </c:pt>
                <c:pt idx="149">
                  <c:v>1.0900000000000001</c:v>
                </c:pt>
                <c:pt idx="150">
                  <c:v>0.66</c:v>
                </c:pt>
                <c:pt idx="151">
                  <c:v>1.02</c:v>
                </c:pt>
                <c:pt idx="152">
                  <c:v>0.78</c:v>
                </c:pt>
                <c:pt idx="153">
                  <c:v>1.01</c:v>
                </c:pt>
                <c:pt idx="154">
                  <c:v>1.34</c:v>
                </c:pt>
                <c:pt idx="155">
                  <c:v>0.69</c:v>
                </c:pt>
                <c:pt idx="156">
                  <c:v>1.22</c:v>
                </c:pt>
                <c:pt idx="157">
                  <c:v>1.23</c:v>
                </c:pt>
                <c:pt idx="158">
                  <c:v>2.14</c:v>
                </c:pt>
                <c:pt idx="159">
                  <c:v>0.64</c:v>
                </c:pt>
                <c:pt idx="160">
                  <c:v>1.1200000000000001</c:v>
                </c:pt>
                <c:pt idx="161">
                  <c:v>1.05</c:v>
                </c:pt>
                <c:pt idx="162">
                  <c:v>0.8</c:v>
                </c:pt>
                <c:pt idx="163">
                  <c:v>0.86</c:v>
                </c:pt>
                <c:pt idx="164">
                  <c:v>0.63</c:v>
                </c:pt>
                <c:pt idx="165">
                  <c:v>1.18</c:v>
                </c:pt>
                <c:pt idx="166">
                  <c:v>1.36</c:v>
                </c:pt>
                <c:pt idx="167">
                  <c:v>1.01</c:v>
                </c:pt>
                <c:pt idx="168">
                  <c:v>0.89</c:v>
                </c:pt>
                <c:pt idx="169">
                  <c:v>1.0900000000000001</c:v>
                </c:pt>
                <c:pt idx="170">
                  <c:v>1.05</c:v>
                </c:pt>
                <c:pt idx="171">
                  <c:v>0.79</c:v>
                </c:pt>
                <c:pt idx="172">
                  <c:v>0.97</c:v>
                </c:pt>
                <c:pt idx="173">
                  <c:v>0.9</c:v>
                </c:pt>
                <c:pt idx="174">
                  <c:v>1.1399999999999999</c:v>
                </c:pt>
                <c:pt idx="175">
                  <c:v>1.46</c:v>
                </c:pt>
                <c:pt idx="176">
                  <c:v>0.83</c:v>
                </c:pt>
                <c:pt idx="177">
                  <c:v>1.1100000000000001</c:v>
                </c:pt>
                <c:pt idx="178">
                  <c:v>1.1499999999999999</c:v>
                </c:pt>
                <c:pt idx="179">
                  <c:v>0.78</c:v>
                </c:pt>
                <c:pt idx="180">
                  <c:v>1.2</c:v>
                </c:pt>
                <c:pt idx="181">
                  <c:v>0.57999999999999996</c:v>
                </c:pt>
                <c:pt idx="182">
                  <c:v>1.36</c:v>
                </c:pt>
              </c:numCache>
            </c:numRef>
          </c:xVal>
          <c:yVal>
            <c:numRef>
              <c:f>SUMMARYPLOT!$C$2:$C$187</c:f>
              <c:numCache>
                <c:formatCode>0.0%</c:formatCode>
                <c:ptCount val="186"/>
                <c:pt idx="0">
                  <c:v>0.2519738108992875</c:v>
                </c:pt>
                <c:pt idx="1">
                  <c:v>6.9386622259228758E-3</c:v>
                </c:pt>
                <c:pt idx="2">
                  <c:v>4.0705563093622832E-2</c:v>
                </c:pt>
                <c:pt idx="3">
                  <c:v>0.24933897408778427</c:v>
                </c:pt>
                <c:pt idx="4">
                  <c:v>1.2280701754385781E-3</c:v>
                </c:pt>
                <c:pt idx="5">
                  <c:v>-1.6609623515200345E-2</c:v>
                </c:pt>
                <c:pt idx="6">
                  <c:v>0.25099500381065298</c:v>
                </c:pt>
                <c:pt idx="7">
                  <c:v>0.24583817266744101</c:v>
                </c:pt>
                <c:pt idx="8">
                  <c:v>5.0026329647183676E-3</c:v>
                </c:pt>
                <c:pt idx="9">
                  <c:v>-4.3719522448293358E-3</c:v>
                </c:pt>
                <c:pt idx="10">
                  <c:v>0.24722413284858002</c:v>
                </c:pt>
                <c:pt idx="11">
                  <c:v>0.25547552550345443</c:v>
                </c:pt>
                <c:pt idx="12">
                  <c:v>0.12482191780821927</c:v>
                </c:pt>
                <c:pt idx="13">
                  <c:v>-4.3144774688398391E-3</c:v>
                </c:pt>
                <c:pt idx="14">
                  <c:v>-8.493242115801769E-2</c:v>
                </c:pt>
                <c:pt idx="15">
                  <c:v>1.5971251746855764E-3</c:v>
                </c:pt>
                <c:pt idx="16">
                  <c:v>0.15890555117074445</c:v>
                </c:pt>
                <c:pt idx="17">
                  <c:v>-2.8102090686940029E-2</c:v>
                </c:pt>
                <c:pt idx="18">
                  <c:v>5.2589799563405482E-2</c:v>
                </c:pt>
                <c:pt idx="19">
                  <c:v>0.17054436157185804</c:v>
                </c:pt>
                <c:pt idx="20">
                  <c:v>2.3005923680947893E-2</c:v>
                </c:pt>
                <c:pt idx="21">
                  <c:v>9.4400396432110956E-2</c:v>
                </c:pt>
                <c:pt idx="22">
                  <c:v>9.5902075572112722E-2</c:v>
                </c:pt>
                <c:pt idx="23">
                  <c:v>7.245354034344853E-2</c:v>
                </c:pt>
                <c:pt idx="24">
                  <c:v>-7.8162008526764248E-3</c:v>
                </c:pt>
                <c:pt idx="25">
                  <c:v>0.2507829977628635</c:v>
                </c:pt>
                <c:pt idx="26">
                  <c:v>4.4609125254286619E-2</c:v>
                </c:pt>
                <c:pt idx="27">
                  <c:v>-8.4021164021163997E-2</c:v>
                </c:pt>
                <c:pt idx="28">
                  <c:v>-6.5688562854284815E-2</c:v>
                </c:pt>
                <c:pt idx="29">
                  <c:v>6.1168529846022945E-3</c:v>
                </c:pt>
                <c:pt idx="30">
                  <c:v>6.4935064935064846E-2</c:v>
                </c:pt>
                <c:pt idx="31">
                  <c:v>-3.3438237608182098E-3</c:v>
                </c:pt>
                <c:pt idx="32">
                  <c:v>-0.12620334959778456</c:v>
                </c:pt>
                <c:pt idx="33">
                  <c:v>0.24618485459257133</c:v>
                </c:pt>
                <c:pt idx="34">
                  <c:v>0.24978759558198815</c:v>
                </c:pt>
                <c:pt idx="35">
                  <c:v>0.12147716229348893</c:v>
                </c:pt>
                <c:pt idx="36">
                  <c:v>0.25680325304973417</c:v>
                </c:pt>
                <c:pt idx="37">
                  <c:v>0.22835595776772255</c:v>
                </c:pt>
                <c:pt idx="38">
                  <c:v>-9.3312245820153628E-2</c:v>
                </c:pt>
                <c:pt idx="39">
                  <c:v>5.8443655150145268E-2</c:v>
                </c:pt>
                <c:pt idx="40">
                  <c:v>0.1861534737351731</c:v>
                </c:pt>
                <c:pt idx="41">
                  <c:v>-0.14153525348625051</c:v>
                </c:pt>
                <c:pt idx="42">
                  <c:v>0.24793858402047197</c:v>
                </c:pt>
                <c:pt idx="43">
                  <c:v>0.25352480417754575</c:v>
                </c:pt>
                <c:pt idx="44">
                  <c:v>2.7488709994109461E-2</c:v>
                </c:pt>
                <c:pt idx="45">
                  <c:v>6.2366737739872002E-2</c:v>
                </c:pt>
                <c:pt idx="46">
                  <c:v>0.21125907990314774</c:v>
                </c:pt>
                <c:pt idx="47">
                  <c:v>0.24585890860169846</c:v>
                </c:pt>
                <c:pt idx="48">
                  <c:v>0.24518629657414359</c:v>
                </c:pt>
                <c:pt idx="49">
                  <c:v>-0.12205484743144068</c:v>
                </c:pt>
                <c:pt idx="50">
                  <c:v>0.24638202247191021</c:v>
                </c:pt>
                <c:pt idx="51">
                  <c:v>-0.1168628808864266</c:v>
                </c:pt>
                <c:pt idx="52">
                  <c:v>-5.1777218024069427E-3</c:v>
                </c:pt>
                <c:pt idx="53">
                  <c:v>0.24786624576172112</c:v>
                </c:pt>
                <c:pt idx="54">
                  <c:v>-3.3112582781456901E-2</c:v>
                </c:pt>
                <c:pt idx="55">
                  <c:v>-6.7605075337034082E-2</c:v>
                </c:pt>
                <c:pt idx="56">
                  <c:v>0.10325739833936565</c:v>
                </c:pt>
                <c:pt idx="57">
                  <c:v>1.637162252096358E-2</c:v>
                </c:pt>
                <c:pt idx="58">
                  <c:v>0.24984443061605477</c:v>
                </c:pt>
                <c:pt idx="59">
                  <c:v>0.24971419238935155</c:v>
                </c:pt>
                <c:pt idx="60">
                  <c:v>0.25969601677148857</c:v>
                </c:pt>
                <c:pt idx="61">
                  <c:v>-1.5625000000000222E-3</c:v>
                </c:pt>
                <c:pt idx="62">
                  <c:v>0.23259584207514772</c:v>
                </c:pt>
                <c:pt idx="63">
                  <c:v>-4.4880785413744739E-2</c:v>
                </c:pt>
                <c:pt idx="64">
                  <c:v>-3.7316957959376507E-2</c:v>
                </c:pt>
                <c:pt idx="65">
                  <c:v>-7.2380952380952435E-2</c:v>
                </c:pt>
                <c:pt idx="66">
                  <c:v>0.25261475886112716</c:v>
                </c:pt>
                <c:pt idx="67">
                  <c:v>3.9375161373612189E-2</c:v>
                </c:pt>
                <c:pt idx="68">
                  <c:v>0.24686595949855361</c:v>
                </c:pt>
                <c:pt idx="69">
                  <c:v>0.19330428800733768</c:v>
                </c:pt>
                <c:pt idx="70">
                  <c:v>-0.11600928074245942</c:v>
                </c:pt>
                <c:pt idx="71">
                  <c:v>0.18051675977653625</c:v>
                </c:pt>
                <c:pt idx="72">
                  <c:v>4.5786653677545086E-2</c:v>
                </c:pt>
                <c:pt idx="73">
                  <c:v>-5.443940375891132E-3</c:v>
                </c:pt>
                <c:pt idx="74">
                  <c:v>0.24821085704311407</c:v>
                </c:pt>
                <c:pt idx="75">
                  <c:v>0.17217391304347829</c:v>
                </c:pt>
                <c:pt idx="76">
                  <c:v>0.25025227043390519</c:v>
                </c:pt>
                <c:pt idx="77">
                  <c:v>0.14215880565464389</c:v>
                </c:pt>
                <c:pt idx="78">
                  <c:v>0.24654705047115022</c:v>
                </c:pt>
                <c:pt idx="79">
                  <c:v>5.3380782918148739E-3</c:v>
                </c:pt>
                <c:pt idx="80">
                  <c:v>2.6503567787972138E-3</c:v>
                </c:pt>
                <c:pt idx="81">
                  <c:v>-3.5925612848689559E-3</c:v>
                </c:pt>
                <c:pt idx="82">
                  <c:v>4.8043034687442088E-2</c:v>
                </c:pt>
                <c:pt idx="83">
                  <c:v>-0.10259469132120491</c:v>
                </c:pt>
                <c:pt idx="84">
                  <c:v>0.25172168131085249</c:v>
                </c:pt>
                <c:pt idx="85">
                  <c:v>-9.2801387684301795E-2</c:v>
                </c:pt>
                <c:pt idx="86">
                  <c:v>4.5095394102909969E-2</c:v>
                </c:pt>
                <c:pt idx="87">
                  <c:v>0.24934920044626252</c:v>
                </c:pt>
                <c:pt idx="88">
                  <c:v>0.25116931711880253</c:v>
                </c:pt>
                <c:pt idx="89">
                  <c:v>0.14075630252100835</c:v>
                </c:pt>
                <c:pt idx="90">
                  <c:v>0.24760940488243888</c:v>
                </c:pt>
                <c:pt idx="91">
                  <c:v>0.1575378195096504</c:v>
                </c:pt>
                <c:pt idx="92">
                  <c:v>5.7410468319559316E-2</c:v>
                </c:pt>
                <c:pt idx="93">
                  <c:v>-9.7524154589372025E-2</c:v>
                </c:pt>
                <c:pt idx="94">
                  <c:v>0.21794280442804426</c:v>
                </c:pt>
                <c:pt idx="95">
                  <c:v>0.25148698884758369</c:v>
                </c:pt>
                <c:pt idx="96">
                  <c:v>4.3574468085106455E-2</c:v>
                </c:pt>
                <c:pt idx="97">
                  <c:v>0.25209100033456</c:v>
                </c:pt>
                <c:pt idx="98">
                  <c:v>0.24828247323853647</c:v>
                </c:pt>
                <c:pt idx="99">
                  <c:v>0.2453333333333334</c:v>
                </c:pt>
                <c:pt idx="100">
                  <c:v>0.2510928961748633</c:v>
                </c:pt>
                <c:pt idx="101">
                  <c:v>0.20927936821322812</c:v>
                </c:pt>
                <c:pt idx="102">
                  <c:v>-2.9358995269939681E-2</c:v>
                </c:pt>
                <c:pt idx="103">
                  <c:v>0.19620498257389962</c:v>
                </c:pt>
                <c:pt idx="104">
                  <c:v>-1.1256720430107503E-2</c:v>
                </c:pt>
                <c:pt idx="105">
                  <c:v>0.24404194470924701</c:v>
                </c:pt>
                <c:pt idx="106">
                  <c:v>-3.6160420775805391E-2</c:v>
                </c:pt>
                <c:pt idx="107">
                  <c:v>-1.182675403548028E-2</c:v>
                </c:pt>
                <c:pt idx="108">
                  <c:v>-3.3993201359727721E-3</c:v>
                </c:pt>
                <c:pt idx="109">
                  <c:v>8.2864180154820444E-2</c:v>
                </c:pt>
                <c:pt idx="110">
                  <c:v>0.22305682560418028</c:v>
                </c:pt>
                <c:pt idx="111">
                  <c:v>0.21769662921348321</c:v>
                </c:pt>
                <c:pt idx="112">
                  <c:v>-8.058017727639033E-3</c:v>
                </c:pt>
                <c:pt idx="113">
                  <c:v>-2.8615452344265879E-2</c:v>
                </c:pt>
                <c:pt idx="114">
                  <c:v>8.6032814472023489E-2</c:v>
                </c:pt>
                <c:pt idx="115">
                  <c:v>0.17398613154023956</c:v>
                </c:pt>
                <c:pt idx="116">
                  <c:v>1.3481598110608228E-2</c:v>
                </c:pt>
                <c:pt idx="117">
                  <c:v>-3.527881645260933E-2</c:v>
                </c:pt>
                <c:pt idx="118">
                  <c:v>0.24655754741491287</c:v>
                </c:pt>
                <c:pt idx="119">
                  <c:v>1.8776077885952702E-2</c:v>
                </c:pt>
                <c:pt idx="120">
                  <c:v>0.1796649335644136</c:v>
                </c:pt>
                <c:pt idx="121">
                  <c:v>0.24337525949444383</c:v>
                </c:pt>
                <c:pt idx="122">
                  <c:v>7.8392621870882806E-2</c:v>
                </c:pt>
                <c:pt idx="123">
                  <c:v>0.18747125379449914</c:v>
                </c:pt>
                <c:pt idx="124">
                  <c:v>-0.13840872869927667</c:v>
                </c:pt>
                <c:pt idx="125">
                  <c:v>-6.6986437313926617E-2</c:v>
                </c:pt>
                <c:pt idx="126">
                  <c:v>3.6312849162011274E-2</c:v>
                </c:pt>
                <c:pt idx="127">
                  <c:v>0.24620857517318862</c:v>
                </c:pt>
                <c:pt idx="128">
                  <c:v>-6.6254416961131213E-4</c:v>
                </c:pt>
                <c:pt idx="129">
                  <c:v>0.19253177966101687</c:v>
                </c:pt>
                <c:pt idx="130">
                  <c:v>-6.5789473684210176E-3</c:v>
                </c:pt>
                <c:pt idx="131">
                  <c:v>0.20497687031424472</c:v>
                </c:pt>
                <c:pt idx="132">
                  <c:v>-2.9525742756966178E-3</c:v>
                </c:pt>
                <c:pt idx="133">
                  <c:v>4.6580124359114183E-2</c:v>
                </c:pt>
                <c:pt idx="134">
                  <c:v>0.25199118793424846</c:v>
                </c:pt>
                <c:pt idx="135">
                  <c:v>0.22775341759092083</c:v>
                </c:pt>
                <c:pt idx="136">
                  <c:v>-7.0491566959780871E-2</c:v>
                </c:pt>
                <c:pt idx="137">
                  <c:v>-4.3898156277436318E-2</c:v>
                </c:pt>
                <c:pt idx="138">
                  <c:v>1.7869108778199028E-3</c:v>
                </c:pt>
                <c:pt idx="139">
                  <c:v>6.2571756601607298E-2</c:v>
                </c:pt>
                <c:pt idx="140">
                  <c:v>-2.3379383634430928E-3</c:v>
                </c:pt>
                <c:pt idx="141">
                  <c:v>0.10548691377706931</c:v>
                </c:pt>
                <c:pt idx="142">
                  <c:v>6.9583627381792468E-2</c:v>
                </c:pt>
                <c:pt idx="143">
                  <c:v>2.4742268041237914E-3</c:v>
                </c:pt>
                <c:pt idx="144">
                  <c:v>0.25213882163034707</c:v>
                </c:pt>
                <c:pt idx="145">
                  <c:v>-2.2305705564686917E-3</c:v>
                </c:pt>
                <c:pt idx="146">
                  <c:v>5.6726308813783932E-2</c:v>
                </c:pt>
                <c:pt idx="147">
                  <c:v>0.24923592625455981</c:v>
                </c:pt>
                <c:pt idx="148">
                  <c:v>-5.8369814467374992E-3</c:v>
                </c:pt>
                <c:pt idx="149">
                  <c:v>0.14111874386653578</c:v>
                </c:pt>
                <c:pt idx="150">
                  <c:v>-5.8414464534075616E-3</c:v>
                </c:pt>
                <c:pt idx="151">
                  <c:v>6.7803718719418482E-2</c:v>
                </c:pt>
                <c:pt idx="152">
                  <c:v>6.211180124222615E-4</c:v>
                </c:pt>
                <c:pt idx="153">
                  <c:v>5.8005003126954335E-2</c:v>
                </c:pt>
                <c:pt idx="154">
                  <c:v>0.25160771704180074</c:v>
                </c:pt>
                <c:pt idx="155">
                  <c:v>2.1516944593866771E-3</c:v>
                </c:pt>
                <c:pt idx="156">
                  <c:v>0.24741695367181427</c:v>
                </c:pt>
                <c:pt idx="157">
                  <c:v>0.25262706412181002</c:v>
                </c:pt>
                <c:pt idx="158">
                  <c:v>0.23687673636496553</c:v>
                </c:pt>
                <c:pt idx="159">
                  <c:v>-7.5804138496209372E-3</c:v>
                </c:pt>
                <c:pt idx="160">
                  <c:v>0.16438653637350709</c:v>
                </c:pt>
                <c:pt idx="161">
                  <c:v>9.8963474827245879E-2</c:v>
                </c:pt>
                <c:pt idx="162">
                  <c:v>-0.1394397230091281</c:v>
                </c:pt>
                <c:pt idx="163">
                  <c:v>-7.9536476165393721E-2</c:v>
                </c:pt>
                <c:pt idx="164">
                  <c:v>-6.0105184072126727E-3</c:v>
                </c:pt>
                <c:pt idx="165">
                  <c:v>0.22325502788575302</c:v>
                </c:pt>
                <c:pt idx="166">
                  <c:v>0.24992679355783309</c:v>
                </c:pt>
                <c:pt idx="167">
                  <c:v>5.4131054131054235E-2</c:v>
                </c:pt>
                <c:pt idx="168">
                  <c:v>-4.159212880143115E-2</c:v>
                </c:pt>
                <c:pt idx="169">
                  <c:v>0.13527643445301263</c:v>
                </c:pt>
                <c:pt idx="170">
                  <c:v>0.10047048110487178</c:v>
                </c:pt>
                <c:pt idx="171">
                  <c:v>9.1124476034254442E-4</c:v>
                </c:pt>
                <c:pt idx="172">
                  <c:v>4.510155316606923E-2</c:v>
                </c:pt>
                <c:pt idx="173">
                  <c:v>-2.8915105250983064E-2</c:v>
                </c:pt>
                <c:pt idx="174">
                  <c:v>0.1837274681660328</c:v>
                </c:pt>
                <c:pt idx="175">
                  <c:v>0.25175973721257616</c:v>
                </c:pt>
                <c:pt idx="176">
                  <c:v>-0.11060845962451937</c:v>
                </c:pt>
                <c:pt idx="177">
                  <c:v>0.1595779220779221</c:v>
                </c:pt>
                <c:pt idx="178">
                  <c:v>0.19966759002770074</c:v>
                </c:pt>
                <c:pt idx="179">
                  <c:v>-6.2163282221301408E-3</c:v>
                </c:pt>
                <c:pt idx="180">
                  <c:v>0.24447131997235649</c:v>
                </c:pt>
                <c:pt idx="181">
                  <c:v>5.7742782152230276E-3</c:v>
                </c:pt>
                <c:pt idx="182">
                  <c:v>0.27389277389277389</c:v>
                </c:pt>
              </c:numCache>
            </c:numRef>
          </c:yVal>
          <c:smooth val="0"/>
          <c:extLst>
            <c:ext xmlns:c16="http://schemas.microsoft.com/office/drawing/2014/chart" uri="{C3380CC4-5D6E-409C-BE32-E72D297353CC}">
              <c16:uniqueId val="{00000000-AED8-4227-A5CE-9309C6139D8D}"/>
            </c:ext>
          </c:extLst>
        </c:ser>
        <c:dLbls>
          <c:showLegendKey val="0"/>
          <c:showVal val="0"/>
          <c:showCatName val="0"/>
          <c:showSerName val="0"/>
          <c:showPercent val="0"/>
          <c:showBubbleSize val="0"/>
        </c:dLbls>
        <c:axId val="101926752"/>
        <c:axId val="101928192"/>
      </c:scatterChart>
      <c:valAx>
        <c:axId val="101926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115</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年年化達成率</a:t>
                </a:r>
                <a:endParaRPr lang="zh-TW"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01928192"/>
        <c:crosses val="autoZero"/>
        <c:crossBetween val="midCat"/>
      </c:valAx>
      <c:valAx>
        <c:axId val="10192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116</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年目標</a:t>
                </a:r>
              </a:p>
              <a:p>
                <a:pPr>
                  <a:defRPr/>
                </a:pPr>
                <a:r>
                  <a:rPr lang="en-US"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vs.115</a:t>
                </a: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年</a:t>
                </a:r>
              </a:p>
              <a:p>
                <a:pPr>
                  <a:defRPr/>
                </a:pPr>
                <a:r>
                  <a:rPr lang="zh-TW" altLang="en-US"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rPr>
                  <a:t>目標成長</a:t>
                </a:r>
                <a:endParaRPr lang="zh-TW" altLang="zh-TW" sz="1000" b="1" i="0" u="none" strike="noStrike" kern="1200" baseline="0">
                  <a:solidFill>
                    <a:sysClr val="windowText" lastClr="000000">
                      <a:lumMod val="65000"/>
                      <a:lumOff val="35000"/>
                    </a:sysClr>
                  </a:solidFill>
                  <a:latin typeface="微軟正黑體" panose="020B0604030504040204" pitchFamily="34" charset="-120"/>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019267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376236</xdr:colOff>
      <xdr:row>0</xdr:row>
      <xdr:rowOff>452437</xdr:rowOff>
    </xdr:from>
    <xdr:to>
      <xdr:col>16</xdr:col>
      <xdr:colOff>285749</xdr:colOff>
      <xdr:row>21</xdr:row>
      <xdr:rowOff>152400</xdr:rowOff>
    </xdr:to>
    <xdr:graphicFrame macro="">
      <xdr:nvGraphicFramePr>
        <xdr:cNvPr id="2" name="圖表 1">
          <a:extLst>
            <a:ext uri="{FF2B5EF4-FFF2-40B4-BE49-F238E27FC236}">
              <a16:creationId xmlns:a16="http://schemas.microsoft.com/office/drawing/2014/main" id="{3B8E2235-DCBA-5D86-05F1-1640985A9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500343</xdr:colOff>
      <xdr:row>0</xdr:row>
      <xdr:rowOff>435066</xdr:rowOff>
    </xdr:from>
    <xdr:to>
      <xdr:col>28</xdr:col>
      <xdr:colOff>462243</xdr:colOff>
      <xdr:row>19</xdr:row>
      <xdr:rowOff>144554</xdr:rowOff>
    </xdr:to>
    <xdr:graphicFrame macro="">
      <xdr:nvGraphicFramePr>
        <xdr:cNvPr id="3" name="圖表 2">
          <a:extLst>
            <a:ext uri="{FF2B5EF4-FFF2-40B4-BE49-F238E27FC236}">
              <a16:creationId xmlns:a16="http://schemas.microsoft.com/office/drawing/2014/main" id="{00E18FD0-043A-BF2E-019F-C4D78EBCE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TCSVY\Survey%20JE%20(FactorComp)\GENERAL\JEManual\TCSVY\FILE\WYATT\BENEFIT\HIGHTECH\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ATSON\H\WYATT\BENEFIT\CHEMICAL\CHQ'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9902&#20316;&#26989;\&#26376;&#22577;&#38651;&#23376;\&#24050;&#26356;&#27491;&#24179;&#22343;&#39192;&#38989;9902\Documents%20and%20Settings\user\Local%20Settings\Temporary%20Internet%20Files\Content.IE5\8JHRAMV1\ALCO&#36039;&#26009;-&#28023;&#22806;95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5.150.93\Public2\Hua%20Nan%20Report\HuaNanWorksheet-SRS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TCSVY\Survey%20JE%20(FactorComp)\GENERAL\JEManual\TCSVY\FILE\WYATT\BENEFIT\CHEMICAL\CHQ'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5.182.40\02.&#36001;&#21209;&#35215;&#21123;&#31185;&#23560;&#21312;\Documents%20and%20Settings\yangsenlin\My%20Documents\&#26680;&#23450;&#30408;&#39192;&#30446;&#27161;\96&#30408;&#39192;\96&#26680;&#23450;\&#20225;&#37329;AO&#20154;&#25976;&#34920;-95-11-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5.182.40\02.&#36001;&#21209;&#35215;&#21123;&#31185;&#23560;&#21312;\Documents%20and%20Settings\yangsenlin\My%20Documents\&#26680;&#23450;&#30408;&#39192;&#30446;&#27161;\95&#30408;&#39192;\95&#24180;&#19979;&#26399;&#26032;&#21488;&#24163;+&#22806;&#24163;&#30446;&#27161;&#21021;&#312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5.182.40\02.&#36001;&#21209;&#35215;&#21123;&#31185;&#23560;&#21312;\Documents%20and%20Settings\yangsenlin\My%20Documents\&#26680;&#23450;&#30408;&#39192;&#30446;&#27161;\96&#30408;&#39192;\96&#26680;&#23450;\96&#24180;&#24230;&#26032;&#21488;&#24163;+&#22806;&#24163;&#30446;&#27161;&#21021;&#3129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5.182.40\02.&#36001;&#21209;&#35215;&#21123;&#31185;&#23560;&#21312;\Documents%20and%20Settings\yangsenlin\My%20Documents\&#26680;&#23450;&#30408;&#39192;&#30446;&#27161;\96&#30408;&#39192;\96&#26680;&#23450;\&#22806;&#24163;&#25918;&#27454;95&#24180;&#19979;&#26399;&#24179;&#22343;&#39192;&#389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hb9616\1.&#40613;&#32943;&#37675;\&#25552;&#20379;&#36039;&#26009;\&#21508;&#20998;&#34892;&#36001;&#31649;&#26989;&#21209;&#27171;&#35980;.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10.5.140.15\&#26989;&#32318;&#36039;&#26009;\2.&#38928;&#31639;&amp;&#30446;&#27161;&amp;&#25944;&#29518;\116&#30446;&#27161;\&#35430;&#31639;\116&#24180;&#30446;&#27161;&#35430;&#31639;_ver2.xlsx" TargetMode="External"/><Relationship Id="rId1" Type="http://schemas.openxmlformats.org/officeDocument/2006/relationships/externalLinkPath" Target="116&#24180;&#30446;&#27161;&#35430;&#31639;_ver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Qs Form"/>
      <sheetName val="PH Car"/>
      <sheetName val="DB_TO_QS"/>
      <sheetName val="QS_TO_DB"/>
      <sheetName val="CP Qs Form"/>
      <sheetName val="PH Qs Form"/>
      <sheetName val="HT Qs Form"/>
      <sheetName val="CH DB"/>
      <sheetName val="PH DB"/>
      <sheetName val="CP DB"/>
      <sheetName val="HT Car"/>
      <sheetName val="CH Car"/>
    </sheetNames>
    <sheetDataSet>
      <sheetData sheetId="0">
        <row r="2">
          <cell r="G2">
            <v>100</v>
          </cell>
          <cell r="H2">
            <v>100</v>
          </cell>
          <cell r="I2">
            <v>100</v>
          </cell>
        </row>
        <row r="3">
          <cell r="G3" t="e">
            <v>#REF!</v>
          </cell>
          <cell r="H3" t="e">
            <v>#REF!</v>
          </cell>
          <cell r="I3" t="e">
            <v>#REF!</v>
          </cell>
        </row>
        <row r="4">
          <cell r="G4" t="e">
            <v>#REF!</v>
          </cell>
          <cell r="H4" t="e">
            <v>#REF!</v>
          </cell>
          <cell r="I4" t="e">
            <v>#REF!</v>
          </cell>
        </row>
        <row r="5">
          <cell r="G5" t="e">
            <v>#REF!</v>
          </cell>
          <cell r="H5" t="e">
            <v>#REF!</v>
          </cell>
          <cell r="I5" t="e">
            <v>#REF!</v>
          </cell>
        </row>
        <row r="6">
          <cell r="G6" t="e">
            <v>#VALUE!</v>
          </cell>
          <cell r="H6" t="e">
            <v>#VALUE!</v>
          </cell>
          <cell r="I6" t="e">
            <v>#VALUE!</v>
          </cell>
        </row>
        <row r="7">
          <cell r="G7" t="str">
            <v>Management</v>
          </cell>
          <cell r="H7" t="str">
            <v>Non-management staff</v>
          </cell>
          <cell r="I7" t="str">
            <v>Production operator</v>
          </cell>
        </row>
        <row r="8">
          <cell r="G8" t="str">
            <v>Y</v>
          </cell>
          <cell r="H8">
            <v>35013.543985416669</v>
          </cell>
          <cell r="I8">
            <v>35013.543985416669</v>
          </cell>
        </row>
        <row r="9">
          <cell r="G9">
            <v>1</v>
          </cell>
          <cell r="H9">
            <v>2</v>
          </cell>
          <cell r="I9">
            <v>3</v>
          </cell>
        </row>
        <row r="10">
          <cell r="G10" t="str">
            <v>N</v>
          </cell>
        </row>
        <row r="11">
          <cell r="G11">
            <v>109</v>
          </cell>
          <cell r="I11" t="str">
            <v>September 1995</v>
          </cell>
        </row>
        <row r="12">
          <cell r="G12">
            <v>100</v>
          </cell>
          <cell r="I12" t="str">
            <v xml:space="preserve"> Non-LSL Company</v>
          </cell>
        </row>
        <row r="14">
          <cell r="G14" t="e">
            <v>#REF!</v>
          </cell>
        </row>
        <row r="15">
          <cell r="G15" t="e">
            <v>#REF!</v>
          </cell>
          <cell r="H15" t="str">
            <v>Title :</v>
          </cell>
          <cell r="I15" t="e">
            <v>#REF!</v>
          </cell>
        </row>
        <row r="16">
          <cell r="G16" t="e">
            <v>#REF!</v>
          </cell>
          <cell r="H16" t="str">
            <v>Title :</v>
          </cell>
          <cell r="I16" t="e">
            <v>#REF!</v>
          </cell>
        </row>
        <row r="18">
          <cell r="G18" t="e">
            <v>#REF!</v>
          </cell>
        </row>
        <row r="19">
          <cell r="G19" t="e">
            <v>#REF!</v>
          </cell>
        </row>
        <row r="22">
          <cell r="G22" t="e">
            <v>#REF!</v>
          </cell>
        </row>
        <row r="23">
          <cell r="G23">
            <v>0</v>
          </cell>
        </row>
        <row r="24">
          <cell r="G24">
            <v>0</v>
          </cell>
        </row>
        <row r="25">
          <cell r="G25">
            <v>0</v>
          </cell>
        </row>
        <row r="26">
          <cell r="G26">
            <v>0</v>
          </cell>
        </row>
        <row r="27">
          <cell r="G27">
            <v>0</v>
          </cell>
        </row>
        <row r="29">
          <cell r="I29" t="str">
            <v>The Wyatt Company Taiwan Branch</v>
          </cell>
        </row>
        <row r="30">
          <cell r="I30" t="str">
            <v>5/F, 205 Tun Hwa N. Road,</v>
          </cell>
        </row>
        <row r="31">
          <cell r="I31" t="str">
            <v>Tel : (02) 718-3314</v>
          </cell>
        </row>
        <row r="32">
          <cell r="I32" t="str">
            <v>Fax : (02) 719-7438</v>
          </cell>
        </row>
        <row r="33">
          <cell r="G33" t="str">
            <v xml:space="preserve"> Office staff : Management and non-management staff</v>
          </cell>
          <cell r="I33" t="str">
            <v>Production operator</v>
          </cell>
        </row>
        <row r="34">
          <cell r="I34">
            <v>3</v>
          </cell>
        </row>
        <row r="35">
          <cell r="G35">
            <v>8</v>
          </cell>
          <cell r="I35" t="str">
            <v xml:space="preserve"> Not Applicable</v>
          </cell>
        </row>
        <row r="36">
          <cell r="G36">
            <v>0</v>
          </cell>
          <cell r="I36" t="str">
            <v/>
          </cell>
        </row>
        <row r="37">
          <cell r="G37">
            <v>40</v>
          </cell>
          <cell r="I37" t="str">
            <v/>
          </cell>
        </row>
        <row r="38">
          <cell r="G38">
            <v>1</v>
          </cell>
          <cell r="I38" t="str">
            <v/>
          </cell>
        </row>
        <row r="39">
          <cell r="G39" t="str">
            <v>A</v>
          </cell>
          <cell r="I39" t="str">
            <v/>
          </cell>
        </row>
        <row r="44">
          <cell r="I44">
            <v>3</v>
          </cell>
        </row>
        <row r="45">
          <cell r="G45" t="str">
            <v>N</v>
          </cell>
          <cell r="I45" t="str">
            <v xml:space="preserve"> Not Applicable</v>
          </cell>
        </row>
        <row r="46">
          <cell r="G46" t="str">
            <v/>
          </cell>
          <cell r="I46" t="str">
            <v/>
          </cell>
        </row>
        <row r="47">
          <cell r="G47" t="str">
            <v/>
          </cell>
          <cell r="I47" t="str">
            <v/>
          </cell>
        </row>
        <row r="49">
          <cell r="G49" t="str">
            <v>Management</v>
          </cell>
          <cell r="H49" t="str">
            <v>Non-management staff</v>
          </cell>
          <cell r="I49" t="str">
            <v>Production operator</v>
          </cell>
        </row>
        <row r="50">
          <cell r="H50">
            <v>1</v>
          </cell>
          <cell r="I50">
            <v>3</v>
          </cell>
        </row>
        <row r="51">
          <cell r="G51" t="str">
            <v>Y</v>
          </cell>
          <cell r="H51" t="str">
            <v>Y</v>
          </cell>
          <cell r="I51" t="str">
            <v xml:space="preserve"> Not Applicable</v>
          </cell>
        </row>
        <row r="54">
          <cell r="G54">
            <v>30</v>
          </cell>
          <cell r="H54">
            <v>30</v>
          </cell>
          <cell r="I54" t="str">
            <v/>
          </cell>
        </row>
        <row r="55">
          <cell r="G55">
            <v>0</v>
          </cell>
          <cell r="H55">
            <v>0</v>
          </cell>
          <cell r="I55" t="str">
            <v/>
          </cell>
        </row>
        <row r="56">
          <cell r="G56">
            <v>14</v>
          </cell>
          <cell r="H56">
            <v>14</v>
          </cell>
          <cell r="I56" t="str">
            <v/>
          </cell>
        </row>
        <row r="57">
          <cell r="G57">
            <v>0</v>
          </cell>
          <cell r="H57">
            <v>0</v>
          </cell>
          <cell r="I57" t="str">
            <v/>
          </cell>
        </row>
        <row r="58">
          <cell r="G58">
            <v>8</v>
          </cell>
          <cell r="H58">
            <v>8</v>
          </cell>
          <cell r="I58" t="str">
            <v/>
          </cell>
        </row>
        <row r="59">
          <cell r="G59">
            <v>56</v>
          </cell>
          <cell r="H59">
            <v>56</v>
          </cell>
          <cell r="I59" t="str">
            <v/>
          </cell>
        </row>
        <row r="60">
          <cell r="G60">
            <v>0</v>
          </cell>
          <cell r="H60">
            <v>0</v>
          </cell>
          <cell r="I60" t="str">
            <v/>
          </cell>
        </row>
        <row r="61">
          <cell r="G61">
            <v>28</v>
          </cell>
          <cell r="H61">
            <v>28</v>
          </cell>
          <cell r="I61" t="str">
            <v/>
          </cell>
        </row>
        <row r="63">
          <cell r="G63">
            <v>8</v>
          </cell>
          <cell r="H63">
            <v>8</v>
          </cell>
          <cell r="I63" t="str">
            <v/>
          </cell>
        </row>
        <row r="64">
          <cell r="G64">
            <v>8</v>
          </cell>
          <cell r="H64">
            <v>8</v>
          </cell>
          <cell r="I64" t="str">
            <v/>
          </cell>
        </row>
        <row r="65">
          <cell r="G65">
            <v>6</v>
          </cell>
          <cell r="H65">
            <v>6</v>
          </cell>
          <cell r="I65" t="str">
            <v/>
          </cell>
        </row>
        <row r="66">
          <cell r="G66">
            <v>6</v>
          </cell>
          <cell r="H66">
            <v>6</v>
          </cell>
          <cell r="I66" t="str">
            <v/>
          </cell>
        </row>
        <row r="67">
          <cell r="G67">
            <v>6</v>
          </cell>
          <cell r="H67">
            <v>6</v>
          </cell>
          <cell r="I67" t="str">
            <v/>
          </cell>
        </row>
        <row r="68">
          <cell r="G68">
            <v>3</v>
          </cell>
          <cell r="H68">
            <v>3</v>
          </cell>
          <cell r="I68" t="str">
            <v/>
          </cell>
        </row>
        <row r="70">
          <cell r="G70" t="str">
            <v>Management</v>
          </cell>
          <cell r="H70" t="str">
            <v>Non-management staff</v>
          </cell>
          <cell r="I70" t="str">
            <v>Production operator</v>
          </cell>
        </row>
        <row r="71">
          <cell r="H71">
            <v>1</v>
          </cell>
          <cell r="I71">
            <v>3</v>
          </cell>
        </row>
        <row r="72">
          <cell r="G72" t="str">
            <v>Y</v>
          </cell>
          <cell r="H72" t="str">
            <v>Y</v>
          </cell>
          <cell r="I72" t="str">
            <v xml:space="preserve"> Not Applicable</v>
          </cell>
        </row>
        <row r="74">
          <cell r="G74">
            <v>0</v>
          </cell>
          <cell r="H74">
            <v>0</v>
          </cell>
          <cell r="I74" t="str">
            <v/>
          </cell>
        </row>
        <row r="75">
          <cell r="G75">
            <v>7</v>
          </cell>
          <cell r="H75">
            <v>7</v>
          </cell>
          <cell r="I75" t="str">
            <v/>
          </cell>
        </row>
        <row r="76">
          <cell r="G76">
            <v>7</v>
          </cell>
          <cell r="H76">
            <v>7</v>
          </cell>
          <cell r="I76" t="str">
            <v/>
          </cell>
        </row>
        <row r="77">
          <cell r="G77">
            <v>10</v>
          </cell>
          <cell r="H77">
            <v>10</v>
          </cell>
          <cell r="I77" t="str">
            <v/>
          </cell>
        </row>
        <row r="78">
          <cell r="G78">
            <v>10</v>
          </cell>
          <cell r="H78">
            <v>10</v>
          </cell>
          <cell r="I78" t="str">
            <v/>
          </cell>
        </row>
        <row r="79">
          <cell r="G79">
            <v>14</v>
          </cell>
          <cell r="H79">
            <v>14</v>
          </cell>
          <cell r="I79" t="str">
            <v/>
          </cell>
        </row>
        <row r="80">
          <cell r="G80">
            <v>15</v>
          </cell>
          <cell r="H80">
            <v>15</v>
          </cell>
          <cell r="I80" t="str">
            <v/>
          </cell>
        </row>
        <row r="81">
          <cell r="G81">
            <v>20</v>
          </cell>
          <cell r="H81">
            <v>20</v>
          </cell>
          <cell r="I81" t="str">
            <v/>
          </cell>
        </row>
        <row r="82">
          <cell r="G82">
            <v>25</v>
          </cell>
          <cell r="H82">
            <v>25</v>
          </cell>
          <cell r="I82" t="str">
            <v/>
          </cell>
        </row>
        <row r="83">
          <cell r="G83">
            <v>30</v>
          </cell>
          <cell r="H83">
            <v>30</v>
          </cell>
          <cell r="I83" t="str">
            <v/>
          </cell>
        </row>
        <row r="84">
          <cell r="H84">
            <v>1</v>
          </cell>
          <cell r="I84">
            <v>3</v>
          </cell>
        </row>
        <row r="85">
          <cell r="G85" t="str">
            <v>F</v>
          </cell>
          <cell r="H85" t="str">
            <v>F</v>
          </cell>
          <cell r="I85" t="str">
            <v xml:space="preserve"> Not Applicable</v>
          </cell>
        </row>
        <row r="87">
          <cell r="G87" t="str">
            <v/>
          </cell>
          <cell r="H87" t="str">
            <v/>
          </cell>
          <cell r="I87" t="str">
            <v/>
          </cell>
        </row>
        <row r="88">
          <cell r="G88" t="str">
            <v/>
          </cell>
          <cell r="H88" t="str">
            <v/>
          </cell>
          <cell r="I88" t="str">
            <v/>
          </cell>
        </row>
        <row r="96">
          <cell r="G96" t="str">
            <v>Management</v>
          </cell>
          <cell r="H96" t="str">
            <v>Non-management staff</v>
          </cell>
          <cell r="I96" t="str">
            <v>Production operator</v>
          </cell>
        </row>
        <row r="97">
          <cell r="H97">
            <v>1</v>
          </cell>
          <cell r="I97">
            <v>3</v>
          </cell>
        </row>
        <row r="98">
          <cell r="G98" t="str">
            <v>Y</v>
          </cell>
          <cell r="H98" t="str">
            <v>Y</v>
          </cell>
          <cell r="I98" t="str">
            <v xml:space="preserve"> Not Applicable</v>
          </cell>
        </row>
        <row r="99">
          <cell r="G99">
            <v>24</v>
          </cell>
          <cell r="H99">
            <v>24</v>
          </cell>
          <cell r="I99" t="str">
            <v/>
          </cell>
        </row>
        <row r="100">
          <cell r="G100" t="str">
            <v>A</v>
          </cell>
          <cell r="H100" t="str">
            <v>A</v>
          </cell>
          <cell r="I100" t="str">
            <v/>
          </cell>
        </row>
        <row r="101">
          <cell r="G101" t="str">
            <v>Y</v>
          </cell>
          <cell r="H101" t="str">
            <v>Y</v>
          </cell>
          <cell r="I101" t="str">
            <v/>
          </cell>
        </row>
        <row r="102">
          <cell r="G102">
            <v>24</v>
          </cell>
          <cell r="H102">
            <v>24</v>
          </cell>
          <cell r="I102" t="str">
            <v/>
          </cell>
        </row>
        <row r="103">
          <cell r="G103" t="str">
            <v>A</v>
          </cell>
          <cell r="H103" t="str">
            <v>A</v>
          </cell>
          <cell r="I103" t="str">
            <v/>
          </cell>
        </row>
        <row r="104">
          <cell r="G104" t="str">
            <v>Y</v>
          </cell>
          <cell r="H104" t="str">
            <v>Y</v>
          </cell>
          <cell r="I104" t="str">
            <v/>
          </cell>
        </row>
        <row r="105">
          <cell r="G105">
            <v>1500</v>
          </cell>
          <cell r="H105">
            <v>1500</v>
          </cell>
          <cell r="I105" t="str">
            <v/>
          </cell>
        </row>
        <row r="106">
          <cell r="G106">
            <v>30000</v>
          </cell>
          <cell r="H106">
            <v>30000</v>
          </cell>
          <cell r="I106" t="str">
            <v/>
          </cell>
        </row>
        <row r="107">
          <cell r="G107">
            <v>45000</v>
          </cell>
          <cell r="H107">
            <v>45000</v>
          </cell>
          <cell r="I107" t="str">
            <v/>
          </cell>
        </row>
        <row r="108">
          <cell r="G108">
            <v>600</v>
          </cell>
          <cell r="H108">
            <v>600</v>
          </cell>
          <cell r="I108" t="str">
            <v/>
          </cell>
        </row>
        <row r="109">
          <cell r="G109">
            <v>45</v>
          </cell>
          <cell r="H109">
            <v>45</v>
          </cell>
          <cell r="I109" t="str">
            <v/>
          </cell>
        </row>
        <row r="110">
          <cell r="G110" t="str">
            <v>C</v>
          </cell>
          <cell r="H110" t="str">
            <v>C</v>
          </cell>
          <cell r="I110" t="str">
            <v/>
          </cell>
        </row>
        <row r="111">
          <cell r="G111">
            <v>1</v>
          </cell>
          <cell r="H111">
            <v>1</v>
          </cell>
          <cell r="I111" t="str">
            <v/>
          </cell>
        </row>
        <row r="112">
          <cell r="G112">
            <v>1</v>
          </cell>
          <cell r="H112">
            <v>1</v>
          </cell>
          <cell r="I112" t="str">
            <v/>
          </cell>
        </row>
        <row r="113">
          <cell r="G113">
            <v>1</v>
          </cell>
          <cell r="H113">
            <v>1</v>
          </cell>
          <cell r="I113" t="str">
            <v/>
          </cell>
        </row>
        <row r="114">
          <cell r="G114">
            <v>0</v>
          </cell>
          <cell r="H114">
            <v>0</v>
          </cell>
          <cell r="I114" t="str">
            <v/>
          </cell>
        </row>
        <row r="115">
          <cell r="G115" t="str">
            <v>N</v>
          </cell>
          <cell r="H115" t="str">
            <v>N</v>
          </cell>
          <cell r="I115" t="str">
            <v/>
          </cell>
        </row>
        <row r="116">
          <cell r="G116" t="str">
            <v/>
          </cell>
          <cell r="H116" t="str">
            <v/>
          </cell>
          <cell r="I116" t="str">
            <v/>
          </cell>
        </row>
        <row r="117">
          <cell r="G117" t="str">
            <v/>
          </cell>
          <cell r="H117" t="str">
            <v/>
          </cell>
          <cell r="I117" t="str">
            <v/>
          </cell>
        </row>
        <row r="118">
          <cell r="G118" t="str">
            <v/>
          </cell>
          <cell r="H118" t="str">
            <v/>
          </cell>
          <cell r="I118" t="str">
            <v/>
          </cell>
        </row>
        <row r="119">
          <cell r="G119" t="str">
            <v>N</v>
          </cell>
          <cell r="H119" t="str">
            <v>N</v>
          </cell>
          <cell r="I119" t="str">
            <v/>
          </cell>
        </row>
        <row r="120">
          <cell r="G120" t="str">
            <v/>
          </cell>
          <cell r="H120" t="str">
            <v/>
          </cell>
          <cell r="I120" t="str">
            <v/>
          </cell>
        </row>
        <row r="121">
          <cell r="G121" t="str">
            <v/>
          </cell>
          <cell r="H121" t="str">
            <v/>
          </cell>
          <cell r="I121" t="str">
            <v/>
          </cell>
        </row>
        <row r="122">
          <cell r="G122" t="str">
            <v/>
          </cell>
          <cell r="H122" t="str">
            <v/>
          </cell>
          <cell r="I122" t="str">
            <v/>
          </cell>
        </row>
        <row r="123">
          <cell r="G123" t="str">
            <v>A  :  Employee only</v>
          </cell>
          <cell r="H123" t="str">
            <v>C  :  Employee + Spouse + Children</v>
          </cell>
        </row>
        <row r="124">
          <cell r="G124" t="str">
            <v>B  :  Employee + Spouse</v>
          </cell>
          <cell r="H124" t="str">
            <v>D  :  Employee + Spouse + Children + Parents</v>
          </cell>
        </row>
        <row r="125">
          <cell r="G125" t="str">
            <v>Management</v>
          </cell>
          <cell r="H125" t="str">
            <v>Non-management staff</v>
          </cell>
          <cell r="I125" t="str">
            <v>Production operator</v>
          </cell>
        </row>
        <row r="126">
          <cell r="H126">
            <v>1</v>
          </cell>
        </row>
        <row r="127">
          <cell r="G127" t="str">
            <v>N</v>
          </cell>
          <cell r="H127" t="str">
            <v>N</v>
          </cell>
        </row>
        <row r="128">
          <cell r="G128" t="str">
            <v/>
          </cell>
        </row>
        <row r="130">
          <cell r="G130" t="str">
            <v/>
          </cell>
          <cell r="H130" t="str">
            <v/>
          </cell>
        </row>
        <row r="132">
          <cell r="H132">
            <v>1</v>
          </cell>
          <cell r="I132">
            <v>3</v>
          </cell>
        </row>
        <row r="133">
          <cell r="G133" t="str">
            <v>N</v>
          </cell>
          <cell r="H133" t="str">
            <v>N</v>
          </cell>
          <cell r="I133" t="str">
            <v xml:space="preserve"> Not Applicable</v>
          </cell>
        </row>
        <row r="134">
          <cell r="G134" t="str">
            <v/>
          </cell>
        </row>
        <row r="137">
          <cell r="G137" t="str">
            <v/>
          </cell>
          <cell r="H137" t="str">
            <v/>
          </cell>
          <cell r="I137" t="str">
            <v/>
          </cell>
        </row>
        <row r="138">
          <cell r="G138" t="str">
            <v/>
          </cell>
          <cell r="H138" t="str">
            <v/>
          </cell>
          <cell r="I138" t="str">
            <v/>
          </cell>
        </row>
        <row r="139">
          <cell r="G139" t="str">
            <v/>
          </cell>
          <cell r="H139" t="str">
            <v/>
          </cell>
          <cell r="I139" t="str">
            <v/>
          </cell>
        </row>
        <row r="147">
          <cell r="G147" t="str">
            <v/>
          </cell>
          <cell r="H147" t="str">
            <v/>
          </cell>
          <cell r="I147" t="str">
            <v/>
          </cell>
        </row>
        <row r="148">
          <cell r="G148" t="str">
            <v/>
          </cell>
          <cell r="H148" t="str">
            <v/>
          </cell>
          <cell r="I148" t="str">
            <v/>
          </cell>
        </row>
        <row r="149">
          <cell r="G149" t="str">
            <v/>
          </cell>
          <cell r="H149" t="str">
            <v/>
          </cell>
          <cell r="I149" t="str">
            <v/>
          </cell>
        </row>
        <row r="155">
          <cell r="G155" t="str">
            <v xml:space="preserve"> Office staff : Management and non-management staff</v>
          </cell>
          <cell r="I155" t="str">
            <v>Production operator</v>
          </cell>
        </row>
        <row r="156">
          <cell r="G156" t="str">
            <v>Y</v>
          </cell>
        </row>
        <row r="157">
          <cell r="I157">
            <v>3</v>
          </cell>
        </row>
        <row r="158">
          <cell r="G158" t="str">
            <v>Y</v>
          </cell>
          <cell r="I158" t="str">
            <v>Not Applicable</v>
          </cell>
        </row>
        <row r="159">
          <cell r="G159" t="str">
            <v>Defined Benefit</v>
          </cell>
          <cell r="I159" t="str">
            <v/>
          </cell>
        </row>
        <row r="160">
          <cell r="G160" t="str">
            <v>Age 55 + YOS 15, or YOS 25</v>
          </cell>
          <cell r="I160" t="str">
            <v/>
          </cell>
        </row>
        <row r="161">
          <cell r="G161" t="str">
            <v>Age 60</v>
          </cell>
          <cell r="I161" t="str">
            <v/>
          </cell>
        </row>
        <row r="162">
          <cell r="G162" t="str">
            <v>First 15 years 2 units of P.S. per year, 1 unit of P.S. thereafter.</v>
          </cell>
        </row>
        <row r="163">
          <cell r="G163">
            <v>15</v>
          </cell>
          <cell r="I163" t="str">
            <v/>
          </cell>
        </row>
        <row r="164">
          <cell r="G164">
            <v>2</v>
          </cell>
          <cell r="I164" t="str">
            <v/>
          </cell>
        </row>
        <row r="165">
          <cell r="G165">
            <v>15</v>
          </cell>
          <cell r="I165" t="str">
            <v/>
          </cell>
        </row>
        <row r="166">
          <cell r="G166">
            <v>1</v>
          </cell>
          <cell r="I166" t="str">
            <v/>
          </cell>
        </row>
        <row r="167">
          <cell r="G167">
            <v>6</v>
          </cell>
          <cell r="I167" t="str">
            <v/>
          </cell>
        </row>
        <row r="168">
          <cell r="G168">
            <v>30</v>
          </cell>
          <cell r="I168" t="str">
            <v/>
          </cell>
        </row>
        <row r="169">
          <cell r="G169">
            <v>45</v>
          </cell>
          <cell r="I169" t="str">
            <v/>
          </cell>
        </row>
        <row r="170">
          <cell r="G170" t="str">
            <v/>
          </cell>
        </row>
        <row r="171">
          <cell r="G171" t="str">
            <v/>
          </cell>
          <cell r="I171" t="str">
            <v/>
          </cell>
        </row>
        <row r="172">
          <cell r="G172" t="str">
            <v/>
          </cell>
          <cell r="I172" t="str">
            <v/>
          </cell>
        </row>
        <row r="173">
          <cell r="G173" t="str">
            <v/>
          </cell>
          <cell r="I173" t="str">
            <v/>
          </cell>
        </row>
        <row r="174">
          <cell r="G174" t="str">
            <v/>
          </cell>
          <cell r="I174" t="str">
            <v/>
          </cell>
        </row>
        <row r="175">
          <cell r="G175" t="str">
            <v/>
          </cell>
          <cell r="I175" t="str">
            <v/>
          </cell>
        </row>
        <row r="176">
          <cell r="G176" t="str">
            <v/>
          </cell>
          <cell r="I176" t="str">
            <v/>
          </cell>
        </row>
        <row r="181">
          <cell r="G181" t="str">
            <v xml:space="preserve"> Office staff : Management and non-management staff</v>
          </cell>
          <cell r="I181" t="str">
            <v>Production operator</v>
          </cell>
        </row>
        <row r="182">
          <cell r="G182" t="str">
            <v>N</v>
          </cell>
        </row>
        <row r="183">
          <cell r="I183">
            <v>3</v>
          </cell>
        </row>
        <row r="184">
          <cell r="G184" t="str">
            <v/>
          </cell>
          <cell r="I184" t="str">
            <v xml:space="preserve"> Not Applicable</v>
          </cell>
        </row>
        <row r="185">
          <cell r="G185" t="str">
            <v/>
          </cell>
          <cell r="I185" t="str">
            <v/>
          </cell>
        </row>
        <row r="187">
          <cell r="G187" t="str">
            <v/>
          </cell>
          <cell r="I187" t="str">
            <v/>
          </cell>
        </row>
        <row r="188">
          <cell r="G188" t="str">
            <v/>
          </cell>
          <cell r="I188" t="str">
            <v/>
          </cell>
        </row>
        <row r="189">
          <cell r="G189" t="str">
            <v/>
          </cell>
          <cell r="I189" t="str">
            <v/>
          </cell>
        </row>
        <row r="190">
          <cell r="G190" t="str">
            <v/>
          </cell>
          <cell r="I190" t="str">
            <v/>
          </cell>
        </row>
        <row r="191">
          <cell r="G191" t="str">
            <v/>
          </cell>
          <cell r="I191" t="str">
            <v/>
          </cell>
        </row>
        <row r="192">
          <cell r="G192" t="str">
            <v/>
          </cell>
          <cell r="I192" t="str">
            <v/>
          </cell>
        </row>
        <row r="193">
          <cell r="G193" t="str">
            <v/>
          </cell>
          <cell r="I193" t="str">
            <v/>
          </cell>
        </row>
        <row r="194">
          <cell r="G194" t="str">
            <v/>
          </cell>
          <cell r="I194" t="str">
            <v/>
          </cell>
        </row>
        <row r="195">
          <cell r="G195" t="str">
            <v/>
          </cell>
          <cell r="I195" t="str">
            <v/>
          </cell>
        </row>
        <row r="196">
          <cell r="G196" t="str">
            <v/>
          </cell>
          <cell r="I196" t="str">
            <v/>
          </cell>
        </row>
        <row r="197">
          <cell r="G197" t="str">
            <v/>
          </cell>
          <cell r="I197" t="str">
            <v/>
          </cell>
        </row>
        <row r="198">
          <cell r="G198" t="str">
            <v/>
          </cell>
          <cell r="I198" t="str">
            <v/>
          </cell>
        </row>
        <row r="199">
          <cell r="G199" t="str">
            <v/>
          </cell>
          <cell r="I199" t="str">
            <v/>
          </cell>
        </row>
        <row r="200">
          <cell r="G200" t="str">
            <v/>
          </cell>
          <cell r="I200" t="str">
            <v/>
          </cell>
        </row>
        <row r="201">
          <cell r="G201" t="str">
            <v/>
          </cell>
          <cell r="I201" t="str">
            <v/>
          </cell>
        </row>
        <row r="202">
          <cell r="G202" t="str">
            <v/>
          </cell>
          <cell r="I202" t="str">
            <v/>
          </cell>
        </row>
        <row r="203">
          <cell r="G203" t="str">
            <v/>
          </cell>
          <cell r="I203" t="str">
            <v/>
          </cell>
        </row>
        <row r="204">
          <cell r="G204" t="str">
            <v/>
          </cell>
          <cell r="I204" t="str">
            <v/>
          </cell>
        </row>
        <row r="205">
          <cell r="G205" t="str">
            <v/>
          </cell>
          <cell r="I205" t="str">
            <v/>
          </cell>
        </row>
        <row r="206">
          <cell r="G206" t="str">
            <v/>
          </cell>
          <cell r="I206" t="str">
            <v/>
          </cell>
        </row>
        <row r="207">
          <cell r="G207" t="str">
            <v/>
          </cell>
          <cell r="I207" t="str">
            <v/>
          </cell>
        </row>
        <row r="208">
          <cell r="G208" t="str">
            <v/>
          </cell>
          <cell r="I208" t="str">
            <v/>
          </cell>
        </row>
        <row r="209">
          <cell r="G209" t="str">
            <v/>
          </cell>
          <cell r="I209" t="str">
            <v/>
          </cell>
        </row>
        <row r="210">
          <cell r="G210" t="str">
            <v/>
          </cell>
          <cell r="I210" t="str">
            <v/>
          </cell>
        </row>
        <row r="211">
          <cell r="G211" t="str">
            <v/>
          </cell>
          <cell r="I211" t="str">
            <v/>
          </cell>
        </row>
        <row r="213">
          <cell r="G213" t="str">
            <v xml:space="preserve"> All staff</v>
          </cell>
        </row>
        <row r="214">
          <cell r="G214" t="str">
            <v>N</v>
          </cell>
        </row>
        <row r="224">
          <cell r="G224" t="str">
            <v>Management</v>
          </cell>
        </row>
        <row r="225">
          <cell r="G225" t="str">
            <v>Y</v>
          </cell>
        </row>
        <row r="250">
          <cell r="G250" t="str">
            <v>Y</v>
          </cell>
        </row>
        <row r="251">
          <cell r="G251" t="str">
            <v>Y</v>
          </cell>
        </row>
        <row r="252">
          <cell r="G252" t="str">
            <v>Y</v>
          </cell>
        </row>
        <row r="253">
          <cell r="G253" t="str">
            <v>Y</v>
          </cell>
        </row>
        <row r="256">
          <cell r="H256" t="str">
            <v>D. Banker's Club</v>
          </cell>
          <cell r="I256" t="str">
            <v>E. Asia World Club</v>
          </cell>
        </row>
        <row r="257">
          <cell r="H257" t="str">
            <v>I. Other (Please specify)</v>
          </cell>
        </row>
        <row r="258">
          <cell r="G258" t="str">
            <v>Management</v>
          </cell>
          <cell r="H258" t="str">
            <v>Non-management staff</v>
          </cell>
          <cell r="I258" t="str">
            <v>Production operator</v>
          </cell>
        </row>
        <row r="259">
          <cell r="H259">
            <v>1</v>
          </cell>
          <cell r="I259">
            <v>3</v>
          </cell>
        </row>
        <row r="260">
          <cell r="G260" t="str">
            <v>N</v>
          </cell>
          <cell r="H260" t="str">
            <v>N</v>
          </cell>
          <cell r="I260" t="str">
            <v xml:space="preserve"> Not Applicable</v>
          </cell>
        </row>
        <row r="261">
          <cell r="G261" t="str">
            <v/>
          </cell>
          <cell r="H261" t="str">
            <v/>
          </cell>
          <cell r="I261" t="str">
            <v/>
          </cell>
        </row>
        <row r="272">
          <cell r="G272" t="str">
            <v/>
          </cell>
          <cell r="H272" t="str">
            <v/>
          </cell>
          <cell r="I272" t="str">
            <v/>
          </cell>
        </row>
        <row r="273">
          <cell r="G273" t="str">
            <v/>
          </cell>
          <cell r="H273" t="str">
            <v/>
          </cell>
          <cell r="I273" t="str">
            <v/>
          </cell>
        </row>
        <row r="274">
          <cell r="G274" t="str">
            <v/>
          </cell>
          <cell r="H274" t="str">
            <v/>
          </cell>
          <cell r="I274" t="str">
            <v/>
          </cell>
        </row>
        <row r="275">
          <cell r="G275" t="str">
            <v/>
          </cell>
          <cell r="H275" t="str">
            <v/>
          </cell>
          <cell r="I275" t="str">
            <v/>
          </cell>
        </row>
        <row r="281">
          <cell r="G281" t="str">
            <v>Management</v>
          </cell>
          <cell r="H281" t="str">
            <v>Non-management staff</v>
          </cell>
          <cell r="I281" t="str">
            <v>Production operator</v>
          </cell>
        </row>
        <row r="282">
          <cell r="H282">
            <v>1</v>
          </cell>
          <cell r="I282">
            <v>3</v>
          </cell>
        </row>
        <row r="283">
          <cell r="G283" t="str">
            <v>N</v>
          </cell>
          <cell r="H283" t="str">
            <v>N</v>
          </cell>
          <cell r="I283" t="str">
            <v xml:space="preserve"> Not Applicable</v>
          </cell>
        </row>
        <row r="286">
          <cell r="G286" t="str">
            <v/>
          </cell>
          <cell r="H286" t="str">
            <v/>
          </cell>
          <cell r="I286" t="str">
            <v/>
          </cell>
        </row>
        <row r="287">
          <cell r="G287" t="str">
            <v/>
          </cell>
          <cell r="H287" t="str">
            <v/>
          </cell>
          <cell r="I287" t="str">
            <v/>
          </cell>
        </row>
        <row r="288">
          <cell r="G288" t="str">
            <v/>
          </cell>
          <cell r="H288" t="str">
            <v/>
          </cell>
          <cell r="I288" t="str">
            <v/>
          </cell>
        </row>
        <row r="289">
          <cell r="G289" t="str">
            <v/>
          </cell>
          <cell r="H289" t="str">
            <v/>
          </cell>
          <cell r="I289" t="str">
            <v/>
          </cell>
        </row>
        <row r="290">
          <cell r="G290" t="str">
            <v/>
          </cell>
          <cell r="H290" t="str">
            <v/>
          </cell>
          <cell r="I290" t="str">
            <v/>
          </cell>
        </row>
        <row r="291">
          <cell r="G291" t="str">
            <v/>
          </cell>
          <cell r="H291" t="str">
            <v/>
          </cell>
          <cell r="I291" t="str">
            <v/>
          </cell>
        </row>
        <row r="294">
          <cell r="G294">
            <v>0</v>
          </cell>
          <cell r="H294">
            <v>1</v>
          </cell>
          <cell r="I294">
            <v>3</v>
          </cell>
        </row>
        <row r="295">
          <cell r="G295">
            <v>0</v>
          </cell>
          <cell r="H295">
            <v>0</v>
          </cell>
          <cell r="I295" t="str">
            <v xml:space="preserve"> Not Applicable</v>
          </cell>
        </row>
        <row r="296">
          <cell r="G296">
            <v>0</v>
          </cell>
          <cell r="H296">
            <v>0</v>
          </cell>
          <cell r="I296" t="str">
            <v/>
          </cell>
        </row>
        <row r="297">
          <cell r="G297">
            <v>0</v>
          </cell>
          <cell r="H297">
            <v>0</v>
          </cell>
          <cell r="I297" t="str">
            <v/>
          </cell>
        </row>
        <row r="298">
          <cell r="G298">
            <v>0</v>
          </cell>
          <cell r="H298">
            <v>0</v>
          </cell>
          <cell r="I298" t="str">
            <v/>
          </cell>
        </row>
        <row r="300">
          <cell r="G300">
            <v>0</v>
          </cell>
          <cell r="H300">
            <v>0</v>
          </cell>
          <cell r="I300" t="str">
            <v/>
          </cell>
        </row>
        <row r="301">
          <cell r="G301">
            <v>0</v>
          </cell>
          <cell r="H301">
            <v>0</v>
          </cell>
          <cell r="I301" t="str">
            <v/>
          </cell>
        </row>
        <row r="302">
          <cell r="G302">
            <v>0</v>
          </cell>
          <cell r="H302">
            <v>0</v>
          </cell>
          <cell r="I302" t="str">
            <v/>
          </cell>
        </row>
        <row r="303">
          <cell r="G303">
            <v>0</v>
          </cell>
          <cell r="H303">
            <v>0</v>
          </cell>
          <cell r="I303" t="str">
            <v/>
          </cell>
        </row>
        <row r="399">
          <cell r="C399" t="str">
            <v>File : INPUT.WK1</v>
          </cell>
          <cell r="F399" t="str">
            <v>Range Name : Macro</v>
          </cell>
        </row>
        <row r="400">
          <cell r="C400" t="str">
            <v>Position : Q400</v>
          </cell>
          <cell r="F400" t="str">
            <v>Area : Q399..T466</v>
          </cell>
        </row>
        <row r="402">
          <cell r="C402" t="str">
            <v>\S</v>
          </cell>
          <cell r="D402" t="str">
            <v>/WTC~</v>
          </cell>
        </row>
        <row r="403">
          <cell r="D403" t="str">
            <v>{HOME}</v>
          </cell>
        </row>
        <row r="404">
          <cell r="D404" t="str">
            <v>/rea12..k400~</v>
          </cell>
        </row>
        <row r="405">
          <cell r="D405" t="str">
            <v>/FCCEINDEX~</v>
          </cell>
          <cell r="F405" t="str">
            <v>To copy the most updated index from 'index.wk1'</v>
          </cell>
        </row>
        <row r="406">
          <cell r="D406" t="str">
            <v>{HOME}</v>
          </cell>
        </row>
        <row r="407">
          <cell r="D407" t="str">
            <v>*** ALT-S to update the index and the input formula ***~</v>
          </cell>
        </row>
        <row r="408">
          <cell r="D408" t="str">
            <v>{GOTO}o2~</v>
          </cell>
        </row>
        <row r="409">
          <cell r="D409" t="str">
            <v>/REO2..T305~</v>
          </cell>
        </row>
        <row r="410">
          <cell r="D410" t="str">
            <v>/fccnITEMS~original~</v>
          </cell>
          <cell r="F410" t="str">
            <v>To copy survey items from 'original.wk1'</v>
          </cell>
        </row>
        <row r="411">
          <cell r="D411" t="str">
            <v>{GOTO}u1~</v>
          </cell>
        </row>
        <row r="412">
          <cell r="D412" t="str">
            <v>/wc{L}~~{R}{R}~20~</v>
          </cell>
          <cell r="F412" t="str">
            <v>Tos set column width = 20</v>
          </cell>
        </row>
        <row r="413">
          <cell r="D413" t="str">
            <v>/REU2..W305~</v>
          </cell>
        </row>
        <row r="414">
          <cell r="D414" t="str">
            <v>/fccnFORMULA~original~</v>
          </cell>
          <cell r="F414" t="str">
            <v>To copy input formula from 'original.wk1'</v>
          </cell>
        </row>
        <row r="415">
          <cell r="D415" t="str">
            <v>{UP 1}{LEFT 3}{RIGHT 3}{DOWN 1}</v>
          </cell>
        </row>
        <row r="416">
          <cell r="D416" t="str">
            <v>/WTB~</v>
          </cell>
        </row>
        <row r="418">
          <cell r="C418" t="str">
            <v>\R</v>
          </cell>
          <cell r="D418" t="str">
            <v>{RIGHT 3}</v>
          </cell>
        </row>
        <row r="420">
          <cell r="C420" t="str">
            <v>\L</v>
          </cell>
          <cell r="D420" t="str">
            <v>{LEFT 3}</v>
          </cell>
        </row>
        <row r="422">
          <cell r="C422" t="str">
            <v>\O</v>
          </cell>
          <cell r="D422" t="str">
            <v>{PANELOFF}</v>
          </cell>
        </row>
        <row r="423">
          <cell r="D423" t="str">
            <v>/WTC~</v>
          </cell>
        </row>
        <row r="424">
          <cell r="D424" t="str">
            <v>{GOTO}u1~</v>
          </cell>
        </row>
        <row r="425">
          <cell r="D425" t="str">
            <v>{RIGHT 3}</v>
          </cell>
        </row>
        <row r="426">
          <cell r="D426" t="str">
            <v>/wic{R}{R}~</v>
          </cell>
        </row>
        <row r="427">
          <cell r="D427" t="str">
            <v>/wc{R}{R}{R}{R}~~{R}{R}~20~</v>
          </cell>
        </row>
        <row r="428">
          <cell r="D428" t="str">
            <v>{LEFT 3}</v>
          </cell>
        </row>
        <row r="429">
          <cell r="D429" t="str">
            <v>/rv{R}{R}{PGDN}{PGDN}{PGDN}{PGDN}{PGDN}</v>
          </cell>
        </row>
        <row r="430">
          <cell r="D430" t="str">
            <v>{PGDN}{PGDN}{PGDN}{PGDN}{PGDN}{PGDN}</v>
          </cell>
        </row>
        <row r="431">
          <cell r="D431" t="str">
            <v>{PGDN}{PGDN}{PGDN}{PGDN}{PGDN}{PGDN}</v>
          </cell>
        </row>
        <row r="432">
          <cell r="D432" t="str">
            <v>{PGDN}{PGDN}{PGDN}~{R}{R}{R}~</v>
          </cell>
        </row>
        <row r="433">
          <cell r="D433" t="str">
            <v>/REU2..W305~</v>
          </cell>
        </row>
        <row r="434">
          <cell r="D434" t="str">
            <v>/fc~{R}~formula~original~</v>
          </cell>
        </row>
        <row r="435">
          <cell r="D435" t="str">
            <v>{GOTO}X34~</v>
          </cell>
        </row>
        <row r="436">
          <cell r="D436" t="str">
            <v>/RE{R}{R}~</v>
          </cell>
          <cell r="F436" t="str">
            <v>ROW 34</v>
          </cell>
        </row>
        <row r="437">
          <cell r="D437" t="str">
            <v>{GOTO}X44~</v>
          </cell>
        </row>
        <row r="438">
          <cell r="D438" t="str">
            <v>/RE{R}{R}~</v>
          </cell>
          <cell r="F438" t="str">
            <v>ROW 50</v>
          </cell>
        </row>
        <row r="439">
          <cell r="D439" t="str">
            <v>{GOTO}X50~</v>
          </cell>
        </row>
        <row r="440">
          <cell r="D440" t="str">
            <v>/RE{R}{R}~</v>
          </cell>
          <cell r="F440" t="str">
            <v>ROW 71</v>
          </cell>
        </row>
        <row r="441">
          <cell r="D441" t="str">
            <v>{GOTO}X71~</v>
          </cell>
        </row>
        <row r="442">
          <cell r="D442" t="str">
            <v>/RE{R}{R}~</v>
          </cell>
          <cell r="F442" t="str">
            <v>ROW 84</v>
          </cell>
        </row>
        <row r="443">
          <cell r="D443" t="str">
            <v>{GOTO}X84~</v>
          </cell>
        </row>
        <row r="444">
          <cell r="D444" t="str">
            <v>/RE{R}{R}~</v>
          </cell>
          <cell r="F444" t="str">
            <v>ROW 97</v>
          </cell>
        </row>
        <row r="445">
          <cell r="D445" t="str">
            <v>{GOTO}X97~</v>
          </cell>
        </row>
        <row r="446">
          <cell r="D446" t="str">
            <v>/RE{R}{R}~</v>
          </cell>
          <cell r="F446" t="str">
            <v>ROW 126</v>
          </cell>
        </row>
        <row r="447">
          <cell r="D447" t="str">
            <v>{GOTO}X126~</v>
          </cell>
        </row>
        <row r="448">
          <cell r="D448" t="str">
            <v>/RE{R}{R}~</v>
          </cell>
          <cell r="F448" t="str">
            <v>ROW 132</v>
          </cell>
        </row>
        <row r="449">
          <cell r="D449" t="str">
            <v>{GOTO}X132~</v>
          </cell>
        </row>
        <row r="450">
          <cell r="D450" t="str">
            <v>/RE{R}{R}~</v>
          </cell>
          <cell r="F450" t="str">
            <v>ROW 144</v>
          </cell>
        </row>
        <row r="451">
          <cell r="D451" t="str">
            <v>{GOTO}X144~</v>
          </cell>
        </row>
        <row r="452">
          <cell r="D452" t="str">
            <v>/RE{R}{R}~</v>
          </cell>
          <cell r="F452" t="str">
            <v>ROW 157</v>
          </cell>
        </row>
        <row r="453">
          <cell r="D453" t="str">
            <v>{GOTO}X157~</v>
          </cell>
        </row>
        <row r="454">
          <cell r="D454" t="str">
            <v>/RE{R}{R}~</v>
          </cell>
          <cell r="F454" t="str">
            <v>ROW 183</v>
          </cell>
        </row>
        <row r="455">
          <cell r="D455" t="str">
            <v>{GOTO}X183~</v>
          </cell>
        </row>
        <row r="456">
          <cell r="D456" t="str">
            <v>/RE{R}{R}~</v>
          </cell>
          <cell r="F456" t="str">
            <v>ROW 259</v>
          </cell>
        </row>
        <row r="457">
          <cell r="D457" t="str">
            <v>{GOTO}X259~</v>
          </cell>
        </row>
        <row r="458">
          <cell r="D458" t="str">
            <v>/RE{R}{R}~</v>
          </cell>
          <cell r="F458" t="str">
            <v>ROW 282</v>
          </cell>
        </row>
        <row r="459">
          <cell r="D459" t="str">
            <v>{GOTO}X282~</v>
          </cell>
        </row>
        <row r="460">
          <cell r="D460" t="str">
            <v>/RE{R}{R}~</v>
          </cell>
          <cell r="F460" t="str">
            <v>ROW 294</v>
          </cell>
        </row>
        <row r="461">
          <cell r="D461" t="str">
            <v>{GOTO}X294~</v>
          </cell>
        </row>
        <row r="462">
          <cell r="D462" t="str">
            <v>/RE{R}{R}~</v>
          </cell>
        </row>
        <row r="463">
          <cell r="D463" t="str">
            <v>/FS~{R}~</v>
          </cell>
        </row>
        <row r="464">
          <cell r="D464" t="str">
            <v>{GOTO}u1~</v>
          </cell>
        </row>
        <row r="465">
          <cell r="D465" t="str">
            <v>{L 2}</v>
          </cell>
        </row>
        <row r="466">
          <cell r="D466" t="str">
            <v>{GOTO}u2~{?}~</v>
          </cell>
        </row>
        <row r="467">
          <cell r="D467" t="str">
            <v>{D 6}</v>
          </cell>
        </row>
        <row r="468">
          <cell r="D468" t="str">
            <v>/WTB~</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Car"/>
      <sheetName val="Code"/>
      <sheetName val="CH Qs Form"/>
      <sheetName val="CH Position Percent"/>
      <sheetName val="Car Process"/>
      <sheetName val="CH Position"/>
      <sheetName val="总部员工名册"/>
      <sheetName val="光大资产管理公司"/>
    </sheetNames>
    <sheetDataSet>
      <sheetData sheetId="0"/>
      <sheetData sheetId="1"/>
      <sheetData sheetId="2"/>
      <sheetData sheetId="3"/>
      <sheetData sheetId="4" refreshError="1"/>
      <sheetData sheetId="5"/>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ql"/>
      <sheetName val="DATA"/>
      <sheetName val="對應表"/>
      <sheetName val="合計"/>
      <sheetName val="明細"/>
      <sheetName val="科子目DATA"/>
      <sheetName val="科子目比較"/>
      <sheetName val="sql-2"/>
      <sheetName val="科子目資料"/>
      <sheetName val="科子目比較 (2)"/>
    </sheetNames>
    <sheetDataSet>
      <sheetData sheetId="0" refreshError="1"/>
      <sheetData sheetId="1">
        <row r="93">
          <cell r="E93" t="str">
            <v>gl</v>
          </cell>
        </row>
      </sheetData>
      <sheetData sheetId="2" refreshError="1"/>
      <sheetData sheetId="3" refreshError="1"/>
      <sheetData sheetId="4"/>
      <sheetData sheetId="5"/>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Database"/>
      <sheetName val="Index-1"/>
      <sheetName val="Worksheet-AO"/>
      <sheetName val="Branch Sales(Submit)"/>
      <sheetName val="IC Report(Submit)"/>
      <sheetName val="Branch Sales(Settle)"/>
      <sheetName val="IC Report(Settle)"/>
      <sheetName val="WS-IC Report2"/>
      <sheetName val="Output- 統計表"/>
      <sheetName val="Output-Daily Report"/>
      <sheetName val="Output-Database"/>
      <sheetName val="Output-受理明細(北一區)"/>
      <sheetName val="Output-核實明細(北一區)"/>
      <sheetName val="Output-受理明細(北二區)"/>
      <sheetName val="Output-核實明細(北二區)"/>
      <sheetName val="Output-受理明細(中區)"/>
      <sheetName val="Output-核實明細(中區)"/>
      <sheetName val="Output-受理明細(南區)"/>
      <sheetName val="Output-核實明細(南區)"/>
    </sheetNames>
    <sheetDataSet>
      <sheetData sheetId="0">
        <row r="5">
          <cell r="C5">
            <v>2009</v>
          </cell>
          <cell r="D5">
            <v>7</v>
          </cell>
          <cell r="E5">
            <v>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Qs Form"/>
      <sheetName val="CH Car"/>
      <sheetName val="Code"/>
      <sheetName val="CH Position Percent"/>
      <sheetName val="Car Process"/>
      <sheetName val="CH Position"/>
    </sheetNames>
    <sheetDataSet>
      <sheetData sheetId="0"/>
      <sheetData sheetId="1"/>
      <sheetData sheetId="2"/>
      <sheetData sheetId="3"/>
      <sheetData sheetId="4" refreshError="1"/>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企金AO人數"/>
      <sheetName val="分行填報"/>
      <sheetName val="AO主管"/>
      <sheetName val="資深AO"/>
      <sheetName val="AO"/>
    </sheetNames>
    <sheetDataSet>
      <sheetData sheetId="0" refreshError="1"/>
      <sheetData sheetId="1" refreshError="1">
        <row r="4">
          <cell r="B4" t="str">
            <v>100</v>
          </cell>
          <cell r="C4" t="str">
            <v>1000營業部</v>
          </cell>
          <cell r="D4">
            <v>6</v>
          </cell>
          <cell r="E4">
            <v>2</v>
          </cell>
          <cell r="F4">
            <v>1</v>
          </cell>
        </row>
        <row r="5">
          <cell r="B5" t="str">
            <v>101</v>
          </cell>
          <cell r="C5" t="str">
            <v>1010儲蓄分行</v>
          </cell>
          <cell r="D5">
            <v>1</v>
          </cell>
          <cell r="E5">
            <v>2</v>
          </cell>
          <cell r="F5">
            <v>1</v>
          </cell>
        </row>
        <row r="6">
          <cell r="B6" t="str">
            <v>103</v>
          </cell>
          <cell r="C6" t="str">
            <v>1030城內分行</v>
          </cell>
          <cell r="D6">
            <v>2</v>
          </cell>
          <cell r="E6">
            <v>1</v>
          </cell>
          <cell r="F6">
            <v>0.5</v>
          </cell>
        </row>
        <row r="7">
          <cell r="B7" t="str">
            <v>104</v>
          </cell>
          <cell r="C7" t="str">
            <v>1040大稻埕分行</v>
          </cell>
          <cell r="D7">
            <v>2</v>
          </cell>
          <cell r="E7">
            <v>1</v>
          </cell>
          <cell r="F7">
            <v>0.5</v>
          </cell>
        </row>
        <row r="8">
          <cell r="B8" t="str">
            <v>105</v>
          </cell>
          <cell r="C8" t="str">
            <v>1050建成分行</v>
          </cell>
          <cell r="D8">
            <v>2</v>
          </cell>
          <cell r="E8">
            <v>1</v>
          </cell>
          <cell r="F8">
            <v>0.5</v>
          </cell>
        </row>
        <row r="9">
          <cell r="B9" t="str">
            <v>106</v>
          </cell>
          <cell r="C9" t="str">
            <v>1060中山分行</v>
          </cell>
          <cell r="D9">
            <v>5</v>
          </cell>
          <cell r="E9">
            <v>2</v>
          </cell>
          <cell r="F9">
            <v>1</v>
          </cell>
        </row>
        <row r="10">
          <cell r="B10" t="str">
            <v>107</v>
          </cell>
          <cell r="C10" t="str">
            <v>1072圓山分行</v>
          </cell>
          <cell r="D10">
            <v>7</v>
          </cell>
          <cell r="E10">
            <v>2</v>
          </cell>
          <cell r="F10">
            <v>1</v>
          </cell>
        </row>
        <row r="11">
          <cell r="B11" t="str">
            <v>108</v>
          </cell>
          <cell r="C11" t="str">
            <v>1080城東分行</v>
          </cell>
          <cell r="D11">
            <v>9</v>
          </cell>
          <cell r="E11">
            <v>1</v>
          </cell>
          <cell r="F11">
            <v>1</v>
          </cell>
        </row>
        <row r="12">
          <cell r="B12">
            <v>109</v>
          </cell>
          <cell r="C12" t="str">
            <v>西門分行　　　　　　　　　　</v>
          </cell>
          <cell r="D12">
            <v>3</v>
          </cell>
          <cell r="E12">
            <v>1</v>
          </cell>
          <cell r="F12">
            <v>1</v>
          </cell>
        </row>
        <row r="13">
          <cell r="B13" t="str">
            <v>110</v>
          </cell>
          <cell r="C13" t="str">
            <v>1107南松山分行</v>
          </cell>
          <cell r="D13">
            <v>3</v>
          </cell>
          <cell r="E13">
            <v>1</v>
          </cell>
          <cell r="F13">
            <v>0.5</v>
          </cell>
        </row>
        <row r="14">
          <cell r="B14" t="str">
            <v>111</v>
          </cell>
          <cell r="C14" t="str">
            <v>1110仁愛路分行</v>
          </cell>
          <cell r="D14">
            <v>4</v>
          </cell>
          <cell r="E14">
            <v>1</v>
          </cell>
          <cell r="F14">
            <v>1</v>
          </cell>
        </row>
        <row r="15">
          <cell r="B15" t="str">
            <v>112</v>
          </cell>
          <cell r="C15" t="str">
            <v>1120南京東路分行</v>
          </cell>
          <cell r="D15">
            <v>4</v>
          </cell>
          <cell r="E15">
            <v>2</v>
          </cell>
          <cell r="F15">
            <v>1</v>
          </cell>
        </row>
        <row r="16">
          <cell r="B16" t="str">
            <v>113</v>
          </cell>
          <cell r="C16" t="str">
            <v>1130新生分行</v>
          </cell>
          <cell r="D16">
            <v>4</v>
          </cell>
          <cell r="E16">
            <v>1</v>
          </cell>
          <cell r="F16">
            <v>1</v>
          </cell>
        </row>
        <row r="17">
          <cell r="B17" t="str">
            <v>114</v>
          </cell>
          <cell r="C17" t="str">
            <v>1140大同分行</v>
          </cell>
          <cell r="D17">
            <v>4</v>
          </cell>
          <cell r="E17">
            <v>0</v>
          </cell>
          <cell r="F17">
            <v>0.5</v>
          </cell>
        </row>
        <row r="18">
          <cell r="B18" t="str">
            <v>115</v>
          </cell>
          <cell r="C18" t="str">
            <v>1150松山分行</v>
          </cell>
          <cell r="D18">
            <v>2</v>
          </cell>
          <cell r="E18">
            <v>1</v>
          </cell>
          <cell r="F18">
            <v>0.5</v>
          </cell>
        </row>
        <row r="19">
          <cell r="B19" t="str">
            <v>116</v>
          </cell>
          <cell r="C19" t="str">
            <v>1160中崙分行</v>
          </cell>
          <cell r="D19">
            <v>3</v>
          </cell>
          <cell r="E19">
            <v>1</v>
          </cell>
          <cell r="F19">
            <v>1</v>
          </cell>
        </row>
        <row r="20">
          <cell r="B20" t="str">
            <v>117</v>
          </cell>
          <cell r="C20" t="str">
            <v>1170台北南門分行</v>
          </cell>
          <cell r="D20">
            <v>2</v>
          </cell>
          <cell r="E20">
            <v>1</v>
          </cell>
          <cell r="F20">
            <v>0.5</v>
          </cell>
        </row>
        <row r="21">
          <cell r="B21" t="str">
            <v>118</v>
          </cell>
          <cell r="C21" t="str">
            <v>1180公館分行</v>
          </cell>
          <cell r="D21">
            <v>1</v>
          </cell>
          <cell r="E21">
            <v>1</v>
          </cell>
          <cell r="F21">
            <v>0.5</v>
          </cell>
        </row>
        <row r="22">
          <cell r="B22" t="str">
            <v>119</v>
          </cell>
          <cell r="C22" t="str">
            <v>1190信義分行</v>
          </cell>
          <cell r="D22">
            <v>2</v>
          </cell>
          <cell r="F22">
            <v>0.5</v>
          </cell>
        </row>
        <row r="23">
          <cell r="B23" t="str">
            <v>120</v>
          </cell>
          <cell r="C23" t="str">
            <v>1200忠孝東路分行</v>
          </cell>
          <cell r="D23">
            <v>4</v>
          </cell>
          <cell r="E23">
            <v>1</v>
          </cell>
          <cell r="F23">
            <v>1</v>
          </cell>
        </row>
        <row r="24">
          <cell r="B24" t="str">
            <v>121</v>
          </cell>
          <cell r="C24" t="str">
            <v>1210和平分行</v>
          </cell>
          <cell r="D24">
            <v>3</v>
          </cell>
          <cell r="E24">
            <v>0</v>
          </cell>
          <cell r="F24">
            <v>0.5</v>
          </cell>
        </row>
        <row r="25">
          <cell r="B25" t="str">
            <v>122</v>
          </cell>
          <cell r="C25" t="str">
            <v>1220雙園分行</v>
          </cell>
          <cell r="D25">
            <v>2</v>
          </cell>
          <cell r="E25">
            <v>1</v>
          </cell>
          <cell r="F25">
            <v>0.5</v>
          </cell>
        </row>
        <row r="26">
          <cell r="B26" t="str">
            <v>123</v>
          </cell>
          <cell r="C26" t="str">
            <v>1230士林分行</v>
          </cell>
          <cell r="D26">
            <v>3</v>
          </cell>
          <cell r="E26">
            <v>1</v>
          </cell>
          <cell r="F26">
            <v>1</v>
          </cell>
        </row>
        <row r="27">
          <cell r="B27" t="str">
            <v>124</v>
          </cell>
          <cell r="C27" t="str">
            <v>1240東台北分行</v>
          </cell>
          <cell r="D27">
            <v>3</v>
          </cell>
          <cell r="E27">
            <v>1</v>
          </cell>
          <cell r="F27">
            <v>0.5</v>
          </cell>
        </row>
        <row r="28">
          <cell r="B28" t="str">
            <v>125</v>
          </cell>
          <cell r="C28" t="str">
            <v>1250大安分行</v>
          </cell>
          <cell r="D28">
            <v>3</v>
          </cell>
          <cell r="E28">
            <v>1</v>
          </cell>
          <cell r="F28">
            <v>1</v>
          </cell>
        </row>
        <row r="29">
          <cell r="B29" t="str">
            <v>126</v>
          </cell>
          <cell r="C29" t="str">
            <v>1260民生分行</v>
          </cell>
          <cell r="D29">
            <v>7</v>
          </cell>
          <cell r="E29">
            <v>1</v>
          </cell>
          <cell r="F29">
            <v>0.5</v>
          </cell>
        </row>
        <row r="30">
          <cell r="B30" t="str">
            <v>127</v>
          </cell>
          <cell r="C30" t="str">
            <v>1270復興分行</v>
          </cell>
          <cell r="D30">
            <v>3</v>
          </cell>
          <cell r="E30">
            <v>0</v>
          </cell>
          <cell r="F30">
            <v>0.5</v>
          </cell>
        </row>
        <row r="31">
          <cell r="B31" t="str">
            <v>128</v>
          </cell>
          <cell r="C31" t="str">
            <v>1280龍江分行</v>
          </cell>
          <cell r="D31">
            <v>1</v>
          </cell>
          <cell r="E31">
            <v>1</v>
          </cell>
          <cell r="F31">
            <v>0.5</v>
          </cell>
        </row>
        <row r="32">
          <cell r="B32" t="str">
            <v>129</v>
          </cell>
          <cell r="C32" t="str">
            <v>1290永吉分行</v>
          </cell>
          <cell r="D32">
            <v>2</v>
          </cell>
          <cell r="F32">
            <v>0.5</v>
          </cell>
        </row>
        <row r="33">
          <cell r="B33" t="str">
            <v>130</v>
          </cell>
          <cell r="C33" t="str">
            <v>1300敦化分行</v>
          </cell>
          <cell r="D33">
            <v>4</v>
          </cell>
          <cell r="E33">
            <v>1</v>
          </cell>
          <cell r="F33">
            <v>1</v>
          </cell>
        </row>
        <row r="34">
          <cell r="B34" t="str">
            <v>131</v>
          </cell>
          <cell r="C34" t="str">
            <v>1310忠興分行</v>
          </cell>
          <cell r="D34">
            <v>2</v>
          </cell>
          <cell r="E34">
            <v>1</v>
          </cell>
          <cell r="F34">
            <v>0.5</v>
          </cell>
        </row>
        <row r="35">
          <cell r="B35" t="str">
            <v>133</v>
          </cell>
          <cell r="C35" t="str">
            <v>1330敦和分行</v>
          </cell>
          <cell r="D35">
            <v>2</v>
          </cell>
          <cell r="E35">
            <v>1</v>
          </cell>
          <cell r="F35">
            <v>0.5</v>
          </cell>
        </row>
        <row r="36">
          <cell r="B36" t="str">
            <v>134</v>
          </cell>
          <cell r="C36" t="str">
            <v>1340東湖分行</v>
          </cell>
          <cell r="D36">
            <v>2</v>
          </cell>
          <cell r="E36">
            <v>1</v>
          </cell>
          <cell r="F36">
            <v>0.5</v>
          </cell>
        </row>
        <row r="37">
          <cell r="B37" t="str">
            <v>136</v>
          </cell>
          <cell r="C37" t="str">
            <v>1360長春分行</v>
          </cell>
          <cell r="D37">
            <v>0</v>
          </cell>
          <cell r="E37">
            <v>0</v>
          </cell>
          <cell r="F37">
            <v>0</v>
          </cell>
        </row>
        <row r="38">
          <cell r="B38" t="str">
            <v>137</v>
          </cell>
          <cell r="C38" t="str">
            <v>1370北南港分行</v>
          </cell>
          <cell r="D38">
            <v>1</v>
          </cell>
          <cell r="E38">
            <v>1</v>
          </cell>
          <cell r="F38">
            <v>0.5</v>
          </cell>
        </row>
        <row r="39">
          <cell r="B39" t="str">
            <v>143</v>
          </cell>
          <cell r="C39" t="str">
            <v>1430南內湖分行</v>
          </cell>
          <cell r="D39">
            <v>2</v>
          </cell>
          <cell r="E39">
            <v>0</v>
          </cell>
          <cell r="F39">
            <v>0</v>
          </cell>
        </row>
        <row r="40">
          <cell r="B40" t="str">
            <v>145</v>
          </cell>
          <cell r="C40" t="str">
            <v>1450長安分行</v>
          </cell>
          <cell r="D40">
            <v>2</v>
          </cell>
          <cell r="E40">
            <v>1</v>
          </cell>
          <cell r="F40">
            <v>0.5</v>
          </cell>
        </row>
        <row r="41">
          <cell r="B41" t="str">
            <v>147</v>
          </cell>
          <cell r="C41" t="str">
            <v>1470懷生分行</v>
          </cell>
          <cell r="D41">
            <v>2</v>
          </cell>
          <cell r="E41">
            <v>1</v>
          </cell>
          <cell r="F41">
            <v>1</v>
          </cell>
        </row>
        <row r="42">
          <cell r="B42" t="str">
            <v>148</v>
          </cell>
          <cell r="C42" t="str">
            <v>1480中華路分行</v>
          </cell>
          <cell r="D42">
            <v>2</v>
          </cell>
          <cell r="E42">
            <v>0</v>
          </cell>
          <cell r="F42">
            <v>0.5</v>
          </cell>
        </row>
        <row r="43">
          <cell r="B43" t="str">
            <v>149</v>
          </cell>
          <cell r="C43" t="str">
            <v>1490信維分行</v>
          </cell>
          <cell r="D43">
            <v>2</v>
          </cell>
          <cell r="F43">
            <v>1</v>
          </cell>
        </row>
        <row r="44">
          <cell r="B44" t="str">
            <v>151</v>
          </cell>
          <cell r="C44" t="str">
            <v>1510埔墘分行</v>
          </cell>
          <cell r="D44">
            <v>3</v>
          </cell>
          <cell r="F44">
            <v>1</v>
          </cell>
        </row>
        <row r="45">
          <cell r="B45" t="str">
            <v>152</v>
          </cell>
          <cell r="C45" t="str">
            <v>1520石牌分行</v>
          </cell>
          <cell r="D45">
            <v>2</v>
          </cell>
          <cell r="E45">
            <v>0</v>
          </cell>
          <cell r="F45">
            <v>0.5</v>
          </cell>
        </row>
        <row r="46">
          <cell r="B46" t="str">
            <v>153</v>
          </cell>
          <cell r="C46" t="str">
            <v>1530瑞祥分行</v>
          </cell>
          <cell r="D46">
            <v>3</v>
          </cell>
          <cell r="E46">
            <v>0</v>
          </cell>
          <cell r="F46">
            <v>0.5</v>
          </cell>
        </row>
        <row r="47">
          <cell r="B47" t="str">
            <v>154</v>
          </cell>
          <cell r="C47" t="str">
            <v>1540台大分行</v>
          </cell>
          <cell r="D47">
            <v>1</v>
          </cell>
          <cell r="F47">
            <v>0</v>
          </cell>
        </row>
        <row r="48">
          <cell r="B48" t="str">
            <v>156</v>
          </cell>
          <cell r="C48" t="str">
            <v>1560世貿分行</v>
          </cell>
          <cell r="D48">
            <v>3</v>
          </cell>
          <cell r="E48">
            <v>0</v>
          </cell>
          <cell r="F48">
            <v>1</v>
          </cell>
        </row>
        <row r="49">
          <cell r="B49" t="str">
            <v>157</v>
          </cell>
          <cell r="C49" t="str">
            <v>1570萬華分行</v>
          </cell>
          <cell r="D49">
            <v>2</v>
          </cell>
          <cell r="E49">
            <v>1</v>
          </cell>
          <cell r="F49">
            <v>0.5</v>
          </cell>
        </row>
        <row r="50">
          <cell r="B50" t="str">
            <v>158</v>
          </cell>
          <cell r="C50" t="str">
            <v>1580南港分行</v>
          </cell>
          <cell r="D50">
            <v>3</v>
          </cell>
          <cell r="E50">
            <v>1</v>
          </cell>
          <cell r="F50">
            <v>0.5</v>
          </cell>
        </row>
        <row r="51">
          <cell r="B51" t="str">
            <v>159</v>
          </cell>
          <cell r="C51" t="str">
            <v>1590華江分行</v>
          </cell>
          <cell r="D51">
            <v>4</v>
          </cell>
          <cell r="E51">
            <v>0</v>
          </cell>
          <cell r="F51">
            <v>0.5</v>
          </cell>
        </row>
        <row r="52">
          <cell r="B52" t="str">
            <v>160</v>
          </cell>
          <cell r="C52" t="str">
            <v>1600板橋分行</v>
          </cell>
          <cell r="D52">
            <v>3</v>
          </cell>
          <cell r="F52">
            <v>0.5</v>
          </cell>
        </row>
        <row r="53">
          <cell r="B53" t="str">
            <v>161</v>
          </cell>
          <cell r="C53" t="str">
            <v>1610三重分行</v>
          </cell>
          <cell r="D53">
            <v>2</v>
          </cell>
          <cell r="E53">
            <v>0</v>
          </cell>
          <cell r="F53">
            <v>1</v>
          </cell>
        </row>
        <row r="54">
          <cell r="B54" t="str">
            <v>162</v>
          </cell>
          <cell r="C54" t="str">
            <v>1620北三重分行</v>
          </cell>
          <cell r="D54">
            <v>3</v>
          </cell>
          <cell r="E54">
            <v>0</v>
          </cell>
          <cell r="F54">
            <v>1</v>
          </cell>
        </row>
        <row r="55">
          <cell r="B55" t="str">
            <v>163</v>
          </cell>
          <cell r="C55" t="str">
            <v>1630新莊分行</v>
          </cell>
          <cell r="D55">
            <v>3</v>
          </cell>
          <cell r="E55">
            <v>0</v>
          </cell>
          <cell r="F55">
            <v>0.5</v>
          </cell>
        </row>
        <row r="56">
          <cell r="B56" t="str">
            <v>164</v>
          </cell>
          <cell r="C56" t="str">
            <v>1640永和分行</v>
          </cell>
          <cell r="D56">
            <v>1.5</v>
          </cell>
          <cell r="E56">
            <v>0</v>
          </cell>
          <cell r="F56">
            <v>0.5</v>
          </cell>
        </row>
        <row r="57">
          <cell r="B57" t="str">
            <v>165</v>
          </cell>
          <cell r="C57" t="str">
            <v>1650中和分行</v>
          </cell>
          <cell r="D57">
            <v>5</v>
          </cell>
          <cell r="E57">
            <v>0</v>
          </cell>
          <cell r="F57">
            <v>1</v>
          </cell>
        </row>
        <row r="58">
          <cell r="B58" t="str">
            <v>166</v>
          </cell>
          <cell r="C58" t="str">
            <v>1660新店分行</v>
          </cell>
          <cell r="D58">
            <v>2</v>
          </cell>
          <cell r="E58">
            <v>1</v>
          </cell>
          <cell r="F58">
            <v>0.5</v>
          </cell>
        </row>
        <row r="59">
          <cell r="B59" t="str">
            <v>167</v>
          </cell>
          <cell r="C59" t="str">
            <v>1670淡水分行</v>
          </cell>
          <cell r="D59">
            <v>1</v>
          </cell>
          <cell r="E59">
            <v>1</v>
          </cell>
          <cell r="F59">
            <v>0.5</v>
          </cell>
        </row>
        <row r="60">
          <cell r="B60" t="str">
            <v>168</v>
          </cell>
          <cell r="C60" t="str">
            <v>1680汐止分行</v>
          </cell>
          <cell r="D60">
            <v>4</v>
          </cell>
          <cell r="E60">
            <v>1</v>
          </cell>
          <cell r="F60">
            <v>1</v>
          </cell>
        </row>
        <row r="61">
          <cell r="B61" t="str">
            <v>169</v>
          </cell>
          <cell r="C61" t="str">
            <v>1690南永和分行</v>
          </cell>
          <cell r="D61">
            <v>4</v>
          </cell>
          <cell r="E61">
            <v>0</v>
          </cell>
          <cell r="F61">
            <v>0.5</v>
          </cell>
        </row>
        <row r="62">
          <cell r="B62" t="str">
            <v>170</v>
          </cell>
          <cell r="C62" t="str">
            <v>1706西三重分行</v>
          </cell>
          <cell r="D62">
            <v>4</v>
          </cell>
          <cell r="E62">
            <v>0</v>
          </cell>
          <cell r="F62">
            <v>0.5</v>
          </cell>
        </row>
        <row r="63">
          <cell r="B63" t="str">
            <v>171</v>
          </cell>
          <cell r="C63" t="str">
            <v>1710南三重分行</v>
          </cell>
          <cell r="D63">
            <v>2</v>
          </cell>
          <cell r="E63">
            <v>0</v>
          </cell>
          <cell r="F63">
            <v>0.5</v>
          </cell>
        </row>
        <row r="64">
          <cell r="B64" t="str">
            <v>172</v>
          </cell>
          <cell r="C64" t="str">
            <v>1720雙和分行</v>
          </cell>
          <cell r="D64">
            <v>3</v>
          </cell>
          <cell r="E64">
            <v>0</v>
          </cell>
          <cell r="F64">
            <v>0.5</v>
          </cell>
        </row>
        <row r="65">
          <cell r="B65" t="str">
            <v>173</v>
          </cell>
          <cell r="C65" t="str">
            <v>1730新泰分行</v>
          </cell>
          <cell r="D65">
            <v>3</v>
          </cell>
          <cell r="E65">
            <v>0</v>
          </cell>
          <cell r="F65">
            <v>0.5</v>
          </cell>
        </row>
        <row r="66">
          <cell r="B66" t="str">
            <v>174</v>
          </cell>
          <cell r="C66" t="str">
            <v>1740二重分行</v>
          </cell>
          <cell r="D66">
            <v>4</v>
          </cell>
          <cell r="E66">
            <v>0</v>
          </cell>
          <cell r="F66">
            <v>0.5</v>
          </cell>
        </row>
        <row r="67">
          <cell r="B67" t="str">
            <v>175</v>
          </cell>
          <cell r="C67" t="str">
            <v>1750板新分行</v>
          </cell>
          <cell r="D67">
            <v>3</v>
          </cell>
          <cell r="E67">
            <v>0</v>
          </cell>
          <cell r="F67">
            <v>1</v>
          </cell>
        </row>
        <row r="68">
          <cell r="B68" t="str">
            <v>176</v>
          </cell>
          <cell r="C68" t="str">
            <v>1760五股分行</v>
          </cell>
          <cell r="D68">
            <v>2</v>
          </cell>
          <cell r="E68">
            <v>1</v>
          </cell>
          <cell r="F68">
            <v>1</v>
          </cell>
        </row>
        <row r="69">
          <cell r="B69" t="str">
            <v>178</v>
          </cell>
          <cell r="C69" t="str">
            <v>1780北投分行</v>
          </cell>
          <cell r="D69">
            <v>1</v>
          </cell>
          <cell r="E69">
            <v>1</v>
          </cell>
          <cell r="F69">
            <v>1</v>
          </cell>
        </row>
        <row r="70">
          <cell r="B70" t="str">
            <v>179</v>
          </cell>
          <cell r="C70" t="str">
            <v>1790西湖分行</v>
          </cell>
          <cell r="D70">
            <v>3</v>
          </cell>
          <cell r="E70">
            <v>1</v>
          </cell>
          <cell r="F70">
            <v>0</v>
          </cell>
        </row>
        <row r="71">
          <cell r="B71" t="str">
            <v>180</v>
          </cell>
          <cell r="C71" t="str">
            <v>1800積穗分行</v>
          </cell>
          <cell r="D71">
            <v>4</v>
          </cell>
          <cell r="E71">
            <v>0</v>
          </cell>
          <cell r="F71">
            <v>0.5</v>
          </cell>
        </row>
        <row r="72">
          <cell r="B72" t="str">
            <v>181</v>
          </cell>
          <cell r="C72" t="str">
            <v>1810三和分行</v>
          </cell>
          <cell r="D72">
            <v>2</v>
          </cell>
          <cell r="E72">
            <v>0</v>
          </cell>
          <cell r="F72">
            <v>0.5</v>
          </cell>
        </row>
        <row r="73">
          <cell r="B73" t="str">
            <v>182</v>
          </cell>
          <cell r="C73" t="str">
            <v>1820福和分行</v>
          </cell>
          <cell r="D73">
            <v>2</v>
          </cell>
          <cell r="E73">
            <v>0</v>
          </cell>
          <cell r="F73">
            <v>0</v>
          </cell>
        </row>
        <row r="74">
          <cell r="B74" t="str">
            <v>183</v>
          </cell>
          <cell r="C74" t="str">
            <v>1830南勢角辦事處</v>
          </cell>
          <cell r="D74">
            <v>1</v>
          </cell>
          <cell r="E74">
            <v>1</v>
          </cell>
          <cell r="F74">
            <v>0.5</v>
          </cell>
        </row>
        <row r="75">
          <cell r="B75" t="str">
            <v>185</v>
          </cell>
          <cell r="C75" t="str">
            <v>1850蘆洲分行</v>
          </cell>
          <cell r="D75">
            <v>3</v>
          </cell>
          <cell r="E75">
            <v>0</v>
          </cell>
          <cell r="F75">
            <v>1.5</v>
          </cell>
        </row>
        <row r="76">
          <cell r="B76" t="str">
            <v>186</v>
          </cell>
          <cell r="C76" t="str">
            <v>1860土城分行</v>
          </cell>
          <cell r="D76">
            <v>4</v>
          </cell>
          <cell r="E76">
            <v>0</v>
          </cell>
          <cell r="F76">
            <v>0</v>
          </cell>
        </row>
        <row r="77">
          <cell r="B77" t="str">
            <v>187</v>
          </cell>
          <cell r="C77" t="str">
            <v>1870北新分行</v>
          </cell>
          <cell r="D77">
            <v>3</v>
          </cell>
          <cell r="E77">
            <v>0</v>
          </cell>
          <cell r="F77">
            <v>1</v>
          </cell>
        </row>
        <row r="78">
          <cell r="B78" t="str">
            <v>189</v>
          </cell>
          <cell r="C78" t="str">
            <v>1890天母分行</v>
          </cell>
          <cell r="D78">
            <v>3</v>
          </cell>
          <cell r="E78">
            <v>0</v>
          </cell>
          <cell r="F78">
            <v>0.5</v>
          </cell>
        </row>
        <row r="79">
          <cell r="B79" t="str">
            <v>190</v>
          </cell>
          <cell r="C79" t="str">
            <v>1900內湖分行</v>
          </cell>
          <cell r="D79">
            <v>3</v>
          </cell>
          <cell r="E79">
            <v>0</v>
          </cell>
          <cell r="F79">
            <v>0.5</v>
          </cell>
        </row>
        <row r="80">
          <cell r="B80" t="str">
            <v>191</v>
          </cell>
          <cell r="C80" t="str">
            <v>1910樹林分行</v>
          </cell>
          <cell r="D80">
            <v>3</v>
          </cell>
          <cell r="E80">
            <v>0</v>
          </cell>
          <cell r="F80">
            <v>1</v>
          </cell>
        </row>
        <row r="81">
          <cell r="B81" t="str">
            <v>192</v>
          </cell>
          <cell r="C81" t="str">
            <v>1920樟樹灣分行</v>
          </cell>
          <cell r="D81">
            <v>4</v>
          </cell>
          <cell r="E81">
            <v>0</v>
          </cell>
          <cell r="F81">
            <v>0.5</v>
          </cell>
        </row>
        <row r="82">
          <cell r="B82" t="str">
            <v>193</v>
          </cell>
          <cell r="C82" t="str">
            <v>1930泰山分行</v>
          </cell>
          <cell r="D82">
            <v>2</v>
          </cell>
          <cell r="E82">
            <v>0</v>
          </cell>
          <cell r="F82">
            <v>0</v>
          </cell>
        </row>
        <row r="83">
          <cell r="B83" t="str">
            <v>194</v>
          </cell>
          <cell r="C83" t="str">
            <v>1940三峽分行</v>
          </cell>
          <cell r="D83">
            <v>1</v>
          </cell>
          <cell r="E83">
            <v>1</v>
          </cell>
          <cell r="F83">
            <v>0.5</v>
          </cell>
        </row>
        <row r="84">
          <cell r="B84" t="str">
            <v>195</v>
          </cell>
          <cell r="C84" t="str">
            <v>1950文山分行</v>
          </cell>
          <cell r="D84">
            <v>1</v>
          </cell>
          <cell r="E84">
            <v>0</v>
          </cell>
          <cell r="F84">
            <v>0</v>
          </cell>
        </row>
        <row r="85">
          <cell r="B85" t="str">
            <v>196</v>
          </cell>
          <cell r="C85" t="str">
            <v>1960鶯歌分行</v>
          </cell>
          <cell r="D85">
            <v>2</v>
          </cell>
          <cell r="E85">
            <v>0</v>
          </cell>
          <cell r="F85">
            <v>0</v>
          </cell>
        </row>
        <row r="86">
          <cell r="B86" t="str">
            <v>200</v>
          </cell>
          <cell r="C86" t="str">
            <v>2000基隆分行</v>
          </cell>
          <cell r="D86">
            <v>3</v>
          </cell>
          <cell r="E86">
            <v>0</v>
          </cell>
          <cell r="F86">
            <v>0.5</v>
          </cell>
        </row>
        <row r="87">
          <cell r="B87" t="str">
            <v>201</v>
          </cell>
          <cell r="C87" t="str">
            <v>2010基隆港口分行</v>
          </cell>
          <cell r="D87">
            <v>3</v>
          </cell>
          <cell r="E87">
            <v>0</v>
          </cell>
          <cell r="F87">
            <v>0</v>
          </cell>
        </row>
        <row r="88">
          <cell r="B88" t="str">
            <v>211</v>
          </cell>
          <cell r="C88" t="str">
            <v>2110七堵分行</v>
          </cell>
          <cell r="D88">
            <v>2</v>
          </cell>
          <cell r="E88">
            <v>0</v>
          </cell>
          <cell r="F88">
            <v>0</v>
          </cell>
        </row>
        <row r="89">
          <cell r="B89" t="str">
            <v>220</v>
          </cell>
          <cell r="C89" t="str">
            <v>2200羅東分行</v>
          </cell>
          <cell r="D89">
            <v>3</v>
          </cell>
          <cell r="E89">
            <v>0</v>
          </cell>
          <cell r="F89">
            <v>0.5</v>
          </cell>
        </row>
        <row r="90">
          <cell r="B90" t="str">
            <v>221</v>
          </cell>
          <cell r="C90" t="str">
            <v>2210宜蘭分行</v>
          </cell>
          <cell r="D90">
            <v>2</v>
          </cell>
          <cell r="E90">
            <v>0</v>
          </cell>
          <cell r="F90">
            <v>0</v>
          </cell>
        </row>
        <row r="91">
          <cell r="B91" t="str">
            <v>240</v>
          </cell>
          <cell r="C91" t="str">
            <v>2400桃園分行</v>
          </cell>
          <cell r="D91">
            <v>3</v>
          </cell>
          <cell r="E91">
            <v>1</v>
          </cell>
          <cell r="F91">
            <v>0.5</v>
          </cell>
        </row>
        <row r="92">
          <cell r="B92" t="str">
            <v>241</v>
          </cell>
          <cell r="C92" t="str">
            <v>2410中壢分行</v>
          </cell>
          <cell r="D92">
            <v>2</v>
          </cell>
          <cell r="E92">
            <v>1</v>
          </cell>
          <cell r="F92">
            <v>0.5</v>
          </cell>
        </row>
        <row r="93">
          <cell r="B93" t="str">
            <v>242</v>
          </cell>
          <cell r="C93" t="str">
            <v>2420楊梅分行</v>
          </cell>
          <cell r="D93">
            <v>2</v>
          </cell>
          <cell r="F93">
            <v>0.5</v>
          </cell>
        </row>
        <row r="94">
          <cell r="B94" t="str">
            <v>243</v>
          </cell>
          <cell r="C94" t="str">
            <v>2430壢昌分行</v>
          </cell>
          <cell r="D94">
            <v>2</v>
          </cell>
          <cell r="E94">
            <v>1</v>
          </cell>
          <cell r="F94">
            <v>0</v>
          </cell>
        </row>
        <row r="95">
          <cell r="B95" t="str">
            <v>244</v>
          </cell>
          <cell r="C95" t="str">
            <v>2440北桃園分行</v>
          </cell>
          <cell r="D95">
            <v>2</v>
          </cell>
          <cell r="E95">
            <v>0</v>
          </cell>
          <cell r="F95">
            <v>0</v>
          </cell>
        </row>
        <row r="96">
          <cell r="B96" t="str">
            <v>245</v>
          </cell>
          <cell r="C96" t="str">
            <v>2450南崁分行</v>
          </cell>
          <cell r="D96">
            <v>2</v>
          </cell>
          <cell r="E96">
            <v>0</v>
          </cell>
          <cell r="F96">
            <v>0.5</v>
          </cell>
        </row>
        <row r="97">
          <cell r="B97" t="str">
            <v>246</v>
          </cell>
          <cell r="C97" t="str">
            <v>2460平鎮分行</v>
          </cell>
          <cell r="D97">
            <v>1</v>
          </cell>
          <cell r="E97">
            <v>0</v>
          </cell>
          <cell r="F97">
            <v>0</v>
          </cell>
        </row>
        <row r="98">
          <cell r="B98" t="str">
            <v>247</v>
          </cell>
          <cell r="C98" t="str">
            <v>2470八德分行</v>
          </cell>
          <cell r="D98">
            <v>3</v>
          </cell>
          <cell r="E98">
            <v>0</v>
          </cell>
          <cell r="F98">
            <v>0</v>
          </cell>
        </row>
        <row r="99">
          <cell r="B99" t="str">
            <v>248</v>
          </cell>
          <cell r="C99" t="str">
            <v>2480龜山分行</v>
          </cell>
          <cell r="D99">
            <v>2</v>
          </cell>
          <cell r="E99">
            <v>1</v>
          </cell>
          <cell r="F99">
            <v>0.5</v>
          </cell>
        </row>
        <row r="100">
          <cell r="B100" t="str">
            <v>249</v>
          </cell>
          <cell r="C100" t="str">
            <v>2490龍潭分行</v>
          </cell>
          <cell r="D100">
            <v>1</v>
          </cell>
          <cell r="E100">
            <v>0</v>
          </cell>
          <cell r="F100">
            <v>0.5</v>
          </cell>
        </row>
        <row r="101">
          <cell r="B101" t="str">
            <v>250</v>
          </cell>
          <cell r="C101" t="str">
            <v>2500大溪分行</v>
          </cell>
          <cell r="D101">
            <v>1</v>
          </cell>
          <cell r="E101">
            <v>0</v>
          </cell>
          <cell r="F101">
            <v>1</v>
          </cell>
        </row>
        <row r="102">
          <cell r="B102" t="str">
            <v>251</v>
          </cell>
          <cell r="C102" t="str">
            <v>2510內壢分行</v>
          </cell>
          <cell r="D102">
            <v>1</v>
          </cell>
          <cell r="E102">
            <v>0</v>
          </cell>
          <cell r="F102">
            <v>0</v>
          </cell>
        </row>
        <row r="103">
          <cell r="B103" t="str">
            <v>252</v>
          </cell>
          <cell r="C103" t="str">
            <v>2520林口分行</v>
          </cell>
          <cell r="D103">
            <v>1</v>
          </cell>
          <cell r="E103">
            <v>1</v>
          </cell>
          <cell r="F103">
            <v>0</v>
          </cell>
        </row>
        <row r="104">
          <cell r="B104" t="str">
            <v>260</v>
          </cell>
          <cell r="C104" t="str">
            <v>2600觀音分行</v>
          </cell>
          <cell r="D104">
            <v>2</v>
          </cell>
          <cell r="E104">
            <v>0</v>
          </cell>
          <cell r="F104">
            <v>0.5</v>
          </cell>
        </row>
        <row r="105">
          <cell r="B105" t="str">
            <v>261</v>
          </cell>
          <cell r="C105" t="str">
            <v>2610中正分行</v>
          </cell>
          <cell r="D105">
            <v>1</v>
          </cell>
          <cell r="E105">
            <v>0</v>
          </cell>
          <cell r="F105">
            <v>0</v>
          </cell>
        </row>
        <row r="106">
          <cell r="B106" t="str">
            <v>300</v>
          </cell>
          <cell r="C106" t="str">
            <v>3000新竹分行</v>
          </cell>
          <cell r="D106">
            <v>2</v>
          </cell>
          <cell r="E106">
            <v>1</v>
          </cell>
          <cell r="F106">
            <v>1</v>
          </cell>
        </row>
        <row r="107">
          <cell r="B107" t="str">
            <v>301</v>
          </cell>
          <cell r="C107" t="str">
            <v>3010竹東分行</v>
          </cell>
          <cell r="D107">
            <v>1</v>
          </cell>
          <cell r="E107">
            <v>0</v>
          </cell>
          <cell r="F107">
            <v>0.5</v>
          </cell>
        </row>
        <row r="108">
          <cell r="B108" t="str">
            <v>302</v>
          </cell>
          <cell r="C108" t="str">
            <v>3020竹科分行</v>
          </cell>
          <cell r="D108">
            <v>1</v>
          </cell>
          <cell r="E108">
            <v>1</v>
          </cell>
          <cell r="F108">
            <v>0</v>
          </cell>
        </row>
        <row r="109">
          <cell r="B109" t="str">
            <v>310</v>
          </cell>
          <cell r="C109" t="str">
            <v>3100新豐分行</v>
          </cell>
          <cell r="D109">
            <v>0</v>
          </cell>
          <cell r="E109">
            <v>0</v>
          </cell>
          <cell r="F109">
            <v>0.5</v>
          </cell>
        </row>
        <row r="110">
          <cell r="B110" t="str">
            <v>320</v>
          </cell>
          <cell r="C110" t="str">
            <v>3200竹南分行</v>
          </cell>
          <cell r="D110">
            <v>1</v>
          </cell>
          <cell r="E110">
            <v>0</v>
          </cell>
          <cell r="F110">
            <v>0.5</v>
          </cell>
        </row>
        <row r="111">
          <cell r="B111" t="str">
            <v>321</v>
          </cell>
          <cell r="C111" t="str">
            <v>3210頭份分行</v>
          </cell>
          <cell r="D111">
            <v>2</v>
          </cell>
          <cell r="E111">
            <v>0</v>
          </cell>
          <cell r="F111">
            <v>1</v>
          </cell>
        </row>
        <row r="112">
          <cell r="B112" t="str">
            <v>322</v>
          </cell>
          <cell r="C112" t="str">
            <v>3220苗栗分行</v>
          </cell>
          <cell r="D112">
            <v>1</v>
          </cell>
          <cell r="E112">
            <v>0</v>
          </cell>
          <cell r="F112">
            <v>0.5</v>
          </cell>
        </row>
        <row r="113">
          <cell r="B113" t="str">
            <v>323</v>
          </cell>
          <cell r="C113" t="str">
            <v>3230竹北分行</v>
          </cell>
          <cell r="D113">
            <v>2</v>
          </cell>
          <cell r="E113">
            <v>1</v>
          </cell>
          <cell r="F113">
            <v>1</v>
          </cell>
        </row>
        <row r="114">
          <cell r="B114" t="str">
            <v>351</v>
          </cell>
          <cell r="C114" t="str">
            <v>3510大眾分行</v>
          </cell>
          <cell r="E114">
            <v>2</v>
          </cell>
          <cell r="F114">
            <v>0</v>
          </cell>
        </row>
        <row r="115">
          <cell r="B115" t="str">
            <v>400</v>
          </cell>
          <cell r="C115" t="str">
            <v>4000豐原分行</v>
          </cell>
          <cell r="D115">
            <v>3</v>
          </cell>
          <cell r="E115">
            <v>0</v>
          </cell>
          <cell r="F115">
            <v>0.5</v>
          </cell>
        </row>
        <row r="116">
          <cell r="B116" t="str">
            <v>401</v>
          </cell>
          <cell r="C116" t="str">
            <v>4010東勢分行</v>
          </cell>
          <cell r="D116">
            <v>0</v>
          </cell>
          <cell r="E116">
            <v>1</v>
          </cell>
          <cell r="F116">
            <v>0.5</v>
          </cell>
        </row>
        <row r="117">
          <cell r="B117" t="str">
            <v>402</v>
          </cell>
          <cell r="C117" t="str">
            <v>4020清水分行</v>
          </cell>
          <cell r="D117">
            <v>2</v>
          </cell>
          <cell r="E117">
            <v>0</v>
          </cell>
          <cell r="F117">
            <v>0.5</v>
          </cell>
        </row>
        <row r="118">
          <cell r="B118" t="str">
            <v>403</v>
          </cell>
          <cell r="C118" t="str">
            <v>4030西豐原分行</v>
          </cell>
          <cell r="D118">
            <v>3</v>
          </cell>
          <cell r="E118">
            <v>0</v>
          </cell>
          <cell r="F118">
            <v>0.5</v>
          </cell>
        </row>
        <row r="119">
          <cell r="B119" t="str">
            <v>420</v>
          </cell>
          <cell r="C119" t="str">
            <v>4200台中分行</v>
          </cell>
          <cell r="D119">
            <v>4</v>
          </cell>
          <cell r="E119">
            <v>0</v>
          </cell>
          <cell r="F119">
            <v>1</v>
          </cell>
        </row>
        <row r="120">
          <cell r="B120" t="str">
            <v>421</v>
          </cell>
          <cell r="C120" t="str">
            <v>4210台中民族路分行</v>
          </cell>
          <cell r="D120">
            <v>3</v>
          </cell>
          <cell r="E120">
            <v>0</v>
          </cell>
          <cell r="F120">
            <v>0.5</v>
          </cell>
        </row>
        <row r="121">
          <cell r="B121" t="str">
            <v>422</v>
          </cell>
          <cell r="C121" t="str">
            <v>4220南台中分行</v>
          </cell>
          <cell r="D121">
            <v>3</v>
          </cell>
          <cell r="E121">
            <v>0</v>
          </cell>
          <cell r="F121">
            <v>1</v>
          </cell>
        </row>
        <row r="122">
          <cell r="B122" t="str">
            <v>423</v>
          </cell>
          <cell r="C122" t="str">
            <v>4230北台中分行</v>
          </cell>
          <cell r="D122">
            <v>3</v>
          </cell>
          <cell r="E122">
            <v>0</v>
          </cell>
          <cell r="F122">
            <v>0.5</v>
          </cell>
        </row>
        <row r="123">
          <cell r="B123" t="str">
            <v>424</v>
          </cell>
          <cell r="C123" t="str">
            <v>4240台中港路分行</v>
          </cell>
          <cell r="D123">
            <v>0</v>
          </cell>
          <cell r="E123">
            <v>2</v>
          </cell>
          <cell r="F123">
            <v>0.5</v>
          </cell>
        </row>
        <row r="124">
          <cell r="B124" t="str">
            <v>425</v>
          </cell>
          <cell r="C124" t="str">
            <v>4250大里分行</v>
          </cell>
          <cell r="D124">
            <v>3</v>
          </cell>
          <cell r="E124">
            <v>0</v>
          </cell>
          <cell r="F124">
            <v>0.5</v>
          </cell>
        </row>
        <row r="125">
          <cell r="B125" t="str">
            <v>426</v>
          </cell>
          <cell r="C125" t="str">
            <v>426水湳分行</v>
          </cell>
          <cell r="D125">
            <v>4</v>
          </cell>
          <cell r="E125">
            <v>0</v>
          </cell>
          <cell r="F125">
            <v>0.5</v>
          </cell>
        </row>
        <row r="126">
          <cell r="B126" t="str">
            <v>427</v>
          </cell>
          <cell r="C126" t="str">
            <v>4270五權分行</v>
          </cell>
          <cell r="D126">
            <v>2</v>
          </cell>
          <cell r="E126">
            <v>0</v>
          </cell>
          <cell r="F126">
            <v>0.5</v>
          </cell>
        </row>
        <row r="127">
          <cell r="B127" t="str">
            <v>429</v>
          </cell>
          <cell r="C127" t="str">
            <v>4290大甲分行</v>
          </cell>
          <cell r="D127">
            <v>1</v>
          </cell>
          <cell r="E127">
            <v>0</v>
          </cell>
          <cell r="F127">
            <v>0.5</v>
          </cell>
        </row>
        <row r="128">
          <cell r="B128" t="str">
            <v>430</v>
          </cell>
          <cell r="C128" t="str">
            <v>4300太平分行</v>
          </cell>
          <cell r="D128">
            <v>1</v>
          </cell>
          <cell r="E128">
            <v>0</v>
          </cell>
          <cell r="F128">
            <v>0</v>
          </cell>
        </row>
        <row r="129">
          <cell r="B129" t="str">
            <v>451</v>
          </cell>
          <cell r="C129" t="str">
            <v>4510沙鹿分行</v>
          </cell>
          <cell r="D129">
            <v>2</v>
          </cell>
          <cell r="E129">
            <v>0</v>
          </cell>
          <cell r="F129">
            <v>0.5</v>
          </cell>
        </row>
        <row r="130">
          <cell r="B130" t="str">
            <v>500</v>
          </cell>
          <cell r="C130" t="str">
            <v>5000草屯分行</v>
          </cell>
          <cell r="D130">
            <v>3</v>
          </cell>
          <cell r="E130">
            <v>0</v>
          </cell>
          <cell r="F130">
            <v>0.5</v>
          </cell>
        </row>
        <row r="131">
          <cell r="B131" t="str">
            <v>501</v>
          </cell>
          <cell r="C131" t="str">
            <v>5010南投分行</v>
          </cell>
          <cell r="D131">
            <v>3</v>
          </cell>
          <cell r="E131">
            <v>0</v>
          </cell>
          <cell r="F131">
            <v>0.5</v>
          </cell>
        </row>
        <row r="132">
          <cell r="B132" t="str">
            <v>520</v>
          </cell>
          <cell r="C132" t="str">
            <v>5200彰化分行</v>
          </cell>
          <cell r="D132">
            <v>3</v>
          </cell>
          <cell r="E132">
            <v>1</v>
          </cell>
          <cell r="F132">
            <v>0.5</v>
          </cell>
        </row>
        <row r="133">
          <cell r="B133" t="str">
            <v>521</v>
          </cell>
          <cell r="C133" t="str">
            <v>5210和美分行</v>
          </cell>
          <cell r="D133">
            <v>4</v>
          </cell>
          <cell r="E133">
            <v>0</v>
          </cell>
          <cell r="F133">
            <v>1</v>
          </cell>
        </row>
        <row r="134">
          <cell r="B134" t="str">
            <v>522</v>
          </cell>
          <cell r="C134" t="str">
            <v>5220員林分行</v>
          </cell>
          <cell r="D134">
            <v>3</v>
          </cell>
          <cell r="F134">
            <v>1</v>
          </cell>
        </row>
        <row r="135">
          <cell r="B135" t="str">
            <v>523</v>
          </cell>
          <cell r="C135" t="str">
            <v>5230鹿港分行</v>
          </cell>
          <cell r="D135">
            <v>3</v>
          </cell>
          <cell r="E135">
            <v>0</v>
          </cell>
          <cell r="F135">
            <v>0.5</v>
          </cell>
        </row>
        <row r="136">
          <cell r="B136" t="str">
            <v>524</v>
          </cell>
          <cell r="C136" t="str">
            <v>5240溪湖分行</v>
          </cell>
          <cell r="D136">
            <v>2</v>
          </cell>
          <cell r="F136">
            <v>0</v>
          </cell>
        </row>
        <row r="137">
          <cell r="B137" t="str">
            <v>540</v>
          </cell>
          <cell r="C137" t="str">
            <v>5400斗六分行</v>
          </cell>
          <cell r="D137">
            <v>2</v>
          </cell>
          <cell r="E137">
            <v>1</v>
          </cell>
          <cell r="F137">
            <v>0.5</v>
          </cell>
        </row>
        <row r="138">
          <cell r="B138" t="str">
            <v>541</v>
          </cell>
          <cell r="C138" t="str">
            <v>5410虎尾分行</v>
          </cell>
          <cell r="D138">
            <v>1</v>
          </cell>
          <cell r="E138">
            <v>0</v>
          </cell>
          <cell r="F138">
            <v>0.5</v>
          </cell>
        </row>
        <row r="139">
          <cell r="B139" t="str">
            <v>542</v>
          </cell>
          <cell r="C139" t="str">
            <v>5420西螺分行</v>
          </cell>
          <cell r="D139">
            <v>1</v>
          </cell>
          <cell r="E139">
            <v>0</v>
          </cell>
          <cell r="F139">
            <v>0</v>
          </cell>
        </row>
        <row r="140">
          <cell r="B140" t="str">
            <v>543</v>
          </cell>
          <cell r="C140" t="str">
            <v>5430北港分行</v>
          </cell>
          <cell r="D140">
            <v>1</v>
          </cell>
          <cell r="F140">
            <v>0</v>
          </cell>
        </row>
        <row r="141">
          <cell r="B141" t="str">
            <v>600</v>
          </cell>
          <cell r="C141" t="str">
            <v>6000嘉義分行</v>
          </cell>
          <cell r="D141">
            <v>4</v>
          </cell>
          <cell r="E141">
            <v>0</v>
          </cell>
          <cell r="F141">
            <v>0.5</v>
          </cell>
        </row>
        <row r="142">
          <cell r="B142" t="str">
            <v>601</v>
          </cell>
          <cell r="C142" t="str">
            <v>6010嘉南分行</v>
          </cell>
          <cell r="D142">
            <v>2</v>
          </cell>
          <cell r="E142">
            <v>1</v>
          </cell>
          <cell r="F142">
            <v>0.5</v>
          </cell>
        </row>
        <row r="143">
          <cell r="B143" t="str">
            <v>602</v>
          </cell>
          <cell r="C143" t="str">
            <v>6020朴子分行</v>
          </cell>
          <cell r="D143">
            <v>1</v>
          </cell>
          <cell r="E143">
            <v>0</v>
          </cell>
          <cell r="F143">
            <v>0</v>
          </cell>
        </row>
        <row r="144">
          <cell r="B144" t="str">
            <v>620</v>
          </cell>
          <cell r="C144" t="str">
            <v>6200新營分行</v>
          </cell>
          <cell r="D144">
            <v>1</v>
          </cell>
          <cell r="E144">
            <v>0</v>
          </cell>
          <cell r="F144">
            <v>0.5</v>
          </cell>
        </row>
        <row r="145">
          <cell r="B145" t="str">
            <v>621</v>
          </cell>
          <cell r="C145" t="str">
            <v>6210麻豆分行</v>
          </cell>
          <cell r="D145">
            <v>3</v>
          </cell>
          <cell r="E145">
            <v>0</v>
          </cell>
          <cell r="F145">
            <v>0.5</v>
          </cell>
        </row>
        <row r="146">
          <cell r="B146" t="str">
            <v>622</v>
          </cell>
          <cell r="C146" t="str">
            <v>6220永康分行</v>
          </cell>
          <cell r="D146">
            <v>2</v>
          </cell>
          <cell r="E146">
            <v>0</v>
          </cell>
          <cell r="F146">
            <v>0.5</v>
          </cell>
        </row>
        <row r="147">
          <cell r="B147" t="str">
            <v>640</v>
          </cell>
          <cell r="C147" t="str">
            <v>6400台南分行</v>
          </cell>
          <cell r="D147">
            <v>4</v>
          </cell>
          <cell r="E147">
            <v>1</v>
          </cell>
          <cell r="F147">
            <v>1</v>
          </cell>
        </row>
        <row r="148">
          <cell r="B148" t="str">
            <v>642</v>
          </cell>
          <cell r="C148" t="str">
            <v>6420東台南分行</v>
          </cell>
          <cell r="D148">
            <v>2</v>
          </cell>
          <cell r="E148">
            <v>0</v>
          </cell>
          <cell r="F148">
            <v>0.5</v>
          </cell>
        </row>
        <row r="149">
          <cell r="B149" t="str">
            <v>643</v>
          </cell>
          <cell r="C149" t="str">
            <v>6430西台南分行</v>
          </cell>
          <cell r="D149">
            <v>2</v>
          </cell>
          <cell r="E149">
            <v>1</v>
          </cell>
          <cell r="F149">
            <v>0.5</v>
          </cell>
        </row>
        <row r="150">
          <cell r="B150" t="str">
            <v>644</v>
          </cell>
          <cell r="C150" t="str">
            <v>6440北台南分行</v>
          </cell>
          <cell r="D150">
            <v>1</v>
          </cell>
          <cell r="E150">
            <v>2</v>
          </cell>
          <cell r="F150">
            <v>0.5</v>
          </cell>
        </row>
        <row r="151">
          <cell r="B151" t="str">
            <v>645</v>
          </cell>
          <cell r="C151" t="str">
            <v>6450南都分行</v>
          </cell>
          <cell r="D151">
            <v>2</v>
          </cell>
          <cell r="E151">
            <v>0</v>
          </cell>
          <cell r="F151">
            <v>0.5</v>
          </cell>
        </row>
        <row r="152">
          <cell r="B152" t="str">
            <v>646</v>
          </cell>
          <cell r="C152" t="str">
            <v>6460安南分行</v>
          </cell>
          <cell r="D152">
            <v>2</v>
          </cell>
          <cell r="E152">
            <v>0</v>
          </cell>
          <cell r="F152">
            <v>0</v>
          </cell>
        </row>
        <row r="153">
          <cell r="B153" t="str">
            <v>647</v>
          </cell>
          <cell r="C153" t="str">
            <v>6470仁德分行</v>
          </cell>
          <cell r="D153">
            <v>2</v>
          </cell>
          <cell r="E153">
            <v>0</v>
          </cell>
          <cell r="F153">
            <v>1</v>
          </cell>
        </row>
        <row r="154">
          <cell r="B154" t="str">
            <v>648</v>
          </cell>
          <cell r="C154" t="str">
            <v>6480新市分行</v>
          </cell>
          <cell r="D154">
            <v>1</v>
          </cell>
          <cell r="F154">
            <v>0</v>
          </cell>
        </row>
        <row r="155">
          <cell r="B155" t="str">
            <v>681</v>
          </cell>
          <cell r="C155" t="str">
            <v>6810金華分行</v>
          </cell>
          <cell r="D155">
            <v>2</v>
          </cell>
          <cell r="E155">
            <v>2</v>
          </cell>
          <cell r="F155">
            <v>0.5</v>
          </cell>
        </row>
        <row r="156">
          <cell r="B156" t="str">
            <v>700</v>
          </cell>
          <cell r="C156" t="str">
            <v>7000高雄分行</v>
          </cell>
          <cell r="D156">
            <v>2</v>
          </cell>
          <cell r="E156">
            <v>2</v>
          </cell>
          <cell r="F156">
            <v>1</v>
          </cell>
        </row>
        <row r="157">
          <cell r="B157" t="str">
            <v>701</v>
          </cell>
          <cell r="C157" t="str">
            <v>7010東苓分行</v>
          </cell>
          <cell r="D157">
            <v>0</v>
          </cell>
          <cell r="E157">
            <v>1</v>
          </cell>
          <cell r="F157">
            <v>0.5</v>
          </cell>
        </row>
        <row r="158">
          <cell r="B158" t="str">
            <v>702</v>
          </cell>
          <cell r="C158" t="str">
            <v>7020新興分行</v>
          </cell>
          <cell r="D158">
            <v>2</v>
          </cell>
          <cell r="E158">
            <v>1</v>
          </cell>
          <cell r="F158">
            <v>0.5</v>
          </cell>
        </row>
        <row r="159">
          <cell r="B159" t="str">
            <v>703</v>
          </cell>
          <cell r="C159" t="str">
            <v>7030高雄三民分行</v>
          </cell>
          <cell r="D159">
            <v>2</v>
          </cell>
          <cell r="E159">
            <v>1</v>
          </cell>
          <cell r="F159">
            <v>0.5</v>
          </cell>
        </row>
        <row r="160">
          <cell r="B160" t="str">
            <v>704</v>
          </cell>
          <cell r="C160" t="str">
            <v>7040苓雅分行</v>
          </cell>
          <cell r="D160">
            <v>2</v>
          </cell>
          <cell r="E160">
            <v>0</v>
          </cell>
          <cell r="F160">
            <v>0.5</v>
          </cell>
        </row>
        <row r="161">
          <cell r="B161" t="str">
            <v>705</v>
          </cell>
          <cell r="C161" t="str">
            <v>7052前鎮分行</v>
          </cell>
          <cell r="D161">
            <v>2</v>
          </cell>
          <cell r="E161">
            <v>0</v>
          </cell>
          <cell r="F161">
            <v>0.5</v>
          </cell>
        </row>
        <row r="162">
          <cell r="B162" t="str">
            <v>706</v>
          </cell>
          <cell r="C162" t="str">
            <v>7060高雄博愛分行</v>
          </cell>
          <cell r="D162">
            <v>2</v>
          </cell>
          <cell r="E162">
            <v>0</v>
          </cell>
          <cell r="F162">
            <v>0.5</v>
          </cell>
        </row>
        <row r="163">
          <cell r="B163" t="str">
            <v>707</v>
          </cell>
          <cell r="C163" t="str">
            <v>7078南高雄分行</v>
          </cell>
          <cell r="D163">
            <v>1</v>
          </cell>
          <cell r="E163">
            <v>1</v>
          </cell>
          <cell r="F163">
            <v>0.5</v>
          </cell>
        </row>
        <row r="164">
          <cell r="B164" t="str">
            <v>708</v>
          </cell>
          <cell r="C164" t="str">
            <v>7080東高雄分行</v>
          </cell>
          <cell r="D164">
            <v>1</v>
          </cell>
          <cell r="E164">
            <v>1</v>
          </cell>
          <cell r="F164">
            <v>0.5</v>
          </cell>
        </row>
        <row r="165">
          <cell r="B165" t="str">
            <v>709</v>
          </cell>
          <cell r="C165" t="str">
            <v>7090大昌分行</v>
          </cell>
          <cell r="D165">
            <v>2</v>
          </cell>
          <cell r="E165">
            <v>0</v>
          </cell>
          <cell r="F165">
            <v>0.5</v>
          </cell>
        </row>
        <row r="166">
          <cell r="B166" t="str">
            <v>710</v>
          </cell>
          <cell r="C166" t="str">
            <v>7100北高雄分行</v>
          </cell>
          <cell r="D166">
            <v>3</v>
          </cell>
          <cell r="E166">
            <v>0</v>
          </cell>
          <cell r="F166">
            <v>1</v>
          </cell>
        </row>
        <row r="167">
          <cell r="B167" t="str">
            <v>711</v>
          </cell>
          <cell r="C167" t="str">
            <v>7110楠梓分行</v>
          </cell>
          <cell r="D167">
            <v>2</v>
          </cell>
          <cell r="E167">
            <v>0</v>
          </cell>
          <cell r="F167">
            <v>1</v>
          </cell>
        </row>
        <row r="168">
          <cell r="B168" t="str">
            <v>719</v>
          </cell>
          <cell r="C168" t="str">
            <v>7190岡山分行</v>
          </cell>
          <cell r="D168">
            <v>4</v>
          </cell>
          <cell r="E168">
            <v>0</v>
          </cell>
          <cell r="F168">
            <v>0.5</v>
          </cell>
        </row>
        <row r="169">
          <cell r="B169" t="str">
            <v>720</v>
          </cell>
          <cell r="C169" t="str">
            <v>7200鳳山分行</v>
          </cell>
          <cell r="D169">
            <v>1</v>
          </cell>
          <cell r="E169">
            <v>0</v>
          </cell>
          <cell r="F169">
            <v>0.5</v>
          </cell>
        </row>
        <row r="170">
          <cell r="B170" t="str">
            <v>721</v>
          </cell>
          <cell r="C170" t="str">
            <v>7210路竹分行</v>
          </cell>
          <cell r="D170">
            <v>1</v>
          </cell>
          <cell r="E170">
            <v>0</v>
          </cell>
          <cell r="F170">
            <v>0.5</v>
          </cell>
        </row>
        <row r="171">
          <cell r="B171" t="str">
            <v>750</v>
          </cell>
          <cell r="C171" t="str">
            <v>7500大順分行</v>
          </cell>
          <cell r="D171">
            <v>1</v>
          </cell>
          <cell r="E171">
            <v>0</v>
          </cell>
          <cell r="F171">
            <v>0</v>
          </cell>
        </row>
        <row r="172">
          <cell r="B172" t="str">
            <v>751</v>
          </cell>
          <cell r="C172" t="str">
            <v>7510籬仔內分行</v>
          </cell>
          <cell r="D172">
            <v>2</v>
          </cell>
          <cell r="E172">
            <v>0</v>
          </cell>
          <cell r="F172">
            <v>0.5</v>
          </cell>
        </row>
        <row r="173">
          <cell r="B173" t="str">
            <v>752</v>
          </cell>
          <cell r="C173" t="str">
            <v>7520五甲分行</v>
          </cell>
          <cell r="D173">
            <v>2</v>
          </cell>
          <cell r="E173">
            <v>0</v>
          </cell>
          <cell r="F173">
            <v>0.5</v>
          </cell>
        </row>
        <row r="174">
          <cell r="B174" t="str">
            <v>753</v>
          </cell>
          <cell r="C174" t="str">
            <v>7530光華分行</v>
          </cell>
          <cell r="D174">
            <v>2</v>
          </cell>
          <cell r="E174">
            <v>0</v>
          </cell>
          <cell r="F174">
            <v>1</v>
          </cell>
        </row>
        <row r="175">
          <cell r="B175" t="str">
            <v>760</v>
          </cell>
          <cell r="C175" t="str">
            <v>7600小港分行</v>
          </cell>
          <cell r="D175">
            <v>2</v>
          </cell>
          <cell r="F175">
            <v>1</v>
          </cell>
        </row>
        <row r="176">
          <cell r="B176" t="str">
            <v>765</v>
          </cell>
          <cell r="C176" t="str">
            <v>7650桂林分行</v>
          </cell>
          <cell r="D176">
            <v>1</v>
          </cell>
          <cell r="E176">
            <v>0</v>
          </cell>
          <cell r="F176">
            <v>0</v>
          </cell>
        </row>
        <row r="177">
          <cell r="B177" t="str">
            <v>800</v>
          </cell>
          <cell r="C177" t="str">
            <v>8000屏東分行</v>
          </cell>
          <cell r="D177">
            <v>2</v>
          </cell>
          <cell r="F177">
            <v>1</v>
          </cell>
        </row>
        <row r="178">
          <cell r="B178" t="str">
            <v>801</v>
          </cell>
          <cell r="C178" t="str">
            <v>8010內埔分行</v>
          </cell>
          <cell r="D178">
            <v>1</v>
          </cell>
          <cell r="E178">
            <v>0</v>
          </cell>
          <cell r="F178">
            <v>0.5</v>
          </cell>
        </row>
        <row r="179">
          <cell r="B179" t="str">
            <v>802</v>
          </cell>
          <cell r="C179" t="str">
            <v>8020潮州分行</v>
          </cell>
          <cell r="D179">
            <v>2</v>
          </cell>
          <cell r="E179">
            <v>0</v>
          </cell>
          <cell r="F179">
            <v>0.5</v>
          </cell>
        </row>
        <row r="180">
          <cell r="B180" t="str">
            <v>810</v>
          </cell>
          <cell r="C180" t="str">
            <v>8100竹田分行</v>
          </cell>
          <cell r="D180">
            <v>2</v>
          </cell>
          <cell r="E180">
            <v>0</v>
          </cell>
          <cell r="F180">
            <v>1</v>
          </cell>
        </row>
        <row r="181">
          <cell r="B181" t="str">
            <v>813</v>
          </cell>
          <cell r="C181" t="str">
            <v>8130佳冬分行</v>
          </cell>
          <cell r="D181">
            <v>2</v>
          </cell>
          <cell r="E181">
            <v>2</v>
          </cell>
          <cell r="F181">
            <v>1</v>
          </cell>
        </row>
        <row r="182">
          <cell r="B182" t="str">
            <v>820</v>
          </cell>
          <cell r="C182" t="str">
            <v>8200花蓮分行</v>
          </cell>
          <cell r="D182">
            <v>2</v>
          </cell>
          <cell r="E182">
            <v>0</v>
          </cell>
          <cell r="F182">
            <v>0.5</v>
          </cell>
        </row>
        <row r="183">
          <cell r="B183" t="str">
            <v>830</v>
          </cell>
          <cell r="C183" t="str">
            <v>8300台東分行</v>
          </cell>
          <cell r="D183">
            <v>1</v>
          </cell>
          <cell r="E183">
            <v>0</v>
          </cell>
          <cell r="F183">
            <v>0.5</v>
          </cell>
        </row>
      </sheetData>
      <sheetData sheetId="2" refreshError="1"/>
      <sheetData sheetId="3" refreshError="1"/>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6貸放大額"/>
      <sheetName val="95下期初稿"/>
      <sheetName val="定額分配表"/>
      <sheetName val="外幣95-5"/>
      <sheetName val="轉摧收"/>
      <sheetName val="OBU餘額"/>
      <sheetName val="ao人數"/>
      <sheetName val="近3年平均餘額"/>
      <sheetName val="新單位表"/>
      <sheetName val="轉催收明細"/>
      <sheetName val="達成率表"/>
      <sheetName val="外匯指定單位"/>
      <sheetName val="行員數"/>
      <sheetName val="95-5"/>
    </sheetNames>
    <sheetDataSet>
      <sheetData sheetId="0"/>
      <sheetData sheetId="1"/>
      <sheetData sheetId="2" refreshError="1">
        <row r="5">
          <cell r="C5">
            <v>0</v>
          </cell>
          <cell r="D5">
            <v>70</v>
          </cell>
        </row>
        <row r="6">
          <cell r="C6">
            <v>1000</v>
          </cell>
          <cell r="D6">
            <v>100</v>
          </cell>
        </row>
        <row r="7">
          <cell r="C7">
            <v>2000</v>
          </cell>
          <cell r="D7">
            <v>130</v>
          </cell>
        </row>
        <row r="8">
          <cell r="C8">
            <v>3000</v>
          </cell>
          <cell r="D8">
            <v>150</v>
          </cell>
        </row>
        <row r="9">
          <cell r="C9">
            <v>4000</v>
          </cell>
          <cell r="D9">
            <v>180</v>
          </cell>
        </row>
        <row r="10">
          <cell r="C10">
            <v>5000</v>
          </cell>
          <cell r="D10">
            <v>200</v>
          </cell>
        </row>
        <row r="11">
          <cell r="C11">
            <v>6000</v>
          </cell>
          <cell r="D11">
            <v>230</v>
          </cell>
        </row>
        <row r="12">
          <cell r="C12">
            <v>7000</v>
          </cell>
          <cell r="D12">
            <v>260</v>
          </cell>
        </row>
        <row r="13">
          <cell r="C13">
            <v>10000</v>
          </cell>
          <cell r="D13">
            <v>290</v>
          </cell>
        </row>
        <row r="14">
          <cell r="C14">
            <v>15000</v>
          </cell>
          <cell r="D14">
            <v>320</v>
          </cell>
        </row>
        <row r="15">
          <cell r="C15">
            <v>20000</v>
          </cell>
          <cell r="D15">
            <v>350</v>
          </cell>
        </row>
      </sheetData>
      <sheetData sheetId="3"/>
      <sheetData sheetId="4"/>
      <sheetData sheetId="5"/>
      <sheetData sheetId="6" refreshError="1">
        <row r="5">
          <cell r="B5">
            <v>100</v>
          </cell>
          <cell r="C5" t="str">
            <v>100營業部</v>
          </cell>
          <cell r="D5">
            <v>6</v>
          </cell>
          <cell r="E5">
            <v>2</v>
          </cell>
          <cell r="F5">
            <v>0</v>
          </cell>
        </row>
        <row r="6">
          <cell r="B6">
            <v>101</v>
          </cell>
          <cell r="C6" t="str">
            <v>1010儲蓄分行</v>
          </cell>
          <cell r="D6">
            <v>2</v>
          </cell>
          <cell r="E6">
            <v>1</v>
          </cell>
          <cell r="F6">
            <v>0</v>
          </cell>
        </row>
        <row r="7">
          <cell r="B7">
            <v>103</v>
          </cell>
          <cell r="C7" t="str">
            <v>1030城內分行</v>
          </cell>
          <cell r="D7">
            <v>2</v>
          </cell>
          <cell r="E7">
            <v>1</v>
          </cell>
          <cell r="F7">
            <v>0</v>
          </cell>
        </row>
        <row r="8">
          <cell r="B8">
            <v>104</v>
          </cell>
          <cell r="C8" t="str">
            <v>1040大稻埕分行</v>
          </cell>
          <cell r="D8">
            <v>5</v>
          </cell>
          <cell r="E8">
            <v>1</v>
          </cell>
          <cell r="F8">
            <v>1</v>
          </cell>
        </row>
        <row r="9">
          <cell r="B9">
            <v>105</v>
          </cell>
          <cell r="C9" t="str">
            <v>1050建成分行</v>
          </cell>
          <cell r="D9">
            <v>2</v>
          </cell>
          <cell r="E9">
            <v>1</v>
          </cell>
          <cell r="F9">
            <v>0</v>
          </cell>
        </row>
        <row r="10">
          <cell r="B10">
            <v>106</v>
          </cell>
          <cell r="C10" t="str">
            <v>1060中山分行</v>
          </cell>
          <cell r="D10">
            <v>5</v>
          </cell>
          <cell r="E10">
            <v>2</v>
          </cell>
          <cell r="F10">
            <v>0</v>
          </cell>
        </row>
        <row r="11">
          <cell r="B11">
            <v>107</v>
          </cell>
          <cell r="C11" t="str">
            <v>1070圓山分行</v>
          </cell>
          <cell r="D11">
            <v>12</v>
          </cell>
          <cell r="E11">
            <v>2</v>
          </cell>
          <cell r="F11">
            <v>0</v>
          </cell>
        </row>
        <row r="12">
          <cell r="B12">
            <v>108</v>
          </cell>
          <cell r="C12" t="str">
            <v>1080城東分行</v>
          </cell>
          <cell r="D12">
            <v>9</v>
          </cell>
          <cell r="E12">
            <v>1</v>
          </cell>
          <cell r="F12">
            <v>0</v>
          </cell>
        </row>
        <row r="13">
          <cell r="B13">
            <v>109</v>
          </cell>
          <cell r="D13">
            <v>4</v>
          </cell>
          <cell r="E13">
            <v>1</v>
          </cell>
          <cell r="F13">
            <v>1</v>
          </cell>
        </row>
        <row r="14">
          <cell r="B14">
            <v>110</v>
          </cell>
          <cell r="C14" t="str">
            <v>1107南松山分行</v>
          </cell>
          <cell r="D14">
            <v>7</v>
          </cell>
          <cell r="E14">
            <v>1</v>
          </cell>
          <cell r="F14">
            <v>0</v>
          </cell>
        </row>
        <row r="15">
          <cell r="B15">
            <v>111</v>
          </cell>
          <cell r="D15">
            <v>6</v>
          </cell>
          <cell r="E15">
            <v>1</v>
          </cell>
          <cell r="F15">
            <v>0</v>
          </cell>
        </row>
        <row r="16">
          <cell r="B16">
            <v>112</v>
          </cell>
          <cell r="C16" t="str">
            <v>1120南京東路分行</v>
          </cell>
          <cell r="D16">
            <v>5</v>
          </cell>
          <cell r="E16">
            <v>2</v>
          </cell>
          <cell r="F16">
            <v>0</v>
          </cell>
        </row>
        <row r="17">
          <cell r="B17">
            <v>113</v>
          </cell>
          <cell r="C17" t="str">
            <v>1130新生分行</v>
          </cell>
          <cell r="D17">
            <v>4</v>
          </cell>
          <cell r="E17">
            <v>1</v>
          </cell>
          <cell r="F17">
            <v>0</v>
          </cell>
        </row>
        <row r="18">
          <cell r="B18">
            <v>114</v>
          </cell>
          <cell r="C18" t="str">
            <v>1140大同分行</v>
          </cell>
          <cell r="D18">
            <v>4</v>
          </cell>
          <cell r="E18">
            <v>1</v>
          </cell>
          <cell r="F18">
            <v>1</v>
          </cell>
        </row>
        <row r="19">
          <cell r="B19">
            <v>115</v>
          </cell>
          <cell r="C19" t="str">
            <v>1150松山分行</v>
          </cell>
          <cell r="D19">
            <v>5</v>
          </cell>
          <cell r="E19">
            <v>1</v>
          </cell>
          <cell r="F19">
            <v>1</v>
          </cell>
        </row>
        <row r="20">
          <cell r="B20">
            <v>116</v>
          </cell>
          <cell r="C20" t="str">
            <v>1160中崙分行</v>
          </cell>
          <cell r="D20">
            <v>3</v>
          </cell>
          <cell r="E20">
            <v>1</v>
          </cell>
          <cell r="F20">
            <v>0</v>
          </cell>
        </row>
        <row r="21">
          <cell r="B21">
            <v>117</v>
          </cell>
          <cell r="C21" t="str">
            <v>1170台北南門分行</v>
          </cell>
          <cell r="D21">
            <v>2</v>
          </cell>
          <cell r="E21">
            <v>1</v>
          </cell>
          <cell r="F21">
            <v>0</v>
          </cell>
        </row>
        <row r="22">
          <cell r="B22">
            <v>118</v>
          </cell>
          <cell r="C22" t="str">
            <v>1180公館分行</v>
          </cell>
          <cell r="D22">
            <v>1</v>
          </cell>
          <cell r="E22">
            <v>1</v>
          </cell>
          <cell r="F22">
            <v>0.5</v>
          </cell>
        </row>
        <row r="23">
          <cell r="B23">
            <v>119</v>
          </cell>
          <cell r="C23" t="str">
            <v>1190信義分行</v>
          </cell>
          <cell r="D23">
            <v>2</v>
          </cell>
          <cell r="E23">
            <v>0</v>
          </cell>
          <cell r="F23">
            <v>0</v>
          </cell>
        </row>
        <row r="24">
          <cell r="B24">
            <v>120</v>
          </cell>
          <cell r="D24">
            <v>4</v>
          </cell>
          <cell r="E24">
            <v>1</v>
          </cell>
          <cell r="F24">
            <v>0</v>
          </cell>
        </row>
        <row r="25">
          <cell r="B25">
            <v>121</v>
          </cell>
          <cell r="C25" t="str">
            <v>1210和平分行</v>
          </cell>
          <cell r="D25">
            <v>3</v>
          </cell>
          <cell r="E25">
            <v>1</v>
          </cell>
          <cell r="F25">
            <v>1</v>
          </cell>
        </row>
        <row r="26">
          <cell r="B26">
            <v>122</v>
          </cell>
          <cell r="C26" t="str">
            <v>1220雙園分行</v>
          </cell>
          <cell r="D26">
            <v>3</v>
          </cell>
          <cell r="E26">
            <v>0</v>
          </cell>
          <cell r="F26">
            <v>0</v>
          </cell>
        </row>
        <row r="27">
          <cell r="B27">
            <v>123</v>
          </cell>
          <cell r="C27" t="str">
            <v>1230士林分行</v>
          </cell>
          <cell r="D27">
            <v>2</v>
          </cell>
          <cell r="E27">
            <v>1</v>
          </cell>
          <cell r="F27">
            <v>0</v>
          </cell>
        </row>
        <row r="28">
          <cell r="B28">
            <v>124</v>
          </cell>
          <cell r="D28">
            <v>3</v>
          </cell>
          <cell r="E28">
            <v>1</v>
          </cell>
          <cell r="F28">
            <v>0</v>
          </cell>
        </row>
        <row r="29">
          <cell r="B29">
            <v>125</v>
          </cell>
          <cell r="D29">
            <v>3</v>
          </cell>
          <cell r="E29">
            <v>1</v>
          </cell>
          <cell r="F29">
            <v>0</v>
          </cell>
        </row>
        <row r="30">
          <cell r="B30">
            <v>126</v>
          </cell>
          <cell r="C30" t="str">
            <v>1260民生分行</v>
          </cell>
          <cell r="D30">
            <v>8</v>
          </cell>
          <cell r="E30">
            <v>1</v>
          </cell>
          <cell r="F30">
            <v>0</v>
          </cell>
        </row>
        <row r="31">
          <cell r="B31">
            <v>127</v>
          </cell>
          <cell r="C31" t="str">
            <v>1270復興分行</v>
          </cell>
          <cell r="D31">
            <v>4</v>
          </cell>
          <cell r="E31">
            <v>0</v>
          </cell>
          <cell r="F31">
            <v>0</v>
          </cell>
        </row>
        <row r="32">
          <cell r="B32">
            <v>128</v>
          </cell>
          <cell r="C32" t="str">
            <v>1280龍江分行</v>
          </cell>
          <cell r="D32">
            <v>1</v>
          </cell>
          <cell r="E32">
            <v>1</v>
          </cell>
          <cell r="F32">
            <v>0</v>
          </cell>
        </row>
        <row r="33">
          <cell r="B33">
            <v>129</v>
          </cell>
          <cell r="C33" t="str">
            <v>1290永吉分行</v>
          </cell>
          <cell r="D33">
            <v>8</v>
          </cell>
          <cell r="E33">
            <v>0</v>
          </cell>
          <cell r="F33">
            <v>1</v>
          </cell>
        </row>
        <row r="34">
          <cell r="B34">
            <v>130</v>
          </cell>
          <cell r="C34" t="str">
            <v>1300敦化分行</v>
          </cell>
          <cell r="D34">
            <v>3</v>
          </cell>
          <cell r="E34">
            <v>1</v>
          </cell>
          <cell r="F34">
            <v>0</v>
          </cell>
        </row>
        <row r="35">
          <cell r="B35">
            <v>131</v>
          </cell>
          <cell r="C35" t="str">
            <v>1310忠興分行</v>
          </cell>
          <cell r="D35">
            <v>2</v>
          </cell>
          <cell r="E35">
            <v>1</v>
          </cell>
          <cell r="F35">
            <v>0</v>
          </cell>
        </row>
        <row r="36">
          <cell r="B36">
            <v>133</v>
          </cell>
          <cell r="C36" t="str">
            <v>1330敦和分行</v>
          </cell>
          <cell r="D36">
            <v>2</v>
          </cell>
          <cell r="E36">
            <v>1</v>
          </cell>
          <cell r="F36">
            <v>0</v>
          </cell>
        </row>
        <row r="37">
          <cell r="B37">
            <v>134</v>
          </cell>
          <cell r="C37" t="str">
            <v>1340東湖分行</v>
          </cell>
          <cell r="D37">
            <v>2</v>
          </cell>
          <cell r="E37">
            <v>1</v>
          </cell>
          <cell r="F37">
            <v>0</v>
          </cell>
        </row>
        <row r="38">
          <cell r="B38">
            <v>136</v>
          </cell>
          <cell r="C38" t="str">
            <v>1360長春分行</v>
          </cell>
          <cell r="D38">
            <v>0</v>
          </cell>
          <cell r="E38">
            <v>0</v>
          </cell>
          <cell r="F38">
            <v>0</v>
          </cell>
        </row>
        <row r="39">
          <cell r="B39">
            <v>137</v>
          </cell>
          <cell r="C39" t="str">
            <v>1370北南港分行</v>
          </cell>
          <cell r="D39">
            <v>2</v>
          </cell>
          <cell r="E39">
            <v>0</v>
          </cell>
          <cell r="F39">
            <v>1</v>
          </cell>
        </row>
        <row r="40">
          <cell r="B40">
            <v>143</v>
          </cell>
          <cell r="C40" t="str">
            <v>1430南內湖分行</v>
          </cell>
          <cell r="D40">
            <v>1</v>
          </cell>
          <cell r="E40">
            <v>0</v>
          </cell>
          <cell r="F40">
            <v>1</v>
          </cell>
        </row>
        <row r="41">
          <cell r="B41">
            <v>145</v>
          </cell>
          <cell r="C41" t="str">
            <v>1450長安分行</v>
          </cell>
          <cell r="D41">
            <v>3</v>
          </cell>
          <cell r="E41">
            <v>0</v>
          </cell>
          <cell r="F41">
            <v>0</v>
          </cell>
        </row>
        <row r="42">
          <cell r="B42">
            <v>147</v>
          </cell>
          <cell r="D42">
            <v>3</v>
          </cell>
          <cell r="E42">
            <v>1</v>
          </cell>
          <cell r="F42">
            <v>0</v>
          </cell>
        </row>
        <row r="43">
          <cell r="B43">
            <v>148</v>
          </cell>
          <cell r="D43">
            <v>2</v>
          </cell>
          <cell r="E43">
            <v>0</v>
          </cell>
          <cell r="F43">
            <v>0</v>
          </cell>
        </row>
        <row r="44">
          <cell r="B44">
            <v>149</v>
          </cell>
          <cell r="C44" t="str">
            <v>1480中華路分行</v>
          </cell>
          <cell r="D44">
            <v>3</v>
          </cell>
          <cell r="E44">
            <v>1</v>
          </cell>
          <cell r="F44">
            <v>1</v>
          </cell>
        </row>
        <row r="45">
          <cell r="B45">
            <v>151</v>
          </cell>
          <cell r="C45" t="str">
            <v>1510埔墘分行</v>
          </cell>
          <cell r="D45">
            <v>3</v>
          </cell>
          <cell r="E45">
            <v>0</v>
          </cell>
          <cell r="F45">
            <v>1</v>
          </cell>
        </row>
        <row r="46">
          <cell r="B46">
            <v>152</v>
          </cell>
          <cell r="C46" t="str">
            <v>1520石牌分行</v>
          </cell>
          <cell r="D46">
            <v>2</v>
          </cell>
          <cell r="E46">
            <v>0</v>
          </cell>
          <cell r="F46">
            <v>0.5</v>
          </cell>
        </row>
        <row r="47">
          <cell r="B47">
            <v>153</v>
          </cell>
          <cell r="D47">
            <v>3</v>
          </cell>
          <cell r="E47">
            <v>0</v>
          </cell>
          <cell r="F47">
            <v>0</v>
          </cell>
        </row>
        <row r="48">
          <cell r="B48">
            <v>154</v>
          </cell>
          <cell r="C48" t="str">
            <v>1540台大分行</v>
          </cell>
          <cell r="D48">
            <v>1</v>
          </cell>
          <cell r="E48">
            <v>0</v>
          </cell>
          <cell r="F48">
            <v>1</v>
          </cell>
        </row>
        <row r="49">
          <cell r="B49">
            <v>156</v>
          </cell>
          <cell r="C49" t="str">
            <v>1560世貿分行</v>
          </cell>
          <cell r="D49">
            <v>2</v>
          </cell>
          <cell r="E49">
            <v>1</v>
          </cell>
          <cell r="F49">
            <v>0</v>
          </cell>
        </row>
        <row r="50">
          <cell r="B50">
            <v>157</v>
          </cell>
          <cell r="C50" t="str">
            <v>1570萬華分行</v>
          </cell>
          <cell r="D50">
            <v>2</v>
          </cell>
          <cell r="E50">
            <v>1</v>
          </cell>
          <cell r="F50">
            <v>0.5</v>
          </cell>
        </row>
        <row r="51">
          <cell r="B51">
            <v>158</v>
          </cell>
          <cell r="C51" t="str">
            <v>1580南港分行</v>
          </cell>
          <cell r="D51">
            <v>3</v>
          </cell>
          <cell r="E51">
            <v>1</v>
          </cell>
          <cell r="F51">
            <v>0</v>
          </cell>
        </row>
        <row r="52">
          <cell r="B52">
            <v>159</v>
          </cell>
          <cell r="C52" t="str">
            <v>1590華江分行</v>
          </cell>
          <cell r="D52">
            <v>3</v>
          </cell>
          <cell r="E52">
            <v>0</v>
          </cell>
          <cell r="F52">
            <v>0.5</v>
          </cell>
        </row>
        <row r="53">
          <cell r="B53">
            <v>160</v>
          </cell>
          <cell r="C53" t="str">
            <v>1600板橋分行</v>
          </cell>
          <cell r="D53">
            <v>3</v>
          </cell>
          <cell r="E53">
            <v>0</v>
          </cell>
          <cell r="F53">
            <v>1</v>
          </cell>
        </row>
        <row r="54">
          <cell r="B54">
            <v>161</v>
          </cell>
          <cell r="C54" t="str">
            <v>1610三重分行</v>
          </cell>
          <cell r="D54">
            <v>3</v>
          </cell>
          <cell r="E54">
            <v>1</v>
          </cell>
          <cell r="F54">
            <v>0</v>
          </cell>
        </row>
        <row r="55">
          <cell r="B55">
            <v>162</v>
          </cell>
          <cell r="D55">
            <v>2</v>
          </cell>
          <cell r="E55">
            <v>1</v>
          </cell>
          <cell r="F55">
            <v>0</v>
          </cell>
        </row>
        <row r="56">
          <cell r="B56">
            <v>163</v>
          </cell>
          <cell r="C56" t="str">
            <v>1630新莊分行</v>
          </cell>
          <cell r="D56">
            <v>3</v>
          </cell>
          <cell r="E56">
            <v>0</v>
          </cell>
          <cell r="F56">
            <v>0</v>
          </cell>
        </row>
        <row r="57">
          <cell r="B57">
            <v>164</v>
          </cell>
          <cell r="C57" t="str">
            <v>1640永和分行</v>
          </cell>
          <cell r="D57">
            <v>1</v>
          </cell>
          <cell r="E57">
            <v>1</v>
          </cell>
          <cell r="F57">
            <v>0</v>
          </cell>
        </row>
        <row r="58">
          <cell r="B58">
            <v>165</v>
          </cell>
          <cell r="C58" t="str">
            <v>1650中和分行</v>
          </cell>
          <cell r="D58">
            <v>5</v>
          </cell>
          <cell r="E58">
            <v>0</v>
          </cell>
          <cell r="F58">
            <v>0</v>
          </cell>
        </row>
        <row r="59">
          <cell r="B59">
            <v>166</v>
          </cell>
          <cell r="C59" t="str">
            <v>1660新店分行</v>
          </cell>
          <cell r="D59">
            <v>2</v>
          </cell>
          <cell r="E59">
            <v>1</v>
          </cell>
          <cell r="F59">
            <v>0</v>
          </cell>
        </row>
        <row r="60">
          <cell r="B60">
            <v>167</v>
          </cell>
          <cell r="D60">
            <v>1</v>
          </cell>
          <cell r="E60">
            <v>1</v>
          </cell>
          <cell r="F60">
            <v>0</v>
          </cell>
        </row>
        <row r="61">
          <cell r="B61">
            <v>168</v>
          </cell>
          <cell r="C61" t="str">
            <v>1680汐止分行</v>
          </cell>
          <cell r="D61">
            <v>4</v>
          </cell>
          <cell r="E61">
            <v>1</v>
          </cell>
          <cell r="F61">
            <v>0</v>
          </cell>
        </row>
        <row r="62">
          <cell r="B62">
            <v>169</v>
          </cell>
          <cell r="C62" t="str">
            <v>1690南永和分行</v>
          </cell>
          <cell r="D62">
            <v>5</v>
          </cell>
          <cell r="E62">
            <v>0</v>
          </cell>
          <cell r="F62">
            <v>0</v>
          </cell>
        </row>
        <row r="63">
          <cell r="B63">
            <v>170</v>
          </cell>
          <cell r="C63" t="str">
            <v>1700西三重分行</v>
          </cell>
          <cell r="D63">
            <v>4</v>
          </cell>
          <cell r="E63">
            <v>0</v>
          </cell>
          <cell r="F63">
            <v>0</v>
          </cell>
        </row>
        <row r="64">
          <cell r="B64">
            <v>171</v>
          </cell>
          <cell r="C64" t="str">
            <v>1710南三重分行</v>
          </cell>
          <cell r="D64">
            <v>5</v>
          </cell>
          <cell r="E64">
            <v>0</v>
          </cell>
          <cell r="F64">
            <v>0</v>
          </cell>
        </row>
        <row r="65">
          <cell r="B65">
            <v>172</v>
          </cell>
          <cell r="C65" t="str">
            <v>1720雙和分行</v>
          </cell>
          <cell r="D65">
            <v>5</v>
          </cell>
          <cell r="E65">
            <v>1</v>
          </cell>
          <cell r="F65">
            <v>0</v>
          </cell>
        </row>
        <row r="66">
          <cell r="B66">
            <v>173</v>
          </cell>
          <cell r="C66" t="str">
            <v>1730新泰分行</v>
          </cell>
          <cell r="D66">
            <v>2</v>
          </cell>
          <cell r="E66">
            <v>1</v>
          </cell>
          <cell r="F66">
            <v>0.5</v>
          </cell>
        </row>
        <row r="67">
          <cell r="B67">
            <v>174</v>
          </cell>
          <cell r="C67" t="str">
            <v>1740二重分行</v>
          </cell>
          <cell r="D67">
            <v>5</v>
          </cell>
          <cell r="E67">
            <v>0</v>
          </cell>
          <cell r="F67">
            <v>0</v>
          </cell>
        </row>
        <row r="68">
          <cell r="B68">
            <v>175</v>
          </cell>
          <cell r="C68" t="str">
            <v>1750板新分行</v>
          </cell>
          <cell r="D68">
            <v>3</v>
          </cell>
          <cell r="E68">
            <v>0</v>
          </cell>
          <cell r="F68">
            <v>0</v>
          </cell>
        </row>
        <row r="69">
          <cell r="B69">
            <v>176</v>
          </cell>
          <cell r="C69" t="str">
            <v>1760五股分行</v>
          </cell>
          <cell r="D69">
            <v>2</v>
          </cell>
          <cell r="E69">
            <v>1</v>
          </cell>
          <cell r="F69">
            <v>1</v>
          </cell>
        </row>
        <row r="70">
          <cell r="B70">
            <v>178</v>
          </cell>
          <cell r="C70" t="str">
            <v>1780北投分行</v>
          </cell>
          <cell r="D70">
            <v>2.8</v>
          </cell>
          <cell r="E70">
            <v>1</v>
          </cell>
          <cell r="F70">
            <v>0.5</v>
          </cell>
        </row>
        <row r="71">
          <cell r="B71">
            <v>179</v>
          </cell>
          <cell r="D71">
            <v>3</v>
          </cell>
          <cell r="E71">
            <v>1</v>
          </cell>
          <cell r="F71">
            <v>1</v>
          </cell>
        </row>
        <row r="72">
          <cell r="B72">
            <v>180</v>
          </cell>
          <cell r="C72" t="str">
            <v>1800積穗分行</v>
          </cell>
          <cell r="D72">
            <v>4</v>
          </cell>
          <cell r="E72">
            <v>0</v>
          </cell>
          <cell r="F72">
            <v>0</v>
          </cell>
        </row>
        <row r="73">
          <cell r="B73">
            <v>181</v>
          </cell>
          <cell r="C73" t="str">
            <v>1810三和分行</v>
          </cell>
          <cell r="D73">
            <v>2</v>
          </cell>
          <cell r="E73">
            <v>0</v>
          </cell>
          <cell r="F73">
            <v>0.5</v>
          </cell>
        </row>
        <row r="74">
          <cell r="B74">
            <v>182</v>
          </cell>
          <cell r="C74" t="str">
            <v>1820福和分行</v>
          </cell>
          <cell r="D74">
            <v>4</v>
          </cell>
          <cell r="E74">
            <v>0</v>
          </cell>
          <cell r="F74">
            <v>1</v>
          </cell>
        </row>
        <row r="75">
          <cell r="B75">
            <v>183</v>
          </cell>
          <cell r="D75">
            <v>2</v>
          </cell>
          <cell r="E75">
            <v>0</v>
          </cell>
          <cell r="F75">
            <v>1</v>
          </cell>
        </row>
        <row r="76">
          <cell r="B76">
            <v>185</v>
          </cell>
          <cell r="C76" t="str">
            <v>1850蘆洲分行</v>
          </cell>
          <cell r="D76">
            <v>5</v>
          </cell>
          <cell r="E76">
            <v>1</v>
          </cell>
          <cell r="F76">
            <v>0</v>
          </cell>
        </row>
        <row r="77">
          <cell r="B77">
            <v>186</v>
          </cell>
          <cell r="C77" t="str">
            <v>1860土城分行</v>
          </cell>
          <cell r="D77">
            <v>3</v>
          </cell>
          <cell r="E77">
            <v>1</v>
          </cell>
          <cell r="F77">
            <v>1</v>
          </cell>
        </row>
        <row r="78">
          <cell r="B78">
            <v>187</v>
          </cell>
          <cell r="C78" t="str">
            <v>1870北新分行</v>
          </cell>
          <cell r="D78">
            <v>3</v>
          </cell>
          <cell r="E78">
            <v>0</v>
          </cell>
          <cell r="F78">
            <v>0</v>
          </cell>
        </row>
        <row r="79">
          <cell r="B79">
            <v>189</v>
          </cell>
          <cell r="C79" t="str">
            <v>1890天母分行</v>
          </cell>
          <cell r="D79">
            <v>6</v>
          </cell>
          <cell r="E79">
            <v>0</v>
          </cell>
          <cell r="F79">
            <v>0</v>
          </cell>
        </row>
        <row r="80">
          <cell r="B80">
            <v>191</v>
          </cell>
          <cell r="D80">
            <v>3</v>
          </cell>
          <cell r="E80">
            <v>0</v>
          </cell>
          <cell r="F80">
            <v>0.5</v>
          </cell>
        </row>
        <row r="81">
          <cell r="B81">
            <v>190</v>
          </cell>
          <cell r="C81" t="str">
            <v>1900內湖分行</v>
          </cell>
          <cell r="D81">
            <v>3</v>
          </cell>
          <cell r="E81">
            <v>0</v>
          </cell>
          <cell r="F81">
            <v>1</v>
          </cell>
        </row>
        <row r="82">
          <cell r="B82">
            <v>192</v>
          </cell>
          <cell r="C82" t="str">
            <v>1920樟樹灣分行</v>
          </cell>
          <cell r="D82">
            <v>4</v>
          </cell>
          <cell r="E82">
            <v>0</v>
          </cell>
          <cell r="F82">
            <v>0</v>
          </cell>
        </row>
        <row r="83">
          <cell r="B83">
            <v>193</v>
          </cell>
          <cell r="C83" t="str">
            <v>1930泰山分行</v>
          </cell>
          <cell r="D83">
            <v>2</v>
          </cell>
          <cell r="E83">
            <v>0</v>
          </cell>
          <cell r="F83">
            <v>1</v>
          </cell>
        </row>
        <row r="84">
          <cell r="B84">
            <v>194</v>
          </cell>
          <cell r="C84" t="str">
            <v>1940三峽分行</v>
          </cell>
          <cell r="D84">
            <v>2</v>
          </cell>
          <cell r="E84">
            <v>0</v>
          </cell>
          <cell r="F84">
            <v>0</v>
          </cell>
        </row>
        <row r="85">
          <cell r="B85">
            <v>195</v>
          </cell>
          <cell r="C85" t="str">
            <v>1950文山分行</v>
          </cell>
          <cell r="D85">
            <v>1</v>
          </cell>
          <cell r="E85">
            <v>0</v>
          </cell>
          <cell r="F85">
            <v>1</v>
          </cell>
        </row>
        <row r="86">
          <cell r="B86">
            <v>196</v>
          </cell>
          <cell r="C86" t="str">
            <v>1960鶯歌分行</v>
          </cell>
          <cell r="D86">
            <v>2</v>
          </cell>
          <cell r="E86">
            <v>0</v>
          </cell>
          <cell r="F86">
            <v>1</v>
          </cell>
        </row>
        <row r="87">
          <cell r="B87">
            <v>200</v>
          </cell>
          <cell r="C87" t="str">
            <v>2000基隆分行</v>
          </cell>
          <cell r="D87">
            <v>6</v>
          </cell>
          <cell r="E87">
            <v>0</v>
          </cell>
          <cell r="F87">
            <v>0</v>
          </cell>
        </row>
        <row r="88">
          <cell r="B88">
            <v>201</v>
          </cell>
          <cell r="C88" t="str">
            <v>2010基隆港口分行</v>
          </cell>
          <cell r="D88">
            <v>4</v>
          </cell>
          <cell r="E88">
            <v>0</v>
          </cell>
          <cell r="F88">
            <v>1</v>
          </cell>
        </row>
        <row r="89">
          <cell r="B89">
            <v>211</v>
          </cell>
          <cell r="D89">
            <v>2</v>
          </cell>
          <cell r="E89">
            <v>0</v>
          </cell>
          <cell r="F89">
            <v>1</v>
          </cell>
        </row>
        <row r="90">
          <cell r="B90">
            <v>220</v>
          </cell>
          <cell r="C90" t="str">
            <v>2200羅東分行</v>
          </cell>
          <cell r="D90">
            <v>3</v>
          </cell>
          <cell r="E90">
            <v>0</v>
          </cell>
          <cell r="F90">
            <v>0</v>
          </cell>
        </row>
        <row r="91">
          <cell r="B91">
            <v>221</v>
          </cell>
          <cell r="C91" t="str">
            <v>2210宜蘭分行</v>
          </cell>
          <cell r="D91">
            <v>5</v>
          </cell>
          <cell r="E91">
            <v>0</v>
          </cell>
          <cell r="F91">
            <v>1</v>
          </cell>
        </row>
        <row r="92">
          <cell r="B92">
            <v>240</v>
          </cell>
          <cell r="D92">
            <v>5</v>
          </cell>
          <cell r="E92">
            <v>1</v>
          </cell>
          <cell r="F92">
            <v>0</v>
          </cell>
        </row>
        <row r="93">
          <cell r="B93">
            <v>241</v>
          </cell>
          <cell r="D93">
            <v>2</v>
          </cell>
          <cell r="E93">
            <v>1</v>
          </cell>
          <cell r="F93">
            <v>0</v>
          </cell>
        </row>
        <row r="94">
          <cell r="B94">
            <v>242</v>
          </cell>
          <cell r="C94" t="str">
            <v>2420楊梅分行</v>
          </cell>
          <cell r="D94">
            <v>2</v>
          </cell>
          <cell r="E94">
            <v>0</v>
          </cell>
          <cell r="F94">
            <v>0</v>
          </cell>
        </row>
        <row r="95">
          <cell r="B95">
            <v>243</v>
          </cell>
          <cell r="C95" t="str">
            <v>2430壢昌分行</v>
          </cell>
          <cell r="D95">
            <v>3</v>
          </cell>
          <cell r="E95">
            <v>0</v>
          </cell>
          <cell r="F95">
            <v>1</v>
          </cell>
        </row>
        <row r="96">
          <cell r="B96">
            <v>244</v>
          </cell>
          <cell r="C96" t="str">
            <v>2440北桃園分行</v>
          </cell>
          <cell r="D96">
            <v>4</v>
          </cell>
          <cell r="E96">
            <v>0</v>
          </cell>
          <cell r="F96">
            <v>1</v>
          </cell>
        </row>
        <row r="97">
          <cell r="B97">
            <v>245</v>
          </cell>
          <cell r="C97" t="str">
            <v>2450南崁分行</v>
          </cell>
          <cell r="D97">
            <v>3</v>
          </cell>
          <cell r="E97">
            <v>0</v>
          </cell>
          <cell r="F97">
            <v>0</v>
          </cell>
        </row>
        <row r="98">
          <cell r="B98">
            <v>246</v>
          </cell>
          <cell r="D98">
            <v>1</v>
          </cell>
          <cell r="F98">
            <v>1</v>
          </cell>
        </row>
        <row r="99">
          <cell r="B99">
            <v>247</v>
          </cell>
          <cell r="C99" t="str">
            <v>2470八德分行</v>
          </cell>
          <cell r="D99">
            <v>5</v>
          </cell>
          <cell r="E99">
            <v>0</v>
          </cell>
          <cell r="F99">
            <v>1</v>
          </cell>
        </row>
        <row r="100">
          <cell r="B100">
            <v>248</v>
          </cell>
          <cell r="D100">
            <v>1</v>
          </cell>
          <cell r="E100">
            <v>1</v>
          </cell>
          <cell r="F100">
            <v>0</v>
          </cell>
        </row>
        <row r="101">
          <cell r="B101">
            <v>249</v>
          </cell>
          <cell r="D101">
            <v>1</v>
          </cell>
          <cell r="E101">
            <v>0</v>
          </cell>
          <cell r="F101">
            <v>-1</v>
          </cell>
        </row>
        <row r="102">
          <cell r="B102">
            <v>250</v>
          </cell>
          <cell r="C102" t="str">
            <v>2500大溪分行</v>
          </cell>
          <cell r="D102">
            <v>1</v>
          </cell>
          <cell r="F102">
            <v>1</v>
          </cell>
        </row>
        <row r="103">
          <cell r="B103">
            <v>251</v>
          </cell>
          <cell r="C103" t="str">
            <v>2510內壢分行</v>
          </cell>
          <cell r="D103">
            <v>1</v>
          </cell>
          <cell r="E103">
            <v>0</v>
          </cell>
          <cell r="F103">
            <v>1</v>
          </cell>
        </row>
        <row r="104">
          <cell r="B104">
            <v>252</v>
          </cell>
          <cell r="C104" t="str">
            <v>2520林口分行</v>
          </cell>
          <cell r="D104">
            <v>1</v>
          </cell>
          <cell r="E104">
            <v>1</v>
          </cell>
          <cell r="F104">
            <v>1</v>
          </cell>
        </row>
        <row r="105">
          <cell r="B105">
            <v>260</v>
          </cell>
          <cell r="D105">
            <v>2</v>
          </cell>
          <cell r="E105">
            <v>1</v>
          </cell>
          <cell r="F105">
            <v>0</v>
          </cell>
        </row>
        <row r="106">
          <cell r="B106">
            <v>261</v>
          </cell>
          <cell r="D106">
            <v>1</v>
          </cell>
          <cell r="E106">
            <v>0</v>
          </cell>
          <cell r="F106">
            <v>0</v>
          </cell>
        </row>
        <row r="107">
          <cell r="B107">
            <v>262</v>
          </cell>
          <cell r="D107">
            <v>0</v>
          </cell>
          <cell r="E107">
            <v>0</v>
          </cell>
          <cell r="F107">
            <v>0</v>
          </cell>
        </row>
        <row r="108">
          <cell r="B108">
            <v>300</v>
          </cell>
          <cell r="C108" t="str">
            <v>3000新竹分行</v>
          </cell>
          <cell r="D108">
            <v>3</v>
          </cell>
          <cell r="E108">
            <v>1</v>
          </cell>
          <cell r="F108">
            <v>0</v>
          </cell>
        </row>
        <row r="109">
          <cell r="B109">
            <v>301</v>
          </cell>
          <cell r="C109" t="str">
            <v>3010竹東分行</v>
          </cell>
          <cell r="D109">
            <v>1</v>
          </cell>
          <cell r="F109">
            <v>0</v>
          </cell>
        </row>
        <row r="110">
          <cell r="B110">
            <v>302</v>
          </cell>
          <cell r="C110" t="str">
            <v>3020竹科分行</v>
          </cell>
          <cell r="D110">
            <v>1</v>
          </cell>
          <cell r="E110">
            <v>1</v>
          </cell>
          <cell r="F110">
            <v>1</v>
          </cell>
        </row>
        <row r="111">
          <cell r="B111">
            <v>310</v>
          </cell>
          <cell r="D111">
            <v>1</v>
          </cell>
          <cell r="E111">
            <v>0</v>
          </cell>
          <cell r="F111">
            <v>0</v>
          </cell>
        </row>
        <row r="112">
          <cell r="B112">
            <v>320</v>
          </cell>
          <cell r="D112">
            <v>2</v>
          </cell>
          <cell r="E112">
            <v>1</v>
          </cell>
          <cell r="F112">
            <v>0</v>
          </cell>
        </row>
        <row r="113">
          <cell r="B113">
            <v>321</v>
          </cell>
          <cell r="D113">
            <v>2</v>
          </cell>
          <cell r="E113">
            <v>0</v>
          </cell>
          <cell r="F113">
            <v>0</v>
          </cell>
        </row>
        <row r="114">
          <cell r="B114">
            <v>322</v>
          </cell>
          <cell r="D114">
            <v>1</v>
          </cell>
          <cell r="E114">
            <v>0</v>
          </cell>
          <cell r="F114">
            <v>0</v>
          </cell>
        </row>
        <row r="115">
          <cell r="B115">
            <v>323</v>
          </cell>
          <cell r="C115" t="str">
            <v>3230竹北分行</v>
          </cell>
          <cell r="D115">
            <v>5</v>
          </cell>
          <cell r="E115">
            <v>1</v>
          </cell>
          <cell r="F115">
            <v>0</v>
          </cell>
        </row>
        <row r="116">
          <cell r="B116">
            <v>351</v>
          </cell>
          <cell r="C116" t="str">
            <v>3510大眾分行</v>
          </cell>
          <cell r="D116">
            <v>2</v>
          </cell>
          <cell r="F116">
            <v>1</v>
          </cell>
        </row>
        <row r="117">
          <cell r="B117">
            <v>400</v>
          </cell>
          <cell r="C117" t="str">
            <v>4000豐原分行</v>
          </cell>
          <cell r="D117">
            <v>4</v>
          </cell>
          <cell r="F117">
            <v>0</v>
          </cell>
        </row>
        <row r="118">
          <cell r="B118">
            <v>401</v>
          </cell>
          <cell r="C118" t="str">
            <v>4010東勢分行</v>
          </cell>
          <cell r="D118">
            <v>4</v>
          </cell>
          <cell r="E118">
            <v>0</v>
          </cell>
          <cell r="F118">
            <v>0.5</v>
          </cell>
        </row>
        <row r="119">
          <cell r="B119">
            <v>402</v>
          </cell>
          <cell r="C119" t="str">
            <v>4020清水分行</v>
          </cell>
          <cell r="D119">
            <v>2</v>
          </cell>
          <cell r="E119">
            <v>0</v>
          </cell>
          <cell r="F119">
            <v>0</v>
          </cell>
        </row>
        <row r="120">
          <cell r="B120">
            <v>403</v>
          </cell>
          <cell r="C120" t="str">
            <v>4030西豐原分行</v>
          </cell>
          <cell r="D120">
            <v>3</v>
          </cell>
          <cell r="F120">
            <v>0.5</v>
          </cell>
        </row>
        <row r="121">
          <cell r="B121">
            <v>420</v>
          </cell>
          <cell r="C121" t="str">
            <v>4200台中分行</v>
          </cell>
          <cell r="D121">
            <v>4</v>
          </cell>
          <cell r="E121">
            <v>0</v>
          </cell>
          <cell r="F121">
            <v>0</v>
          </cell>
        </row>
        <row r="122">
          <cell r="B122">
            <v>421</v>
          </cell>
          <cell r="D122">
            <v>3</v>
          </cell>
          <cell r="E122">
            <v>0</v>
          </cell>
          <cell r="F122">
            <v>0</v>
          </cell>
        </row>
        <row r="123">
          <cell r="B123">
            <v>422</v>
          </cell>
          <cell r="C123" t="str">
            <v>4220南台中分行</v>
          </cell>
          <cell r="D123">
            <v>2</v>
          </cell>
          <cell r="E123">
            <v>0</v>
          </cell>
          <cell r="F123">
            <v>0</v>
          </cell>
        </row>
        <row r="124">
          <cell r="B124">
            <v>423</v>
          </cell>
          <cell r="C124" t="str">
            <v>4230北台中分行</v>
          </cell>
          <cell r="D124">
            <v>3</v>
          </cell>
          <cell r="E124">
            <v>0</v>
          </cell>
          <cell r="F124">
            <v>0</v>
          </cell>
        </row>
        <row r="125">
          <cell r="B125">
            <v>424</v>
          </cell>
          <cell r="C125" t="str">
            <v>4240台中港路分行</v>
          </cell>
          <cell r="D125">
            <v>3</v>
          </cell>
          <cell r="E125">
            <v>0</v>
          </cell>
          <cell r="F125">
            <v>0</v>
          </cell>
        </row>
        <row r="126">
          <cell r="B126">
            <v>425</v>
          </cell>
          <cell r="C126" t="str">
            <v>4250大里分行</v>
          </cell>
          <cell r="D126">
            <v>3</v>
          </cell>
          <cell r="F126">
            <v>1</v>
          </cell>
        </row>
        <row r="127">
          <cell r="B127">
            <v>426</v>
          </cell>
          <cell r="D127">
            <v>4</v>
          </cell>
          <cell r="E127">
            <v>0</v>
          </cell>
          <cell r="F127">
            <v>0</v>
          </cell>
        </row>
        <row r="128">
          <cell r="B128">
            <v>427</v>
          </cell>
          <cell r="D128">
            <v>2</v>
          </cell>
          <cell r="E128">
            <v>0</v>
          </cell>
          <cell r="F128">
            <v>0</v>
          </cell>
        </row>
        <row r="129">
          <cell r="B129">
            <v>429</v>
          </cell>
          <cell r="C129" t="str">
            <v>4290大甲分行</v>
          </cell>
          <cell r="D129">
            <v>1</v>
          </cell>
          <cell r="E129">
            <v>0</v>
          </cell>
          <cell r="F129">
            <v>1</v>
          </cell>
        </row>
        <row r="130">
          <cell r="B130">
            <v>430</v>
          </cell>
          <cell r="C130" t="str">
            <v>4300太平分行</v>
          </cell>
          <cell r="D130">
            <v>1</v>
          </cell>
          <cell r="E130">
            <v>0</v>
          </cell>
          <cell r="F130">
            <v>1</v>
          </cell>
        </row>
        <row r="131">
          <cell r="B131">
            <v>451</v>
          </cell>
          <cell r="D131">
            <v>2</v>
          </cell>
          <cell r="E131">
            <v>0</v>
          </cell>
          <cell r="F131">
            <v>0</v>
          </cell>
        </row>
        <row r="132">
          <cell r="B132">
            <v>500</v>
          </cell>
          <cell r="C132" t="str">
            <v>5000草屯分行</v>
          </cell>
          <cell r="D132">
            <v>7</v>
          </cell>
          <cell r="F132">
            <v>0</v>
          </cell>
        </row>
        <row r="133">
          <cell r="B133">
            <v>501</v>
          </cell>
          <cell r="C133" t="str">
            <v>5010南投分行</v>
          </cell>
          <cell r="D133">
            <v>3</v>
          </cell>
          <cell r="F133">
            <v>1</v>
          </cell>
        </row>
        <row r="134">
          <cell r="B134">
            <v>520</v>
          </cell>
          <cell r="D134">
            <v>3</v>
          </cell>
          <cell r="E134">
            <v>0</v>
          </cell>
          <cell r="F134">
            <v>0</v>
          </cell>
        </row>
        <row r="135">
          <cell r="B135">
            <v>521</v>
          </cell>
          <cell r="C135" t="str">
            <v>5210和美分行</v>
          </cell>
          <cell r="D135">
            <v>7</v>
          </cell>
          <cell r="E135">
            <v>0</v>
          </cell>
          <cell r="F135">
            <v>0</v>
          </cell>
        </row>
        <row r="136">
          <cell r="B136">
            <v>522</v>
          </cell>
          <cell r="C136" t="str">
            <v>5220員林分行</v>
          </cell>
          <cell r="D136">
            <v>3</v>
          </cell>
          <cell r="F136">
            <v>0</v>
          </cell>
        </row>
        <row r="137">
          <cell r="B137">
            <v>523</v>
          </cell>
          <cell r="C137" t="str">
            <v>5230鹿港分行</v>
          </cell>
          <cell r="D137">
            <v>2</v>
          </cell>
          <cell r="F137">
            <v>1</v>
          </cell>
        </row>
        <row r="138">
          <cell r="B138">
            <v>524</v>
          </cell>
          <cell r="D138">
            <v>2</v>
          </cell>
          <cell r="E138">
            <v>1</v>
          </cell>
          <cell r="F138">
            <v>1</v>
          </cell>
        </row>
        <row r="139">
          <cell r="B139">
            <v>540</v>
          </cell>
          <cell r="C139" t="str">
            <v>5400斗六分行</v>
          </cell>
          <cell r="D139">
            <v>1</v>
          </cell>
          <cell r="E139">
            <v>0</v>
          </cell>
          <cell r="F139">
            <v>1</v>
          </cell>
        </row>
        <row r="140">
          <cell r="B140">
            <v>541</v>
          </cell>
          <cell r="C140" t="str">
            <v>5410虎尾分行</v>
          </cell>
          <cell r="D140">
            <v>1.5</v>
          </cell>
          <cell r="E140">
            <v>0</v>
          </cell>
          <cell r="F140">
            <v>0.5</v>
          </cell>
        </row>
        <row r="141">
          <cell r="B141">
            <v>542</v>
          </cell>
          <cell r="C141" t="str">
            <v>5420西螺分行</v>
          </cell>
          <cell r="D141">
            <v>1</v>
          </cell>
          <cell r="E141">
            <v>0</v>
          </cell>
          <cell r="F141">
            <v>0</v>
          </cell>
        </row>
        <row r="142">
          <cell r="B142">
            <v>543</v>
          </cell>
          <cell r="C142" t="str">
            <v>5430北港分行</v>
          </cell>
          <cell r="D142">
            <v>3</v>
          </cell>
          <cell r="E142">
            <v>1</v>
          </cell>
          <cell r="F142">
            <v>1</v>
          </cell>
        </row>
        <row r="143">
          <cell r="B143">
            <v>600</v>
          </cell>
          <cell r="C143" t="str">
            <v>6000嘉義分行</v>
          </cell>
          <cell r="D143">
            <v>8</v>
          </cell>
          <cell r="E143">
            <v>1</v>
          </cell>
          <cell r="F143">
            <v>0</v>
          </cell>
        </row>
        <row r="144">
          <cell r="B144">
            <v>601</v>
          </cell>
          <cell r="D144">
            <v>4</v>
          </cell>
          <cell r="E144">
            <v>1</v>
          </cell>
          <cell r="F144">
            <v>0</v>
          </cell>
        </row>
        <row r="145">
          <cell r="B145">
            <v>602</v>
          </cell>
          <cell r="C145" t="str">
            <v>6020朴子分行</v>
          </cell>
          <cell r="D145">
            <v>1</v>
          </cell>
          <cell r="E145">
            <v>0</v>
          </cell>
          <cell r="F145">
            <v>1</v>
          </cell>
        </row>
        <row r="146">
          <cell r="B146">
            <v>620</v>
          </cell>
          <cell r="C146" t="str">
            <v>6200新營分行</v>
          </cell>
          <cell r="D146">
            <v>1</v>
          </cell>
          <cell r="F146">
            <v>0</v>
          </cell>
        </row>
        <row r="147">
          <cell r="B147">
            <v>621</v>
          </cell>
          <cell r="C147" t="str">
            <v>6210麻豆分行</v>
          </cell>
          <cell r="D147">
            <v>3</v>
          </cell>
          <cell r="E147">
            <v>0</v>
          </cell>
          <cell r="F147">
            <v>1</v>
          </cell>
        </row>
        <row r="148">
          <cell r="B148">
            <v>622</v>
          </cell>
          <cell r="C148" t="str">
            <v>6220永康分行</v>
          </cell>
          <cell r="D148">
            <v>5</v>
          </cell>
          <cell r="F148">
            <v>0</v>
          </cell>
        </row>
        <row r="149">
          <cell r="B149">
            <v>640</v>
          </cell>
          <cell r="C149" t="str">
            <v>6400台南分行</v>
          </cell>
          <cell r="D149">
            <v>4</v>
          </cell>
          <cell r="E149">
            <v>1</v>
          </cell>
          <cell r="F149">
            <v>0</v>
          </cell>
        </row>
        <row r="150">
          <cell r="B150">
            <v>642</v>
          </cell>
          <cell r="C150" t="str">
            <v>6420東台南分行</v>
          </cell>
          <cell r="D150">
            <v>4</v>
          </cell>
          <cell r="E150">
            <v>0</v>
          </cell>
          <cell r="F150">
            <v>0</v>
          </cell>
        </row>
        <row r="151">
          <cell r="B151">
            <v>643</v>
          </cell>
          <cell r="C151" t="str">
            <v>6430西台南分行</v>
          </cell>
          <cell r="D151">
            <v>2</v>
          </cell>
          <cell r="E151">
            <v>1</v>
          </cell>
          <cell r="F151">
            <v>0.5</v>
          </cell>
        </row>
        <row r="152">
          <cell r="B152">
            <v>644</v>
          </cell>
          <cell r="C152" t="str">
            <v>6440北台南分行</v>
          </cell>
          <cell r="D152">
            <v>3</v>
          </cell>
          <cell r="E152">
            <v>0</v>
          </cell>
          <cell r="F152">
            <v>0</v>
          </cell>
        </row>
        <row r="153">
          <cell r="B153">
            <v>645</v>
          </cell>
          <cell r="C153" t="str">
            <v>6450南都分行</v>
          </cell>
          <cell r="D153">
            <v>2</v>
          </cell>
          <cell r="E153">
            <v>0</v>
          </cell>
          <cell r="F153">
            <v>0.5</v>
          </cell>
        </row>
        <row r="154">
          <cell r="B154">
            <v>646</v>
          </cell>
          <cell r="C154" t="str">
            <v>6460安南分行</v>
          </cell>
          <cell r="D154">
            <v>2</v>
          </cell>
          <cell r="E154">
            <v>0</v>
          </cell>
          <cell r="F154">
            <v>0</v>
          </cell>
        </row>
        <row r="155">
          <cell r="B155">
            <v>647</v>
          </cell>
          <cell r="C155" t="str">
            <v>6470仁德分行</v>
          </cell>
          <cell r="D155">
            <v>1</v>
          </cell>
          <cell r="E155">
            <v>0</v>
          </cell>
          <cell r="F155">
            <v>0</v>
          </cell>
        </row>
        <row r="156">
          <cell r="B156">
            <v>648</v>
          </cell>
          <cell r="D156">
            <v>1</v>
          </cell>
          <cell r="E156">
            <v>0</v>
          </cell>
          <cell r="F156">
            <v>1</v>
          </cell>
        </row>
        <row r="157">
          <cell r="B157">
            <v>681</v>
          </cell>
          <cell r="C157" t="str">
            <v>6810金華分行</v>
          </cell>
          <cell r="D157">
            <v>2</v>
          </cell>
          <cell r="E157">
            <v>0</v>
          </cell>
          <cell r="F157">
            <v>1</v>
          </cell>
        </row>
        <row r="158">
          <cell r="B158">
            <v>700</v>
          </cell>
          <cell r="C158" t="str">
            <v>7000高雄分行</v>
          </cell>
          <cell r="D158">
            <v>3</v>
          </cell>
          <cell r="E158">
            <v>2</v>
          </cell>
          <cell r="F158">
            <v>0</v>
          </cell>
        </row>
        <row r="159">
          <cell r="B159">
            <v>701</v>
          </cell>
          <cell r="C159" t="str">
            <v>7010東苓分行</v>
          </cell>
          <cell r="D159">
            <v>1</v>
          </cell>
          <cell r="E159">
            <v>0</v>
          </cell>
          <cell r="F159">
            <v>0.5</v>
          </cell>
        </row>
        <row r="160">
          <cell r="B160">
            <v>702</v>
          </cell>
          <cell r="C160" t="str">
            <v>7020新興分行</v>
          </cell>
          <cell r="D160">
            <v>3</v>
          </cell>
          <cell r="E160">
            <v>1</v>
          </cell>
          <cell r="F160">
            <v>0</v>
          </cell>
        </row>
        <row r="161">
          <cell r="B161">
            <v>703</v>
          </cell>
          <cell r="C161" t="str">
            <v>7030高雄三民分行</v>
          </cell>
          <cell r="D161">
            <v>2</v>
          </cell>
          <cell r="E161">
            <v>1</v>
          </cell>
          <cell r="F161">
            <v>0</v>
          </cell>
        </row>
        <row r="162">
          <cell r="B162">
            <v>704</v>
          </cell>
          <cell r="C162" t="str">
            <v>7040苓雅分行</v>
          </cell>
          <cell r="D162">
            <v>3</v>
          </cell>
          <cell r="F162">
            <v>0.5</v>
          </cell>
        </row>
        <row r="163">
          <cell r="B163">
            <v>705</v>
          </cell>
          <cell r="D163">
            <v>2</v>
          </cell>
          <cell r="E163">
            <v>0</v>
          </cell>
          <cell r="F163">
            <v>1</v>
          </cell>
        </row>
        <row r="164">
          <cell r="B164">
            <v>706</v>
          </cell>
          <cell r="C164" t="str">
            <v>7060高雄博愛分行</v>
          </cell>
          <cell r="D164">
            <v>1</v>
          </cell>
          <cell r="E164">
            <v>1</v>
          </cell>
          <cell r="F164">
            <v>1</v>
          </cell>
        </row>
        <row r="165">
          <cell r="B165">
            <v>707</v>
          </cell>
          <cell r="C165" t="str">
            <v>7078南高雄分行</v>
          </cell>
          <cell r="D165">
            <v>1</v>
          </cell>
          <cell r="E165">
            <v>1</v>
          </cell>
          <cell r="F165">
            <v>0</v>
          </cell>
        </row>
        <row r="166">
          <cell r="B166">
            <v>708</v>
          </cell>
          <cell r="C166" t="str">
            <v>7080東高雄分行</v>
          </cell>
          <cell r="D166">
            <v>2</v>
          </cell>
          <cell r="E166">
            <v>1</v>
          </cell>
        </row>
        <row r="167">
          <cell r="B167">
            <v>709</v>
          </cell>
          <cell r="C167" t="str">
            <v>7090大昌分行</v>
          </cell>
          <cell r="D167">
            <v>1</v>
          </cell>
          <cell r="E167">
            <v>0</v>
          </cell>
          <cell r="F167">
            <v>0.5</v>
          </cell>
        </row>
        <row r="168">
          <cell r="B168">
            <v>710</v>
          </cell>
          <cell r="C168" t="str">
            <v>7100北高雄分行</v>
          </cell>
          <cell r="D168">
            <v>2</v>
          </cell>
          <cell r="E168">
            <v>0</v>
          </cell>
          <cell r="F168">
            <v>1</v>
          </cell>
        </row>
        <row r="169">
          <cell r="B169">
            <v>711</v>
          </cell>
          <cell r="D169">
            <v>2</v>
          </cell>
          <cell r="E169">
            <v>0</v>
          </cell>
          <cell r="F169">
            <v>0</v>
          </cell>
        </row>
        <row r="170">
          <cell r="B170">
            <v>719</v>
          </cell>
          <cell r="C170" t="str">
            <v>7190岡山分行</v>
          </cell>
          <cell r="D170">
            <v>3</v>
          </cell>
          <cell r="E170">
            <v>1</v>
          </cell>
          <cell r="F170">
            <v>1</v>
          </cell>
        </row>
        <row r="171">
          <cell r="B171">
            <v>720</v>
          </cell>
          <cell r="C171" t="str">
            <v>7200鳳山分行</v>
          </cell>
          <cell r="D171">
            <v>1</v>
          </cell>
          <cell r="F171">
            <v>1</v>
          </cell>
        </row>
        <row r="172">
          <cell r="B172">
            <v>721</v>
          </cell>
          <cell r="C172" t="str">
            <v>7210路竹分行</v>
          </cell>
          <cell r="D172">
            <v>1</v>
          </cell>
          <cell r="E172">
            <v>0</v>
          </cell>
          <cell r="F172">
            <v>1</v>
          </cell>
        </row>
        <row r="173">
          <cell r="B173">
            <v>750</v>
          </cell>
          <cell r="C173" t="str">
            <v>7500大順分行</v>
          </cell>
          <cell r="D173">
            <v>4</v>
          </cell>
          <cell r="E173">
            <v>0</v>
          </cell>
          <cell r="F173">
            <v>1</v>
          </cell>
        </row>
        <row r="174">
          <cell r="B174">
            <v>751</v>
          </cell>
          <cell r="C174" t="str">
            <v>7510籬仔內分行</v>
          </cell>
          <cell r="D174">
            <v>2</v>
          </cell>
          <cell r="F174">
            <v>1</v>
          </cell>
        </row>
        <row r="175">
          <cell r="B175">
            <v>752</v>
          </cell>
          <cell r="C175" t="str">
            <v>7520五甲分行</v>
          </cell>
          <cell r="D175">
            <v>2</v>
          </cell>
          <cell r="E175">
            <v>0</v>
          </cell>
          <cell r="F175">
            <v>1</v>
          </cell>
        </row>
        <row r="176">
          <cell r="B176">
            <v>753</v>
          </cell>
          <cell r="C176" t="str">
            <v>7530光華分行</v>
          </cell>
          <cell r="D176">
            <v>5</v>
          </cell>
          <cell r="E176">
            <v>0</v>
          </cell>
          <cell r="F176">
            <v>1</v>
          </cell>
        </row>
        <row r="177">
          <cell r="B177">
            <v>760</v>
          </cell>
          <cell r="C177" t="str">
            <v>7600小港分行</v>
          </cell>
          <cell r="D177">
            <v>4</v>
          </cell>
          <cell r="E177">
            <v>2</v>
          </cell>
          <cell r="F177">
            <v>1</v>
          </cell>
        </row>
        <row r="178">
          <cell r="B178">
            <v>763</v>
          </cell>
        </row>
        <row r="179">
          <cell r="B179">
            <v>765</v>
          </cell>
          <cell r="C179" t="str">
            <v>7650桂林分行</v>
          </cell>
          <cell r="D179">
            <v>1</v>
          </cell>
          <cell r="E179">
            <v>0</v>
          </cell>
          <cell r="F179">
            <v>1</v>
          </cell>
        </row>
        <row r="180">
          <cell r="B180">
            <v>800</v>
          </cell>
          <cell r="C180" t="str">
            <v>8000屏東分行</v>
          </cell>
          <cell r="D180">
            <v>2</v>
          </cell>
          <cell r="F180">
            <v>1</v>
          </cell>
        </row>
        <row r="181">
          <cell r="B181">
            <v>801</v>
          </cell>
          <cell r="C181" t="str">
            <v>8010內埔分行</v>
          </cell>
          <cell r="D181">
            <v>6</v>
          </cell>
          <cell r="E181">
            <v>0</v>
          </cell>
          <cell r="F181">
            <v>1</v>
          </cell>
        </row>
        <row r="182">
          <cell r="B182">
            <v>802</v>
          </cell>
          <cell r="C182" t="str">
            <v>8020潮州分行</v>
          </cell>
          <cell r="D182">
            <v>5</v>
          </cell>
          <cell r="E182">
            <v>0</v>
          </cell>
          <cell r="F182">
            <v>1</v>
          </cell>
        </row>
        <row r="183">
          <cell r="B183">
            <v>810</v>
          </cell>
          <cell r="D183">
            <v>2</v>
          </cell>
          <cell r="E183">
            <v>0</v>
          </cell>
          <cell r="F183">
            <v>1</v>
          </cell>
        </row>
        <row r="184">
          <cell r="B184">
            <v>813</v>
          </cell>
          <cell r="C184" t="str">
            <v>8130佳冬分行</v>
          </cell>
          <cell r="D184">
            <v>2</v>
          </cell>
          <cell r="E184">
            <v>0</v>
          </cell>
          <cell r="F184">
            <v>0</v>
          </cell>
        </row>
        <row r="185">
          <cell r="B185">
            <v>820</v>
          </cell>
          <cell r="C185" t="str">
            <v>8200花蓮分行</v>
          </cell>
          <cell r="D185">
            <v>1</v>
          </cell>
          <cell r="E185">
            <v>1</v>
          </cell>
          <cell r="F185">
            <v>1</v>
          </cell>
        </row>
        <row r="186">
          <cell r="B186">
            <v>830</v>
          </cell>
          <cell r="C186" t="str">
            <v>8300台東分行</v>
          </cell>
          <cell r="D186">
            <v>1</v>
          </cell>
          <cell r="E186">
            <v>0</v>
          </cell>
          <cell r="F186">
            <v>1</v>
          </cell>
        </row>
      </sheetData>
      <sheetData sheetId="7" refreshError="1">
        <row r="4">
          <cell r="A4">
            <v>100</v>
          </cell>
          <cell r="B4" t="str">
            <v>營業部　　　　　　　　　　　</v>
          </cell>
          <cell r="C4">
            <v>25390</v>
          </cell>
          <cell r="D4">
            <v>24349</v>
          </cell>
          <cell r="E4">
            <v>18356</v>
          </cell>
          <cell r="F4">
            <v>18386</v>
          </cell>
          <cell r="G4">
            <v>18326</v>
          </cell>
          <cell r="H4">
            <v>22342</v>
          </cell>
          <cell r="I4">
            <v>21770</v>
          </cell>
          <cell r="J4">
            <v>22914</v>
          </cell>
        </row>
        <row r="5">
          <cell r="A5">
            <v>101</v>
          </cell>
          <cell r="B5" t="str">
            <v>儲蓄分行　　　　　　　　　　</v>
          </cell>
          <cell r="C5">
            <v>3450</v>
          </cell>
          <cell r="D5">
            <v>3529</v>
          </cell>
          <cell r="E5">
            <v>4028.5</v>
          </cell>
          <cell r="F5">
            <v>3933</v>
          </cell>
          <cell r="G5">
            <v>4124</v>
          </cell>
          <cell r="H5">
            <v>4475</v>
          </cell>
          <cell r="I5">
            <v>4428</v>
          </cell>
          <cell r="J5">
            <v>4522</v>
          </cell>
        </row>
        <row r="6">
          <cell r="A6">
            <v>103</v>
          </cell>
          <cell r="B6" t="str">
            <v>城內分行　　　　　　　　　　</v>
          </cell>
          <cell r="C6">
            <v>3515</v>
          </cell>
          <cell r="D6">
            <v>3406</v>
          </cell>
          <cell r="E6">
            <v>3158</v>
          </cell>
          <cell r="F6">
            <v>3228</v>
          </cell>
          <cell r="G6">
            <v>3088</v>
          </cell>
          <cell r="H6">
            <v>3253</v>
          </cell>
          <cell r="I6">
            <v>3236</v>
          </cell>
          <cell r="J6">
            <v>3270</v>
          </cell>
        </row>
        <row r="7">
          <cell r="A7">
            <v>104</v>
          </cell>
          <cell r="B7" t="str">
            <v>大稻埕分行　　　　　　　　　</v>
          </cell>
          <cell r="C7">
            <v>4810</v>
          </cell>
          <cell r="D7">
            <v>4691</v>
          </cell>
          <cell r="E7">
            <v>3869.5</v>
          </cell>
          <cell r="F7">
            <v>4144</v>
          </cell>
          <cell r="G7">
            <v>3595</v>
          </cell>
          <cell r="H7">
            <v>3832</v>
          </cell>
          <cell r="I7">
            <v>3842</v>
          </cell>
          <cell r="J7">
            <v>3822</v>
          </cell>
        </row>
        <row r="8">
          <cell r="A8">
            <v>105</v>
          </cell>
          <cell r="B8" t="str">
            <v>建成分行　　　　　　　　　　</v>
          </cell>
          <cell r="C8">
            <v>6776</v>
          </cell>
          <cell r="D8">
            <v>6929</v>
          </cell>
          <cell r="E8">
            <v>6382</v>
          </cell>
          <cell r="F8">
            <v>6334</v>
          </cell>
          <cell r="G8">
            <v>6430</v>
          </cell>
          <cell r="H8">
            <v>5864</v>
          </cell>
          <cell r="I8">
            <v>5986</v>
          </cell>
          <cell r="J8">
            <v>5742</v>
          </cell>
        </row>
        <row r="9">
          <cell r="A9">
            <v>106</v>
          </cell>
          <cell r="B9" t="str">
            <v>中山分行　　　　　　　　　　</v>
          </cell>
          <cell r="C9">
            <v>5684</v>
          </cell>
          <cell r="D9">
            <v>5609</v>
          </cell>
          <cell r="E9">
            <v>5873.5</v>
          </cell>
          <cell r="F9">
            <v>5905</v>
          </cell>
          <cell r="G9">
            <v>5842</v>
          </cell>
          <cell r="H9">
            <v>5703</v>
          </cell>
          <cell r="I9">
            <v>5986</v>
          </cell>
          <cell r="J9">
            <v>5420</v>
          </cell>
        </row>
        <row r="10">
          <cell r="A10">
            <v>107</v>
          </cell>
          <cell r="B10" t="str">
            <v>圓山分行　　　　　　　　　　</v>
          </cell>
          <cell r="C10">
            <v>16685</v>
          </cell>
          <cell r="D10">
            <v>17097</v>
          </cell>
          <cell r="E10">
            <v>16368.5</v>
          </cell>
          <cell r="F10">
            <v>16269</v>
          </cell>
          <cell r="G10">
            <v>16468</v>
          </cell>
          <cell r="H10">
            <v>15361</v>
          </cell>
          <cell r="I10">
            <v>15141</v>
          </cell>
          <cell r="J10">
            <v>15581</v>
          </cell>
        </row>
        <row r="11">
          <cell r="A11">
            <v>108</v>
          </cell>
          <cell r="B11" t="str">
            <v>城東分行　　　　　　　　　　</v>
          </cell>
          <cell r="C11">
            <v>23046</v>
          </cell>
          <cell r="D11">
            <v>21530</v>
          </cell>
          <cell r="E11">
            <v>19446.5</v>
          </cell>
          <cell r="F11">
            <v>19885</v>
          </cell>
          <cell r="G11">
            <v>19008</v>
          </cell>
          <cell r="H11">
            <v>22766</v>
          </cell>
          <cell r="I11">
            <v>21985</v>
          </cell>
          <cell r="J11">
            <v>23547</v>
          </cell>
        </row>
        <row r="12">
          <cell r="A12">
            <v>109</v>
          </cell>
          <cell r="B12" t="str">
            <v>西門分行　　　　　　　　　　</v>
          </cell>
          <cell r="C12">
            <v>4208</v>
          </cell>
          <cell r="D12">
            <v>4316</v>
          </cell>
          <cell r="E12">
            <v>3893.5</v>
          </cell>
          <cell r="F12">
            <v>4132</v>
          </cell>
          <cell r="G12">
            <v>3655</v>
          </cell>
          <cell r="H12">
            <v>3523.5</v>
          </cell>
          <cell r="I12">
            <v>3542</v>
          </cell>
          <cell r="J12">
            <v>3505</v>
          </cell>
        </row>
        <row r="13">
          <cell r="A13">
            <v>110</v>
          </cell>
          <cell r="B13" t="str">
            <v>南松山分行　　　　　　　　　</v>
          </cell>
          <cell r="C13">
            <v>2684</v>
          </cell>
          <cell r="D13">
            <v>2705</v>
          </cell>
          <cell r="E13">
            <v>2776.5</v>
          </cell>
          <cell r="F13">
            <v>2733</v>
          </cell>
          <cell r="G13">
            <v>2820</v>
          </cell>
          <cell r="H13">
            <v>2950</v>
          </cell>
          <cell r="I13">
            <v>3000</v>
          </cell>
          <cell r="J13">
            <v>2900</v>
          </cell>
        </row>
        <row r="14">
          <cell r="A14">
            <v>111</v>
          </cell>
          <cell r="B14" t="str">
            <v>仁愛路分行　　　　　　　　　</v>
          </cell>
          <cell r="C14">
            <v>6182</v>
          </cell>
          <cell r="D14">
            <v>5893</v>
          </cell>
          <cell r="E14">
            <v>5448.5</v>
          </cell>
          <cell r="F14">
            <v>5586</v>
          </cell>
          <cell r="G14">
            <v>5311</v>
          </cell>
          <cell r="H14">
            <v>5403</v>
          </cell>
          <cell r="I14">
            <v>5216</v>
          </cell>
          <cell r="J14">
            <v>5590</v>
          </cell>
        </row>
        <row r="15">
          <cell r="A15">
            <v>112</v>
          </cell>
          <cell r="B15" t="str">
            <v>南京東路分行　　　　　　　　</v>
          </cell>
          <cell r="C15">
            <v>16038</v>
          </cell>
          <cell r="D15">
            <v>15993</v>
          </cell>
          <cell r="E15">
            <v>14455</v>
          </cell>
          <cell r="F15">
            <v>14102</v>
          </cell>
          <cell r="G15">
            <v>14808</v>
          </cell>
          <cell r="H15">
            <v>15385</v>
          </cell>
          <cell r="I15">
            <v>14664</v>
          </cell>
          <cell r="J15">
            <v>16106</v>
          </cell>
        </row>
        <row r="16">
          <cell r="A16">
            <v>113</v>
          </cell>
          <cell r="B16" t="str">
            <v>新生分行　　　　　　　　　　</v>
          </cell>
          <cell r="C16">
            <v>5335</v>
          </cell>
          <cell r="D16">
            <v>5268</v>
          </cell>
          <cell r="E16">
            <v>5125</v>
          </cell>
          <cell r="F16">
            <v>5006</v>
          </cell>
          <cell r="G16">
            <v>5244</v>
          </cell>
          <cell r="H16">
            <v>5653</v>
          </cell>
          <cell r="I16">
            <v>5850</v>
          </cell>
          <cell r="J16">
            <v>5456</v>
          </cell>
        </row>
        <row r="17">
          <cell r="A17">
            <v>114</v>
          </cell>
          <cell r="B17" t="str">
            <v>大同分行　　　　　　　　　　</v>
          </cell>
          <cell r="C17">
            <v>3667</v>
          </cell>
          <cell r="D17">
            <v>3634</v>
          </cell>
          <cell r="E17">
            <v>3253.5</v>
          </cell>
          <cell r="F17">
            <v>3191</v>
          </cell>
          <cell r="G17">
            <v>3316</v>
          </cell>
          <cell r="H17">
            <v>3261.5</v>
          </cell>
          <cell r="I17">
            <v>3416</v>
          </cell>
          <cell r="J17">
            <v>3107</v>
          </cell>
        </row>
        <row r="18">
          <cell r="A18">
            <v>115</v>
          </cell>
          <cell r="B18" t="str">
            <v>松山分行　　　　　　　　　　</v>
          </cell>
          <cell r="C18">
            <v>4890</v>
          </cell>
          <cell r="D18">
            <v>5147</v>
          </cell>
          <cell r="E18">
            <v>4959.5</v>
          </cell>
          <cell r="F18">
            <v>5209</v>
          </cell>
          <cell r="G18">
            <v>4710</v>
          </cell>
          <cell r="H18">
            <v>5649</v>
          </cell>
          <cell r="I18">
            <v>5563</v>
          </cell>
          <cell r="J18">
            <v>5735</v>
          </cell>
        </row>
        <row r="19">
          <cell r="A19">
            <v>116</v>
          </cell>
          <cell r="B19" t="str">
            <v>中崙分行　　　　　　　　　　</v>
          </cell>
          <cell r="C19">
            <v>7021</v>
          </cell>
          <cell r="D19">
            <v>7290</v>
          </cell>
          <cell r="E19">
            <v>6745</v>
          </cell>
          <cell r="F19">
            <v>6679</v>
          </cell>
          <cell r="G19">
            <v>6811</v>
          </cell>
          <cell r="H19">
            <v>7668.5</v>
          </cell>
          <cell r="I19">
            <v>7720</v>
          </cell>
          <cell r="J19">
            <v>7617</v>
          </cell>
        </row>
        <row r="20">
          <cell r="A20">
            <v>117</v>
          </cell>
          <cell r="B20" t="str">
            <v>台北南門分行　　　　　　　　</v>
          </cell>
          <cell r="C20">
            <v>3172</v>
          </cell>
          <cell r="D20">
            <v>3238</v>
          </cell>
          <cell r="E20">
            <v>3624</v>
          </cell>
          <cell r="F20">
            <v>3518</v>
          </cell>
          <cell r="G20">
            <v>3730</v>
          </cell>
          <cell r="H20">
            <v>3668</v>
          </cell>
          <cell r="I20">
            <v>3713</v>
          </cell>
          <cell r="J20">
            <v>3623</v>
          </cell>
        </row>
        <row r="21">
          <cell r="A21">
            <v>118</v>
          </cell>
          <cell r="B21" t="str">
            <v>公館分行　　　　　　　　　　</v>
          </cell>
          <cell r="C21">
            <v>2048</v>
          </cell>
          <cell r="D21">
            <v>2038</v>
          </cell>
          <cell r="E21">
            <v>1342</v>
          </cell>
          <cell r="F21">
            <v>1543</v>
          </cell>
          <cell r="G21">
            <v>1141</v>
          </cell>
          <cell r="H21">
            <v>1237</v>
          </cell>
          <cell r="I21">
            <v>1338</v>
          </cell>
          <cell r="J21">
            <v>1136</v>
          </cell>
        </row>
        <row r="22">
          <cell r="A22">
            <v>119</v>
          </cell>
          <cell r="B22" t="str">
            <v>信義分行　　　　　　　　　　</v>
          </cell>
          <cell r="C22">
            <v>1402</v>
          </cell>
          <cell r="D22">
            <v>1429</v>
          </cell>
          <cell r="E22">
            <v>1191</v>
          </cell>
          <cell r="F22">
            <v>1197</v>
          </cell>
          <cell r="G22">
            <v>1185</v>
          </cell>
          <cell r="H22">
            <v>1407.5</v>
          </cell>
          <cell r="I22">
            <v>1261</v>
          </cell>
          <cell r="J22">
            <v>1554</v>
          </cell>
        </row>
        <row r="23">
          <cell r="A23">
            <v>120</v>
          </cell>
          <cell r="B23" t="str">
            <v>忠孝東路分行　　　　　　　　</v>
          </cell>
          <cell r="C23">
            <v>11505</v>
          </cell>
          <cell r="D23">
            <v>12166</v>
          </cell>
          <cell r="E23">
            <v>12404.5</v>
          </cell>
          <cell r="F23">
            <v>12299</v>
          </cell>
          <cell r="G23">
            <v>12510</v>
          </cell>
          <cell r="H23">
            <v>10813.5</v>
          </cell>
          <cell r="I23">
            <v>12260</v>
          </cell>
          <cell r="J23">
            <v>9367</v>
          </cell>
        </row>
        <row r="24">
          <cell r="A24">
            <v>121</v>
          </cell>
          <cell r="B24" t="str">
            <v>和平分行　　　　　　　　　　</v>
          </cell>
          <cell r="C24">
            <v>1695</v>
          </cell>
          <cell r="D24">
            <v>1872</v>
          </cell>
          <cell r="E24">
            <v>2098.5</v>
          </cell>
          <cell r="F24">
            <v>2005</v>
          </cell>
          <cell r="G24">
            <v>2192</v>
          </cell>
          <cell r="H24">
            <v>2575</v>
          </cell>
          <cell r="I24">
            <v>2689</v>
          </cell>
          <cell r="J24">
            <v>2461</v>
          </cell>
        </row>
        <row r="25">
          <cell r="A25">
            <v>122</v>
          </cell>
          <cell r="B25" t="str">
            <v>雙園分行　　　　　　　　　　</v>
          </cell>
          <cell r="C25">
            <v>2837</v>
          </cell>
          <cell r="D25">
            <v>2865</v>
          </cell>
          <cell r="E25">
            <v>2820</v>
          </cell>
          <cell r="F25">
            <v>2868</v>
          </cell>
          <cell r="G25">
            <v>2772</v>
          </cell>
          <cell r="H25">
            <v>2055</v>
          </cell>
          <cell r="I25">
            <v>2199</v>
          </cell>
          <cell r="J25">
            <v>1911</v>
          </cell>
        </row>
        <row r="26">
          <cell r="A26">
            <v>123</v>
          </cell>
          <cell r="B26" t="str">
            <v>士林分行　　　　　　　　　　</v>
          </cell>
          <cell r="C26">
            <v>6170</v>
          </cell>
          <cell r="D26">
            <v>6794</v>
          </cell>
          <cell r="E26">
            <v>4950.5</v>
          </cell>
          <cell r="F26">
            <v>5953</v>
          </cell>
          <cell r="G26">
            <v>3948</v>
          </cell>
          <cell r="H26">
            <v>3854</v>
          </cell>
          <cell r="I26">
            <v>3841</v>
          </cell>
          <cell r="J26">
            <v>3867</v>
          </cell>
        </row>
        <row r="27">
          <cell r="A27">
            <v>124</v>
          </cell>
          <cell r="B27" t="str">
            <v>東台北分行　　　　　　　　　</v>
          </cell>
          <cell r="C27">
            <v>2524</v>
          </cell>
          <cell r="D27">
            <v>2647</v>
          </cell>
          <cell r="E27">
            <v>2843.5</v>
          </cell>
          <cell r="F27">
            <v>2823</v>
          </cell>
          <cell r="G27">
            <v>2864</v>
          </cell>
          <cell r="H27">
            <v>3190</v>
          </cell>
          <cell r="I27">
            <v>3181</v>
          </cell>
          <cell r="J27">
            <v>3199</v>
          </cell>
        </row>
        <row r="28">
          <cell r="A28">
            <v>125</v>
          </cell>
          <cell r="B28" t="str">
            <v>大安分行　　　　　　　　　　</v>
          </cell>
          <cell r="C28">
            <v>3281</v>
          </cell>
          <cell r="D28">
            <v>2881</v>
          </cell>
          <cell r="E28">
            <v>2578.5</v>
          </cell>
          <cell r="F28">
            <v>2643</v>
          </cell>
          <cell r="G28">
            <v>2514</v>
          </cell>
          <cell r="H28">
            <v>2212</v>
          </cell>
          <cell r="I28">
            <v>2255</v>
          </cell>
          <cell r="J28">
            <v>2169</v>
          </cell>
        </row>
        <row r="29">
          <cell r="A29">
            <v>126</v>
          </cell>
          <cell r="B29" t="str">
            <v>民生分行　　　　　　　　　　</v>
          </cell>
          <cell r="C29">
            <v>39892</v>
          </cell>
          <cell r="D29">
            <v>41310</v>
          </cell>
          <cell r="E29">
            <v>37777</v>
          </cell>
          <cell r="F29">
            <v>39499</v>
          </cell>
          <cell r="G29">
            <v>36055</v>
          </cell>
          <cell r="H29">
            <v>36209.5</v>
          </cell>
          <cell r="I29">
            <v>35968</v>
          </cell>
          <cell r="J29">
            <v>36451</v>
          </cell>
        </row>
        <row r="30">
          <cell r="A30">
            <v>127</v>
          </cell>
          <cell r="B30" t="str">
            <v>復興分行　　　　　　　　　　</v>
          </cell>
          <cell r="C30">
            <v>3362</v>
          </cell>
          <cell r="D30">
            <v>3408</v>
          </cell>
          <cell r="E30">
            <v>3120</v>
          </cell>
          <cell r="F30">
            <v>3253</v>
          </cell>
          <cell r="G30">
            <v>2987</v>
          </cell>
          <cell r="H30">
            <v>2886</v>
          </cell>
          <cell r="I30">
            <v>2901</v>
          </cell>
          <cell r="J30">
            <v>2871</v>
          </cell>
        </row>
        <row r="31">
          <cell r="A31">
            <v>128</v>
          </cell>
          <cell r="B31" t="str">
            <v>龍江分行　　　　　　　　　　</v>
          </cell>
          <cell r="C31">
            <v>2476</v>
          </cell>
          <cell r="D31">
            <v>2482</v>
          </cell>
          <cell r="E31">
            <v>2225</v>
          </cell>
          <cell r="F31">
            <v>2163</v>
          </cell>
          <cell r="G31">
            <v>2287</v>
          </cell>
          <cell r="H31">
            <v>2478</v>
          </cell>
          <cell r="I31">
            <v>2352</v>
          </cell>
          <cell r="J31">
            <v>2604</v>
          </cell>
        </row>
        <row r="32">
          <cell r="A32">
            <v>129</v>
          </cell>
          <cell r="B32" t="str">
            <v>永吉分行　　　　　　　　　　</v>
          </cell>
          <cell r="C32">
            <v>1435</v>
          </cell>
          <cell r="D32">
            <v>1391</v>
          </cell>
          <cell r="E32">
            <v>1272.5</v>
          </cell>
          <cell r="F32">
            <v>1289</v>
          </cell>
          <cell r="G32">
            <v>1256</v>
          </cell>
          <cell r="H32">
            <v>1405</v>
          </cell>
          <cell r="I32">
            <v>1463</v>
          </cell>
          <cell r="J32">
            <v>1347</v>
          </cell>
        </row>
        <row r="33">
          <cell r="A33">
            <v>130</v>
          </cell>
          <cell r="B33" t="str">
            <v>敦化分行　　　　　　　　　　</v>
          </cell>
          <cell r="C33">
            <v>8480</v>
          </cell>
          <cell r="D33">
            <v>9510</v>
          </cell>
          <cell r="E33">
            <v>7029</v>
          </cell>
          <cell r="F33">
            <v>8571</v>
          </cell>
          <cell r="G33">
            <v>5487</v>
          </cell>
          <cell r="H33">
            <v>7444</v>
          </cell>
          <cell r="I33">
            <v>7255</v>
          </cell>
          <cell r="J33">
            <v>7633</v>
          </cell>
        </row>
        <row r="34">
          <cell r="A34">
            <v>131</v>
          </cell>
          <cell r="B34" t="str">
            <v>忠興分行　　　　　　　　　　</v>
          </cell>
          <cell r="C34">
            <v>2163</v>
          </cell>
          <cell r="D34">
            <v>2301</v>
          </cell>
          <cell r="E34">
            <v>2704.5</v>
          </cell>
          <cell r="F34">
            <v>2697</v>
          </cell>
          <cell r="G34">
            <v>2712</v>
          </cell>
          <cell r="H34">
            <v>2800</v>
          </cell>
          <cell r="I34">
            <v>3063</v>
          </cell>
          <cell r="J34">
            <v>2537</v>
          </cell>
        </row>
        <row r="35">
          <cell r="A35">
            <v>133</v>
          </cell>
          <cell r="B35" t="str">
            <v>敦和分行　　　　　　　　　　</v>
          </cell>
          <cell r="C35">
            <v>1875</v>
          </cell>
          <cell r="D35">
            <v>1950</v>
          </cell>
          <cell r="E35">
            <v>1926</v>
          </cell>
          <cell r="F35">
            <v>1861</v>
          </cell>
          <cell r="G35">
            <v>1991</v>
          </cell>
          <cell r="H35">
            <v>2790.5</v>
          </cell>
          <cell r="I35">
            <v>2564</v>
          </cell>
          <cell r="J35">
            <v>3017</v>
          </cell>
        </row>
        <row r="36">
          <cell r="A36">
            <v>134</v>
          </cell>
          <cell r="B36" t="str">
            <v>東湖分行　　　　　　　　　　</v>
          </cell>
          <cell r="C36">
            <v>1896</v>
          </cell>
          <cell r="D36">
            <v>1992</v>
          </cell>
          <cell r="E36">
            <v>2191</v>
          </cell>
          <cell r="F36">
            <v>2223</v>
          </cell>
          <cell r="G36">
            <v>2159</v>
          </cell>
          <cell r="H36">
            <v>2058</v>
          </cell>
          <cell r="I36">
            <v>2136</v>
          </cell>
          <cell r="J36">
            <v>1980</v>
          </cell>
        </row>
        <row r="37">
          <cell r="A37">
            <v>136</v>
          </cell>
          <cell r="B37" t="str">
            <v>長春分行　　　　　　　　　　</v>
          </cell>
          <cell r="C37">
            <v>0</v>
          </cell>
          <cell r="D37">
            <v>0</v>
          </cell>
          <cell r="E37">
            <v>7</v>
          </cell>
          <cell r="F37">
            <v>0</v>
          </cell>
          <cell r="G37">
            <v>14</v>
          </cell>
          <cell r="H37">
            <v>17.5</v>
          </cell>
          <cell r="I37">
            <v>20</v>
          </cell>
          <cell r="J37">
            <v>15</v>
          </cell>
        </row>
        <row r="38">
          <cell r="A38">
            <v>137</v>
          </cell>
          <cell r="B38" t="str">
            <v>北南港分行　　　　　　　　　</v>
          </cell>
          <cell r="C38">
            <v>888</v>
          </cell>
          <cell r="D38">
            <v>894</v>
          </cell>
          <cell r="E38">
            <v>818.5</v>
          </cell>
          <cell r="F38">
            <v>980</v>
          </cell>
          <cell r="G38">
            <v>657</v>
          </cell>
          <cell r="H38">
            <v>581</v>
          </cell>
          <cell r="I38">
            <v>877</v>
          </cell>
          <cell r="J38">
            <v>285</v>
          </cell>
        </row>
        <row r="39">
          <cell r="A39">
            <v>143</v>
          </cell>
          <cell r="B39" t="str">
            <v>南內湖分行　　　　　　　　　</v>
          </cell>
          <cell r="C39">
            <v>1022</v>
          </cell>
          <cell r="D39">
            <v>921</v>
          </cell>
          <cell r="E39">
            <v>665</v>
          </cell>
          <cell r="F39">
            <v>778</v>
          </cell>
          <cell r="G39">
            <v>552</v>
          </cell>
          <cell r="H39">
            <v>217.5</v>
          </cell>
          <cell r="I39">
            <v>366</v>
          </cell>
          <cell r="J39">
            <v>69</v>
          </cell>
        </row>
        <row r="40">
          <cell r="A40">
            <v>145</v>
          </cell>
          <cell r="B40" t="str">
            <v>長安分行　　　　　　　　　　</v>
          </cell>
          <cell r="C40">
            <v>1130</v>
          </cell>
          <cell r="D40">
            <v>1311</v>
          </cell>
          <cell r="E40">
            <v>1503</v>
          </cell>
          <cell r="F40">
            <v>1458</v>
          </cell>
          <cell r="G40">
            <v>1548</v>
          </cell>
          <cell r="H40">
            <v>1569</v>
          </cell>
          <cell r="I40">
            <v>1596</v>
          </cell>
          <cell r="J40">
            <v>1542</v>
          </cell>
        </row>
        <row r="41">
          <cell r="A41">
            <v>147</v>
          </cell>
          <cell r="B41" t="str">
            <v>懷生分行　　　　　　　　　　</v>
          </cell>
          <cell r="C41">
            <v>2568</v>
          </cell>
          <cell r="D41">
            <v>2455</v>
          </cell>
          <cell r="E41">
            <v>2397.5</v>
          </cell>
          <cell r="F41">
            <v>2414</v>
          </cell>
          <cell r="G41">
            <v>2381</v>
          </cell>
          <cell r="H41">
            <v>2006</v>
          </cell>
          <cell r="I41">
            <v>2193</v>
          </cell>
          <cell r="J41">
            <v>1819</v>
          </cell>
        </row>
        <row r="42">
          <cell r="A42">
            <v>148</v>
          </cell>
          <cell r="B42" t="str">
            <v>中華路分行　　　　　　　　　</v>
          </cell>
          <cell r="C42">
            <v>1126</v>
          </cell>
          <cell r="D42">
            <v>1163</v>
          </cell>
          <cell r="E42">
            <v>1174</v>
          </cell>
          <cell r="F42">
            <v>1184</v>
          </cell>
          <cell r="G42">
            <v>1164</v>
          </cell>
          <cell r="H42">
            <v>1123.5</v>
          </cell>
          <cell r="I42">
            <v>1066</v>
          </cell>
          <cell r="J42">
            <v>1181</v>
          </cell>
        </row>
        <row r="43">
          <cell r="A43">
            <v>149</v>
          </cell>
          <cell r="B43" t="str">
            <v>信維分行　　　　　　　　　　</v>
          </cell>
          <cell r="C43">
            <v>2216</v>
          </cell>
          <cell r="D43">
            <v>2313</v>
          </cell>
          <cell r="E43">
            <v>2200</v>
          </cell>
          <cell r="F43">
            <v>2229</v>
          </cell>
          <cell r="G43">
            <v>2171</v>
          </cell>
          <cell r="H43">
            <v>2117</v>
          </cell>
          <cell r="I43">
            <v>2168</v>
          </cell>
          <cell r="J43">
            <v>2066</v>
          </cell>
        </row>
        <row r="44">
          <cell r="A44">
            <v>151</v>
          </cell>
          <cell r="B44" t="str">
            <v>埔墘分行　　　　　　　　　　</v>
          </cell>
          <cell r="C44">
            <v>1487</v>
          </cell>
          <cell r="D44">
            <v>1365</v>
          </cell>
          <cell r="E44">
            <v>1216</v>
          </cell>
          <cell r="F44">
            <v>1184</v>
          </cell>
          <cell r="G44">
            <v>1248</v>
          </cell>
          <cell r="H44">
            <v>1361</v>
          </cell>
          <cell r="I44">
            <v>1325</v>
          </cell>
          <cell r="J44">
            <v>1397</v>
          </cell>
        </row>
        <row r="45">
          <cell r="A45">
            <v>152</v>
          </cell>
          <cell r="B45" t="str">
            <v>石牌分行　　　　　　　　　　</v>
          </cell>
          <cell r="C45">
            <v>739</v>
          </cell>
          <cell r="D45">
            <v>766</v>
          </cell>
          <cell r="E45">
            <v>701</v>
          </cell>
          <cell r="F45">
            <v>677</v>
          </cell>
          <cell r="G45">
            <v>725</v>
          </cell>
          <cell r="H45">
            <v>743.5</v>
          </cell>
          <cell r="I45">
            <v>739</v>
          </cell>
          <cell r="J45">
            <v>748</v>
          </cell>
        </row>
        <row r="46">
          <cell r="A46">
            <v>153</v>
          </cell>
          <cell r="B46" t="str">
            <v>瑞祥分行　　　　　　　　　　</v>
          </cell>
          <cell r="C46">
            <v>1164</v>
          </cell>
          <cell r="D46">
            <v>1150</v>
          </cell>
          <cell r="E46">
            <v>2043.5</v>
          </cell>
          <cell r="F46">
            <v>1834</v>
          </cell>
          <cell r="G46">
            <v>2253</v>
          </cell>
          <cell r="H46">
            <v>2733</v>
          </cell>
          <cell r="I46">
            <v>2684</v>
          </cell>
          <cell r="J46">
            <v>2782</v>
          </cell>
        </row>
        <row r="47">
          <cell r="A47">
            <v>154</v>
          </cell>
          <cell r="B47" t="str">
            <v>台大分行　　　　　　　　　　</v>
          </cell>
          <cell r="C47">
            <v>138</v>
          </cell>
          <cell r="D47">
            <v>95</v>
          </cell>
          <cell r="E47">
            <v>21.5</v>
          </cell>
          <cell r="F47">
            <v>35</v>
          </cell>
          <cell r="G47">
            <v>8</v>
          </cell>
          <cell r="H47">
            <v>7.5</v>
          </cell>
          <cell r="I47">
            <v>9</v>
          </cell>
          <cell r="J47">
            <v>6</v>
          </cell>
        </row>
        <row r="48">
          <cell r="A48">
            <v>156</v>
          </cell>
          <cell r="B48" t="str">
            <v>世貿分行　　　　　　　　　　</v>
          </cell>
          <cell r="C48">
            <v>4120</v>
          </cell>
          <cell r="D48">
            <v>3962</v>
          </cell>
          <cell r="E48">
            <v>3727</v>
          </cell>
          <cell r="F48">
            <v>3891</v>
          </cell>
          <cell r="G48">
            <v>3563</v>
          </cell>
          <cell r="H48">
            <v>4159.5</v>
          </cell>
          <cell r="I48">
            <v>4365</v>
          </cell>
          <cell r="J48">
            <v>3954</v>
          </cell>
        </row>
        <row r="49">
          <cell r="A49">
            <v>157</v>
          </cell>
          <cell r="B49" t="str">
            <v>萬華分行　　　　　　　　　　</v>
          </cell>
          <cell r="C49">
            <v>3269</v>
          </cell>
          <cell r="D49">
            <v>3218</v>
          </cell>
          <cell r="E49">
            <v>2841</v>
          </cell>
          <cell r="F49">
            <v>2943</v>
          </cell>
          <cell r="G49">
            <v>2739</v>
          </cell>
          <cell r="H49">
            <v>2545</v>
          </cell>
          <cell r="I49">
            <v>2626</v>
          </cell>
          <cell r="J49">
            <v>2464</v>
          </cell>
        </row>
        <row r="50">
          <cell r="A50">
            <v>158</v>
          </cell>
          <cell r="B50" t="str">
            <v>南港分行　　　　　　　　　　</v>
          </cell>
          <cell r="C50">
            <v>2704</v>
          </cell>
          <cell r="D50">
            <v>2692</v>
          </cell>
          <cell r="E50">
            <v>2571</v>
          </cell>
          <cell r="F50">
            <v>2809</v>
          </cell>
          <cell r="G50">
            <v>2333</v>
          </cell>
          <cell r="H50">
            <v>2416.5</v>
          </cell>
          <cell r="I50">
            <v>2515</v>
          </cell>
          <cell r="J50">
            <v>2318</v>
          </cell>
        </row>
        <row r="51">
          <cell r="A51">
            <v>159</v>
          </cell>
          <cell r="B51" t="str">
            <v>華江分行　　　　　　　　　　</v>
          </cell>
          <cell r="C51">
            <v>2121</v>
          </cell>
          <cell r="D51">
            <v>2036</v>
          </cell>
          <cell r="E51">
            <v>1790</v>
          </cell>
          <cell r="F51">
            <v>1905</v>
          </cell>
          <cell r="G51">
            <v>1675</v>
          </cell>
          <cell r="H51">
            <v>1606</v>
          </cell>
          <cell r="I51">
            <v>1692</v>
          </cell>
          <cell r="J51">
            <v>1520</v>
          </cell>
        </row>
        <row r="52">
          <cell r="A52">
            <v>160</v>
          </cell>
          <cell r="B52" t="str">
            <v>板橋分行　　　　　　　　　　</v>
          </cell>
          <cell r="C52">
            <v>1668</v>
          </cell>
          <cell r="D52">
            <v>1657</v>
          </cell>
          <cell r="E52">
            <v>1542.5</v>
          </cell>
          <cell r="F52">
            <v>1560</v>
          </cell>
          <cell r="G52">
            <v>1525</v>
          </cell>
          <cell r="H52">
            <v>1347.5</v>
          </cell>
          <cell r="I52">
            <v>1402</v>
          </cell>
          <cell r="J52">
            <v>1293</v>
          </cell>
        </row>
        <row r="53">
          <cell r="A53">
            <v>161</v>
          </cell>
          <cell r="B53" t="str">
            <v>三重分行　　　　　　　　　　</v>
          </cell>
          <cell r="C53">
            <v>1961</v>
          </cell>
          <cell r="D53">
            <v>1961</v>
          </cell>
          <cell r="E53">
            <v>1905</v>
          </cell>
          <cell r="F53">
            <v>1944</v>
          </cell>
          <cell r="G53">
            <v>1866</v>
          </cell>
          <cell r="H53">
            <v>1888.5</v>
          </cell>
          <cell r="I53">
            <v>1895</v>
          </cell>
          <cell r="J53">
            <v>1882</v>
          </cell>
        </row>
        <row r="54">
          <cell r="A54">
            <v>162</v>
          </cell>
          <cell r="B54" t="str">
            <v>北三重分行　　　　　　　　　</v>
          </cell>
          <cell r="C54">
            <v>2476</v>
          </cell>
          <cell r="D54">
            <v>2485</v>
          </cell>
          <cell r="E54">
            <v>2467</v>
          </cell>
          <cell r="F54">
            <v>2428</v>
          </cell>
          <cell r="G54">
            <v>2506</v>
          </cell>
          <cell r="H54">
            <v>2251.5</v>
          </cell>
          <cell r="I54">
            <v>2377</v>
          </cell>
          <cell r="J54">
            <v>2126</v>
          </cell>
        </row>
        <row r="55">
          <cell r="A55">
            <v>163</v>
          </cell>
          <cell r="B55" t="str">
            <v>新莊分行　　　　　　　　　　</v>
          </cell>
          <cell r="C55">
            <v>2752</v>
          </cell>
          <cell r="D55">
            <v>2830</v>
          </cell>
          <cell r="E55">
            <v>2724</v>
          </cell>
          <cell r="F55">
            <v>2763</v>
          </cell>
          <cell r="G55">
            <v>2685</v>
          </cell>
          <cell r="H55">
            <v>2536.5</v>
          </cell>
          <cell r="I55">
            <v>2541</v>
          </cell>
          <cell r="J55">
            <v>2532</v>
          </cell>
        </row>
        <row r="56">
          <cell r="A56">
            <v>164</v>
          </cell>
          <cell r="B56" t="str">
            <v>永和分行　　　　　　　　　　</v>
          </cell>
          <cell r="C56">
            <v>1970</v>
          </cell>
          <cell r="D56">
            <v>1881</v>
          </cell>
          <cell r="E56">
            <v>1750</v>
          </cell>
          <cell r="F56">
            <v>1809</v>
          </cell>
          <cell r="G56">
            <v>1691</v>
          </cell>
          <cell r="H56">
            <v>1764.5</v>
          </cell>
          <cell r="I56">
            <v>1657</v>
          </cell>
          <cell r="J56">
            <v>1872</v>
          </cell>
        </row>
        <row r="57">
          <cell r="A57">
            <v>165</v>
          </cell>
          <cell r="B57" t="str">
            <v>中和分行　　　　　　　　　　</v>
          </cell>
          <cell r="C57">
            <v>5445</v>
          </cell>
          <cell r="D57">
            <v>5213</v>
          </cell>
          <cell r="E57">
            <v>4377.5</v>
          </cell>
          <cell r="F57">
            <v>4574</v>
          </cell>
          <cell r="G57">
            <v>4181</v>
          </cell>
          <cell r="H57">
            <v>4154</v>
          </cell>
          <cell r="I57">
            <v>4321</v>
          </cell>
          <cell r="J57">
            <v>3987</v>
          </cell>
        </row>
        <row r="58">
          <cell r="A58">
            <v>166</v>
          </cell>
          <cell r="B58" t="str">
            <v>新店分行　　　　　　　　　　</v>
          </cell>
          <cell r="C58">
            <v>2176</v>
          </cell>
          <cell r="D58">
            <v>2377</v>
          </cell>
          <cell r="E58">
            <v>2205</v>
          </cell>
          <cell r="F58">
            <v>2197</v>
          </cell>
          <cell r="G58">
            <v>2213</v>
          </cell>
          <cell r="H58">
            <v>2306.5</v>
          </cell>
          <cell r="I58">
            <v>2236</v>
          </cell>
          <cell r="J58">
            <v>2377</v>
          </cell>
        </row>
        <row r="59">
          <cell r="A59">
            <v>167</v>
          </cell>
          <cell r="B59" t="str">
            <v>淡水分行　　　　　　　　　　</v>
          </cell>
          <cell r="C59">
            <v>2261</v>
          </cell>
          <cell r="D59">
            <v>2332</v>
          </cell>
          <cell r="E59">
            <v>2431</v>
          </cell>
          <cell r="F59">
            <v>2475</v>
          </cell>
          <cell r="G59">
            <v>2387</v>
          </cell>
          <cell r="H59">
            <v>2224</v>
          </cell>
          <cell r="I59">
            <v>2364</v>
          </cell>
          <cell r="J59">
            <v>2084</v>
          </cell>
        </row>
        <row r="60">
          <cell r="A60">
            <v>168</v>
          </cell>
          <cell r="B60" t="str">
            <v>汐止分行　　　　　　　　　　</v>
          </cell>
          <cell r="C60">
            <v>3455</v>
          </cell>
          <cell r="D60">
            <v>3514</v>
          </cell>
          <cell r="E60">
            <v>3671.5</v>
          </cell>
          <cell r="F60">
            <v>3747</v>
          </cell>
          <cell r="G60">
            <v>3596</v>
          </cell>
          <cell r="H60">
            <v>3753</v>
          </cell>
          <cell r="I60">
            <v>3860</v>
          </cell>
          <cell r="J60">
            <v>3646</v>
          </cell>
        </row>
        <row r="61">
          <cell r="A61">
            <v>169</v>
          </cell>
          <cell r="B61" t="str">
            <v>南永和分行　　　　　　　　　</v>
          </cell>
          <cell r="C61">
            <v>2540</v>
          </cell>
          <cell r="D61">
            <v>2314</v>
          </cell>
          <cell r="E61">
            <v>1660</v>
          </cell>
          <cell r="F61">
            <v>1831</v>
          </cell>
          <cell r="G61">
            <v>1489</v>
          </cell>
          <cell r="H61">
            <v>1162.5</v>
          </cell>
          <cell r="I61">
            <v>1247</v>
          </cell>
          <cell r="J61">
            <v>1078</v>
          </cell>
        </row>
        <row r="62">
          <cell r="A62">
            <v>170</v>
          </cell>
          <cell r="B62" t="str">
            <v>西三重分行　　　　　　　　　</v>
          </cell>
          <cell r="C62">
            <v>1936</v>
          </cell>
          <cell r="D62">
            <v>1874</v>
          </cell>
          <cell r="E62">
            <v>1868</v>
          </cell>
          <cell r="F62">
            <v>1749</v>
          </cell>
          <cell r="G62">
            <v>1987</v>
          </cell>
          <cell r="H62">
            <v>1839</v>
          </cell>
          <cell r="I62">
            <v>1994</v>
          </cell>
          <cell r="J62">
            <v>1684</v>
          </cell>
        </row>
        <row r="63">
          <cell r="A63">
            <v>171</v>
          </cell>
          <cell r="B63" t="str">
            <v>南三重分行　　　　　　　　　</v>
          </cell>
          <cell r="C63">
            <v>1679</v>
          </cell>
          <cell r="D63">
            <v>1686</v>
          </cell>
          <cell r="E63">
            <v>1610.5</v>
          </cell>
          <cell r="F63">
            <v>1678</v>
          </cell>
          <cell r="G63">
            <v>1543</v>
          </cell>
          <cell r="H63">
            <v>1064.5</v>
          </cell>
          <cell r="I63">
            <v>1292</v>
          </cell>
          <cell r="J63">
            <v>837</v>
          </cell>
        </row>
        <row r="64">
          <cell r="A64">
            <v>172</v>
          </cell>
          <cell r="B64" t="str">
            <v>雙和分行　　　　　　　　　　</v>
          </cell>
          <cell r="C64">
            <v>695</v>
          </cell>
          <cell r="D64">
            <v>732</v>
          </cell>
          <cell r="E64">
            <v>688</v>
          </cell>
          <cell r="F64">
            <v>688</v>
          </cell>
          <cell r="G64">
            <v>688</v>
          </cell>
          <cell r="H64">
            <v>672</v>
          </cell>
          <cell r="I64">
            <v>719</v>
          </cell>
          <cell r="J64">
            <v>625</v>
          </cell>
        </row>
        <row r="65">
          <cell r="A65">
            <v>173</v>
          </cell>
          <cell r="B65" t="str">
            <v>新泰分行　　　　　　　　　　</v>
          </cell>
          <cell r="C65">
            <v>1482</v>
          </cell>
          <cell r="D65">
            <v>1395</v>
          </cell>
          <cell r="E65">
            <v>1346.5</v>
          </cell>
          <cell r="F65">
            <v>1348</v>
          </cell>
          <cell r="G65">
            <v>1345</v>
          </cell>
          <cell r="H65">
            <v>1338</v>
          </cell>
          <cell r="I65">
            <v>1396</v>
          </cell>
          <cell r="J65">
            <v>1280</v>
          </cell>
        </row>
        <row r="66">
          <cell r="A66">
            <v>174</v>
          </cell>
          <cell r="B66" t="str">
            <v>二重分行　　　　　　　　　　</v>
          </cell>
          <cell r="C66">
            <v>2611</v>
          </cell>
          <cell r="D66">
            <v>2764</v>
          </cell>
          <cell r="E66">
            <v>2815.5</v>
          </cell>
          <cell r="F66">
            <v>2849</v>
          </cell>
          <cell r="G66">
            <v>2782</v>
          </cell>
          <cell r="H66">
            <v>2557.5</v>
          </cell>
          <cell r="I66">
            <v>2504</v>
          </cell>
          <cell r="J66">
            <v>2611</v>
          </cell>
        </row>
        <row r="67">
          <cell r="A67">
            <v>175</v>
          </cell>
          <cell r="B67" t="str">
            <v>板新分行　　　　　　　　　　</v>
          </cell>
          <cell r="C67">
            <v>1569</v>
          </cell>
          <cell r="D67">
            <v>1583</v>
          </cell>
          <cell r="E67">
            <v>1440.5</v>
          </cell>
          <cell r="F67">
            <v>1501</v>
          </cell>
          <cell r="G67">
            <v>1380</v>
          </cell>
          <cell r="H67">
            <v>1288.5</v>
          </cell>
          <cell r="I67">
            <v>1288</v>
          </cell>
          <cell r="J67">
            <v>1289</v>
          </cell>
        </row>
        <row r="68">
          <cell r="A68">
            <v>176</v>
          </cell>
          <cell r="B68" t="str">
            <v>五股分行　　　　　　　　　　</v>
          </cell>
          <cell r="C68">
            <v>3729</v>
          </cell>
          <cell r="D68">
            <v>3631</v>
          </cell>
          <cell r="E68">
            <v>3629</v>
          </cell>
          <cell r="F68">
            <v>3703</v>
          </cell>
          <cell r="G68">
            <v>3555</v>
          </cell>
          <cell r="H68">
            <v>3509</v>
          </cell>
          <cell r="I68">
            <v>3705</v>
          </cell>
          <cell r="J68">
            <v>3313</v>
          </cell>
        </row>
        <row r="69">
          <cell r="A69">
            <v>178</v>
          </cell>
          <cell r="B69" t="str">
            <v>北投分行　　　　　　　　　　</v>
          </cell>
          <cell r="C69">
            <v>1459</v>
          </cell>
          <cell r="D69">
            <v>1324</v>
          </cell>
          <cell r="E69">
            <v>1067</v>
          </cell>
          <cell r="F69">
            <v>1144</v>
          </cell>
          <cell r="G69">
            <v>990</v>
          </cell>
          <cell r="H69">
            <v>1767.5</v>
          </cell>
          <cell r="I69">
            <v>1292</v>
          </cell>
          <cell r="J69">
            <v>2243</v>
          </cell>
        </row>
        <row r="70">
          <cell r="A70">
            <v>179</v>
          </cell>
          <cell r="B70" t="str">
            <v>西湖分行　　　　　　　　　　</v>
          </cell>
          <cell r="C70">
            <v>3598</v>
          </cell>
          <cell r="D70">
            <v>3556</v>
          </cell>
          <cell r="E70">
            <v>3396.5</v>
          </cell>
          <cell r="F70">
            <v>3248</v>
          </cell>
          <cell r="G70">
            <v>3545</v>
          </cell>
          <cell r="H70">
            <v>3324</v>
          </cell>
          <cell r="I70">
            <v>3584</v>
          </cell>
          <cell r="J70">
            <v>3064</v>
          </cell>
        </row>
        <row r="71">
          <cell r="A71">
            <v>180</v>
          </cell>
          <cell r="B71" t="str">
            <v>積穗分行　　　　　　　　　　</v>
          </cell>
          <cell r="C71">
            <v>2201</v>
          </cell>
          <cell r="D71">
            <v>2179</v>
          </cell>
          <cell r="E71">
            <v>1925</v>
          </cell>
          <cell r="F71">
            <v>1949</v>
          </cell>
          <cell r="G71">
            <v>1901</v>
          </cell>
          <cell r="H71">
            <v>1859</v>
          </cell>
          <cell r="I71">
            <v>1984</v>
          </cell>
          <cell r="J71">
            <v>1734</v>
          </cell>
        </row>
        <row r="72">
          <cell r="A72">
            <v>181</v>
          </cell>
          <cell r="B72" t="str">
            <v>三和分行　　　　　　　　　　</v>
          </cell>
          <cell r="C72">
            <v>1021</v>
          </cell>
          <cell r="D72">
            <v>1096</v>
          </cell>
          <cell r="E72">
            <v>1072.5</v>
          </cell>
          <cell r="F72">
            <v>1091</v>
          </cell>
          <cell r="G72">
            <v>1054</v>
          </cell>
          <cell r="H72">
            <v>959.5</v>
          </cell>
          <cell r="I72">
            <v>1062</v>
          </cell>
          <cell r="J72">
            <v>857</v>
          </cell>
        </row>
        <row r="73">
          <cell r="A73">
            <v>182</v>
          </cell>
          <cell r="B73" t="str">
            <v>福和分行　　　　　　　　　　</v>
          </cell>
          <cell r="C73">
            <v>532</v>
          </cell>
          <cell r="D73">
            <v>491</v>
          </cell>
          <cell r="E73">
            <v>326.5</v>
          </cell>
          <cell r="F73">
            <v>315</v>
          </cell>
          <cell r="G73">
            <v>338</v>
          </cell>
          <cell r="H73">
            <v>246.5</v>
          </cell>
          <cell r="I73">
            <v>261</v>
          </cell>
          <cell r="J73">
            <v>232</v>
          </cell>
        </row>
        <row r="74">
          <cell r="A74">
            <v>183</v>
          </cell>
          <cell r="B74" t="str">
            <v>南勢角分行　　　　　　　　　</v>
          </cell>
          <cell r="C74">
            <v>525</v>
          </cell>
          <cell r="D74">
            <v>472</v>
          </cell>
          <cell r="E74">
            <v>389</v>
          </cell>
          <cell r="F74">
            <v>392</v>
          </cell>
          <cell r="G74">
            <v>386</v>
          </cell>
          <cell r="H74">
            <v>340.5</v>
          </cell>
          <cell r="I74">
            <v>374</v>
          </cell>
          <cell r="J74">
            <v>307</v>
          </cell>
        </row>
        <row r="75">
          <cell r="A75">
            <v>185</v>
          </cell>
          <cell r="B75" t="str">
            <v>蘆洲分行　　　　　　　　　　</v>
          </cell>
          <cell r="C75">
            <v>1358</v>
          </cell>
          <cell r="D75">
            <v>1357</v>
          </cell>
          <cell r="E75">
            <v>1226</v>
          </cell>
          <cell r="F75">
            <v>1282</v>
          </cell>
          <cell r="G75">
            <v>1170</v>
          </cell>
          <cell r="H75">
            <v>1078.5</v>
          </cell>
          <cell r="I75">
            <v>1094</v>
          </cell>
          <cell r="J75">
            <v>1063</v>
          </cell>
        </row>
        <row r="76">
          <cell r="A76">
            <v>186</v>
          </cell>
          <cell r="B76" t="str">
            <v>土城分行　　　　　　　　　　</v>
          </cell>
          <cell r="C76">
            <v>1600</v>
          </cell>
          <cell r="D76">
            <v>1595</v>
          </cell>
          <cell r="E76">
            <v>1468</v>
          </cell>
          <cell r="F76">
            <v>1386</v>
          </cell>
          <cell r="G76">
            <v>1550</v>
          </cell>
          <cell r="H76">
            <v>1288</v>
          </cell>
          <cell r="I76">
            <v>1321</v>
          </cell>
          <cell r="J76">
            <v>1255</v>
          </cell>
        </row>
        <row r="77">
          <cell r="A77">
            <v>187</v>
          </cell>
          <cell r="B77" t="str">
            <v>北新分行　　　　　　　　　　</v>
          </cell>
          <cell r="C77">
            <v>1254</v>
          </cell>
          <cell r="D77">
            <v>1208</v>
          </cell>
          <cell r="E77">
            <v>1213</v>
          </cell>
          <cell r="F77">
            <v>1195</v>
          </cell>
          <cell r="G77">
            <v>1231</v>
          </cell>
          <cell r="H77">
            <v>1203.5</v>
          </cell>
          <cell r="I77">
            <v>1159</v>
          </cell>
          <cell r="J77">
            <v>1248</v>
          </cell>
        </row>
        <row r="78">
          <cell r="A78">
            <v>189</v>
          </cell>
          <cell r="B78" t="str">
            <v>天母分行　　　　　　　　　　</v>
          </cell>
          <cell r="C78">
            <v>1146</v>
          </cell>
          <cell r="D78">
            <v>1107</v>
          </cell>
          <cell r="E78">
            <v>999</v>
          </cell>
          <cell r="F78">
            <v>1038</v>
          </cell>
          <cell r="G78">
            <v>960</v>
          </cell>
          <cell r="H78">
            <v>962.5</v>
          </cell>
          <cell r="I78">
            <v>928</v>
          </cell>
          <cell r="J78">
            <v>997</v>
          </cell>
        </row>
        <row r="79">
          <cell r="A79">
            <v>190</v>
          </cell>
          <cell r="B79" t="str">
            <v>內湖分行　　　　　　　　　　</v>
          </cell>
          <cell r="C79">
            <v>3555</v>
          </cell>
          <cell r="D79">
            <v>3361</v>
          </cell>
          <cell r="E79">
            <v>3026</v>
          </cell>
          <cell r="F79">
            <v>3402</v>
          </cell>
          <cell r="G79">
            <v>2650</v>
          </cell>
          <cell r="H79">
            <v>3333.5</v>
          </cell>
          <cell r="I79">
            <v>3288</v>
          </cell>
          <cell r="J79">
            <v>3379</v>
          </cell>
        </row>
        <row r="80">
          <cell r="A80">
            <v>191</v>
          </cell>
          <cell r="B80" t="str">
            <v>樹林分行　　　　　　　　　　</v>
          </cell>
          <cell r="C80">
            <v>1783</v>
          </cell>
          <cell r="D80">
            <v>1742</v>
          </cell>
          <cell r="E80">
            <v>1498</v>
          </cell>
          <cell r="F80">
            <v>1573</v>
          </cell>
          <cell r="G80">
            <v>1423</v>
          </cell>
          <cell r="H80">
            <v>1452</v>
          </cell>
          <cell r="I80">
            <v>1484</v>
          </cell>
          <cell r="J80">
            <v>1420</v>
          </cell>
        </row>
        <row r="81">
          <cell r="A81">
            <v>192</v>
          </cell>
          <cell r="B81" t="str">
            <v>樟樹灣分行　　　　　　　　　</v>
          </cell>
          <cell r="C81">
            <v>3231</v>
          </cell>
          <cell r="D81">
            <v>3146</v>
          </cell>
          <cell r="E81">
            <v>3361.5</v>
          </cell>
          <cell r="F81">
            <v>3363</v>
          </cell>
          <cell r="G81">
            <v>3360</v>
          </cell>
          <cell r="H81">
            <v>2935</v>
          </cell>
          <cell r="I81">
            <v>3071</v>
          </cell>
          <cell r="J81">
            <v>2799</v>
          </cell>
        </row>
        <row r="82">
          <cell r="A82">
            <v>193</v>
          </cell>
          <cell r="B82" t="str">
            <v>泰山分行　　　　　　　　　　</v>
          </cell>
          <cell r="C82">
            <v>1939</v>
          </cell>
          <cell r="D82">
            <v>1962</v>
          </cell>
          <cell r="E82">
            <v>1749</v>
          </cell>
          <cell r="F82">
            <v>1896</v>
          </cell>
          <cell r="G82">
            <v>1602</v>
          </cell>
          <cell r="H82">
            <v>1244.5</v>
          </cell>
          <cell r="I82">
            <v>1417</v>
          </cell>
          <cell r="J82">
            <v>1072</v>
          </cell>
        </row>
        <row r="83">
          <cell r="A83">
            <v>194</v>
          </cell>
          <cell r="B83" t="str">
            <v>三峽分行　　　　　　　　　　</v>
          </cell>
          <cell r="C83">
            <v>1042</v>
          </cell>
          <cell r="D83">
            <v>1036</v>
          </cell>
          <cell r="E83">
            <v>996</v>
          </cell>
          <cell r="F83">
            <v>1019</v>
          </cell>
          <cell r="G83">
            <v>973</v>
          </cell>
          <cell r="H83">
            <v>986.5</v>
          </cell>
          <cell r="I83">
            <v>1026</v>
          </cell>
          <cell r="J83">
            <v>947</v>
          </cell>
        </row>
        <row r="84">
          <cell r="A84">
            <v>195</v>
          </cell>
          <cell r="B84" t="str">
            <v>文山分行　　　　　　　　　　</v>
          </cell>
          <cell r="C84">
            <v>553</v>
          </cell>
          <cell r="D84">
            <v>494</v>
          </cell>
          <cell r="E84">
            <v>328</v>
          </cell>
          <cell r="F84">
            <v>362</v>
          </cell>
          <cell r="G84">
            <v>294</v>
          </cell>
          <cell r="H84">
            <v>190</v>
          </cell>
          <cell r="I84">
            <v>245</v>
          </cell>
          <cell r="J84">
            <v>135</v>
          </cell>
        </row>
        <row r="85">
          <cell r="A85">
            <v>196</v>
          </cell>
          <cell r="B85" t="str">
            <v>鶯歌分行　　　　　　　　　　</v>
          </cell>
          <cell r="C85">
            <v>590</v>
          </cell>
          <cell r="D85">
            <v>543</v>
          </cell>
          <cell r="E85">
            <v>321</v>
          </cell>
          <cell r="F85">
            <v>367</v>
          </cell>
          <cell r="G85">
            <v>275</v>
          </cell>
          <cell r="H85">
            <v>94</v>
          </cell>
          <cell r="I85">
            <v>157</v>
          </cell>
          <cell r="J85">
            <v>31</v>
          </cell>
        </row>
        <row r="86">
          <cell r="A86">
            <v>200</v>
          </cell>
          <cell r="B86" t="str">
            <v>基隆分行　　　　　　　　　　</v>
          </cell>
          <cell r="C86">
            <v>1011</v>
          </cell>
          <cell r="D86">
            <v>966</v>
          </cell>
          <cell r="E86">
            <v>970</v>
          </cell>
          <cell r="F86">
            <v>939</v>
          </cell>
          <cell r="G86">
            <v>1001</v>
          </cell>
          <cell r="H86">
            <v>916.5</v>
          </cell>
          <cell r="I86">
            <v>983</v>
          </cell>
          <cell r="J86">
            <v>850</v>
          </cell>
        </row>
        <row r="87">
          <cell r="A87">
            <v>201</v>
          </cell>
          <cell r="B87" t="str">
            <v>基隆港口分行　　　　　　　　</v>
          </cell>
          <cell r="C87">
            <v>1461</v>
          </cell>
          <cell r="D87">
            <v>1387</v>
          </cell>
          <cell r="E87">
            <v>1104</v>
          </cell>
          <cell r="F87">
            <v>1073</v>
          </cell>
          <cell r="G87">
            <v>1135</v>
          </cell>
          <cell r="H87">
            <v>1165</v>
          </cell>
          <cell r="I87">
            <v>1156</v>
          </cell>
          <cell r="J87">
            <v>1174</v>
          </cell>
        </row>
        <row r="88">
          <cell r="A88">
            <v>211</v>
          </cell>
          <cell r="B88" t="str">
            <v>七堵分行　　　　　　　　　　</v>
          </cell>
          <cell r="C88">
            <v>699</v>
          </cell>
          <cell r="D88">
            <v>609</v>
          </cell>
          <cell r="E88">
            <v>430.5</v>
          </cell>
          <cell r="F88">
            <v>425</v>
          </cell>
          <cell r="G88">
            <v>436</v>
          </cell>
          <cell r="H88">
            <v>458.5</v>
          </cell>
          <cell r="I88">
            <v>454</v>
          </cell>
          <cell r="J88">
            <v>463</v>
          </cell>
        </row>
        <row r="89">
          <cell r="A89">
            <v>220</v>
          </cell>
          <cell r="B89" t="str">
            <v>羅東分行　　　　　　　　　　</v>
          </cell>
          <cell r="C89">
            <v>1274</v>
          </cell>
          <cell r="D89">
            <v>1198</v>
          </cell>
          <cell r="E89">
            <v>1021.5</v>
          </cell>
          <cell r="F89">
            <v>1062</v>
          </cell>
          <cell r="G89">
            <v>981</v>
          </cell>
          <cell r="H89">
            <v>962</v>
          </cell>
          <cell r="I89">
            <v>997</v>
          </cell>
          <cell r="J89">
            <v>927</v>
          </cell>
        </row>
        <row r="90">
          <cell r="A90">
            <v>221</v>
          </cell>
          <cell r="B90" t="str">
            <v>宜蘭分行　　　　　　　　　　</v>
          </cell>
          <cell r="C90">
            <v>682</v>
          </cell>
          <cell r="D90">
            <v>636</v>
          </cell>
          <cell r="E90">
            <v>641</v>
          </cell>
          <cell r="F90">
            <v>637</v>
          </cell>
          <cell r="G90">
            <v>645</v>
          </cell>
          <cell r="H90">
            <v>569</v>
          </cell>
          <cell r="I90">
            <v>621</v>
          </cell>
          <cell r="J90">
            <v>517</v>
          </cell>
        </row>
        <row r="91">
          <cell r="A91">
            <v>240</v>
          </cell>
          <cell r="B91" t="str">
            <v>桃園分行　　　　　　　　　　</v>
          </cell>
          <cell r="C91">
            <v>3200</v>
          </cell>
          <cell r="D91">
            <v>3258</v>
          </cell>
          <cell r="E91">
            <v>3412.5</v>
          </cell>
          <cell r="F91">
            <v>3362</v>
          </cell>
          <cell r="G91">
            <v>3463</v>
          </cell>
          <cell r="H91">
            <v>3535.5</v>
          </cell>
          <cell r="I91">
            <v>3600</v>
          </cell>
          <cell r="J91">
            <v>3471</v>
          </cell>
        </row>
        <row r="92">
          <cell r="A92">
            <v>241</v>
          </cell>
          <cell r="B92" t="str">
            <v>中壢分行　　　　　　　　　　</v>
          </cell>
          <cell r="C92">
            <v>6657</v>
          </cell>
          <cell r="D92">
            <v>6186</v>
          </cell>
          <cell r="E92">
            <v>5827.5</v>
          </cell>
          <cell r="F92">
            <v>5765</v>
          </cell>
          <cell r="G92">
            <v>5890</v>
          </cell>
          <cell r="H92">
            <v>5996.5</v>
          </cell>
          <cell r="I92">
            <v>6075</v>
          </cell>
          <cell r="J92">
            <v>5918</v>
          </cell>
        </row>
        <row r="93">
          <cell r="A93">
            <v>242</v>
          </cell>
          <cell r="B93" t="str">
            <v>楊梅分行　　　　　　　　　　</v>
          </cell>
          <cell r="C93">
            <v>1046</v>
          </cell>
          <cell r="D93">
            <v>1077</v>
          </cell>
          <cell r="E93">
            <v>990.5</v>
          </cell>
          <cell r="F93">
            <v>1014</v>
          </cell>
          <cell r="G93">
            <v>967</v>
          </cell>
          <cell r="H93">
            <v>842.5</v>
          </cell>
          <cell r="I93">
            <v>899</v>
          </cell>
          <cell r="J93">
            <v>786</v>
          </cell>
        </row>
        <row r="94">
          <cell r="A94">
            <v>243</v>
          </cell>
          <cell r="B94" t="str">
            <v>壢昌分行　　　　　　　　　　</v>
          </cell>
          <cell r="C94">
            <v>1562</v>
          </cell>
          <cell r="D94">
            <v>1587</v>
          </cell>
          <cell r="E94">
            <v>1531.5</v>
          </cell>
          <cell r="F94">
            <v>1558</v>
          </cell>
          <cell r="G94">
            <v>1505</v>
          </cell>
          <cell r="H94">
            <v>1542.5</v>
          </cell>
          <cell r="I94">
            <v>1529</v>
          </cell>
          <cell r="J94">
            <v>1556</v>
          </cell>
        </row>
        <row r="95">
          <cell r="A95">
            <v>244</v>
          </cell>
          <cell r="B95" t="str">
            <v>北桃園分行　　　　　　　　　</v>
          </cell>
          <cell r="C95">
            <v>1094</v>
          </cell>
          <cell r="D95">
            <v>1000</v>
          </cell>
          <cell r="E95">
            <v>945.5</v>
          </cell>
          <cell r="F95">
            <v>949</v>
          </cell>
          <cell r="G95">
            <v>942</v>
          </cell>
          <cell r="H95">
            <v>913.5</v>
          </cell>
          <cell r="I95">
            <v>925</v>
          </cell>
          <cell r="J95">
            <v>902</v>
          </cell>
        </row>
        <row r="96">
          <cell r="A96">
            <v>245</v>
          </cell>
          <cell r="B96" t="str">
            <v>南崁分行　　　　　　　　　　</v>
          </cell>
          <cell r="C96">
            <v>1325</v>
          </cell>
          <cell r="D96">
            <v>1275</v>
          </cell>
          <cell r="E96">
            <v>1203</v>
          </cell>
          <cell r="F96">
            <v>1195</v>
          </cell>
          <cell r="G96">
            <v>1211</v>
          </cell>
          <cell r="H96">
            <v>1141</v>
          </cell>
          <cell r="I96">
            <v>1165</v>
          </cell>
          <cell r="J96">
            <v>1117</v>
          </cell>
        </row>
        <row r="97">
          <cell r="A97">
            <v>246</v>
          </cell>
          <cell r="B97" t="str">
            <v>平鎮分行　　　　　　　　　　</v>
          </cell>
          <cell r="C97">
            <v>0</v>
          </cell>
          <cell r="D97">
            <v>0</v>
          </cell>
          <cell r="E97">
            <v>1</v>
          </cell>
          <cell r="F97">
            <v>1</v>
          </cell>
          <cell r="G97">
            <v>1</v>
          </cell>
          <cell r="H97">
            <v>1</v>
          </cell>
          <cell r="I97">
            <v>1</v>
          </cell>
          <cell r="J97">
            <v>1</v>
          </cell>
        </row>
        <row r="98">
          <cell r="A98">
            <v>247</v>
          </cell>
          <cell r="B98" t="str">
            <v>八德分行　　　　　　　　　　</v>
          </cell>
          <cell r="C98">
            <v>1740</v>
          </cell>
          <cell r="D98">
            <v>1634</v>
          </cell>
          <cell r="E98">
            <v>1410</v>
          </cell>
          <cell r="F98">
            <v>1462</v>
          </cell>
          <cell r="G98">
            <v>1358</v>
          </cell>
          <cell r="H98">
            <v>1167</v>
          </cell>
          <cell r="I98">
            <v>1257</v>
          </cell>
          <cell r="J98">
            <v>1077</v>
          </cell>
        </row>
        <row r="99">
          <cell r="A99">
            <v>248</v>
          </cell>
          <cell r="B99" t="str">
            <v>龜山分行　　　　　　　　　　</v>
          </cell>
          <cell r="C99">
            <v>3779</v>
          </cell>
          <cell r="D99">
            <v>3446</v>
          </cell>
          <cell r="E99">
            <v>2729</v>
          </cell>
          <cell r="F99">
            <v>2680</v>
          </cell>
          <cell r="G99">
            <v>2778</v>
          </cell>
          <cell r="H99">
            <v>2345</v>
          </cell>
          <cell r="I99">
            <v>2595</v>
          </cell>
          <cell r="J99">
            <v>2095</v>
          </cell>
        </row>
        <row r="100">
          <cell r="A100">
            <v>249</v>
          </cell>
          <cell r="B100" t="str">
            <v>龍潭分行　　　　　　　　　　</v>
          </cell>
          <cell r="C100">
            <v>52</v>
          </cell>
          <cell r="D100">
            <v>27</v>
          </cell>
          <cell r="E100">
            <v>0</v>
          </cell>
          <cell r="F100">
            <v>0</v>
          </cell>
          <cell r="G100">
            <v>0</v>
          </cell>
          <cell r="H100">
            <v>0</v>
          </cell>
          <cell r="I100">
            <v>0</v>
          </cell>
          <cell r="J100">
            <v>0</v>
          </cell>
        </row>
        <row r="101">
          <cell r="A101">
            <v>250</v>
          </cell>
          <cell r="B101" t="str">
            <v>大溪分行　　　　　　　　　　</v>
          </cell>
          <cell r="C101">
            <v>623</v>
          </cell>
          <cell r="D101">
            <v>628</v>
          </cell>
          <cell r="E101">
            <v>626.5</v>
          </cell>
          <cell r="F101">
            <v>603</v>
          </cell>
          <cell r="G101">
            <v>650</v>
          </cell>
          <cell r="H101">
            <v>435</v>
          </cell>
          <cell r="I101">
            <v>496</v>
          </cell>
          <cell r="J101">
            <v>374</v>
          </cell>
        </row>
        <row r="102">
          <cell r="A102">
            <v>251</v>
          </cell>
          <cell r="B102" t="str">
            <v>內壢分行　　　　　　　　　　</v>
          </cell>
          <cell r="C102">
            <v>847</v>
          </cell>
          <cell r="D102">
            <v>829</v>
          </cell>
          <cell r="E102">
            <v>698</v>
          </cell>
          <cell r="F102">
            <v>666</v>
          </cell>
          <cell r="G102">
            <v>730</v>
          </cell>
          <cell r="H102">
            <v>474</v>
          </cell>
          <cell r="I102">
            <v>580</v>
          </cell>
          <cell r="J102">
            <v>368</v>
          </cell>
        </row>
        <row r="103">
          <cell r="A103">
            <v>252</v>
          </cell>
          <cell r="B103" t="str">
            <v>林口分行　　　　　　　　　　</v>
          </cell>
          <cell r="C103">
            <v>2064</v>
          </cell>
          <cell r="D103">
            <v>1910</v>
          </cell>
          <cell r="E103">
            <v>1504</v>
          </cell>
          <cell r="F103">
            <v>1560</v>
          </cell>
          <cell r="G103">
            <v>1448</v>
          </cell>
          <cell r="H103">
            <v>936</v>
          </cell>
          <cell r="I103">
            <v>1164</v>
          </cell>
          <cell r="J103">
            <v>708</v>
          </cell>
        </row>
        <row r="104">
          <cell r="A104">
            <v>260</v>
          </cell>
          <cell r="B104" t="str">
            <v>觀音分行　　　　　　　　　　</v>
          </cell>
          <cell r="C104">
            <v>359</v>
          </cell>
          <cell r="D104">
            <v>348</v>
          </cell>
          <cell r="E104">
            <v>195.5</v>
          </cell>
          <cell r="F104">
            <v>233</v>
          </cell>
          <cell r="G104">
            <v>158</v>
          </cell>
          <cell r="H104">
            <v>135.5</v>
          </cell>
          <cell r="I104">
            <v>168</v>
          </cell>
          <cell r="J104">
            <v>103</v>
          </cell>
        </row>
        <row r="105">
          <cell r="A105">
            <v>261</v>
          </cell>
          <cell r="B105" t="str">
            <v>中正分行　　　　　　　　　　</v>
          </cell>
          <cell r="C105">
            <v>0</v>
          </cell>
          <cell r="D105">
            <v>0</v>
          </cell>
          <cell r="E105">
            <v>0</v>
          </cell>
          <cell r="F105">
            <v>0</v>
          </cell>
          <cell r="G105">
            <v>0</v>
          </cell>
          <cell r="H105">
            <v>0</v>
          </cell>
          <cell r="I105">
            <v>0</v>
          </cell>
          <cell r="J105">
            <v>0</v>
          </cell>
        </row>
        <row r="106">
          <cell r="A106">
            <v>262</v>
          </cell>
          <cell r="B106" t="str">
            <v>草漯分行　　　　　　　　　　</v>
          </cell>
          <cell r="C106">
            <v>0</v>
          </cell>
          <cell r="D106">
            <v>0</v>
          </cell>
          <cell r="E106">
            <v>0</v>
          </cell>
          <cell r="F106">
            <v>0</v>
          </cell>
          <cell r="G106">
            <v>0</v>
          </cell>
          <cell r="H106">
            <v>0</v>
          </cell>
          <cell r="I106">
            <v>0</v>
          </cell>
          <cell r="J106">
            <v>0</v>
          </cell>
        </row>
        <row r="107">
          <cell r="A107">
            <v>300</v>
          </cell>
          <cell r="B107" t="str">
            <v>新竹分行　　　　　　　　　　</v>
          </cell>
          <cell r="C107">
            <v>2565</v>
          </cell>
          <cell r="D107">
            <v>2532</v>
          </cell>
          <cell r="E107">
            <v>2680.5</v>
          </cell>
          <cell r="F107">
            <v>2455</v>
          </cell>
          <cell r="G107">
            <v>2906</v>
          </cell>
          <cell r="H107">
            <v>3394</v>
          </cell>
          <cell r="I107">
            <v>3128</v>
          </cell>
          <cell r="J107">
            <v>3660</v>
          </cell>
        </row>
        <row r="108">
          <cell r="A108">
            <v>301</v>
          </cell>
          <cell r="B108" t="str">
            <v>竹東分行　　　　　　　　　　</v>
          </cell>
          <cell r="C108">
            <v>908</v>
          </cell>
          <cell r="D108">
            <v>915</v>
          </cell>
          <cell r="E108">
            <v>850.5</v>
          </cell>
          <cell r="F108">
            <v>818</v>
          </cell>
          <cell r="G108">
            <v>883</v>
          </cell>
          <cell r="H108">
            <v>759</v>
          </cell>
          <cell r="I108">
            <v>856</v>
          </cell>
          <cell r="J108">
            <v>662</v>
          </cell>
        </row>
        <row r="109">
          <cell r="A109">
            <v>302</v>
          </cell>
          <cell r="B109" t="str">
            <v>竹科分行　　　　　　　　　　</v>
          </cell>
          <cell r="C109">
            <v>3767</v>
          </cell>
          <cell r="D109">
            <v>3528</v>
          </cell>
          <cell r="E109">
            <v>2849.5</v>
          </cell>
          <cell r="F109">
            <v>3081</v>
          </cell>
          <cell r="G109">
            <v>2618</v>
          </cell>
          <cell r="H109">
            <v>1465.5</v>
          </cell>
          <cell r="I109">
            <v>1895</v>
          </cell>
          <cell r="J109">
            <v>1036</v>
          </cell>
        </row>
        <row r="110">
          <cell r="A110">
            <v>310</v>
          </cell>
          <cell r="B110" t="str">
            <v>新豐分行　　　　　　　　　　</v>
          </cell>
          <cell r="C110">
            <v>235</v>
          </cell>
          <cell r="D110">
            <v>201</v>
          </cell>
          <cell r="E110">
            <v>75.5</v>
          </cell>
          <cell r="F110">
            <v>88</v>
          </cell>
          <cell r="G110">
            <v>63</v>
          </cell>
          <cell r="H110">
            <v>50</v>
          </cell>
          <cell r="I110">
            <v>63</v>
          </cell>
          <cell r="J110">
            <v>37</v>
          </cell>
        </row>
        <row r="111">
          <cell r="A111">
            <v>320</v>
          </cell>
          <cell r="B111" t="str">
            <v>竹南分行　　　　　　　　　　</v>
          </cell>
          <cell r="C111">
            <v>1149</v>
          </cell>
          <cell r="D111">
            <v>1198</v>
          </cell>
          <cell r="E111">
            <v>1038</v>
          </cell>
          <cell r="F111">
            <v>1025</v>
          </cell>
          <cell r="G111">
            <v>1051</v>
          </cell>
          <cell r="H111">
            <v>1070.5</v>
          </cell>
          <cell r="I111">
            <v>1035</v>
          </cell>
          <cell r="J111">
            <v>1106</v>
          </cell>
        </row>
        <row r="112">
          <cell r="A112">
            <v>321</v>
          </cell>
          <cell r="B112" t="str">
            <v>頭份分行　　　　　　　　　　</v>
          </cell>
          <cell r="C112">
            <v>574</v>
          </cell>
          <cell r="D112">
            <v>538</v>
          </cell>
          <cell r="E112">
            <v>513</v>
          </cell>
          <cell r="F112">
            <v>511</v>
          </cell>
          <cell r="G112">
            <v>515</v>
          </cell>
          <cell r="H112">
            <v>596.5</v>
          </cell>
          <cell r="I112">
            <v>578</v>
          </cell>
          <cell r="J112">
            <v>615</v>
          </cell>
        </row>
        <row r="113">
          <cell r="A113">
            <v>322</v>
          </cell>
          <cell r="B113" t="str">
            <v>苗栗分行　　　　　　　　　　</v>
          </cell>
          <cell r="C113">
            <v>661</v>
          </cell>
          <cell r="D113">
            <v>556</v>
          </cell>
          <cell r="E113">
            <v>364.5</v>
          </cell>
          <cell r="F113">
            <v>324</v>
          </cell>
          <cell r="G113">
            <v>405</v>
          </cell>
          <cell r="H113">
            <v>490.5</v>
          </cell>
          <cell r="I113">
            <v>468</v>
          </cell>
          <cell r="J113">
            <v>513</v>
          </cell>
        </row>
        <row r="114">
          <cell r="A114">
            <v>323</v>
          </cell>
          <cell r="B114" t="str">
            <v>竹北分行　　　　　　　　　　</v>
          </cell>
          <cell r="C114">
            <v>2057</v>
          </cell>
          <cell r="D114">
            <v>2028</v>
          </cell>
          <cell r="E114">
            <v>1679.5</v>
          </cell>
          <cell r="F114">
            <v>1721</v>
          </cell>
          <cell r="G114">
            <v>1638</v>
          </cell>
          <cell r="H114">
            <v>1537</v>
          </cell>
          <cell r="I114">
            <v>1667</v>
          </cell>
          <cell r="J114">
            <v>1407</v>
          </cell>
        </row>
        <row r="115">
          <cell r="A115">
            <v>351</v>
          </cell>
          <cell r="B115" t="str">
            <v>大眾分行　　　　　　　　　　</v>
          </cell>
          <cell r="C115">
            <v>1518</v>
          </cell>
          <cell r="D115">
            <v>1506</v>
          </cell>
          <cell r="E115">
            <v>1692</v>
          </cell>
          <cell r="F115">
            <v>1549</v>
          </cell>
          <cell r="G115">
            <v>1835</v>
          </cell>
          <cell r="H115">
            <v>1884</v>
          </cell>
          <cell r="I115">
            <v>2057</v>
          </cell>
          <cell r="J115">
            <v>1711</v>
          </cell>
        </row>
        <row r="116">
          <cell r="A116">
            <v>400</v>
          </cell>
          <cell r="B116" t="str">
            <v>豐原分行　　　　　　　　　　</v>
          </cell>
          <cell r="C116">
            <v>1868</v>
          </cell>
          <cell r="D116">
            <v>1844</v>
          </cell>
          <cell r="E116">
            <v>1722</v>
          </cell>
          <cell r="F116">
            <v>1731</v>
          </cell>
          <cell r="G116">
            <v>1713</v>
          </cell>
          <cell r="H116">
            <v>1655</v>
          </cell>
          <cell r="I116">
            <v>1665</v>
          </cell>
          <cell r="J116">
            <v>1645</v>
          </cell>
        </row>
        <row r="117">
          <cell r="A117">
            <v>401</v>
          </cell>
          <cell r="B117" t="str">
            <v>東勢分行　　　　　　　　　　</v>
          </cell>
          <cell r="C117">
            <v>332</v>
          </cell>
          <cell r="D117">
            <v>331</v>
          </cell>
          <cell r="E117">
            <v>322</v>
          </cell>
          <cell r="F117">
            <v>334</v>
          </cell>
          <cell r="G117">
            <v>310</v>
          </cell>
          <cell r="H117">
            <v>291</v>
          </cell>
          <cell r="I117">
            <v>296</v>
          </cell>
          <cell r="J117">
            <v>286</v>
          </cell>
        </row>
        <row r="118">
          <cell r="A118">
            <v>402</v>
          </cell>
          <cell r="B118" t="str">
            <v>清水分行　　　　　　　　　　</v>
          </cell>
          <cell r="C118">
            <v>870</v>
          </cell>
          <cell r="D118">
            <v>879</v>
          </cell>
          <cell r="E118">
            <v>933</v>
          </cell>
          <cell r="F118">
            <v>917</v>
          </cell>
          <cell r="G118">
            <v>949</v>
          </cell>
          <cell r="H118">
            <v>996.5</v>
          </cell>
          <cell r="I118">
            <v>1059</v>
          </cell>
          <cell r="J118">
            <v>934</v>
          </cell>
        </row>
        <row r="119">
          <cell r="A119">
            <v>403</v>
          </cell>
          <cell r="B119" t="str">
            <v>西豐原分行　　　　　　　　　</v>
          </cell>
          <cell r="C119">
            <v>1043</v>
          </cell>
          <cell r="D119">
            <v>1033</v>
          </cell>
          <cell r="E119">
            <v>1120</v>
          </cell>
          <cell r="F119">
            <v>1084</v>
          </cell>
          <cell r="G119">
            <v>1156</v>
          </cell>
          <cell r="H119">
            <v>1080.5</v>
          </cell>
          <cell r="I119">
            <v>1103</v>
          </cell>
          <cell r="J119">
            <v>1058</v>
          </cell>
        </row>
        <row r="120">
          <cell r="A120">
            <v>420</v>
          </cell>
          <cell r="B120" t="str">
            <v>台中分行　　　　　　　　　　</v>
          </cell>
          <cell r="C120">
            <v>2001</v>
          </cell>
          <cell r="D120">
            <v>1983</v>
          </cell>
          <cell r="E120">
            <v>2153.5</v>
          </cell>
          <cell r="F120">
            <v>2170</v>
          </cell>
          <cell r="G120">
            <v>2137</v>
          </cell>
          <cell r="H120">
            <v>2351.5</v>
          </cell>
          <cell r="I120">
            <v>2352</v>
          </cell>
          <cell r="J120">
            <v>2351</v>
          </cell>
        </row>
        <row r="121">
          <cell r="A121">
            <v>421</v>
          </cell>
          <cell r="B121" t="str">
            <v>台中民族路分行　　　　　　　</v>
          </cell>
          <cell r="C121">
            <v>2794</v>
          </cell>
          <cell r="D121">
            <v>2886</v>
          </cell>
          <cell r="E121">
            <v>3217</v>
          </cell>
          <cell r="F121">
            <v>3146</v>
          </cell>
          <cell r="G121">
            <v>3288</v>
          </cell>
          <cell r="H121">
            <v>3149</v>
          </cell>
          <cell r="I121">
            <v>3321</v>
          </cell>
          <cell r="J121">
            <v>2977</v>
          </cell>
        </row>
        <row r="122">
          <cell r="A122">
            <v>422</v>
          </cell>
          <cell r="B122" t="str">
            <v>南台中分行　　　　　　　　　</v>
          </cell>
          <cell r="C122">
            <v>1118</v>
          </cell>
          <cell r="D122">
            <v>1116</v>
          </cell>
          <cell r="E122">
            <v>1157.5</v>
          </cell>
          <cell r="F122">
            <v>1150</v>
          </cell>
          <cell r="G122">
            <v>1165</v>
          </cell>
          <cell r="H122">
            <v>1053</v>
          </cell>
          <cell r="I122">
            <v>1088</v>
          </cell>
          <cell r="J122">
            <v>1018</v>
          </cell>
        </row>
        <row r="123">
          <cell r="A123">
            <v>423</v>
          </cell>
          <cell r="B123" t="str">
            <v>北台中分行　　　　　　　　　</v>
          </cell>
          <cell r="C123">
            <v>1408</v>
          </cell>
          <cell r="D123">
            <v>1393</v>
          </cell>
          <cell r="E123">
            <v>1423.5</v>
          </cell>
          <cell r="F123">
            <v>1410</v>
          </cell>
          <cell r="G123">
            <v>1437</v>
          </cell>
          <cell r="H123">
            <v>1556.5</v>
          </cell>
          <cell r="I123">
            <v>1520</v>
          </cell>
          <cell r="J123">
            <v>1593</v>
          </cell>
        </row>
        <row r="124">
          <cell r="A124">
            <v>424</v>
          </cell>
          <cell r="B124" t="str">
            <v>台中港路分行　　　　　　　　</v>
          </cell>
          <cell r="C124">
            <v>1127</v>
          </cell>
          <cell r="D124">
            <v>1108</v>
          </cell>
          <cell r="E124">
            <v>1021.5</v>
          </cell>
          <cell r="F124">
            <v>1061</v>
          </cell>
          <cell r="G124">
            <v>982</v>
          </cell>
          <cell r="H124">
            <v>1072.5</v>
          </cell>
          <cell r="I124">
            <v>1047</v>
          </cell>
          <cell r="J124">
            <v>1098</v>
          </cell>
        </row>
        <row r="125">
          <cell r="A125">
            <v>425</v>
          </cell>
          <cell r="B125" t="str">
            <v>大里分行　　　　　　　　　　</v>
          </cell>
          <cell r="C125">
            <v>1346</v>
          </cell>
          <cell r="D125">
            <v>1220</v>
          </cell>
          <cell r="E125">
            <v>1008</v>
          </cell>
          <cell r="F125">
            <v>1047</v>
          </cell>
          <cell r="G125">
            <v>969</v>
          </cell>
          <cell r="H125">
            <v>738.5</v>
          </cell>
          <cell r="I125">
            <v>765</v>
          </cell>
          <cell r="J125">
            <v>712</v>
          </cell>
        </row>
        <row r="126">
          <cell r="A126">
            <v>426</v>
          </cell>
          <cell r="B126" t="str">
            <v>水湳分行　　　　　　　　　　</v>
          </cell>
          <cell r="C126">
            <v>1251</v>
          </cell>
          <cell r="D126">
            <v>1269</v>
          </cell>
          <cell r="E126">
            <v>1244</v>
          </cell>
          <cell r="F126">
            <v>1272</v>
          </cell>
          <cell r="G126">
            <v>1216</v>
          </cell>
          <cell r="H126">
            <v>965</v>
          </cell>
          <cell r="I126">
            <v>957</v>
          </cell>
          <cell r="J126">
            <v>973</v>
          </cell>
        </row>
        <row r="127">
          <cell r="A127">
            <v>427</v>
          </cell>
          <cell r="B127" t="str">
            <v>五權分行　　　　　　　　　　</v>
          </cell>
          <cell r="C127">
            <v>802</v>
          </cell>
          <cell r="D127">
            <v>828</v>
          </cell>
          <cell r="E127">
            <v>809.5</v>
          </cell>
          <cell r="F127">
            <v>843</v>
          </cell>
          <cell r="G127">
            <v>776</v>
          </cell>
          <cell r="H127">
            <v>713</v>
          </cell>
          <cell r="I127">
            <v>725</v>
          </cell>
          <cell r="J127">
            <v>701</v>
          </cell>
        </row>
        <row r="128">
          <cell r="A128">
            <v>429</v>
          </cell>
          <cell r="B128" t="str">
            <v>大甲分行　　　　　　　　　　</v>
          </cell>
          <cell r="C128">
            <v>579</v>
          </cell>
          <cell r="D128">
            <v>572</v>
          </cell>
          <cell r="E128">
            <v>557</v>
          </cell>
          <cell r="F128">
            <v>560</v>
          </cell>
          <cell r="G128">
            <v>554</v>
          </cell>
          <cell r="H128">
            <v>457.5</v>
          </cell>
          <cell r="I128">
            <v>484</v>
          </cell>
          <cell r="J128">
            <v>431</v>
          </cell>
        </row>
        <row r="129">
          <cell r="A129">
            <v>430</v>
          </cell>
          <cell r="B129" t="str">
            <v>太平分行　　　　　　　　　　</v>
          </cell>
          <cell r="C129">
            <v>612</v>
          </cell>
          <cell r="D129">
            <v>537</v>
          </cell>
          <cell r="E129">
            <v>354.5</v>
          </cell>
          <cell r="F129">
            <v>432</v>
          </cell>
          <cell r="G129">
            <v>277</v>
          </cell>
          <cell r="H129">
            <v>118.5</v>
          </cell>
          <cell r="I129">
            <v>187</v>
          </cell>
          <cell r="J129">
            <v>50</v>
          </cell>
        </row>
        <row r="130">
          <cell r="A130">
            <v>451</v>
          </cell>
          <cell r="B130" t="str">
            <v>沙鹿分行　　　　　　　　　　</v>
          </cell>
          <cell r="C130">
            <v>1197</v>
          </cell>
          <cell r="D130">
            <v>1203</v>
          </cell>
          <cell r="E130">
            <v>937</v>
          </cell>
          <cell r="F130">
            <v>1030</v>
          </cell>
          <cell r="G130">
            <v>844</v>
          </cell>
          <cell r="H130">
            <v>813</v>
          </cell>
          <cell r="I130">
            <v>842</v>
          </cell>
          <cell r="J130">
            <v>784</v>
          </cell>
        </row>
        <row r="131">
          <cell r="A131">
            <v>500</v>
          </cell>
          <cell r="B131" t="str">
            <v>草屯分行　　　　　　　　　　</v>
          </cell>
          <cell r="C131">
            <v>620</v>
          </cell>
          <cell r="D131">
            <v>572</v>
          </cell>
          <cell r="E131">
            <v>536.5</v>
          </cell>
          <cell r="F131">
            <v>539</v>
          </cell>
          <cell r="G131">
            <v>534</v>
          </cell>
          <cell r="H131">
            <v>586</v>
          </cell>
          <cell r="I131">
            <v>553</v>
          </cell>
          <cell r="J131">
            <v>619</v>
          </cell>
        </row>
        <row r="132">
          <cell r="A132">
            <v>501</v>
          </cell>
          <cell r="B132" t="str">
            <v>南投分行　　　　　　　　　　</v>
          </cell>
          <cell r="C132">
            <v>1768</v>
          </cell>
          <cell r="D132">
            <v>1623</v>
          </cell>
          <cell r="E132">
            <v>1451.5</v>
          </cell>
          <cell r="F132">
            <v>1516</v>
          </cell>
          <cell r="G132">
            <v>1387</v>
          </cell>
          <cell r="H132">
            <v>1349</v>
          </cell>
          <cell r="I132">
            <v>1380</v>
          </cell>
          <cell r="J132">
            <v>1318</v>
          </cell>
        </row>
        <row r="133">
          <cell r="A133">
            <v>520</v>
          </cell>
          <cell r="B133" t="str">
            <v>彰化分行　　　　　　　　　　</v>
          </cell>
          <cell r="C133">
            <v>2595</v>
          </cell>
          <cell r="D133">
            <v>2738</v>
          </cell>
          <cell r="E133">
            <v>2655.5</v>
          </cell>
          <cell r="F133">
            <v>2745</v>
          </cell>
          <cell r="G133">
            <v>2566</v>
          </cell>
          <cell r="H133">
            <v>2555.5</v>
          </cell>
          <cell r="I133">
            <v>2558</v>
          </cell>
          <cell r="J133">
            <v>2553</v>
          </cell>
        </row>
        <row r="134">
          <cell r="A134">
            <v>521</v>
          </cell>
          <cell r="B134" t="str">
            <v>和美分行　　　　　　　　　　</v>
          </cell>
          <cell r="C134">
            <v>1992</v>
          </cell>
          <cell r="D134">
            <v>2009</v>
          </cell>
          <cell r="E134">
            <v>2098</v>
          </cell>
          <cell r="F134">
            <v>2053</v>
          </cell>
          <cell r="G134">
            <v>2143</v>
          </cell>
          <cell r="H134">
            <v>1995</v>
          </cell>
          <cell r="I134">
            <v>2022</v>
          </cell>
          <cell r="J134">
            <v>1968</v>
          </cell>
        </row>
        <row r="135">
          <cell r="A135">
            <v>522</v>
          </cell>
          <cell r="B135" t="str">
            <v>員林分行　　　　　　　　　　</v>
          </cell>
          <cell r="C135">
            <v>3816</v>
          </cell>
          <cell r="D135">
            <v>3702</v>
          </cell>
          <cell r="E135">
            <v>3258</v>
          </cell>
          <cell r="F135">
            <v>3319</v>
          </cell>
          <cell r="G135">
            <v>3197</v>
          </cell>
          <cell r="H135">
            <v>3411.5</v>
          </cell>
          <cell r="I135">
            <v>3228</v>
          </cell>
          <cell r="J135">
            <v>3595</v>
          </cell>
        </row>
        <row r="136">
          <cell r="A136">
            <v>523</v>
          </cell>
          <cell r="B136" t="str">
            <v>鹿港分行　　　　　　　　　　</v>
          </cell>
          <cell r="C136">
            <v>1464</v>
          </cell>
          <cell r="D136">
            <v>1388</v>
          </cell>
          <cell r="E136">
            <v>1077</v>
          </cell>
          <cell r="F136">
            <v>1205</v>
          </cell>
          <cell r="G136">
            <v>949</v>
          </cell>
          <cell r="H136">
            <v>747.5</v>
          </cell>
          <cell r="I136">
            <v>821</v>
          </cell>
          <cell r="J136">
            <v>674</v>
          </cell>
        </row>
        <row r="137">
          <cell r="A137">
            <v>524</v>
          </cell>
          <cell r="B137" t="str">
            <v>溪湖分行　　　　　　　　　　</v>
          </cell>
          <cell r="C137">
            <v>553</v>
          </cell>
          <cell r="D137">
            <v>449</v>
          </cell>
          <cell r="E137">
            <v>221.5</v>
          </cell>
          <cell r="F137">
            <v>258</v>
          </cell>
          <cell r="G137">
            <v>185</v>
          </cell>
          <cell r="H137">
            <v>80.5</v>
          </cell>
          <cell r="I137">
            <v>126</v>
          </cell>
          <cell r="J137">
            <v>35</v>
          </cell>
        </row>
        <row r="138">
          <cell r="A138">
            <v>540</v>
          </cell>
          <cell r="B138" t="str">
            <v>斗六分行　　　　　　　　　　</v>
          </cell>
          <cell r="C138">
            <v>642</v>
          </cell>
          <cell r="D138">
            <v>699</v>
          </cell>
          <cell r="E138">
            <v>718</v>
          </cell>
          <cell r="F138">
            <v>743</v>
          </cell>
          <cell r="G138">
            <v>693</v>
          </cell>
          <cell r="H138">
            <v>521</v>
          </cell>
          <cell r="I138">
            <v>553</v>
          </cell>
          <cell r="J138">
            <v>489</v>
          </cell>
        </row>
        <row r="139">
          <cell r="A139">
            <v>541</v>
          </cell>
          <cell r="B139" t="str">
            <v>虎尾分行　　　　　　　　　　</v>
          </cell>
          <cell r="C139">
            <v>662</v>
          </cell>
          <cell r="D139">
            <v>629</v>
          </cell>
          <cell r="E139">
            <v>531.5</v>
          </cell>
          <cell r="F139">
            <v>550</v>
          </cell>
          <cell r="G139">
            <v>513</v>
          </cell>
          <cell r="H139">
            <v>479</v>
          </cell>
          <cell r="I139">
            <v>483</v>
          </cell>
          <cell r="J139">
            <v>475</v>
          </cell>
        </row>
        <row r="140">
          <cell r="A140">
            <v>542</v>
          </cell>
          <cell r="B140" t="str">
            <v>西螺分行　　　　　　　　　　</v>
          </cell>
          <cell r="C140">
            <v>272</v>
          </cell>
          <cell r="D140">
            <v>229</v>
          </cell>
          <cell r="E140">
            <v>123.5</v>
          </cell>
          <cell r="F140">
            <v>161</v>
          </cell>
          <cell r="G140">
            <v>86</v>
          </cell>
          <cell r="H140">
            <v>57.5</v>
          </cell>
          <cell r="I140">
            <v>83</v>
          </cell>
          <cell r="J140">
            <v>32</v>
          </cell>
        </row>
        <row r="141">
          <cell r="A141">
            <v>543</v>
          </cell>
          <cell r="B141" t="str">
            <v>北港分行　　　　　　　　　　</v>
          </cell>
          <cell r="C141">
            <v>174</v>
          </cell>
          <cell r="D141">
            <v>163</v>
          </cell>
          <cell r="E141">
            <v>128</v>
          </cell>
          <cell r="F141">
            <v>134</v>
          </cell>
          <cell r="G141">
            <v>122</v>
          </cell>
          <cell r="H141">
            <v>100</v>
          </cell>
          <cell r="I141">
            <v>123</v>
          </cell>
          <cell r="J141">
            <v>77</v>
          </cell>
        </row>
        <row r="142">
          <cell r="A142">
            <v>600</v>
          </cell>
          <cell r="B142" t="str">
            <v>嘉義分行　　　　　　　　　　</v>
          </cell>
          <cell r="C142">
            <v>1742</v>
          </cell>
          <cell r="D142">
            <v>1718</v>
          </cell>
          <cell r="E142">
            <v>1640</v>
          </cell>
          <cell r="F142">
            <v>1665</v>
          </cell>
          <cell r="G142">
            <v>1615</v>
          </cell>
          <cell r="H142">
            <v>1840</v>
          </cell>
          <cell r="I142">
            <v>1814</v>
          </cell>
          <cell r="J142">
            <v>1866</v>
          </cell>
        </row>
        <row r="143">
          <cell r="A143">
            <v>601</v>
          </cell>
          <cell r="B143" t="str">
            <v>嘉南分行　　　　　　　　　　</v>
          </cell>
          <cell r="C143">
            <v>2117</v>
          </cell>
          <cell r="D143">
            <v>1893</v>
          </cell>
          <cell r="E143">
            <v>1581</v>
          </cell>
          <cell r="F143">
            <v>1597</v>
          </cell>
          <cell r="G143">
            <v>1565</v>
          </cell>
          <cell r="H143">
            <v>1331.5</v>
          </cell>
          <cell r="I143">
            <v>1378</v>
          </cell>
          <cell r="J143">
            <v>1285</v>
          </cell>
        </row>
        <row r="144">
          <cell r="A144">
            <v>602</v>
          </cell>
          <cell r="B144" t="str">
            <v>朴子分行　　　　　　　　　　</v>
          </cell>
          <cell r="C144">
            <v>456</v>
          </cell>
          <cell r="D144">
            <v>424</v>
          </cell>
          <cell r="E144">
            <v>360.5</v>
          </cell>
          <cell r="F144">
            <v>377</v>
          </cell>
          <cell r="G144">
            <v>344</v>
          </cell>
          <cell r="H144">
            <v>194</v>
          </cell>
          <cell r="I144">
            <v>241</v>
          </cell>
          <cell r="J144">
            <v>147</v>
          </cell>
        </row>
        <row r="145">
          <cell r="A145">
            <v>620</v>
          </cell>
          <cell r="B145" t="str">
            <v>新營分行　　　　　　　　　　</v>
          </cell>
          <cell r="C145">
            <v>1241</v>
          </cell>
          <cell r="D145">
            <v>1248</v>
          </cell>
          <cell r="E145">
            <v>1328</v>
          </cell>
          <cell r="F145">
            <v>1352</v>
          </cell>
          <cell r="G145">
            <v>1304</v>
          </cell>
          <cell r="H145">
            <v>1148.5</v>
          </cell>
          <cell r="I145">
            <v>1287</v>
          </cell>
          <cell r="J145">
            <v>1010</v>
          </cell>
        </row>
        <row r="146">
          <cell r="A146">
            <v>621</v>
          </cell>
          <cell r="B146" t="str">
            <v>麻豆分行　　　　　　　　　　</v>
          </cell>
          <cell r="C146">
            <v>1627</v>
          </cell>
          <cell r="D146">
            <v>1602</v>
          </cell>
          <cell r="E146">
            <v>1335.5</v>
          </cell>
          <cell r="F146">
            <v>1365</v>
          </cell>
          <cell r="G146">
            <v>1306</v>
          </cell>
          <cell r="H146">
            <v>1368</v>
          </cell>
          <cell r="I146">
            <v>1384</v>
          </cell>
          <cell r="J146">
            <v>1352</v>
          </cell>
        </row>
        <row r="147">
          <cell r="A147">
            <v>622</v>
          </cell>
          <cell r="B147" t="str">
            <v>永康分行　　　　　　　　　　</v>
          </cell>
          <cell r="C147">
            <v>1601</v>
          </cell>
          <cell r="D147">
            <v>1514</v>
          </cell>
          <cell r="E147">
            <v>1238</v>
          </cell>
          <cell r="F147">
            <v>1295</v>
          </cell>
          <cell r="G147">
            <v>1181</v>
          </cell>
          <cell r="H147">
            <v>1251</v>
          </cell>
          <cell r="I147">
            <v>1272</v>
          </cell>
          <cell r="J147">
            <v>1230</v>
          </cell>
        </row>
        <row r="148">
          <cell r="A148">
            <v>640</v>
          </cell>
          <cell r="B148" t="str">
            <v>台南分行　　　　　　　　　　</v>
          </cell>
          <cell r="C148">
            <v>12751</v>
          </cell>
          <cell r="D148">
            <v>12161</v>
          </cell>
          <cell r="E148">
            <v>11271.5</v>
          </cell>
          <cell r="F148">
            <v>10477</v>
          </cell>
          <cell r="G148">
            <v>12066</v>
          </cell>
          <cell r="H148">
            <v>10341</v>
          </cell>
          <cell r="I148">
            <v>10824</v>
          </cell>
          <cell r="J148">
            <v>9858</v>
          </cell>
        </row>
        <row r="149">
          <cell r="A149">
            <v>642</v>
          </cell>
          <cell r="B149" t="str">
            <v>東台南分行　　　　　　　　　</v>
          </cell>
          <cell r="C149">
            <v>1334</v>
          </cell>
          <cell r="D149">
            <v>1266</v>
          </cell>
          <cell r="E149">
            <v>1247.5</v>
          </cell>
          <cell r="F149">
            <v>1250</v>
          </cell>
          <cell r="G149">
            <v>1245</v>
          </cell>
          <cell r="H149">
            <v>1157.5</v>
          </cell>
          <cell r="I149">
            <v>1204</v>
          </cell>
          <cell r="J149">
            <v>1111</v>
          </cell>
        </row>
        <row r="150">
          <cell r="A150">
            <v>643</v>
          </cell>
          <cell r="B150" t="str">
            <v>西台南分行　　　　　　　　　</v>
          </cell>
          <cell r="C150">
            <v>1966</v>
          </cell>
          <cell r="D150">
            <v>2038</v>
          </cell>
          <cell r="E150">
            <v>2122.5</v>
          </cell>
          <cell r="F150">
            <v>2072</v>
          </cell>
          <cell r="G150">
            <v>2173</v>
          </cell>
          <cell r="H150">
            <v>2117.5</v>
          </cell>
          <cell r="I150">
            <v>2228</v>
          </cell>
          <cell r="J150">
            <v>2007</v>
          </cell>
        </row>
        <row r="151">
          <cell r="A151">
            <v>644</v>
          </cell>
          <cell r="B151" t="str">
            <v>北台南分行　　　　　　　　　</v>
          </cell>
          <cell r="C151">
            <v>2302</v>
          </cell>
          <cell r="D151">
            <v>2322</v>
          </cell>
          <cell r="E151">
            <v>2345.5</v>
          </cell>
          <cell r="F151">
            <v>2353</v>
          </cell>
          <cell r="G151">
            <v>2338</v>
          </cell>
          <cell r="H151">
            <v>2279</v>
          </cell>
          <cell r="I151">
            <v>2354</v>
          </cell>
          <cell r="J151">
            <v>2204</v>
          </cell>
        </row>
        <row r="152">
          <cell r="A152">
            <v>645</v>
          </cell>
          <cell r="B152" t="str">
            <v>南都分行　　　　　　　　　　</v>
          </cell>
          <cell r="C152">
            <v>1832</v>
          </cell>
          <cell r="D152">
            <v>1775</v>
          </cell>
          <cell r="E152">
            <v>1540.5</v>
          </cell>
          <cell r="F152">
            <v>1539</v>
          </cell>
          <cell r="G152">
            <v>1542</v>
          </cell>
          <cell r="H152">
            <v>1307.5</v>
          </cell>
          <cell r="I152">
            <v>1343</v>
          </cell>
          <cell r="J152">
            <v>1272</v>
          </cell>
        </row>
        <row r="153">
          <cell r="A153">
            <v>646</v>
          </cell>
          <cell r="B153" t="str">
            <v>安南分行　　　　　　　　　　</v>
          </cell>
          <cell r="C153">
            <v>150</v>
          </cell>
          <cell r="D153">
            <v>107</v>
          </cell>
          <cell r="E153">
            <v>0</v>
          </cell>
          <cell r="F153">
            <v>0</v>
          </cell>
          <cell r="G153">
            <v>0</v>
          </cell>
          <cell r="H153">
            <v>0</v>
          </cell>
          <cell r="I153">
            <v>0</v>
          </cell>
          <cell r="J153">
            <v>0</v>
          </cell>
        </row>
        <row r="154">
          <cell r="A154">
            <v>647</v>
          </cell>
          <cell r="B154" t="str">
            <v>仁德分行　　　　　　　　　　</v>
          </cell>
          <cell r="C154">
            <v>1368</v>
          </cell>
          <cell r="D154">
            <v>1336</v>
          </cell>
          <cell r="E154">
            <v>1140</v>
          </cell>
          <cell r="F154">
            <v>1261</v>
          </cell>
          <cell r="G154">
            <v>1019</v>
          </cell>
          <cell r="H154">
            <v>862.5</v>
          </cell>
          <cell r="I154">
            <v>903</v>
          </cell>
          <cell r="J154">
            <v>822</v>
          </cell>
        </row>
        <row r="155">
          <cell r="A155">
            <v>648</v>
          </cell>
          <cell r="B155" t="str">
            <v>新市分行　　　　　　　　　　</v>
          </cell>
          <cell r="C155">
            <v>1027</v>
          </cell>
          <cell r="D155">
            <v>909</v>
          </cell>
          <cell r="E155">
            <v>559.5</v>
          </cell>
          <cell r="F155">
            <v>621</v>
          </cell>
          <cell r="G155">
            <v>498</v>
          </cell>
          <cell r="H155">
            <v>230</v>
          </cell>
          <cell r="I155">
            <v>386</v>
          </cell>
          <cell r="J155">
            <v>74</v>
          </cell>
        </row>
        <row r="156">
          <cell r="A156">
            <v>681</v>
          </cell>
          <cell r="B156" t="str">
            <v>金華分行　　　　　　　　　　</v>
          </cell>
          <cell r="C156">
            <v>937</v>
          </cell>
          <cell r="D156">
            <v>858</v>
          </cell>
          <cell r="E156">
            <v>662.5</v>
          </cell>
          <cell r="F156">
            <v>678</v>
          </cell>
          <cell r="G156">
            <v>647</v>
          </cell>
          <cell r="H156">
            <v>507.5</v>
          </cell>
          <cell r="I156">
            <v>605</v>
          </cell>
          <cell r="J156">
            <v>410</v>
          </cell>
        </row>
        <row r="157">
          <cell r="A157">
            <v>700</v>
          </cell>
          <cell r="B157" t="str">
            <v>高雄分行　　　　　　　　　　</v>
          </cell>
          <cell r="C157">
            <v>7017</v>
          </cell>
          <cell r="D157">
            <v>7027</v>
          </cell>
          <cell r="E157">
            <v>6370</v>
          </cell>
          <cell r="F157">
            <v>6048</v>
          </cell>
          <cell r="G157">
            <v>6692</v>
          </cell>
          <cell r="H157">
            <v>7700.5</v>
          </cell>
          <cell r="I157">
            <v>7379</v>
          </cell>
          <cell r="J157">
            <v>8022</v>
          </cell>
        </row>
        <row r="158">
          <cell r="A158">
            <v>701</v>
          </cell>
          <cell r="B158" t="str">
            <v>東苓分行　　　　　　　　　　</v>
          </cell>
          <cell r="C158">
            <v>1165</v>
          </cell>
          <cell r="D158">
            <v>1148</v>
          </cell>
          <cell r="E158">
            <v>1112</v>
          </cell>
          <cell r="F158">
            <v>1199</v>
          </cell>
          <cell r="G158">
            <v>1025</v>
          </cell>
          <cell r="H158">
            <v>850.5</v>
          </cell>
          <cell r="I158">
            <v>943</v>
          </cell>
          <cell r="J158">
            <v>758</v>
          </cell>
        </row>
        <row r="159">
          <cell r="A159">
            <v>702</v>
          </cell>
          <cell r="B159" t="str">
            <v>新興分行　　　　　　　　　　</v>
          </cell>
          <cell r="C159">
            <v>4372</v>
          </cell>
          <cell r="D159">
            <v>4309</v>
          </cell>
          <cell r="E159">
            <v>3991</v>
          </cell>
          <cell r="F159">
            <v>4058</v>
          </cell>
          <cell r="G159">
            <v>3924</v>
          </cell>
          <cell r="H159">
            <v>3828</v>
          </cell>
          <cell r="I159">
            <v>3994</v>
          </cell>
          <cell r="J159">
            <v>3662</v>
          </cell>
        </row>
        <row r="160">
          <cell r="A160">
            <v>703</v>
          </cell>
          <cell r="B160" t="str">
            <v>高雄三民分行　　　　　　　　</v>
          </cell>
          <cell r="C160">
            <v>1965</v>
          </cell>
          <cell r="D160">
            <v>2086</v>
          </cell>
          <cell r="E160">
            <v>2126.5</v>
          </cell>
          <cell r="F160">
            <v>2084</v>
          </cell>
          <cell r="G160">
            <v>2169</v>
          </cell>
          <cell r="H160">
            <v>1937.5</v>
          </cell>
          <cell r="I160">
            <v>2014</v>
          </cell>
          <cell r="J160">
            <v>1861</v>
          </cell>
        </row>
        <row r="161">
          <cell r="A161">
            <v>704</v>
          </cell>
          <cell r="B161" t="str">
            <v>苓雅分行　　　　　　　　　　</v>
          </cell>
          <cell r="C161">
            <v>1984</v>
          </cell>
          <cell r="D161">
            <v>2041</v>
          </cell>
          <cell r="E161">
            <v>2111.5</v>
          </cell>
          <cell r="F161">
            <v>2083</v>
          </cell>
          <cell r="G161">
            <v>2140</v>
          </cell>
          <cell r="H161">
            <v>2165.5</v>
          </cell>
          <cell r="I161">
            <v>2208</v>
          </cell>
          <cell r="J161">
            <v>2123</v>
          </cell>
        </row>
        <row r="162">
          <cell r="A162">
            <v>705</v>
          </cell>
          <cell r="B162" t="str">
            <v>前鎮分行　　　　　　　　　　</v>
          </cell>
          <cell r="C162">
            <v>1622</v>
          </cell>
          <cell r="D162">
            <v>1516</v>
          </cell>
          <cell r="E162">
            <v>1592.5</v>
          </cell>
          <cell r="F162">
            <v>1495</v>
          </cell>
          <cell r="G162">
            <v>1690</v>
          </cell>
          <cell r="H162">
            <v>1492.5</v>
          </cell>
          <cell r="I162">
            <v>1519</v>
          </cell>
          <cell r="J162">
            <v>1466</v>
          </cell>
        </row>
        <row r="163">
          <cell r="A163">
            <v>706</v>
          </cell>
          <cell r="B163" t="str">
            <v>高雄博愛分行　　　　　　　　</v>
          </cell>
          <cell r="C163">
            <v>2010</v>
          </cell>
          <cell r="D163">
            <v>1866</v>
          </cell>
          <cell r="E163">
            <v>1571</v>
          </cell>
          <cell r="F163">
            <v>1723</v>
          </cell>
          <cell r="G163">
            <v>1419</v>
          </cell>
          <cell r="H163">
            <v>1460</v>
          </cell>
          <cell r="I163">
            <v>1450</v>
          </cell>
          <cell r="J163">
            <v>1470</v>
          </cell>
        </row>
        <row r="164">
          <cell r="A164">
            <v>707</v>
          </cell>
          <cell r="B164" t="str">
            <v>南高雄分行　　　　　　　　　</v>
          </cell>
          <cell r="C164">
            <v>2579</v>
          </cell>
          <cell r="D164">
            <v>2566</v>
          </cell>
          <cell r="E164">
            <v>1912</v>
          </cell>
          <cell r="F164">
            <v>2447</v>
          </cell>
          <cell r="G164">
            <v>1377</v>
          </cell>
          <cell r="H164">
            <v>1162</v>
          </cell>
          <cell r="I164">
            <v>1267</v>
          </cell>
          <cell r="J164">
            <v>1057</v>
          </cell>
        </row>
        <row r="165">
          <cell r="A165">
            <v>708</v>
          </cell>
          <cell r="B165" t="str">
            <v>東高雄分行　　　　　　　　　</v>
          </cell>
          <cell r="C165">
            <v>2914</v>
          </cell>
          <cell r="D165">
            <v>2800</v>
          </cell>
          <cell r="E165">
            <v>2522</v>
          </cell>
          <cell r="F165">
            <v>2605</v>
          </cell>
          <cell r="G165">
            <v>2439</v>
          </cell>
          <cell r="H165">
            <v>2251</v>
          </cell>
          <cell r="I165">
            <v>2391</v>
          </cell>
          <cell r="J165">
            <v>2111</v>
          </cell>
        </row>
        <row r="166">
          <cell r="A166">
            <v>709</v>
          </cell>
          <cell r="B166" t="str">
            <v>大昌分行　　　　　　　　　　</v>
          </cell>
          <cell r="C166">
            <v>566</v>
          </cell>
          <cell r="D166">
            <v>447</v>
          </cell>
          <cell r="E166">
            <v>404.5</v>
          </cell>
          <cell r="F166">
            <v>383</v>
          </cell>
          <cell r="G166">
            <v>426</v>
          </cell>
          <cell r="H166">
            <v>473.5</v>
          </cell>
          <cell r="I166">
            <v>443</v>
          </cell>
          <cell r="J166">
            <v>504</v>
          </cell>
        </row>
        <row r="167">
          <cell r="A167">
            <v>710</v>
          </cell>
          <cell r="B167" t="str">
            <v>北高雄分行　　　　　　　　　</v>
          </cell>
          <cell r="C167">
            <v>1285</v>
          </cell>
          <cell r="D167">
            <v>1228</v>
          </cell>
          <cell r="E167">
            <v>1110</v>
          </cell>
          <cell r="F167">
            <v>1168</v>
          </cell>
          <cell r="G167">
            <v>1052</v>
          </cell>
          <cell r="H167">
            <v>915</v>
          </cell>
          <cell r="I167">
            <v>971</v>
          </cell>
          <cell r="J167">
            <v>859</v>
          </cell>
        </row>
        <row r="168">
          <cell r="A168">
            <v>711</v>
          </cell>
          <cell r="B168" t="str">
            <v>楠梓分行　　　　　　　　　　</v>
          </cell>
          <cell r="C168">
            <v>1514</v>
          </cell>
          <cell r="D168">
            <v>1451</v>
          </cell>
          <cell r="E168">
            <v>1144.5</v>
          </cell>
          <cell r="F168">
            <v>1305</v>
          </cell>
          <cell r="G168">
            <v>984</v>
          </cell>
          <cell r="H168">
            <v>621</v>
          </cell>
          <cell r="I168">
            <v>759</v>
          </cell>
          <cell r="J168">
            <v>483</v>
          </cell>
        </row>
        <row r="169">
          <cell r="A169">
            <v>719</v>
          </cell>
          <cell r="B169" t="str">
            <v>岡山分行　　　　　　　　　　</v>
          </cell>
          <cell r="C169">
            <v>2909</v>
          </cell>
          <cell r="D169">
            <v>2778</v>
          </cell>
          <cell r="E169">
            <v>2610</v>
          </cell>
          <cell r="F169">
            <v>2639</v>
          </cell>
          <cell r="G169">
            <v>2581</v>
          </cell>
          <cell r="H169">
            <v>2019</v>
          </cell>
          <cell r="I169">
            <v>2171</v>
          </cell>
          <cell r="J169">
            <v>1867</v>
          </cell>
        </row>
        <row r="170">
          <cell r="A170">
            <v>720</v>
          </cell>
          <cell r="B170" t="str">
            <v>鳳山分行　　　　　　　　　　</v>
          </cell>
          <cell r="C170">
            <v>1390</v>
          </cell>
          <cell r="D170">
            <v>1361</v>
          </cell>
          <cell r="E170">
            <v>1220</v>
          </cell>
          <cell r="F170">
            <v>1299</v>
          </cell>
          <cell r="G170">
            <v>1141</v>
          </cell>
          <cell r="H170">
            <v>1331</v>
          </cell>
          <cell r="I170">
            <v>1123</v>
          </cell>
          <cell r="J170">
            <v>1539</v>
          </cell>
        </row>
        <row r="171">
          <cell r="A171">
            <v>721</v>
          </cell>
          <cell r="B171" t="str">
            <v>路竹分行　　　　　　　　　　</v>
          </cell>
          <cell r="C171">
            <v>639</v>
          </cell>
          <cell r="D171">
            <v>615</v>
          </cell>
          <cell r="E171">
            <v>474.5</v>
          </cell>
          <cell r="F171">
            <v>552</v>
          </cell>
          <cell r="G171">
            <v>397</v>
          </cell>
          <cell r="H171">
            <v>297.5</v>
          </cell>
          <cell r="I171">
            <v>340</v>
          </cell>
          <cell r="J171">
            <v>255</v>
          </cell>
        </row>
        <row r="172">
          <cell r="A172">
            <v>750</v>
          </cell>
          <cell r="B172" t="str">
            <v>大順分行　　　　　　　　　　</v>
          </cell>
          <cell r="C172">
            <v>1045</v>
          </cell>
          <cell r="D172">
            <v>999</v>
          </cell>
          <cell r="E172">
            <v>986</v>
          </cell>
          <cell r="F172">
            <v>971</v>
          </cell>
          <cell r="G172">
            <v>1001</v>
          </cell>
          <cell r="H172">
            <v>907</v>
          </cell>
          <cell r="I172">
            <v>942</v>
          </cell>
          <cell r="J172">
            <v>872</v>
          </cell>
        </row>
        <row r="173">
          <cell r="A173">
            <v>751</v>
          </cell>
          <cell r="B173" t="str">
            <v>籬仔內分行　　　　　　　　　</v>
          </cell>
          <cell r="C173">
            <v>1029</v>
          </cell>
          <cell r="D173">
            <v>998</v>
          </cell>
          <cell r="E173">
            <v>756.5</v>
          </cell>
          <cell r="F173">
            <v>854</v>
          </cell>
          <cell r="G173">
            <v>659</v>
          </cell>
          <cell r="H173">
            <v>536</v>
          </cell>
          <cell r="I173">
            <v>601</v>
          </cell>
          <cell r="J173">
            <v>471</v>
          </cell>
        </row>
        <row r="174">
          <cell r="A174">
            <v>752</v>
          </cell>
          <cell r="B174" t="str">
            <v>五甲分行　　　　　　　　　　</v>
          </cell>
          <cell r="C174">
            <v>1244</v>
          </cell>
          <cell r="D174">
            <v>1149</v>
          </cell>
          <cell r="E174">
            <v>1138.5</v>
          </cell>
          <cell r="F174">
            <v>1247</v>
          </cell>
          <cell r="G174">
            <v>1030</v>
          </cell>
          <cell r="H174">
            <v>812</v>
          </cell>
          <cell r="I174">
            <v>837</v>
          </cell>
          <cell r="J174">
            <v>787</v>
          </cell>
        </row>
        <row r="175">
          <cell r="A175">
            <v>753</v>
          </cell>
          <cell r="B175" t="str">
            <v>光華分行　　　　　　　　　　</v>
          </cell>
          <cell r="C175">
            <v>1011</v>
          </cell>
          <cell r="D175">
            <v>905</v>
          </cell>
          <cell r="E175">
            <v>941.5</v>
          </cell>
          <cell r="F175">
            <v>911</v>
          </cell>
          <cell r="G175">
            <v>972</v>
          </cell>
          <cell r="H175">
            <v>821.5</v>
          </cell>
          <cell r="I175">
            <v>845</v>
          </cell>
          <cell r="J175">
            <v>798</v>
          </cell>
        </row>
        <row r="176">
          <cell r="A176">
            <v>760</v>
          </cell>
          <cell r="B176" t="str">
            <v>小港分行　　　　　　　　　　</v>
          </cell>
          <cell r="C176">
            <v>198</v>
          </cell>
          <cell r="D176">
            <v>157</v>
          </cell>
          <cell r="E176">
            <v>65.5</v>
          </cell>
          <cell r="F176">
            <v>74</v>
          </cell>
          <cell r="G176">
            <v>57</v>
          </cell>
          <cell r="H176">
            <v>62.5</v>
          </cell>
          <cell r="I176">
            <v>90</v>
          </cell>
          <cell r="J176">
            <v>35</v>
          </cell>
        </row>
        <row r="177">
          <cell r="A177">
            <v>763</v>
          </cell>
          <cell r="B177" t="str">
            <v>大林蒲分行　　　　　　　　　</v>
          </cell>
          <cell r="C177">
            <v>0</v>
          </cell>
          <cell r="D177">
            <v>0</v>
          </cell>
          <cell r="E177">
            <v>0</v>
          </cell>
          <cell r="F177">
            <v>0</v>
          </cell>
          <cell r="G177">
            <v>0</v>
          </cell>
          <cell r="H177">
            <v>0</v>
          </cell>
          <cell r="I177">
            <v>0</v>
          </cell>
          <cell r="J177">
            <v>0</v>
          </cell>
        </row>
        <row r="178">
          <cell r="A178">
            <v>765</v>
          </cell>
          <cell r="B178" t="str">
            <v>高雄桂林分行　　　　　　　　</v>
          </cell>
          <cell r="C178">
            <v>6</v>
          </cell>
          <cell r="D178">
            <v>1</v>
          </cell>
          <cell r="E178">
            <v>0</v>
          </cell>
          <cell r="F178">
            <v>0</v>
          </cell>
          <cell r="G178">
            <v>0</v>
          </cell>
          <cell r="H178">
            <v>0</v>
          </cell>
          <cell r="I178">
            <v>0</v>
          </cell>
          <cell r="J178">
            <v>0</v>
          </cell>
        </row>
        <row r="179">
          <cell r="A179">
            <v>800</v>
          </cell>
          <cell r="B179" t="str">
            <v>屏東分行　　　　　　　　　　</v>
          </cell>
          <cell r="C179">
            <v>745</v>
          </cell>
          <cell r="D179">
            <v>693</v>
          </cell>
          <cell r="E179">
            <v>597</v>
          </cell>
          <cell r="F179">
            <v>637</v>
          </cell>
          <cell r="G179">
            <v>557</v>
          </cell>
          <cell r="H179">
            <v>545.5</v>
          </cell>
          <cell r="I179">
            <v>557</v>
          </cell>
          <cell r="J179">
            <v>534</v>
          </cell>
        </row>
        <row r="180">
          <cell r="A180">
            <v>801</v>
          </cell>
          <cell r="B180" t="str">
            <v>內埔分行　　　　　　　　　　</v>
          </cell>
          <cell r="C180">
            <v>535</v>
          </cell>
          <cell r="D180">
            <v>536</v>
          </cell>
          <cell r="E180">
            <v>444</v>
          </cell>
          <cell r="F180">
            <v>467</v>
          </cell>
          <cell r="G180">
            <v>421</v>
          </cell>
          <cell r="H180">
            <v>271</v>
          </cell>
          <cell r="I180">
            <v>300</v>
          </cell>
          <cell r="J180">
            <v>242</v>
          </cell>
        </row>
        <row r="181">
          <cell r="A181">
            <v>802</v>
          </cell>
          <cell r="B181" t="str">
            <v>潮州分行　　　　　　　　　　</v>
          </cell>
          <cell r="C181">
            <v>392</v>
          </cell>
          <cell r="D181">
            <v>404</v>
          </cell>
          <cell r="E181">
            <v>342.5</v>
          </cell>
          <cell r="F181">
            <v>329</v>
          </cell>
          <cell r="G181">
            <v>356</v>
          </cell>
          <cell r="H181">
            <v>522.5</v>
          </cell>
          <cell r="I181">
            <v>432</v>
          </cell>
          <cell r="J181">
            <v>613</v>
          </cell>
        </row>
        <row r="182">
          <cell r="A182">
            <v>810</v>
          </cell>
          <cell r="B182" t="str">
            <v>竹田分行　　　　　　　　　　</v>
          </cell>
          <cell r="C182">
            <v>20</v>
          </cell>
          <cell r="D182">
            <v>17</v>
          </cell>
          <cell r="E182">
            <v>5.5</v>
          </cell>
          <cell r="F182">
            <v>8</v>
          </cell>
          <cell r="G182">
            <v>3</v>
          </cell>
          <cell r="H182">
            <v>2</v>
          </cell>
          <cell r="I182">
            <v>3</v>
          </cell>
          <cell r="J182">
            <v>1</v>
          </cell>
        </row>
        <row r="183">
          <cell r="A183">
            <v>813</v>
          </cell>
          <cell r="B183" t="str">
            <v>佳冬分行　　　　　　　　　　</v>
          </cell>
          <cell r="C183">
            <v>91</v>
          </cell>
          <cell r="D183">
            <v>71</v>
          </cell>
          <cell r="E183">
            <v>37</v>
          </cell>
          <cell r="F183">
            <v>41</v>
          </cell>
          <cell r="G183">
            <v>33</v>
          </cell>
          <cell r="H183">
            <v>38</v>
          </cell>
          <cell r="I183">
            <v>36</v>
          </cell>
          <cell r="J183">
            <v>40</v>
          </cell>
        </row>
        <row r="184">
          <cell r="A184">
            <v>820</v>
          </cell>
          <cell r="B184" t="str">
            <v>花蓮分行　　　　　　　　　　</v>
          </cell>
          <cell r="C184">
            <v>1713</v>
          </cell>
          <cell r="D184">
            <v>1711</v>
          </cell>
          <cell r="E184">
            <v>1249</v>
          </cell>
          <cell r="F184">
            <v>1334</v>
          </cell>
          <cell r="G184">
            <v>1164</v>
          </cell>
          <cell r="H184">
            <v>1095</v>
          </cell>
          <cell r="I184">
            <v>1161</v>
          </cell>
          <cell r="J184">
            <v>1029</v>
          </cell>
        </row>
        <row r="185">
          <cell r="A185">
            <v>830</v>
          </cell>
          <cell r="B185" t="str">
            <v>台東分行　　　　　　　　　　</v>
          </cell>
          <cell r="C185">
            <v>449</v>
          </cell>
          <cell r="D185">
            <v>431</v>
          </cell>
          <cell r="E185">
            <v>431</v>
          </cell>
          <cell r="F185">
            <v>422</v>
          </cell>
          <cell r="G185">
            <v>440</v>
          </cell>
          <cell r="H185">
            <v>462</v>
          </cell>
          <cell r="I185">
            <v>542</v>
          </cell>
          <cell r="J185">
            <v>382</v>
          </cell>
        </row>
      </sheetData>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年初稿"/>
      <sheetName val="95-11貸放大額"/>
      <sheetName val="轉催收明細"/>
      <sheetName val="定額分配表"/>
      <sheetName val="95-10執行表"/>
      <sheetName val="轉摧收"/>
      <sheetName val="ao人數"/>
      <sheetName val="外幣"/>
      <sheetName val="新單位表"/>
    </sheetNames>
    <sheetDataSet>
      <sheetData sheetId="0"/>
      <sheetData sheetId="1"/>
      <sheetData sheetId="2"/>
      <sheetData sheetId="3"/>
      <sheetData sheetId="4"/>
      <sheetData sheetId="5"/>
      <sheetData sheetId="6"/>
      <sheetData sheetId="7" refreshError="1">
        <row r="4">
          <cell r="B4">
            <v>100</v>
          </cell>
          <cell r="C4">
            <v>1116.86430268</v>
          </cell>
          <cell r="D4">
            <v>1193.6142218800001</v>
          </cell>
          <cell r="E4">
            <v>1234.97180667</v>
          </cell>
          <cell r="F4">
            <v>1105.5255489200001</v>
          </cell>
          <cell r="G4">
            <v>1163</v>
          </cell>
          <cell r="H4">
            <v>1052.10690088</v>
          </cell>
          <cell r="I4">
            <v>1130.89631194</v>
          </cell>
          <cell r="J4">
            <v>1172.11129031</v>
          </cell>
          <cell r="K4">
            <v>1041.2174619699999</v>
          </cell>
          <cell r="L4">
            <v>1099</v>
          </cell>
        </row>
        <row r="5">
          <cell r="B5">
            <v>101</v>
          </cell>
          <cell r="C5">
            <v>393.99466272000001</v>
          </cell>
          <cell r="D5">
            <v>391.41257823000001</v>
          </cell>
          <cell r="E5">
            <v>396.34768739999998</v>
          </cell>
          <cell r="F5">
            <v>480.75991345999995</v>
          </cell>
          <cell r="G5">
            <v>416</v>
          </cell>
          <cell r="H5">
            <v>391.43705120999999</v>
          </cell>
          <cell r="I5">
            <v>389.20992555999999</v>
          </cell>
          <cell r="J5">
            <v>393.44193868999997</v>
          </cell>
          <cell r="K5">
            <v>427.77365583</v>
          </cell>
          <cell r="L5">
            <v>400</v>
          </cell>
        </row>
        <row r="6">
          <cell r="B6">
            <v>103</v>
          </cell>
          <cell r="C6">
            <v>335.77394057999999</v>
          </cell>
          <cell r="D6">
            <v>316.38211114000001</v>
          </cell>
          <cell r="E6">
            <v>319.26369089999997</v>
          </cell>
          <cell r="F6">
            <v>309.69997618000002</v>
          </cell>
          <cell r="G6">
            <v>320</v>
          </cell>
          <cell r="H6">
            <v>190.89732347999998</v>
          </cell>
          <cell r="I6">
            <v>181.24954505000002</v>
          </cell>
          <cell r="J6">
            <v>174.84120600999998</v>
          </cell>
          <cell r="K6">
            <v>174.70866833000002</v>
          </cell>
          <cell r="L6">
            <v>180</v>
          </cell>
        </row>
        <row r="7">
          <cell r="B7">
            <v>104</v>
          </cell>
          <cell r="C7">
            <v>392.06866808000001</v>
          </cell>
          <cell r="D7">
            <v>370.70970714999999</v>
          </cell>
          <cell r="E7">
            <v>362.84818227999995</v>
          </cell>
          <cell r="F7">
            <v>415.01686016000002</v>
          </cell>
          <cell r="G7">
            <v>385</v>
          </cell>
          <cell r="H7">
            <v>384.14693417000001</v>
          </cell>
          <cell r="I7">
            <v>350.00951507999997</v>
          </cell>
          <cell r="J7">
            <v>321.62548179000004</v>
          </cell>
          <cell r="K7">
            <v>363.46962031999999</v>
          </cell>
          <cell r="L7">
            <v>355</v>
          </cell>
        </row>
        <row r="8">
          <cell r="B8">
            <v>105</v>
          </cell>
          <cell r="C8">
            <v>1230.2173014300001</v>
          </cell>
          <cell r="D8">
            <v>1158.07256734</v>
          </cell>
          <cell r="E8">
            <v>1113.0448408</v>
          </cell>
          <cell r="F8">
            <v>1139.46388871</v>
          </cell>
          <cell r="G8">
            <v>1160</v>
          </cell>
          <cell r="H8">
            <v>1074.13565894</v>
          </cell>
          <cell r="I8">
            <v>1013.90221089</v>
          </cell>
          <cell r="J8">
            <v>973.98155828999995</v>
          </cell>
          <cell r="K8">
            <v>995.76623404999998</v>
          </cell>
          <cell r="L8">
            <v>1014</v>
          </cell>
        </row>
        <row r="9">
          <cell r="B9">
            <v>106</v>
          </cell>
          <cell r="C9">
            <v>1539.28163982</v>
          </cell>
          <cell r="D9">
            <v>1385.0982800899999</v>
          </cell>
          <cell r="E9">
            <v>1568.0339161500001</v>
          </cell>
          <cell r="F9">
            <v>1625.7055794100002</v>
          </cell>
          <cell r="G9">
            <v>1530</v>
          </cell>
          <cell r="H9">
            <v>1333.5643961800001</v>
          </cell>
          <cell r="I9">
            <v>1121.7185053399999</v>
          </cell>
          <cell r="J9">
            <v>1346.69072547</v>
          </cell>
          <cell r="K9">
            <v>1392.3114935000001</v>
          </cell>
          <cell r="L9">
            <v>1299</v>
          </cell>
        </row>
        <row r="10">
          <cell r="B10">
            <v>107</v>
          </cell>
          <cell r="C10">
            <v>2609.1899579299998</v>
          </cell>
          <cell r="D10">
            <v>2806.71851173</v>
          </cell>
          <cell r="E10">
            <v>2970.4642133699999</v>
          </cell>
          <cell r="F10">
            <v>2991.2797563099998</v>
          </cell>
          <cell r="G10">
            <v>2844</v>
          </cell>
          <cell r="H10">
            <v>2162.50747198</v>
          </cell>
          <cell r="I10">
            <v>2359.8739103000003</v>
          </cell>
          <cell r="J10">
            <v>2559.2278404399999</v>
          </cell>
          <cell r="K10">
            <v>2588.7073989800001</v>
          </cell>
          <cell r="L10">
            <v>2418</v>
          </cell>
        </row>
        <row r="11">
          <cell r="B11">
            <v>108</v>
          </cell>
          <cell r="C11">
            <v>2830.0958153200004</v>
          </cell>
          <cell r="D11">
            <v>2908.0098026199998</v>
          </cell>
          <cell r="E11">
            <v>2888.2632514299999</v>
          </cell>
          <cell r="F11">
            <v>3057.6549832800001</v>
          </cell>
          <cell r="G11">
            <v>2921</v>
          </cell>
          <cell r="H11">
            <v>2462.23601908</v>
          </cell>
          <cell r="I11">
            <v>2595.19460235</v>
          </cell>
          <cell r="J11">
            <v>2556.3823807700001</v>
          </cell>
          <cell r="K11">
            <v>2715.3315427800003</v>
          </cell>
          <cell r="L11">
            <v>2582</v>
          </cell>
        </row>
        <row r="12">
          <cell r="B12">
            <v>109</v>
          </cell>
          <cell r="C12">
            <v>1217.61722704</v>
          </cell>
          <cell r="D12">
            <v>1136.5453066600001</v>
          </cell>
          <cell r="E12">
            <v>1128.6247835300001</v>
          </cell>
          <cell r="F12">
            <v>938.65851367999994</v>
          </cell>
          <cell r="G12">
            <v>1105</v>
          </cell>
          <cell r="H12">
            <v>953.90563679999991</v>
          </cell>
          <cell r="I12">
            <v>912.0398257999999</v>
          </cell>
          <cell r="J12">
            <v>882.27817698000001</v>
          </cell>
          <cell r="K12">
            <v>788.90433604999998</v>
          </cell>
          <cell r="L12">
            <v>884</v>
          </cell>
        </row>
        <row r="13">
          <cell r="B13">
            <v>110</v>
          </cell>
          <cell r="C13">
            <v>528.68286453999997</v>
          </cell>
          <cell r="D13">
            <v>546.76909404999992</v>
          </cell>
          <cell r="E13">
            <v>516.19355658999996</v>
          </cell>
          <cell r="F13">
            <v>578.39439076999997</v>
          </cell>
          <cell r="G13">
            <v>543</v>
          </cell>
          <cell r="H13">
            <v>526.11818243999994</v>
          </cell>
          <cell r="I13">
            <v>546.76909408000006</v>
          </cell>
          <cell r="J13">
            <v>516.19355662999999</v>
          </cell>
          <cell r="K13">
            <v>578.39439082000001</v>
          </cell>
          <cell r="L13">
            <v>542</v>
          </cell>
        </row>
        <row r="14">
          <cell r="B14">
            <v>111</v>
          </cell>
          <cell r="C14">
            <v>1447.2092616199998</v>
          </cell>
          <cell r="D14">
            <v>1128.1945229600001</v>
          </cell>
          <cell r="E14">
            <v>1277.7067333599998</v>
          </cell>
          <cell r="F14">
            <v>1083.4611843800001</v>
          </cell>
          <cell r="G14">
            <v>1234</v>
          </cell>
          <cell r="H14">
            <v>1154.0835035099999</v>
          </cell>
          <cell r="I14">
            <v>853.75640735000002</v>
          </cell>
          <cell r="J14">
            <v>985.97075562999999</v>
          </cell>
          <cell r="K14">
            <v>792.68722646000003</v>
          </cell>
          <cell r="L14">
            <v>947</v>
          </cell>
        </row>
        <row r="15">
          <cell r="B15">
            <v>112</v>
          </cell>
          <cell r="C15">
            <v>3133.0595610400001</v>
          </cell>
          <cell r="D15">
            <v>2599.58232813</v>
          </cell>
          <cell r="E15">
            <v>2484.5059180100002</v>
          </cell>
          <cell r="F15">
            <v>2406.4831962399999</v>
          </cell>
          <cell r="G15">
            <v>2656</v>
          </cell>
          <cell r="H15">
            <v>2738.68734232</v>
          </cell>
          <cell r="I15">
            <v>2234.43546973</v>
          </cell>
          <cell r="J15">
            <v>2020.7903476700001</v>
          </cell>
          <cell r="K15">
            <v>2070.50629024</v>
          </cell>
          <cell r="L15">
            <v>2266</v>
          </cell>
        </row>
        <row r="16">
          <cell r="B16">
            <v>113</v>
          </cell>
          <cell r="C16">
            <v>988.51620247000005</v>
          </cell>
          <cell r="D16">
            <v>1001.72482213</v>
          </cell>
          <cell r="E16">
            <v>1082.20094376</v>
          </cell>
          <cell r="F16">
            <v>1063.2070394699999</v>
          </cell>
          <cell r="G16">
            <v>1034</v>
          </cell>
          <cell r="H16">
            <v>988.51620249999996</v>
          </cell>
          <cell r="I16">
            <v>1001.7248221599999</v>
          </cell>
          <cell r="J16">
            <v>1082.20094378</v>
          </cell>
          <cell r="K16">
            <v>1063.2070395000001</v>
          </cell>
          <cell r="L16">
            <v>1034</v>
          </cell>
        </row>
        <row r="17">
          <cell r="B17">
            <v>114</v>
          </cell>
          <cell r="C17">
            <v>768.45060821000004</v>
          </cell>
          <cell r="D17">
            <v>839.32893650999995</v>
          </cell>
          <cell r="E17">
            <v>876.28543436000007</v>
          </cell>
          <cell r="F17">
            <v>810.25810377999994</v>
          </cell>
          <cell r="G17">
            <v>824</v>
          </cell>
          <cell r="H17">
            <v>639.24847864999992</v>
          </cell>
          <cell r="I17">
            <v>711.83219586000007</v>
          </cell>
          <cell r="J17">
            <v>734.80660642999999</v>
          </cell>
          <cell r="K17">
            <v>661.29926687</v>
          </cell>
          <cell r="L17">
            <v>687</v>
          </cell>
        </row>
        <row r="18">
          <cell r="B18">
            <v>115</v>
          </cell>
          <cell r="C18">
            <v>750.75718408</v>
          </cell>
          <cell r="D18">
            <v>741.43456615999992</v>
          </cell>
          <cell r="E18">
            <v>703.52528314999995</v>
          </cell>
          <cell r="F18">
            <v>629.65158151000003</v>
          </cell>
          <cell r="G18">
            <v>706</v>
          </cell>
          <cell r="H18">
            <v>607.99414511999998</v>
          </cell>
          <cell r="I18">
            <v>616.21878269000001</v>
          </cell>
          <cell r="J18">
            <v>592.09560462000002</v>
          </cell>
          <cell r="K18">
            <v>516.33929824999996</v>
          </cell>
          <cell r="L18">
            <v>583</v>
          </cell>
        </row>
        <row r="19">
          <cell r="B19">
            <v>116</v>
          </cell>
          <cell r="C19">
            <v>2236.3147189599999</v>
          </cell>
          <cell r="D19">
            <v>2297.0844811399998</v>
          </cell>
          <cell r="E19">
            <v>1897.5385785999999</v>
          </cell>
          <cell r="F19">
            <v>2696.0134478499999</v>
          </cell>
          <cell r="G19">
            <v>2282</v>
          </cell>
          <cell r="H19">
            <v>2176.82242434</v>
          </cell>
          <cell r="I19">
            <v>2230.0485653600003</v>
          </cell>
          <cell r="J19">
            <v>1823.7922707499999</v>
          </cell>
          <cell r="K19">
            <v>2612.0646356699999</v>
          </cell>
          <cell r="L19">
            <v>2211</v>
          </cell>
        </row>
        <row r="20">
          <cell r="B20">
            <v>117</v>
          </cell>
          <cell r="C20">
            <v>580.47815189999994</v>
          </cell>
          <cell r="D20">
            <v>607.70835697999996</v>
          </cell>
          <cell r="E20">
            <v>627.51078321</v>
          </cell>
          <cell r="F20">
            <v>621.97762333000003</v>
          </cell>
          <cell r="G20">
            <v>609</v>
          </cell>
          <cell r="H20">
            <v>556.78060052000001</v>
          </cell>
          <cell r="I20">
            <v>583.16012267999997</v>
          </cell>
          <cell r="J20">
            <v>604.2792216900001</v>
          </cell>
          <cell r="K20">
            <v>586.15268601000002</v>
          </cell>
          <cell r="L20">
            <v>583</v>
          </cell>
        </row>
        <row r="21">
          <cell r="B21">
            <v>118</v>
          </cell>
          <cell r="C21">
            <v>161.12907724999999</v>
          </cell>
          <cell r="D21">
            <v>154.90517831</v>
          </cell>
          <cell r="E21">
            <v>150.81427528999998</v>
          </cell>
          <cell r="F21">
            <v>153.03033053999999</v>
          </cell>
          <cell r="G21">
            <v>155</v>
          </cell>
          <cell r="H21">
            <v>144.67066650999999</v>
          </cell>
          <cell r="I21">
            <v>138.32130262000001</v>
          </cell>
          <cell r="J21">
            <v>133.39689867000001</v>
          </cell>
          <cell r="K21">
            <v>135.03298475999998</v>
          </cell>
          <cell r="L21">
            <v>138</v>
          </cell>
        </row>
        <row r="22">
          <cell r="B22">
            <v>119</v>
          </cell>
          <cell r="C22">
            <v>425.06369149</v>
          </cell>
          <cell r="D22">
            <v>315.59923881999998</v>
          </cell>
          <cell r="E22">
            <v>319.87737608999998</v>
          </cell>
          <cell r="F22">
            <v>426.34505389999998</v>
          </cell>
          <cell r="G22">
            <v>372</v>
          </cell>
          <cell r="H22">
            <v>73.753132730000004</v>
          </cell>
          <cell r="I22">
            <v>79.374396599999997</v>
          </cell>
          <cell r="J22">
            <v>86.860931980000004</v>
          </cell>
          <cell r="K22">
            <v>93.261894909999995</v>
          </cell>
          <cell r="L22">
            <v>83</v>
          </cell>
        </row>
        <row r="23">
          <cell r="B23">
            <v>120</v>
          </cell>
          <cell r="C23">
            <v>1333.8157550000001</v>
          </cell>
          <cell r="D23">
            <v>1160.6912247299999</v>
          </cell>
          <cell r="E23">
            <v>992.44045042999994</v>
          </cell>
          <cell r="F23">
            <v>1076.1982130899999</v>
          </cell>
          <cell r="G23">
            <v>1141</v>
          </cell>
          <cell r="H23">
            <v>1193.4175995999999</v>
          </cell>
          <cell r="I23">
            <v>1036.58558814</v>
          </cell>
          <cell r="J23">
            <v>875.79349192999996</v>
          </cell>
          <cell r="K23">
            <v>961.11905352999997</v>
          </cell>
          <cell r="L23">
            <v>1017</v>
          </cell>
        </row>
        <row r="24">
          <cell r="B24">
            <v>121</v>
          </cell>
          <cell r="C24">
            <v>942.44925721000004</v>
          </cell>
          <cell r="D24">
            <v>850.32499529999996</v>
          </cell>
          <cell r="E24">
            <v>1147.8973872199999</v>
          </cell>
          <cell r="F24">
            <v>1562.2507885999999</v>
          </cell>
          <cell r="G24">
            <v>1126</v>
          </cell>
          <cell r="H24">
            <v>329.19399104000001</v>
          </cell>
          <cell r="I24">
            <v>294.19151900000003</v>
          </cell>
          <cell r="J24">
            <v>307.10982651</v>
          </cell>
          <cell r="K24">
            <v>324.66456948000001</v>
          </cell>
          <cell r="L24">
            <v>314</v>
          </cell>
        </row>
        <row r="25">
          <cell r="B25">
            <v>122</v>
          </cell>
          <cell r="C25">
            <v>173.75181983000002</v>
          </cell>
          <cell r="D25">
            <v>172.13511588</v>
          </cell>
          <cell r="E25">
            <v>167.83891913999997</v>
          </cell>
          <cell r="F25">
            <v>182.0038916</v>
          </cell>
          <cell r="G25">
            <v>174</v>
          </cell>
          <cell r="H25">
            <v>166.20244328999999</v>
          </cell>
          <cell r="I25">
            <v>165.24686065</v>
          </cell>
          <cell r="J25">
            <v>161.32958944000001</v>
          </cell>
          <cell r="K25">
            <v>174.34764324</v>
          </cell>
          <cell r="L25">
            <v>167</v>
          </cell>
        </row>
        <row r="26">
          <cell r="B26">
            <v>123</v>
          </cell>
          <cell r="C26">
            <v>2304.4265731199998</v>
          </cell>
          <cell r="D26">
            <v>2765.9706933000002</v>
          </cell>
          <cell r="E26">
            <v>2225.9996793699997</v>
          </cell>
          <cell r="F26">
            <v>2975.7928342700002</v>
          </cell>
          <cell r="G26">
            <v>2568</v>
          </cell>
          <cell r="H26">
            <v>2137.1379289699998</v>
          </cell>
          <cell r="I26">
            <v>2612.2857363000003</v>
          </cell>
          <cell r="J26">
            <v>2019.45527758</v>
          </cell>
          <cell r="K26">
            <v>2716.3201814899999</v>
          </cell>
          <cell r="L26">
            <v>2371</v>
          </cell>
        </row>
        <row r="27">
          <cell r="B27">
            <v>124</v>
          </cell>
          <cell r="C27">
            <v>408.31354842000002</v>
          </cell>
          <cell r="D27">
            <v>449.12367324000002</v>
          </cell>
          <cell r="E27">
            <v>465.76797606000002</v>
          </cell>
          <cell r="F27">
            <v>472.93477300000001</v>
          </cell>
          <cell r="G27">
            <v>449</v>
          </cell>
          <cell r="H27">
            <v>319.06208964999996</v>
          </cell>
          <cell r="I27">
            <v>379.15546078</v>
          </cell>
          <cell r="J27">
            <v>387.36085198000001</v>
          </cell>
          <cell r="K27">
            <v>399.09886961000001</v>
          </cell>
          <cell r="L27">
            <v>371</v>
          </cell>
        </row>
        <row r="28">
          <cell r="B28">
            <v>125</v>
          </cell>
          <cell r="C28">
            <v>628.10385133</v>
          </cell>
          <cell r="D28">
            <v>694.99752997999997</v>
          </cell>
          <cell r="E28">
            <v>681.56012122000004</v>
          </cell>
          <cell r="F28">
            <v>725.74300398000003</v>
          </cell>
          <cell r="G28">
            <v>683</v>
          </cell>
          <cell r="H28">
            <v>593.09439421000002</v>
          </cell>
          <cell r="I28">
            <v>656.05169345000002</v>
          </cell>
          <cell r="J28">
            <v>637.15122110000004</v>
          </cell>
          <cell r="K28">
            <v>679.88943716999995</v>
          </cell>
          <cell r="L28">
            <v>642</v>
          </cell>
        </row>
        <row r="29">
          <cell r="B29">
            <v>126</v>
          </cell>
          <cell r="C29">
            <v>9491.7812130300008</v>
          </cell>
          <cell r="D29">
            <v>9013.71809398</v>
          </cell>
          <cell r="E29">
            <v>10056.14037352</v>
          </cell>
          <cell r="F29">
            <v>10131.53824625</v>
          </cell>
          <cell r="G29">
            <v>9673</v>
          </cell>
          <cell r="H29">
            <v>5221.5048852099999</v>
          </cell>
          <cell r="I29">
            <v>5175.4590913000002</v>
          </cell>
          <cell r="J29">
            <v>5422.3758466400004</v>
          </cell>
          <cell r="K29">
            <v>5347.0468019399996</v>
          </cell>
          <cell r="L29">
            <v>5292</v>
          </cell>
        </row>
        <row r="30">
          <cell r="B30">
            <v>127</v>
          </cell>
          <cell r="C30">
            <v>184.76069330999999</v>
          </cell>
          <cell r="D30">
            <v>173.43458022999999</v>
          </cell>
          <cell r="E30">
            <v>157.84353846000002</v>
          </cell>
          <cell r="F30">
            <v>170.7245819</v>
          </cell>
          <cell r="G30">
            <v>172</v>
          </cell>
          <cell r="H30">
            <v>164.68982364999999</v>
          </cell>
          <cell r="I30">
            <v>156.08016024</v>
          </cell>
          <cell r="J30">
            <v>140.38207863999997</v>
          </cell>
          <cell r="K30">
            <v>162.229645</v>
          </cell>
          <cell r="L30">
            <v>156</v>
          </cell>
        </row>
        <row r="31">
          <cell r="B31">
            <v>128</v>
          </cell>
          <cell r="C31">
            <v>300.69898241000004</v>
          </cell>
          <cell r="D31">
            <v>315.45100044999998</v>
          </cell>
          <cell r="E31">
            <v>283.39853288</v>
          </cell>
          <cell r="F31">
            <v>298.08120183999995</v>
          </cell>
          <cell r="G31">
            <v>299</v>
          </cell>
          <cell r="H31">
            <v>291.62669437</v>
          </cell>
          <cell r="I31">
            <v>306.33994194999997</v>
          </cell>
          <cell r="J31">
            <v>274.24593458999999</v>
          </cell>
          <cell r="K31">
            <v>293.73463819</v>
          </cell>
          <cell r="L31">
            <v>291</v>
          </cell>
        </row>
        <row r="32">
          <cell r="B32">
            <v>129</v>
          </cell>
          <cell r="C32">
            <v>317.21159410000001</v>
          </cell>
          <cell r="D32">
            <v>277.479781</v>
          </cell>
          <cell r="E32">
            <v>296.52649557999996</v>
          </cell>
          <cell r="F32">
            <v>257.26665306000001</v>
          </cell>
          <cell r="G32">
            <v>287</v>
          </cell>
          <cell r="H32">
            <v>275.06713594000001</v>
          </cell>
          <cell r="I32">
            <v>264.89556885000002</v>
          </cell>
          <cell r="J32">
            <v>267.74506888000002</v>
          </cell>
          <cell r="K32">
            <v>216.60427654</v>
          </cell>
          <cell r="L32">
            <v>256</v>
          </cell>
        </row>
        <row r="33">
          <cell r="B33">
            <v>130</v>
          </cell>
          <cell r="C33">
            <v>1511.2710737699999</v>
          </cell>
          <cell r="D33">
            <v>1614.6763552699999</v>
          </cell>
          <cell r="E33">
            <v>1535.91319722</v>
          </cell>
          <cell r="F33">
            <v>1609.83123542</v>
          </cell>
          <cell r="G33">
            <v>1568</v>
          </cell>
          <cell r="H33">
            <v>1242.7099802</v>
          </cell>
          <cell r="I33">
            <v>1370.4107926300001</v>
          </cell>
          <cell r="J33">
            <v>1289.1859195699999</v>
          </cell>
          <cell r="K33">
            <v>1358.1402633499999</v>
          </cell>
          <cell r="L33">
            <v>1315</v>
          </cell>
        </row>
        <row r="34">
          <cell r="B34">
            <v>131</v>
          </cell>
          <cell r="C34">
            <v>613.89180810000005</v>
          </cell>
          <cell r="D34">
            <v>571.65090424000005</v>
          </cell>
          <cell r="E34">
            <v>666.44132489000003</v>
          </cell>
          <cell r="F34">
            <v>744.85593100000006</v>
          </cell>
          <cell r="G34">
            <v>649</v>
          </cell>
          <cell r="H34">
            <v>507.22919905000003</v>
          </cell>
          <cell r="I34">
            <v>477.22550551999996</v>
          </cell>
          <cell r="J34">
            <v>556.57603501999995</v>
          </cell>
          <cell r="K34">
            <v>632.60125464999999</v>
          </cell>
          <cell r="L34">
            <v>543</v>
          </cell>
        </row>
        <row r="35">
          <cell r="B35">
            <v>133</v>
          </cell>
          <cell r="C35">
            <v>257.47035619999997</v>
          </cell>
          <cell r="D35">
            <v>364.01013017000002</v>
          </cell>
          <cell r="E35">
            <v>387.54750908</v>
          </cell>
          <cell r="F35">
            <v>306.85032316000002</v>
          </cell>
          <cell r="G35">
            <v>329</v>
          </cell>
          <cell r="H35">
            <v>223.26487695</v>
          </cell>
          <cell r="I35">
            <v>321.20113216000004</v>
          </cell>
          <cell r="J35">
            <v>316.25778558999997</v>
          </cell>
          <cell r="K35">
            <v>240.36396916999999</v>
          </cell>
          <cell r="L35">
            <v>275</v>
          </cell>
        </row>
        <row r="36">
          <cell r="B36">
            <v>134</v>
          </cell>
          <cell r="C36">
            <v>319.29717212000003</v>
          </cell>
          <cell r="D36">
            <v>309.42755998000001</v>
          </cell>
          <cell r="E36">
            <v>265.02242099</v>
          </cell>
          <cell r="F36">
            <v>174.72343774000001</v>
          </cell>
          <cell r="G36">
            <v>267</v>
          </cell>
          <cell r="H36">
            <v>283.76925272000005</v>
          </cell>
          <cell r="I36">
            <v>282.78319980000003</v>
          </cell>
          <cell r="J36">
            <v>250.34462655999999</v>
          </cell>
          <cell r="K36">
            <v>159.93550153000001</v>
          </cell>
          <cell r="L36">
            <v>244</v>
          </cell>
        </row>
        <row r="37">
          <cell r="B37">
            <v>136</v>
          </cell>
          <cell r="C37">
            <v>0</v>
          </cell>
          <cell r="D37">
            <v>0</v>
          </cell>
          <cell r="E37">
            <v>0</v>
          </cell>
          <cell r="F37">
            <v>0</v>
          </cell>
          <cell r="G37">
            <v>0</v>
          </cell>
          <cell r="H37">
            <v>0</v>
          </cell>
          <cell r="I37">
            <v>0</v>
          </cell>
          <cell r="J37">
            <v>0</v>
          </cell>
          <cell r="K37">
            <v>0</v>
          </cell>
          <cell r="L37">
            <v>0</v>
          </cell>
        </row>
        <row r="38">
          <cell r="B38">
            <v>137</v>
          </cell>
          <cell r="C38">
            <v>225.13485509</v>
          </cell>
          <cell r="D38">
            <v>202.06621096000001</v>
          </cell>
          <cell r="E38">
            <v>175.62230291</v>
          </cell>
          <cell r="F38">
            <v>178.37791712999999</v>
          </cell>
          <cell r="G38">
            <v>195</v>
          </cell>
          <cell r="H38">
            <v>222.93057293999999</v>
          </cell>
          <cell r="I38">
            <v>199.90604336000001</v>
          </cell>
          <cell r="J38">
            <v>172.4581369</v>
          </cell>
          <cell r="K38">
            <v>173.36941295</v>
          </cell>
          <cell r="L38">
            <v>192</v>
          </cell>
        </row>
        <row r="39">
          <cell r="B39">
            <v>143</v>
          </cell>
          <cell r="C39">
            <v>59.599260719999997</v>
          </cell>
          <cell r="D39">
            <v>49.385946789999998</v>
          </cell>
          <cell r="E39">
            <v>49.133066659999997</v>
          </cell>
          <cell r="F39">
            <v>45.387246140000002</v>
          </cell>
          <cell r="G39">
            <v>51</v>
          </cell>
          <cell r="H39">
            <v>44.942500469999999</v>
          </cell>
          <cell r="I39">
            <v>36.3978179</v>
          </cell>
          <cell r="J39">
            <v>40.848157979999996</v>
          </cell>
          <cell r="K39">
            <v>38.934726060000003</v>
          </cell>
          <cell r="L39">
            <v>40</v>
          </cell>
        </row>
        <row r="40">
          <cell r="B40">
            <v>145</v>
          </cell>
          <cell r="C40">
            <v>157.58178307</v>
          </cell>
          <cell r="D40">
            <v>144.00392400999999</v>
          </cell>
          <cell r="E40">
            <v>126.92628098</v>
          </cell>
          <cell r="F40">
            <v>114.47111199</v>
          </cell>
          <cell r="G40">
            <v>136</v>
          </cell>
          <cell r="H40">
            <v>157.46889868</v>
          </cell>
          <cell r="I40">
            <v>144.00392403000001</v>
          </cell>
          <cell r="J40">
            <v>126.92628099</v>
          </cell>
          <cell r="K40">
            <v>114.47111201</v>
          </cell>
          <cell r="L40">
            <v>136</v>
          </cell>
        </row>
        <row r="41">
          <cell r="B41">
            <v>147</v>
          </cell>
          <cell r="C41">
            <v>985.17902377999997</v>
          </cell>
          <cell r="D41">
            <v>1147.1936844100001</v>
          </cell>
          <cell r="E41">
            <v>1229.48966157</v>
          </cell>
          <cell r="F41">
            <v>1291.86027582</v>
          </cell>
          <cell r="G41">
            <v>1163</v>
          </cell>
          <cell r="H41">
            <v>701.75410003999991</v>
          </cell>
          <cell r="I41">
            <v>657.81475982000006</v>
          </cell>
          <cell r="J41">
            <v>681.01313424</v>
          </cell>
          <cell r="K41">
            <v>605.83226549999995</v>
          </cell>
          <cell r="L41">
            <v>662</v>
          </cell>
        </row>
        <row r="42">
          <cell r="B42">
            <v>148</v>
          </cell>
          <cell r="C42">
            <v>10.776376279999999</v>
          </cell>
          <cell r="D42">
            <v>8.2007064700000001</v>
          </cell>
          <cell r="E42">
            <v>11.88024433</v>
          </cell>
          <cell r="F42">
            <v>10.628885179999999</v>
          </cell>
          <cell r="G42">
            <v>10</v>
          </cell>
          <cell r="H42">
            <v>10.776376300000001</v>
          </cell>
          <cell r="I42">
            <v>8.2007064800000009</v>
          </cell>
          <cell r="J42">
            <v>11.880244339999999</v>
          </cell>
          <cell r="K42">
            <v>10.62888519</v>
          </cell>
          <cell r="L42">
            <v>10</v>
          </cell>
        </row>
        <row r="43">
          <cell r="B43">
            <v>149</v>
          </cell>
          <cell r="C43">
            <v>1287.8658346300001</v>
          </cell>
          <cell r="D43">
            <v>1247.55145752</v>
          </cell>
          <cell r="E43">
            <v>1351.83606955</v>
          </cell>
          <cell r="F43">
            <v>1330.57974083</v>
          </cell>
          <cell r="G43">
            <v>1304</v>
          </cell>
          <cell r="H43">
            <v>234.11193505</v>
          </cell>
          <cell r="I43">
            <v>233.26607253999998</v>
          </cell>
          <cell r="J43">
            <v>198.09829465999999</v>
          </cell>
          <cell r="K43">
            <v>299.13255595999999</v>
          </cell>
          <cell r="L43">
            <v>241</v>
          </cell>
        </row>
        <row r="44">
          <cell r="B44">
            <v>151</v>
          </cell>
          <cell r="C44">
            <v>132.69895717</v>
          </cell>
          <cell r="D44">
            <v>143.83919749</v>
          </cell>
          <cell r="E44">
            <v>127.23863532999999</v>
          </cell>
          <cell r="F44">
            <v>127.27347923000001</v>
          </cell>
          <cell r="G44">
            <v>133</v>
          </cell>
          <cell r="H44">
            <v>112.76728572</v>
          </cell>
          <cell r="I44">
            <v>126.48269755</v>
          </cell>
          <cell r="J44">
            <v>122.95066356999999</v>
          </cell>
          <cell r="K44">
            <v>127.27347924999999</v>
          </cell>
          <cell r="L44">
            <v>122</v>
          </cell>
        </row>
        <row r="45">
          <cell r="B45">
            <v>152</v>
          </cell>
          <cell r="C45">
            <v>34.166668420000001</v>
          </cell>
          <cell r="D45">
            <v>31.683138840000002</v>
          </cell>
          <cell r="E45">
            <v>28.24942304</v>
          </cell>
          <cell r="F45">
            <v>33.448659579999998</v>
          </cell>
          <cell r="G45">
            <v>32</v>
          </cell>
          <cell r="H45">
            <v>34.166668439999995</v>
          </cell>
          <cell r="I45">
            <v>31.683138850000002</v>
          </cell>
          <cell r="J45">
            <v>28.249423059999998</v>
          </cell>
          <cell r="K45">
            <v>33.315133709999998</v>
          </cell>
          <cell r="L45">
            <v>32</v>
          </cell>
        </row>
        <row r="46">
          <cell r="B46">
            <v>153</v>
          </cell>
          <cell r="C46">
            <v>171.13592499000001</v>
          </cell>
          <cell r="D46">
            <v>161.99688462</v>
          </cell>
          <cell r="E46">
            <v>160.82764992</v>
          </cell>
          <cell r="F46">
            <v>182.88141715</v>
          </cell>
          <cell r="G46">
            <v>169</v>
          </cell>
          <cell r="H46">
            <v>152.23981286</v>
          </cell>
          <cell r="I46">
            <v>145.43433044999998</v>
          </cell>
          <cell r="J46">
            <v>142.53614859000001</v>
          </cell>
          <cell r="K46">
            <v>164.30154266</v>
          </cell>
          <cell r="L46">
            <v>151</v>
          </cell>
        </row>
        <row r="47">
          <cell r="B47">
            <v>154</v>
          </cell>
          <cell r="C47">
            <v>0</v>
          </cell>
          <cell r="D47">
            <v>0</v>
          </cell>
          <cell r="E47">
            <v>0</v>
          </cell>
          <cell r="F47">
            <v>0</v>
          </cell>
          <cell r="G47">
            <v>0</v>
          </cell>
          <cell r="H47">
            <v>0</v>
          </cell>
          <cell r="I47">
            <v>0</v>
          </cell>
          <cell r="J47">
            <v>0</v>
          </cell>
          <cell r="K47">
            <v>0</v>
          </cell>
          <cell r="L47">
            <v>0</v>
          </cell>
        </row>
        <row r="48">
          <cell r="B48">
            <v>156</v>
          </cell>
          <cell r="C48">
            <v>406.69491142000004</v>
          </cell>
          <cell r="D48">
            <v>382.47871456000001</v>
          </cell>
          <cell r="E48">
            <v>414.06648560000002</v>
          </cell>
          <cell r="F48">
            <v>432.83626386999998</v>
          </cell>
          <cell r="G48">
            <v>409</v>
          </cell>
          <cell r="H48">
            <v>293.33217467999998</v>
          </cell>
          <cell r="I48">
            <v>262.89662662000001</v>
          </cell>
          <cell r="J48">
            <v>274.43018472000006</v>
          </cell>
          <cell r="K48">
            <v>286.93850391000001</v>
          </cell>
          <cell r="L48">
            <v>279</v>
          </cell>
        </row>
        <row r="49">
          <cell r="B49">
            <v>157</v>
          </cell>
          <cell r="C49">
            <v>223.26620993</v>
          </cell>
          <cell r="D49">
            <v>246.35352080000001</v>
          </cell>
          <cell r="E49">
            <v>237.55157897000001</v>
          </cell>
          <cell r="F49">
            <v>223.32227810000001</v>
          </cell>
          <cell r="G49">
            <v>233</v>
          </cell>
          <cell r="H49">
            <v>207.21600715</v>
          </cell>
          <cell r="I49">
            <v>230.23686698</v>
          </cell>
          <cell r="J49">
            <v>221.36762583000001</v>
          </cell>
          <cell r="K49">
            <v>207.03658243999999</v>
          </cell>
          <cell r="L49">
            <v>216</v>
          </cell>
        </row>
        <row r="50">
          <cell r="B50">
            <v>158</v>
          </cell>
          <cell r="C50">
            <v>559.82448557999999</v>
          </cell>
          <cell r="D50">
            <v>476.88381537999999</v>
          </cell>
          <cell r="E50">
            <v>455.86860981000001</v>
          </cell>
          <cell r="F50">
            <v>535.51049567000007</v>
          </cell>
          <cell r="G50">
            <v>507</v>
          </cell>
          <cell r="H50">
            <v>556.90532979</v>
          </cell>
          <cell r="I50">
            <v>476.14457412000002</v>
          </cell>
          <cell r="J50">
            <v>454.29807382999996</v>
          </cell>
          <cell r="K50">
            <v>506.97961642000001</v>
          </cell>
          <cell r="L50">
            <v>499</v>
          </cell>
        </row>
        <row r="51">
          <cell r="B51">
            <v>159</v>
          </cell>
          <cell r="C51">
            <v>191.43435772999999</v>
          </cell>
          <cell r="D51">
            <v>202.28284565000001</v>
          </cell>
          <cell r="E51">
            <v>206.51426178</v>
          </cell>
          <cell r="F51">
            <v>180.32156193</v>
          </cell>
          <cell r="G51">
            <v>195</v>
          </cell>
          <cell r="H51">
            <v>191.43435774</v>
          </cell>
          <cell r="I51">
            <v>202.28284568000001</v>
          </cell>
          <cell r="J51">
            <v>206.51426178999998</v>
          </cell>
          <cell r="K51">
            <v>180.32156194000001</v>
          </cell>
          <cell r="L51">
            <v>195</v>
          </cell>
        </row>
        <row r="52">
          <cell r="B52">
            <v>160</v>
          </cell>
          <cell r="C52">
            <v>148.79773671999999</v>
          </cell>
          <cell r="D52">
            <v>161.23118224999999</v>
          </cell>
          <cell r="E52">
            <v>193.88066371000002</v>
          </cell>
          <cell r="F52">
            <v>199.57459600000001</v>
          </cell>
          <cell r="G52">
            <v>176</v>
          </cell>
          <cell r="H52">
            <v>133.08184484</v>
          </cell>
          <cell r="I52">
            <v>115.69472359000001</v>
          </cell>
          <cell r="J52">
            <v>98.823210860000003</v>
          </cell>
          <cell r="K52">
            <v>93.895241420000005</v>
          </cell>
          <cell r="L52">
            <v>110</v>
          </cell>
        </row>
        <row r="53">
          <cell r="B53">
            <v>161</v>
          </cell>
          <cell r="C53">
            <v>171.80227743</v>
          </cell>
          <cell r="D53">
            <v>217.37155902000001</v>
          </cell>
          <cell r="E53">
            <v>228.20312190000001</v>
          </cell>
          <cell r="F53">
            <v>218.45036293000001</v>
          </cell>
          <cell r="G53">
            <v>209</v>
          </cell>
          <cell r="H53">
            <v>171.80227744000001</v>
          </cell>
          <cell r="I53">
            <v>217.37155903000001</v>
          </cell>
          <cell r="J53">
            <v>228.20312190999999</v>
          </cell>
          <cell r="K53">
            <v>218.45036295</v>
          </cell>
          <cell r="L53">
            <v>209</v>
          </cell>
        </row>
        <row r="54">
          <cell r="B54">
            <v>162</v>
          </cell>
          <cell r="C54">
            <v>277.60998424000002</v>
          </cell>
          <cell r="D54">
            <v>393.45669323000004</v>
          </cell>
          <cell r="E54">
            <v>268.56916207</v>
          </cell>
          <cell r="F54">
            <v>426.85094877</v>
          </cell>
          <cell r="G54">
            <v>342</v>
          </cell>
          <cell r="H54">
            <v>276.91569501999999</v>
          </cell>
          <cell r="I54">
            <v>392.84940562999998</v>
          </cell>
          <cell r="J54">
            <v>268.56916208999996</v>
          </cell>
          <cell r="K54">
            <v>426.8119145</v>
          </cell>
          <cell r="L54">
            <v>341</v>
          </cell>
        </row>
        <row r="55">
          <cell r="B55">
            <v>163</v>
          </cell>
          <cell r="C55">
            <v>435.92341020999999</v>
          </cell>
          <cell r="D55">
            <v>469.39683124999999</v>
          </cell>
          <cell r="E55">
            <v>431.64415748000005</v>
          </cell>
          <cell r="F55">
            <v>457.01570617000004</v>
          </cell>
          <cell r="G55">
            <v>448</v>
          </cell>
          <cell r="H55">
            <v>372.46300324999999</v>
          </cell>
          <cell r="I55">
            <v>407.13582504999999</v>
          </cell>
          <cell r="J55">
            <v>374.45029863999997</v>
          </cell>
          <cell r="K55">
            <v>389.16398299999997</v>
          </cell>
          <cell r="L55">
            <v>386</v>
          </cell>
        </row>
        <row r="56">
          <cell r="B56">
            <v>164</v>
          </cell>
          <cell r="C56">
            <v>446.77254481</v>
          </cell>
          <cell r="D56">
            <v>392.87623683999999</v>
          </cell>
          <cell r="E56">
            <v>382.57153629000004</v>
          </cell>
          <cell r="F56">
            <v>443.94325487999998</v>
          </cell>
          <cell r="G56">
            <v>417</v>
          </cell>
          <cell r="H56">
            <v>410.88876024000001</v>
          </cell>
          <cell r="I56">
            <v>358.83216633000001</v>
          </cell>
          <cell r="J56">
            <v>360.65354638000002</v>
          </cell>
          <cell r="K56">
            <v>427.32042611000003</v>
          </cell>
          <cell r="L56">
            <v>389</v>
          </cell>
        </row>
        <row r="57">
          <cell r="B57">
            <v>165</v>
          </cell>
          <cell r="C57">
            <v>736.76069787000006</v>
          </cell>
          <cell r="D57">
            <v>594.34118775000002</v>
          </cell>
          <cell r="E57">
            <v>647.79711285000008</v>
          </cell>
          <cell r="F57">
            <v>807.13303383000004</v>
          </cell>
          <cell r="G57">
            <v>697</v>
          </cell>
          <cell r="H57">
            <v>725.59799131</v>
          </cell>
          <cell r="I57">
            <v>580.25420495000003</v>
          </cell>
          <cell r="J57">
            <v>635.14511217999996</v>
          </cell>
          <cell r="K57">
            <v>789.58388396999999</v>
          </cell>
          <cell r="L57">
            <v>683</v>
          </cell>
        </row>
        <row r="58">
          <cell r="B58">
            <v>166</v>
          </cell>
          <cell r="C58">
            <v>388.27556412000001</v>
          </cell>
          <cell r="D58">
            <v>294.60659276999996</v>
          </cell>
          <cell r="E58">
            <v>268.47764257</v>
          </cell>
          <cell r="F58">
            <v>313.14752145999995</v>
          </cell>
          <cell r="G58">
            <v>316</v>
          </cell>
          <cell r="H58">
            <v>286.30958813999996</v>
          </cell>
          <cell r="I58">
            <v>230.52183561000001</v>
          </cell>
          <cell r="J58">
            <v>173.58007603999999</v>
          </cell>
          <cell r="K58">
            <v>213.06735526</v>
          </cell>
          <cell r="L58">
            <v>226</v>
          </cell>
        </row>
        <row r="59">
          <cell r="B59">
            <v>167</v>
          </cell>
          <cell r="C59">
            <v>145.34842469999998</v>
          </cell>
          <cell r="D59">
            <v>125.36514969</v>
          </cell>
          <cell r="E59">
            <v>114.86801509</v>
          </cell>
          <cell r="F59">
            <v>132.22425096999999</v>
          </cell>
          <cell r="G59">
            <v>129</v>
          </cell>
          <cell r="H59">
            <v>59.656103200000004</v>
          </cell>
          <cell r="I59">
            <v>74.793596059999999</v>
          </cell>
          <cell r="J59">
            <v>81.980039750000003</v>
          </cell>
          <cell r="K59">
            <v>87.228269150000003</v>
          </cell>
          <cell r="L59">
            <v>76</v>
          </cell>
        </row>
        <row r="60">
          <cell r="B60">
            <v>168</v>
          </cell>
          <cell r="C60">
            <v>437.82994148</v>
          </cell>
          <cell r="D60">
            <v>445.37440763999996</v>
          </cell>
          <cell r="E60">
            <v>390.81402586000002</v>
          </cell>
          <cell r="F60">
            <v>369.35825138000001</v>
          </cell>
          <cell r="G60">
            <v>411</v>
          </cell>
          <cell r="H60">
            <v>383.12260163999997</v>
          </cell>
          <cell r="I60">
            <v>392.64117169999997</v>
          </cell>
          <cell r="J60">
            <v>357.98530325999997</v>
          </cell>
          <cell r="K60">
            <v>327.52569889999995</v>
          </cell>
          <cell r="L60">
            <v>365</v>
          </cell>
        </row>
        <row r="61">
          <cell r="B61">
            <v>169</v>
          </cell>
          <cell r="C61">
            <v>235.82521777000002</v>
          </cell>
          <cell r="D61">
            <v>299.66938744999999</v>
          </cell>
          <cell r="E61">
            <v>332.67866255000001</v>
          </cell>
          <cell r="F61">
            <v>331.71850588999996</v>
          </cell>
          <cell r="G61">
            <v>300</v>
          </cell>
          <cell r="H61">
            <v>187.9937247</v>
          </cell>
          <cell r="I61">
            <v>253.74534868999999</v>
          </cell>
          <cell r="J61">
            <v>277.57476695999998</v>
          </cell>
          <cell r="K61">
            <v>274.48546076999997</v>
          </cell>
          <cell r="L61">
            <v>248</v>
          </cell>
        </row>
        <row r="62">
          <cell r="B62">
            <v>170</v>
          </cell>
          <cell r="C62">
            <v>61.521181829999996</v>
          </cell>
          <cell r="D62">
            <v>79.092090909999996</v>
          </cell>
          <cell r="E62">
            <v>90.233923349999998</v>
          </cell>
          <cell r="F62">
            <v>77.223812690000003</v>
          </cell>
          <cell r="G62">
            <v>77</v>
          </cell>
          <cell r="H62">
            <v>61.521181840000004</v>
          </cell>
          <cell r="I62">
            <v>79.092090930000012</v>
          </cell>
          <cell r="J62">
            <v>90.233923360000006</v>
          </cell>
          <cell r="K62">
            <v>77.223812699999996</v>
          </cell>
          <cell r="L62">
            <v>77</v>
          </cell>
        </row>
        <row r="63">
          <cell r="B63">
            <v>171</v>
          </cell>
          <cell r="C63">
            <v>183.15144924000001</v>
          </cell>
          <cell r="D63">
            <v>184.76783703999999</v>
          </cell>
          <cell r="E63">
            <v>194.22461527000002</v>
          </cell>
          <cell r="F63">
            <v>220.44702065000001</v>
          </cell>
          <cell r="G63">
            <v>196</v>
          </cell>
          <cell r="H63">
            <v>183.15144925999999</v>
          </cell>
          <cell r="I63">
            <v>184.76783706000001</v>
          </cell>
          <cell r="J63">
            <v>193.74307546</v>
          </cell>
          <cell r="K63">
            <v>218.02511577000001</v>
          </cell>
          <cell r="L63">
            <v>195</v>
          </cell>
        </row>
        <row r="64">
          <cell r="B64">
            <v>172</v>
          </cell>
          <cell r="C64">
            <v>23.513006649999998</v>
          </cell>
          <cell r="D64">
            <v>25.140350850000001</v>
          </cell>
          <cell r="E64">
            <v>28.465069670000002</v>
          </cell>
          <cell r="F64">
            <v>24.16659203</v>
          </cell>
          <cell r="G64">
            <v>25</v>
          </cell>
          <cell r="H64">
            <v>23.20742237</v>
          </cell>
          <cell r="I64">
            <v>25.140350859999998</v>
          </cell>
          <cell r="J64">
            <v>28.35723084</v>
          </cell>
          <cell r="K64">
            <v>24.13160036</v>
          </cell>
          <cell r="L64">
            <v>25</v>
          </cell>
        </row>
        <row r="65">
          <cell r="B65">
            <v>173</v>
          </cell>
          <cell r="C65">
            <v>136.07484241999998</v>
          </cell>
          <cell r="D65">
            <v>136.60217331999999</v>
          </cell>
          <cell r="E65">
            <v>140.28201919</v>
          </cell>
          <cell r="F65">
            <v>139.56773009</v>
          </cell>
          <cell r="G65">
            <v>138</v>
          </cell>
          <cell r="H65">
            <v>111.65688519</v>
          </cell>
          <cell r="I65">
            <v>111.385767</v>
          </cell>
          <cell r="J65">
            <v>114.84960694</v>
          </cell>
          <cell r="K65">
            <v>115.01397878</v>
          </cell>
          <cell r="L65">
            <v>113</v>
          </cell>
        </row>
        <row r="66">
          <cell r="B66">
            <v>174</v>
          </cell>
          <cell r="C66">
            <v>315.59074626</v>
          </cell>
          <cell r="D66">
            <v>306.30560714000001</v>
          </cell>
          <cell r="E66">
            <v>325.60462508999996</v>
          </cell>
          <cell r="F66">
            <v>372.50239766000004</v>
          </cell>
          <cell r="G66">
            <v>330</v>
          </cell>
          <cell r="H66">
            <v>304.12484395000001</v>
          </cell>
          <cell r="I66">
            <v>294.94364407999996</v>
          </cell>
          <cell r="J66">
            <v>311.54423825999999</v>
          </cell>
          <cell r="K66">
            <v>358.76935179000003</v>
          </cell>
          <cell r="L66">
            <v>317</v>
          </cell>
        </row>
        <row r="67">
          <cell r="B67">
            <v>175</v>
          </cell>
          <cell r="C67">
            <v>139.15254180000002</v>
          </cell>
          <cell r="D67">
            <v>134.78200980000003</v>
          </cell>
          <cell r="E67">
            <v>124.37554953</v>
          </cell>
          <cell r="F67">
            <v>107.65482828</v>
          </cell>
          <cell r="G67">
            <v>126</v>
          </cell>
          <cell r="H67">
            <v>84.830779840000005</v>
          </cell>
          <cell r="I67">
            <v>77.852982480000009</v>
          </cell>
          <cell r="J67">
            <v>64.571829460000004</v>
          </cell>
          <cell r="K67">
            <v>50.607509569999998</v>
          </cell>
          <cell r="L67">
            <v>69</v>
          </cell>
        </row>
        <row r="68">
          <cell r="B68">
            <v>176</v>
          </cell>
          <cell r="C68">
            <v>362.77440645000001</v>
          </cell>
          <cell r="D68">
            <v>466.95962512</v>
          </cell>
          <cell r="E68">
            <v>567.06736550999995</v>
          </cell>
          <cell r="F68">
            <v>656.59014688000002</v>
          </cell>
          <cell r="G68">
            <v>513</v>
          </cell>
          <cell r="H68">
            <v>306.99846233999995</v>
          </cell>
          <cell r="I68">
            <v>410.00906570999996</v>
          </cell>
          <cell r="J68">
            <v>516.69696226999997</v>
          </cell>
          <cell r="K68">
            <v>566.03566905999992</v>
          </cell>
          <cell r="L68">
            <v>450</v>
          </cell>
        </row>
        <row r="69">
          <cell r="B69">
            <v>178</v>
          </cell>
          <cell r="C69">
            <v>166.19076500999998</v>
          </cell>
          <cell r="D69">
            <v>163.50015321000001</v>
          </cell>
          <cell r="E69">
            <v>182.44253508</v>
          </cell>
          <cell r="F69">
            <v>216.12289071999999</v>
          </cell>
          <cell r="G69">
            <v>182</v>
          </cell>
          <cell r="H69">
            <v>144.07742168999999</v>
          </cell>
          <cell r="I69">
            <v>145.17999780000002</v>
          </cell>
          <cell r="J69">
            <v>163.88228734</v>
          </cell>
          <cell r="K69">
            <v>190.5579874</v>
          </cell>
          <cell r="L69">
            <v>161</v>
          </cell>
        </row>
        <row r="70">
          <cell r="B70">
            <v>179</v>
          </cell>
          <cell r="C70">
            <v>821.73784230999991</v>
          </cell>
          <cell r="D70">
            <v>886.82255865000002</v>
          </cell>
          <cell r="E70">
            <v>910.97821646</v>
          </cell>
          <cell r="F70">
            <v>937.32994707</v>
          </cell>
          <cell r="G70">
            <v>889</v>
          </cell>
          <cell r="H70">
            <v>591.27292408000005</v>
          </cell>
          <cell r="I70">
            <v>714.76500950000002</v>
          </cell>
          <cell r="J70">
            <v>728.42122540000003</v>
          </cell>
          <cell r="K70">
            <v>736.14947635999999</v>
          </cell>
          <cell r="L70">
            <v>693</v>
          </cell>
        </row>
        <row r="71">
          <cell r="B71">
            <v>180</v>
          </cell>
          <cell r="C71">
            <v>238.48577888</v>
          </cell>
          <cell r="D71">
            <v>213.44301163</v>
          </cell>
          <cell r="E71">
            <v>369.71348658999995</v>
          </cell>
          <cell r="F71">
            <v>542.91619451999998</v>
          </cell>
          <cell r="G71">
            <v>341</v>
          </cell>
          <cell r="H71">
            <v>230.79189699</v>
          </cell>
          <cell r="I71">
            <v>208.36923779</v>
          </cell>
          <cell r="J71">
            <v>366.20719030000004</v>
          </cell>
          <cell r="K71">
            <v>541.02352044000008</v>
          </cell>
          <cell r="L71">
            <v>337</v>
          </cell>
        </row>
        <row r="72">
          <cell r="B72">
            <v>181</v>
          </cell>
          <cell r="C72">
            <v>396.93530470999997</v>
          </cell>
          <cell r="D72">
            <v>391.76752283999997</v>
          </cell>
          <cell r="E72">
            <v>347.18481572000002</v>
          </cell>
          <cell r="F72">
            <v>309.76841410000003</v>
          </cell>
          <cell r="G72">
            <v>361</v>
          </cell>
          <cell r="H72">
            <v>359.40110800999997</v>
          </cell>
          <cell r="I72">
            <v>358.46179807999999</v>
          </cell>
          <cell r="J72">
            <v>315.25141449</v>
          </cell>
          <cell r="K72">
            <v>284.99669172</v>
          </cell>
          <cell r="L72">
            <v>330</v>
          </cell>
        </row>
        <row r="73">
          <cell r="B73">
            <v>182</v>
          </cell>
          <cell r="C73">
            <v>24.536679469999999</v>
          </cell>
          <cell r="D73">
            <v>32.200583829999999</v>
          </cell>
          <cell r="E73">
            <v>27.17599706</v>
          </cell>
          <cell r="F73">
            <v>25.132305429999999</v>
          </cell>
          <cell r="G73">
            <v>27</v>
          </cell>
          <cell r="H73">
            <v>22.273069289999999</v>
          </cell>
          <cell r="I73">
            <v>32.200583829999999</v>
          </cell>
          <cell r="J73">
            <v>27.17599706</v>
          </cell>
          <cell r="K73">
            <v>25.132305429999999</v>
          </cell>
          <cell r="L73">
            <v>27</v>
          </cell>
        </row>
        <row r="74">
          <cell r="B74">
            <v>183</v>
          </cell>
          <cell r="C74">
            <v>71.084902760000006</v>
          </cell>
          <cell r="D74">
            <v>62.764042279999998</v>
          </cell>
          <cell r="E74">
            <v>61.058347310000002</v>
          </cell>
          <cell r="F74">
            <v>63.735511070000001</v>
          </cell>
          <cell r="G74">
            <v>65</v>
          </cell>
          <cell r="H74">
            <v>57.983215630000004</v>
          </cell>
          <cell r="I74">
            <v>50.142784060000004</v>
          </cell>
          <cell r="J74">
            <v>49.094932110000002</v>
          </cell>
          <cell r="K74">
            <v>51.437219149999997</v>
          </cell>
          <cell r="L74">
            <v>52</v>
          </cell>
        </row>
        <row r="75">
          <cell r="B75">
            <v>185</v>
          </cell>
          <cell r="C75">
            <v>73.622728249999994</v>
          </cell>
          <cell r="D75">
            <v>79.815583590000003</v>
          </cell>
          <cell r="E75">
            <v>71.449167500000001</v>
          </cell>
          <cell r="F75">
            <v>83.514862780000001</v>
          </cell>
          <cell r="G75">
            <v>77</v>
          </cell>
          <cell r="H75">
            <v>60.28161892</v>
          </cell>
          <cell r="I75">
            <v>66.976159570000007</v>
          </cell>
          <cell r="J75">
            <v>59.774663840000002</v>
          </cell>
          <cell r="K75">
            <v>66.888703179999993</v>
          </cell>
          <cell r="L75">
            <v>63</v>
          </cell>
        </row>
        <row r="76">
          <cell r="B76">
            <v>186</v>
          </cell>
          <cell r="C76">
            <v>41.602910749999999</v>
          </cell>
          <cell r="D76">
            <v>30.167985600000002</v>
          </cell>
          <cell r="E76">
            <v>25.794213500000001</v>
          </cell>
          <cell r="F76">
            <v>28.90585884</v>
          </cell>
          <cell r="G76">
            <v>32</v>
          </cell>
          <cell r="H76">
            <v>41.60291076</v>
          </cell>
          <cell r="I76">
            <v>30.000458170000002</v>
          </cell>
          <cell r="J76">
            <v>25.794213500000001</v>
          </cell>
          <cell r="K76">
            <v>28.905858850000001</v>
          </cell>
          <cell r="L76">
            <v>32</v>
          </cell>
        </row>
        <row r="77">
          <cell r="B77">
            <v>187</v>
          </cell>
          <cell r="C77">
            <v>281.55591319000001</v>
          </cell>
          <cell r="D77">
            <v>324.03575776999998</v>
          </cell>
          <cell r="E77">
            <v>323.20869599999997</v>
          </cell>
          <cell r="F77">
            <v>247.45551399000001</v>
          </cell>
          <cell r="G77">
            <v>294</v>
          </cell>
          <cell r="H77">
            <v>198.69036396000001</v>
          </cell>
          <cell r="I77">
            <v>194.55438684999999</v>
          </cell>
          <cell r="J77">
            <v>189.09426255000002</v>
          </cell>
          <cell r="K77">
            <v>159.17708445</v>
          </cell>
          <cell r="L77">
            <v>185</v>
          </cell>
        </row>
        <row r="78">
          <cell r="B78">
            <v>189</v>
          </cell>
          <cell r="C78">
            <v>249.59371221999999</v>
          </cell>
          <cell r="D78">
            <v>250.08912350999998</v>
          </cell>
          <cell r="E78">
            <v>231.43706115999998</v>
          </cell>
          <cell r="F78">
            <v>269.18201205000003</v>
          </cell>
          <cell r="G78">
            <v>250</v>
          </cell>
          <cell r="H78">
            <v>249.59371222999999</v>
          </cell>
          <cell r="I78">
            <v>250.08912350999998</v>
          </cell>
          <cell r="J78">
            <v>231.43706118</v>
          </cell>
          <cell r="K78">
            <v>269.18201207999999</v>
          </cell>
          <cell r="L78">
            <v>250</v>
          </cell>
        </row>
        <row r="79">
          <cell r="B79">
            <v>190</v>
          </cell>
          <cell r="C79">
            <v>423.73109652999995</v>
          </cell>
          <cell r="D79">
            <v>571.85198463999996</v>
          </cell>
          <cell r="E79">
            <v>432.38619086</v>
          </cell>
          <cell r="F79">
            <v>476.21021774000002</v>
          </cell>
          <cell r="G79">
            <v>476</v>
          </cell>
          <cell r="H79">
            <v>410.48074060000005</v>
          </cell>
          <cell r="I79">
            <v>556.78248807</v>
          </cell>
          <cell r="J79">
            <v>417.13560647000003</v>
          </cell>
          <cell r="K79">
            <v>459.58110033999998</v>
          </cell>
          <cell r="L79">
            <v>461</v>
          </cell>
        </row>
        <row r="80">
          <cell r="B80">
            <v>191</v>
          </cell>
          <cell r="C80">
            <v>42.151019600000005</v>
          </cell>
          <cell r="D80">
            <v>43.89220847</v>
          </cell>
          <cell r="E80">
            <v>55.181893819999999</v>
          </cell>
          <cell r="F80">
            <v>56.757839420000003</v>
          </cell>
          <cell r="G80">
            <v>49</v>
          </cell>
          <cell r="H80">
            <v>40.107949399999995</v>
          </cell>
          <cell r="I80">
            <v>41.840407210000002</v>
          </cell>
          <cell r="J80">
            <v>53.120737850000005</v>
          </cell>
          <cell r="K80">
            <v>56.62407718</v>
          </cell>
          <cell r="L80">
            <v>48</v>
          </cell>
        </row>
        <row r="81">
          <cell r="B81">
            <v>192</v>
          </cell>
          <cell r="C81">
            <v>548.74166971</v>
          </cell>
          <cell r="D81">
            <v>546.83313894000003</v>
          </cell>
          <cell r="E81">
            <v>583.69940323000003</v>
          </cell>
          <cell r="F81">
            <v>607.60368197000003</v>
          </cell>
          <cell r="G81">
            <v>572</v>
          </cell>
          <cell r="H81">
            <v>511.66021860000001</v>
          </cell>
          <cell r="I81">
            <v>517.33436253000002</v>
          </cell>
          <cell r="J81">
            <v>561.06996962000005</v>
          </cell>
          <cell r="K81">
            <v>585.27065278999999</v>
          </cell>
          <cell r="L81">
            <v>544</v>
          </cell>
        </row>
        <row r="82">
          <cell r="B82">
            <v>193</v>
          </cell>
          <cell r="C82">
            <v>554.83226115999992</v>
          </cell>
          <cell r="D82">
            <v>475.97669648000004</v>
          </cell>
          <cell r="E82">
            <v>422.91724237</v>
          </cell>
          <cell r="F82">
            <v>381.59884649999998</v>
          </cell>
          <cell r="G82">
            <v>459</v>
          </cell>
          <cell r="H82">
            <v>469.78129101999997</v>
          </cell>
          <cell r="I82">
            <v>384.39995675</v>
          </cell>
          <cell r="J82">
            <v>336.59628203</v>
          </cell>
          <cell r="K82">
            <v>302.28870082999998</v>
          </cell>
          <cell r="L82">
            <v>373</v>
          </cell>
        </row>
        <row r="83">
          <cell r="B83">
            <v>194</v>
          </cell>
          <cell r="C83">
            <v>120.51058883</v>
          </cell>
          <cell r="D83">
            <v>104.05067948999999</v>
          </cell>
          <cell r="E83">
            <v>97.263307019999999</v>
          </cell>
          <cell r="F83">
            <v>107.89906868999999</v>
          </cell>
          <cell r="G83">
            <v>107</v>
          </cell>
          <cell r="H83">
            <v>120.51058884</v>
          </cell>
          <cell r="I83">
            <v>104.0506795</v>
          </cell>
          <cell r="J83">
            <v>97.263307030000007</v>
          </cell>
          <cell r="K83">
            <v>106.69099958</v>
          </cell>
          <cell r="L83">
            <v>107</v>
          </cell>
        </row>
        <row r="84">
          <cell r="B84">
            <v>195</v>
          </cell>
          <cell r="C84">
            <v>22.134022089999998</v>
          </cell>
          <cell r="D84">
            <v>21.572075170000002</v>
          </cell>
          <cell r="E84">
            <v>21.884620510000001</v>
          </cell>
          <cell r="F84">
            <v>18.05979177</v>
          </cell>
          <cell r="G84">
            <v>21</v>
          </cell>
          <cell r="H84">
            <v>22.134022100000003</v>
          </cell>
          <cell r="I84">
            <v>21.572075170000002</v>
          </cell>
          <cell r="J84">
            <v>21.884620510000001</v>
          </cell>
          <cell r="K84">
            <v>18.05979177</v>
          </cell>
          <cell r="L84">
            <v>21</v>
          </cell>
        </row>
        <row r="85">
          <cell r="B85">
            <v>196</v>
          </cell>
          <cell r="C85">
            <v>18.034008610000001</v>
          </cell>
          <cell r="D85">
            <v>21.79390935</v>
          </cell>
          <cell r="E85">
            <v>23.881888379999999</v>
          </cell>
          <cell r="F85">
            <v>26.721725850000002</v>
          </cell>
          <cell r="G85">
            <v>23</v>
          </cell>
          <cell r="H85">
            <v>10.55440922</v>
          </cell>
          <cell r="I85">
            <v>14.282345869999999</v>
          </cell>
          <cell r="J85">
            <v>14.269395039999999</v>
          </cell>
          <cell r="K85">
            <v>19.879271550000002</v>
          </cell>
          <cell r="L85">
            <v>15</v>
          </cell>
        </row>
        <row r="86">
          <cell r="B86">
            <v>200</v>
          </cell>
          <cell r="C86">
            <v>138.96403409000001</v>
          </cell>
          <cell r="D86">
            <v>134.11101712999999</v>
          </cell>
          <cell r="E86">
            <v>139.76848527000001</v>
          </cell>
          <cell r="F86">
            <v>148.59470630000001</v>
          </cell>
          <cell r="G86">
            <v>140</v>
          </cell>
          <cell r="H86">
            <v>138.96403409999999</v>
          </cell>
          <cell r="I86">
            <v>134.11101712999999</v>
          </cell>
          <cell r="J86">
            <v>139.76848527999999</v>
          </cell>
          <cell r="K86">
            <v>148.59470630999999</v>
          </cell>
          <cell r="L86">
            <v>140</v>
          </cell>
        </row>
        <row r="87">
          <cell r="B87">
            <v>201</v>
          </cell>
          <cell r="C87">
            <v>111.67333790000001</v>
          </cell>
          <cell r="D87">
            <v>109.21575924</v>
          </cell>
          <cell r="E87">
            <v>98.644208269999993</v>
          </cell>
          <cell r="F87">
            <v>92.515191959999996</v>
          </cell>
          <cell r="G87">
            <v>103</v>
          </cell>
          <cell r="H87">
            <v>111.67333791</v>
          </cell>
          <cell r="I87">
            <v>109.21575925</v>
          </cell>
          <cell r="J87">
            <v>98.644208280000001</v>
          </cell>
          <cell r="K87">
            <v>92.515191959999996</v>
          </cell>
          <cell r="L87">
            <v>103</v>
          </cell>
        </row>
        <row r="88">
          <cell r="B88">
            <v>211</v>
          </cell>
          <cell r="C88">
            <v>52.170490000000001</v>
          </cell>
          <cell r="D88">
            <v>32.527127520000001</v>
          </cell>
          <cell r="E88">
            <v>16.791865190000003</v>
          </cell>
          <cell r="F88">
            <v>28.467643649999999</v>
          </cell>
          <cell r="G88">
            <v>32</v>
          </cell>
          <cell r="H88">
            <v>52.170490000000001</v>
          </cell>
          <cell r="I88">
            <v>32.527127520000001</v>
          </cell>
          <cell r="J88">
            <v>16.791865190000003</v>
          </cell>
          <cell r="K88">
            <v>28.467643649999999</v>
          </cell>
          <cell r="L88">
            <v>32</v>
          </cell>
        </row>
        <row r="89">
          <cell r="B89">
            <v>220</v>
          </cell>
          <cell r="C89">
            <v>167.05460918</v>
          </cell>
          <cell r="D89">
            <v>229.49926996000002</v>
          </cell>
          <cell r="E89">
            <v>278.23914985000005</v>
          </cell>
          <cell r="F89">
            <v>302.65663369999999</v>
          </cell>
          <cell r="G89">
            <v>244</v>
          </cell>
          <cell r="H89">
            <v>167.05460919000001</v>
          </cell>
          <cell r="I89">
            <v>229.49926996000002</v>
          </cell>
          <cell r="J89">
            <v>278.23914987000001</v>
          </cell>
          <cell r="K89">
            <v>302.65663370999999</v>
          </cell>
          <cell r="L89">
            <v>244</v>
          </cell>
        </row>
        <row r="90">
          <cell r="B90">
            <v>221</v>
          </cell>
          <cell r="C90">
            <v>8.603797779999999</v>
          </cell>
          <cell r="D90">
            <v>10.56855352</v>
          </cell>
          <cell r="E90">
            <v>23.068915520000001</v>
          </cell>
          <cell r="F90">
            <v>26.199481890000001</v>
          </cell>
          <cell r="G90">
            <v>17</v>
          </cell>
          <cell r="H90">
            <v>3.8495617499999999</v>
          </cell>
          <cell r="I90">
            <v>6.1020360299999998</v>
          </cell>
          <cell r="J90">
            <v>23.068915530000002</v>
          </cell>
          <cell r="K90">
            <v>26.199481890000001</v>
          </cell>
          <cell r="L90">
            <v>15</v>
          </cell>
        </row>
        <row r="91">
          <cell r="B91">
            <v>240</v>
          </cell>
          <cell r="C91">
            <v>338.71880619999996</v>
          </cell>
          <cell r="D91">
            <v>310.35347666000001</v>
          </cell>
          <cell r="E91">
            <v>304.37356555000002</v>
          </cell>
          <cell r="F91">
            <v>260.98092367999999</v>
          </cell>
          <cell r="G91">
            <v>304</v>
          </cell>
          <cell r="H91">
            <v>228.54024280000002</v>
          </cell>
          <cell r="I91">
            <v>200.40936121999999</v>
          </cell>
          <cell r="J91">
            <v>181.83436827</v>
          </cell>
          <cell r="K91">
            <v>129.57743882</v>
          </cell>
          <cell r="L91">
            <v>185</v>
          </cell>
        </row>
        <row r="92">
          <cell r="B92">
            <v>241</v>
          </cell>
          <cell r="C92">
            <v>698.44315078</v>
          </cell>
          <cell r="D92">
            <v>616.95889021000005</v>
          </cell>
          <cell r="E92">
            <v>508.16117861999999</v>
          </cell>
          <cell r="F92">
            <v>571.72508501000004</v>
          </cell>
          <cell r="G92">
            <v>599</v>
          </cell>
          <cell r="H92">
            <v>604.17469845000005</v>
          </cell>
          <cell r="I92">
            <v>506.90800824000002</v>
          </cell>
          <cell r="J92">
            <v>452.40154242</v>
          </cell>
          <cell r="K92">
            <v>495.78684475</v>
          </cell>
          <cell r="L92">
            <v>515</v>
          </cell>
        </row>
        <row r="93">
          <cell r="B93">
            <v>242</v>
          </cell>
          <cell r="C93">
            <v>106.44731097</v>
          </cell>
          <cell r="D93">
            <v>98.626384560000005</v>
          </cell>
          <cell r="E93">
            <v>62.782280849999999</v>
          </cell>
          <cell r="F93">
            <v>59.506899130000001</v>
          </cell>
          <cell r="G93">
            <v>82</v>
          </cell>
          <cell r="H93">
            <v>106.44731097</v>
          </cell>
          <cell r="I93">
            <v>98.626384560000005</v>
          </cell>
          <cell r="J93">
            <v>62.78228086</v>
          </cell>
          <cell r="K93">
            <v>59.506899149999995</v>
          </cell>
          <cell r="L93">
            <v>82</v>
          </cell>
        </row>
        <row r="94">
          <cell r="B94">
            <v>243</v>
          </cell>
          <cell r="C94">
            <v>117.78888851000001</v>
          </cell>
          <cell r="D94">
            <v>124.44098226999999</v>
          </cell>
          <cell r="E94">
            <v>142.49202402</v>
          </cell>
          <cell r="F94">
            <v>143.04488025000001</v>
          </cell>
          <cell r="G94">
            <v>132</v>
          </cell>
          <cell r="H94">
            <v>109.57317192000001</v>
          </cell>
          <cell r="I94">
            <v>115.4270212</v>
          </cell>
          <cell r="J94">
            <v>137.09197791999998</v>
          </cell>
          <cell r="K94">
            <v>139.17078756000001</v>
          </cell>
          <cell r="L94">
            <v>125</v>
          </cell>
        </row>
        <row r="95">
          <cell r="B95">
            <v>244</v>
          </cell>
          <cell r="C95">
            <v>181.16461163</v>
          </cell>
          <cell r="D95">
            <v>152.81813056999999</v>
          </cell>
          <cell r="E95">
            <v>160.86829086</v>
          </cell>
          <cell r="F95">
            <v>131.82611151999998</v>
          </cell>
          <cell r="G95">
            <v>157</v>
          </cell>
          <cell r="H95">
            <v>176.20245444999998</v>
          </cell>
          <cell r="I95">
            <v>144.40317324</v>
          </cell>
          <cell r="J95">
            <v>136.67968941999999</v>
          </cell>
          <cell r="K95">
            <v>101.57121101</v>
          </cell>
          <cell r="L95">
            <v>140</v>
          </cell>
        </row>
        <row r="96">
          <cell r="B96">
            <v>245</v>
          </cell>
          <cell r="C96">
            <v>109.24122272</v>
          </cell>
          <cell r="D96">
            <v>114.14957253</v>
          </cell>
          <cell r="E96">
            <v>103.48154556</v>
          </cell>
          <cell r="F96">
            <v>109.88771828</v>
          </cell>
          <cell r="G96">
            <v>109</v>
          </cell>
          <cell r="H96">
            <v>106.94147073000001</v>
          </cell>
          <cell r="I96">
            <v>111.81133795999999</v>
          </cell>
          <cell r="J96">
            <v>101.53919706999999</v>
          </cell>
          <cell r="K96">
            <v>108.75073929999999</v>
          </cell>
          <cell r="L96">
            <v>107</v>
          </cell>
        </row>
        <row r="97">
          <cell r="B97">
            <v>246</v>
          </cell>
          <cell r="C97">
            <v>0</v>
          </cell>
          <cell r="D97">
            <v>0</v>
          </cell>
          <cell r="E97">
            <v>0</v>
          </cell>
          <cell r="F97">
            <v>0</v>
          </cell>
          <cell r="G97">
            <v>0</v>
          </cell>
          <cell r="H97">
            <v>0</v>
          </cell>
          <cell r="I97">
            <v>0</v>
          </cell>
          <cell r="J97">
            <v>0</v>
          </cell>
          <cell r="K97">
            <v>0</v>
          </cell>
          <cell r="L97">
            <v>0</v>
          </cell>
        </row>
        <row r="98">
          <cell r="B98">
            <v>247</v>
          </cell>
          <cell r="C98">
            <v>54.228252179999998</v>
          </cell>
          <cell r="D98">
            <v>57.69504225</v>
          </cell>
          <cell r="E98">
            <v>59.286487600000001</v>
          </cell>
          <cell r="F98">
            <v>64.750955140000002</v>
          </cell>
          <cell r="G98">
            <v>59</v>
          </cell>
          <cell r="H98">
            <v>54.228252179999998</v>
          </cell>
          <cell r="I98">
            <v>57.69504225</v>
          </cell>
          <cell r="J98">
            <v>59.286487610000002</v>
          </cell>
          <cell r="K98">
            <v>53.340413429999998</v>
          </cell>
          <cell r="L98">
            <v>56</v>
          </cell>
        </row>
        <row r="99">
          <cell r="B99">
            <v>248</v>
          </cell>
          <cell r="C99">
            <v>510.26884224999998</v>
          </cell>
          <cell r="D99">
            <v>699.26900251999996</v>
          </cell>
          <cell r="E99">
            <v>1315.17578925</v>
          </cell>
          <cell r="F99">
            <v>1256.5238826300001</v>
          </cell>
          <cell r="G99">
            <v>945</v>
          </cell>
          <cell r="H99">
            <v>417.53658447000004</v>
          </cell>
          <cell r="I99">
            <v>608.63759561999996</v>
          </cell>
          <cell r="J99">
            <v>1241.6758946</v>
          </cell>
          <cell r="K99">
            <v>1202.51148216</v>
          </cell>
          <cell r="L99">
            <v>868</v>
          </cell>
        </row>
        <row r="100">
          <cell r="B100">
            <v>249</v>
          </cell>
          <cell r="C100">
            <v>0</v>
          </cell>
          <cell r="D100">
            <v>0</v>
          </cell>
          <cell r="E100">
            <v>0</v>
          </cell>
          <cell r="F100">
            <v>0</v>
          </cell>
          <cell r="G100">
            <v>0</v>
          </cell>
          <cell r="H100">
            <v>0</v>
          </cell>
          <cell r="I100">
            <v>0</v>
          </cell>
          <cell r="J100">
            <v>0.48941762</v>
          </cell>
          <cell r="K100">
            <v>0</v>
          </cell>
          <cell r="L100">
            <v>0</v>
          </cell>
        </row>
        <row r="101">
          <cell r="B101">
            <v>250</v>
          </cell>
          <cell r="C101">
            <v>55.87604881</v>
          </cell>
          <cell r="D101">
            <v>59.053940740000002</v>
          </cell>
          <cell r="E101">
            <v>61.566024429999999</v>
          </cell>
          <cell r="F101">
            <v>57.441535549999998</v>
          </cell>
          <cell r="G101">
            <v>58</v>
          </cell>
          <cell r="H101">
            <v>49.265211860000001</v>
          </cell>
          <cell r="I101">
            <v>50.055221259999996</v>
          </cell>
          <cell r="J101">
            <v>55.403076920000004</v>
          </cell>
          <cell r="K101">
            <v>52.221629409999998</v>
          </cell>
          <cell r="L101">
            <v>52</v>
          </cell>
        </row>
        <row r="102">
          <cell r="B102">
            <v>251</v>
          </cell>
          <cell r="C102">
            <v>27.325626549999999</v>
          </cell>
          <cell r="D102">
            <v>35.194161979999997</v>
          </cell>
          <cell r="E102">
            <v>37.00325788</v>
          </cell>
          <cell r="F102">
            <v>33.654012899999998</v>
          </cell>
          <cell r="G102">
            <v>33</v>
          </cell>
          <cell r="H102">
            <v>27.32562656</v>
          </cell>
          <cell r="I102">
            <v>35.194161979999997</v>
          </cell>
          <cell r="J102">
            <v>37.00325788</v>
          </cell>
          <cell r="K102">
            <v>33.654012899999998</v>
          </cell>
          <cell r="L102">
            <v>33</v>
          </cell>
        </row>
        <row r="103">
          <cell r="B103">
            <v>252</v>
          </cell>
          <cell r="C103">
            <v>357.27571866000005</v>
          </cell>
          <cell r="D103">
            <v>203.84811899000002</v>
          </cell>
          <cell r="E103">
            <v>169.64502252</v>
          </cell>
          <cell r="F103">
            <v>232.10485263999999</v>
          </cell>
          <cell r="G103">
            <v>241</v>
          </cell>
          <cell r="H103">
            <v>357.27571867</v>
          </cell>
          <cell r="I103">
            <v>203.84811900999998</v>
          </cell>
          <cell r="J103">
            <v>169.64502253000001</v>
          </cell>
          <cell r="K103">
            <v>232.10485266000001</v>
          </cell>
          <cell r="L103">
            <v>241</v>
          </cell>
        </row>
        <row r="104">
          <cell r="B104">
            <v>260</v>
          </cell>
          <cell r="C104">
            <v>18.10476534</v>
          </cell>
          <cell r="D104">
            <v>11.88713158</v>
          </cell>
          <cell r="E104">
            <v>16.614456759999999</v>
          </cell>
          <cell r="F104">
            <v>19.012815159999999</v>
          </cell>
          <cell r="G104">
            <v>16</v>
          </cell>
          <cell r="H104">
            <v>18.10476534</v>
          </cell>
          <cell r="I104">
            <v>11.88713158</v>
          </cell>
          <cell r="J104">
            <v>16.614456759999999</v>
          </cell>
          <cell r="K104">
            <v>19.012815159999999</v>
          </cell>
          <cell r="L104">
            <v>16</v>
          </cell>
        </row>
        <row r="105">
          <cell r="B105">
            <v>261</v>
          </cell>
          <cell r="C105">
            <v>0</v>
          </cell>
          <cell r="D105">
            <v>0</v>
          </cell>
          <cell r="E105">
            <v>0</v>
          </cell>
          <cell r="F105">
            <v>0</v>
          </cell>
          <cell r="G105">
            <v>0</v>
          </cell>
          <cell r="H105">
            <v>0</v>
          </cell>
          <cell r="I105">
            <v>0</v>
          </cell>
          <cell r="J105">
            <v>0</v>
          </cell>
          <cell r="K105">
            <v>0</v>
          </cell>
          <cell r="L105">
            <v>0</v>
          </cell>
        </row>
        <row r="106">
          <cell r="B106">
            <v>262</v>
          </cell>
          <cell r="C106">
            <v>0</v>
          </cell>
          <cell r="D106">
            <v>0</v>
          </cell>
          <cell r="E106">
            <v>0</v>
          </cell>
          <cell r="F106">
            <v>0</v>
          </cell>
          <cell r="G106">
            <v>0</v>
          </cell>
          <cell r="H106">
            <v>0</v>
          </cell>
          <cell r="I106">
            <v>0</v>
          </cell>
          <cell r="J106">
            <v>0</v>
          </cell>
          <cell r="K106">
            <v>0</v>
          </cell>
          <cell r="L106">
            <v>0</v>
          </cell>
        </row>
        <row r="107">
          <cell r="B107">
            <v>300</v>
          </cell>
          <cell r="C107">
            <v>206.18730558999999</v>
          </cell>
          <cell r="D107">
            <v>78.977749119999999</v>
          </cell>
          <cell r="E107">
            <v>35.401330539999996</v>
          </cell>
          <cell r="F107">
            <v>33.401738530000003</v>
          </cell>
          <cell r="G107">
            <v>88</v>
          </cell>
          <cell r="H107">
            <v>179.59661138999999</v>
          </cell>
          <cell r="I107">
            <v>76.76597326000001</v>
          </cell>
          <cell r="J107">
            <v>34.993229140000004</v>
          </cell>
          <cell r="K107">
            <v>32.834944200000002</v>
          </cell>
          <cell r="L107">
            <v>81</v>
          </cell>
        </row>
        <row r="108">
          <cell r="B108">
            <v>301</v>
          </cell>
          <cell r="C108">
            <v>32.631065249999999</v>
          </cell>
          <cell r="D108">
            <v>68.708417819999994</v>
          </cell>
          <cell r="E108">
            <v>83.589840390000006</v>
          </cell>
          <cell r="F108">
            <v>90.864957660000002</v>
          </cell>
          <cell r="G108">
            <v>69</v>
          </cell>
          <cell r="H108">
            <v>32.631065249999999</v>
          </cell>
          <cell r="I108">
            <v>68.430230590000008</v>
          </cell>
          <cell r="J108">
            <v>82.364985510000011</v>
          </cell>
          <cell r="K108">
            <v>89.631616340000008</v>
          </cell>
          <cell r="L108">
            <v>68</v>
          </cell>
        </row>
        <row r="109">
          <cell r="B109">
            <v>302</v>
          </cell>
          <cell r="C109">
            <v>376.05348377999997</v>
          </cell>
          <cell r="D109">
            <v>449.69910473000004</v>
          </cell>
          <cell r="E109">
            <v>584.9665094400001</v>
          </cell>
          <cell r="F109">
            <v>621.12420585000007</v>
          </cell>
          <cell r="G109">
            <v>508</v>
          </cell>
          <cell r="H109">
            <v>313.65526903</v>
          </cell>
          <cell r="I109">
            <v>401.70678213999997</v>
          </cell>
          <cell r="J109">
            <v>546.70325764999995</v>
          </cell>
          <cell r="K109">
            <v>618.79497804999994</v>
          </cell>
          <cell r="L109">
            <v>470</v>
          </cell>
        </row>
        <row r="110">
          <cell r="B110">
            <v>310</v>
          </cell>
          <cell r="C110">
            <v>8.7193496600000007</v>
          </cell>
          <cell r="D110">
            <v>16.609955729999999</v>
          </cell>
          <cell r="E110">
            <v>33.86746831</v>
          </cell>
          <cell r="F110">
            <v>34.158399289999998</v>
          </cell>
          <cell r="G110">
            <v>23</v>
          </cell>
          <cell r="H110">
            <v>8.7193496600000007</v>
          </cell>
          <cell r="I110">
            <v>16.609955729999999</v>
          </cell>
          <cell r="J110">
            <v>33.86746832</v>
          </cell>
          <cell r="K110">
            <v>34.158399289999998</v>
          </cell>
          <cell r="L110">
            <v>23</v>
          </cell>
        </row>
        <row r="111">
          <cell r="B111">
            <v>320</v>
          </cell>
          <cell r="C111">
            <v>148.71515834000002</v>
          </cell>
          <cell r="D111">
            <v>113.89770383</v>
          </cell>
          <cell r="E111">
            <v>108.00008804000001</v>
          </cell>
          <cell r="F111">
            <v>195.42067975999998</v>
          </cell>
          <cell r="G111">
            <v>142</v>
          </cell>
          <cell r="H111">
            <v>148.71515835</v>
          </cell>
          <cell r="I111">
            <v>113.89770385</v>
          </cell>
          <cell r="J111">
            <v>108.00008806</v>
          </cell>
          <cell r="K111">
            <v>195.42067978</v>
          </cell>
          <cell r="L111">
            <v>142</v>
          </cell>
        </row>
        <row r="112">
          <cell r="B112">
            <v>321</v>
          </cell>
          <cell r="C112">
            <v>41.11996019</v>
          </cell>
          <cell r="D112">
            <v>39.564907329999997</v>
          </cell>
          <cell r="E112">
            <v>38.380600780000002</v>
          </cell>
          <cell r="F112">
            <v>41.227407979999995</v>
          </cell>
          <cell r="G112">
            <v>40</v>
          </cell>
          <cell r="H112">
            <v>41.11996019</v>
          </cell>
          <cell r="I112">
            <v>39.564907329999997</v>
          </cell>
          <cell r="J112">
            <v>38.380600780000002</v>
          </cell>
          <cell r="K112">
            <v>41.227407990000003</v>
          </cell>
          <cell r="L112">
            <v>40</v>
          </cell>
        </row>
        <row r="113">
          <cell r="B113">
            <v>322</v>
          </cell>
          <cell r="C113">
            <v>79.305016749999993</v>
          </cell>
          <cell r="D113">
            <v>55.29397144</v>
          </cell>
          <cell r="E113">
            <v>55.855153680000001</v>
          </cell>
          <cell r="F113">
            <v>56.023068409999993</v>
          </cell>
          <cell r="G113">
            <v>62</v>
          </cell>
          <cell r="H113">
            <v>79.305016760000001</v>
          </cell>
          <cell r="I113">
            <v>55.293971450000001</v>
          </cell>
          <cell r="J113">
            <v>55.855153689999995</v>
          </cell>
          <cell r="K113">
            <v>56.023068430000002</v>
          </cell>
          <cell r="L113">
            <v>62</v>
          </cell>
        </row>
        <row r="114">
          <cell r="B114">
            <v>323</v>
          </cell>
          <cell r="C114">
            <v>249.28364327</v>
          </cell>
          <cell r="D114">
            <v>312.77156452999998</v>
          </cell>
          <cell r="E114">
            <v>250.40962016</v>
          </cell>
          <cell r="F114">
            <v>238.93206469999998</v>
          </cell>
          <cell r="G114">
            <v>263</v>
          </cell>
          <cell r="H114">
            <v>249.28364328999999</v>
          </cell>
          <cell r="I114">
            <v>312.77156454999999</v>
          </cell>
          <cell r="J114">
            <v>247.38003706999999</v>
          </cell>
          <cell r="K114">
            <v>230.62081472</v>
          </cell>
          <cell r="L114">
            <v>260</v>
          </cell>
        </row>
        <row r="115">
          <cell r="B115">
            <v>351</v>
          </cell>
          <cell r="C115">
            <v>55.945869180000003</v>
          </cell>
          <cell r="D115">
            <v>54.087507080000002</v>
          </cell>
          <cell r="E115">
            <v>60.580249760000001</v>
          </cell>
          <cell r="F115">
            <v>54.237628149999999</v>
          </cell>
          <cell r="G115">
            <v>56</v>
          </cell>
          <cell r="H115">
            <v>55.945869180000003</v>
          </cell>
          <cell r="I115">
            <v>54.087507090000003</v>
          </cell>
          <cell r="J115">
            <v>60.580249770000002</v>
          </cell>
          <cell r="K115">
            <v>54.237628170000001</v>
          </cell>
          <cell r="L115">
            <v>56</v>
          </cell>
        </row>
        <row r="116">
          <cell r="B116">
            <v>400</v>
          </cell>
          <cell r="C116">
            <v>337.17294937999998</v>
          </cell>
          <cell r="D116">
            <v>312.10434643999997</v>
          </cell>
          <cell r="E116">
            <v>303.52304499000002</v>
          </cell>
          <cell r="F116">
            <v>362.92296883</v>
          </cell>
          <cell r="G116">
            <v>329</v>
          </cell>
          <cell r="H116">
            <v>282.76936547000003</v>
          </cell>
          <cell r="I116">
            <v>236.08681652000001</v>
          </cell>
          <cell r="J116">
            <v>215.04287199000001</v>
          </cell>
          <cell r="K116">
            <v>268.84498060000004</v>
          </cell>
          <cell r="L116">
            <v>251</v>
          </cell>
        </row>
        <row r="117">
          <cell r="B117">
            <v>401</v>
          </cell>
          <cell r="C117">
            <v>44.147378369999998</v>
          </cell>
          <cell r="D117">
            <v>27.370717710000001</v>
          </cell>
          <cell r="E117">
            <v>22.822088340000001</v>
          </cell>
          <cell r="F117">
            <v>33.167636129999998</v>
          </cell>
          <cell r="G117">
            <v>32</v>
          </cell>
          <cell r="H117">
            <v>44.147378379999999</v>
          </cell>
          <cell r="I117">
            <v>27.370717719999998</v>
          </cell>
          <cell r="J117">
            <v>22.822088340000001</v>
          </cell>
          <cell r="K117">
            <v>33.167636139999999</v>
          </cell>
          <cell r="L117">
            <v>32</v>
          </cell>
        </row>
        <row r="118">
          <cell r="B118">
            <v>402</v>
          </cell>
          <cell r="C118">
            <v>93.62544183</v>
          </cell>
          <cell r="D118">
            <v>87.632755169999996</v>
          </cell>
          <cell r="E118">
            <v>86.878927629999993</v>
          </cell>
          <cell r="F118">
            <v>102.15344665000001</v>
          </cell>
          <cell r="G118">
            <v>93</v>
          </cell>
          <cell r="H118">
            <v>93.62544183</v>
          </cell>
          <cell r="I118">
            <v>87.632755180000004</v>
          </cell>
          <cell r="J118">
            <v>86.878927629999993</v>
          </cell>
          <cell r="K118">
            <v>102.15344666</v>
          </cell>
          <cell r="L118">
            <v>93</v>
          </cell>
        </row>
        <row r="119">
          <cell r="B119">
            <v>403</v>
          </cell>
          <cell r="C119">
            <v>137.32824600000001</v>
          </cell>
          <cell r="D119">
            <v>145.91414528000001</v>
          </cell>
          <cell r="E119">
            <v>140.33099397999999</v>
          </cell>
          <cell r="F119">
            <v>136.66291011000001</v>
          </cell>
          <cell r="G119">
            <v>140</v>
          </cell>
          <cell r="H119">
            <v>77.690245379999993</v>
          </cell>
          <cell r="I119">
            <v>80.557087540000012</v>
          </cell>
          <cell r="J119">
            <v>77.147293610000006</v>
          </cell>
          <cell r="K119">
            <v>74.1589168</v>
          </cell>
          <cell r="L119">
            <v>77</v>
          </cell>
        </row>
        <row r="120">
          <cell r="B120">
            <v>420</v>
          </cell>
          <cell r="C120">
            <v>434.91521562999998</v>
          </cell>
          <cell r="D120">
            <v>445.48312476000001</v>
          </cell>
          <cell r="E120">
            <v>422.42197680999999</v>
          </cell>
          <cell r="F120">
            <v>459.94793687999999</v>
          </cell>
          <cell r="G120">
            <v>441</v>
          </cell>
          <cell r="H120">
            <v>390.25626405999998</v>
          </cell>
          <cell r="I120">
            <v>403.46388204000004</v>
          </cell>
          <cell r="J120">
            <v>380.20414212999998</v>
          </cell>
          <cell r="K120">
            <v>415.65376269000001</v>
          </cell>
          <cell r="L120">
            <v>397</v>
          </cell>
        </row>
        <row r="121">
          <cell r="B121">
            <v>421</v>
          </cell>
          <cell r="C121">
            <v>122.18898595</v>
          </cell>
          <cell r="D121">
            <v>154.04631749000001</v>
          </cell>
          <cell r="E121">
            <v>163.38673304</v>
          </cell>
          <cell r="F121">
            <v>161.69971344999999</v>
          </cell>
          <cell r="G121">
            <v>150</v>
          </cell>
          <cell r="H121">
            <v>119.32499767</v>
          </cell>
          <cell r="I121">
            <v>153.08842315000001</v>
          </cell>
          <cell r="J121">
            <v>161.67557294999997</v>
          </cell>
          <cell r="K121">
            <v>160.53241437</v>
          </cell>
          <cell r="L121">
            <v>149</v>
          </cell>
        </row>
        <row r="122">
          <cell r="B122">
            <v>422</v>
          </cell>
          <cell r="C122">
            <v>53.585537930000001</v>
          </cell>
          <cell r="D122">
            <v>146.44475316</v>
          </cell>
          <cell r="E122">
            <v>174.12186299000001</v>
          </cell>
          <cell r="F122">
            <v>99.057991900000005</v>
          </cell>
          <cell r="G122">
            <v>118</v>
          </cell>
          <cell r="H122">
            <v>53.585537950000003</v>
          </cell>
          <cell r="I122">
            <v>146.44475316999998</v>
          </cell>
          <cell r="J122">
            <v>173.89624189</v>
          </cell>
          <cell r="K122">
            <v>98.63570562000001</v>
          </cell>
          <cell r="L122">
            <v>118</v>
          </cell>
        </row>
        <row r="123">
          <cell r="B123">
            <v>423</v>
          </cell>
          <cell r="C123">
            <v>283.84869277999996</v>
          </cell>
          <cell r="D123">
            <v>274.28270531999999</v>
          </cell>
          <cell r="E123">
            <v>265.90947918000001</v>
          </cell>
          <cell r="F123">
            <v>278.70154048000001</v>
          </cell>
          <cell r="G123">
            <v>276</v>
          </cell>
          <cell r="H123">
            <v>269.20680899000001</v>
          </cell>
          <cell r="I123">
            <v>258.70961469999997</v>
          </cell>
          <cell r="J123">
            <v>258.40782983999998</v>
          </cell>
          <cell r="K123">
            <v>268.63890999</v>
          </cell>
          <cell r="L123">
            <v>264</v>
          </cell>
        </row>
        <row r="124">
          <cell r="B124">
            <v>424</v>
          </cell>
          <cell r="C124">
            <v>139.86050496000001</v>
          </cell>
          <cell r="D124">
            <v>142.72896942</v>
          </cell>
          <cell r="E124">
            <v>135.56601552999999</v>
          </cell>
          <cell r="F124">
            <v>94.16078284000001</v>
          </cell>
          <cell r="G124">
            <v>128</v>
          </cell>
          <cell r="H124">
            <v>131.06145990000002</v>
          </cell>
          <cell r="I124">
            <v>132.67691629999999</v>
          </cell>
          <cell r="J124">
            <v>124.94257559</v>
          </cell>
          <cell r="K124">
            <v>81.745660360000002</v>
          </cell>
          <cell r="L124">
            <v>118</v>
          </cell>
        </row>
        <row r="125">
          <cell r="B125">
            <v>425</v>
          </cell>
          <cell r="C125">
            <v>83.136463269999993</v>
          </cell>
          <cell r="D125">
            <v>92.098003169999998</v>
          </cell>
          <cell r="E125">
            <v>93.692982279999995</v>
          </cell>
          <cell r="F125">
            <v>90.786823580000004</v>
          </cell>
          <cell r="G125">
            <v>90</v>
          </cell>
          <cell r="H125">
            <v>72.766122799999991</v>
          </cell>
          <cell r="I125">
            <v>79.297944010000009</v>
          </cell>
          <cell r="J125">
            <v>80.536726150000007</v>
          </cell>
          <cell r="K125">
            <v>85.778190069999994</v>
          </cell>
          <cell r="L125">
            <v>80</v>
          </cell>
        </row>
        <row r="126">
          <cell r="B126">
            <v>426</v>
          </cell>
          <cell r="C126">
            <v>126.02678795999999</v>
          </cell>
          <cell r="D126">
            <v>125.17225436</v>
          </cell>
          <cell r="E126">
            <v>125.61340578000001</v>
          </cell>
          <cell r="F126">
            <v>102.72568996</v>
          </cell>
          <cell r="G126">
            <v>120</v>
          </cell>
          <cell r="H126">
            <v>57.834181639999997</v>
          </cell>
          <cell r="I126">
            <v>70.469849109999998</v>
          </cell>
          <cell r="J126">
            <v>80.974735290000012</v>
          </cell>
          <cell r="K126">
            <v>74.202645879999992</v>
          </cell>
          <cell r="L126">
            <v>71</v>
          </cell>
        </row>
        <row r="127">
          <cell r="B127">
            <v>427</v>
          </cell>
          <cell r="C127">
            <v>163.13421443000001</v>
          </cell>
          <cell r="D127">
            <v>155.57272028</v>
          </cell>
          <cell r="E127">
            <v>145.72649765</v>
          </cell>
          <cell r="F127">
            <v>134.24376418</v>
          </cell>
          <cell r="G127">
            <v>150</v>
          </cell>
          <cell r="H127">
            <v>113.33056071999999</v>
          </cell>
          <cell r="I127">
            <v>108.98115137000001</v>
          </cell>
          <cell r="J127">
            <v>109.35732418000001</v>
          </cell>
          <cell r="K127">
            <v>106.76714637000001</v>
          </cell>
          <cell r="L127">
            <v>110</v>
          </cell>
        </row>
        <row r="128">
          <cell r="B128">
            <v>429</v>
          </cell>
          <cell r="C128">
            <v>41.139606049999998</v>
          </cell>
          <cell r="D128">
            <v>30.09538955</v>
          </cell>
          <cell r="E128">
            <v>33.335605909999998</v>
          </cell>
          <cell r="F128">
            <v>39.843732229999993</v>
          </cell>
          <cell r="G128">
            <v>36</v>
          </cell>
          <cell r="H128">
            <v>41.139606049999998</v>
          </cell>
          <cell r="I128">
            <v>30.095389559999997</v>
          </cell>
          <cell r="J128">
            <v>33.335605919999999</v>
          </cell>
          <cell r="K128">
            <v>39.843732229999993</v>
          </cell>
          <cell r="L128">
            <v>36</v>
          </cell>
        </row>
        <row r="129">
          <cell r="B129">
            <v>430</v>
          </cell>
          <cell r="C129">
            <v>97.255551130000001</v>
          </cell>
          <cell r="D129">
            <v>111.22133415</v>
          </cell>
          <cell r="E129">
            <v>116.78973479000001</v>
          </cell>
          <cell r="F129">
            <v>97.83601062000001</v>
          </cell>
          <cell r="G129">
            <v>106</v>
          </cell>
          <cell r="H129">
            <v>91.396528529999998</v>
          </cell>
          <cell r="I129">
            <v>97.495734400000003</v>
          </cell>
          <cell r="J129">
            <v>91.363091680000011</v>
          </cell>
          <cell r="K129">
            <v>70.293004980000006</v>
          </cell>
          <cell r="L129">
            <v>88</v>
          </cell>
        </row>
        <row r="130">
          <cell r="B130">
            <v>451</v>
          </cell>
          <cell r="C130">
            <v>265.37544206000001</v>
          </cell>
          <cell r="D130">
            <v>249.12727140999999</v>
          </cell>
          <cell r="E130">
            <v>267.84634921999998</v>
          </cell>
          <cell r="F130">
            <v>264.49205104999999</v>
          </cell>
          <cell r="G130">
            <v>262</v>
          </cell>
          <cell r="H130">
            <v>206.42153018000002</v>
          </cell>
          <cell r="I130">
            <v>188.95763989</v>
          </cell>
          <cell r="J130">
            <v>215.32787490999999</v>
          </cell>
          <cell r="K130">
            <v>213.50954368000001</v>
          </cell>
          <cell r="L130">
            <v>206</v>
          </cell>
        </row>
        <row r="131">
          <cell r="B131">
            <v>500</v>
          </cell>
          <cell r="C131">
            <v>3.6336150299999996</v>
          </cell>
          <cell r="D131">
            <v>2.6664153700000002</v>
          </cell>
          <cell r="E131">
            <v>5.2898041900000008</v>
          </cell>
          <cell r="F131">
            <v>18.800670409999999</v>
          </cell>
          <cell r="G131">
            <v>8</v>
          </cell>
          <cell r="H131">
            <v>3.5251902500000001</v>
          </cell>
          <cell r="I131">
            <v>2.6395979199999999</v>
          </cell>
          <cell r="J131">
            <v>2.8309836800000001</v>
          </cell>
          <cell r="K131">
            <v>15.200633529999999</v>
          </cell>
          <cell r="L131">
            <v>6</v>
          </cell>
        </row>
        <row r="132">
          <cell r="B132">
            <v>501</v>
          </cell>
          <cell r="C132">
            <v>227.66212338</v>
          </cell>
          <cell r="D132">
            <v>220.98662961000002</v>
          </cell>
          <cell r="E132">
            <v>176.17277146000001</v>
          </cell>
          <cell r="F132">
            <v>155.58951725999998</v>
          </cell>
          <cell r="G132">
            <v>195</v>
          </cell>
          <cell r="H132">
            <v>209.98303772</v>
          </cell>
          <cell r="I132">
            <v>199.98447178999999</v>
          </cell>
          <cell r="J132">
            <v>163.05920700999999</v>
          </cell>
          <cell r="K132">
            <v>138.01450513</v>
          </cell>
          <cell r="L132">
            <v>178</v>
          </cell>
        </row>
        <row r="133">
          <cell r="B133">
            <v>520</v>
          </cell>
          <cell r="C133">
            <v>341.58265179</v>
          </cell>
          <cell r="D133">
            <v>403.46362045000001</v>
          </cell>
          <cell r="E133">
            <v>468.12787014999998</v>
          </cell>
          <cell r="F133">
            <v>505.63192298000001</v>
          </cell>
          <cell r="G133">
            <v>430</v>
          </cell>
          <cell r="H133">
            <v>324.76545944999998</v>
          </cell>
          <cell r="I133">
            <v>379.45940474999998</v>
          </cell>
          <cell r="J133">
            <v>441.32946375</v>
          </cell>
          <cell r="K133">
            <v>496.31752041999999</v>
          </cell>
          <cell r="L133">
            <v>410</v>
          </cell>
        </row>
        <row r="134">
          <cell r="B134">
            <v>521</v>
          </cell>
          <cell r="C134">
            <v>351.01383867000004</v>
          </cell>
          <cell r="D134">
            <v>356.6213674</v>
          </cell>
          <cell r="E134">
            <v>390.43278429000003</v>
          </cell>
          <cell r="F134">
            <v>350.87750273</v>
          </cell>
          <cell r="G134">
            <v>362</v>
          </cell>
          <cell r="H134">
            <v>313.55814738999999</v>
          </cell>
          <cell r="I134">
            <v>304.11804060000003</v>
          </cell>
          <cell r="J134">
            <v>349.64996574999998</v>
          </cell>
          <cell r="K134">
            <v>319.44381933999995</v>
          </cell>
          <cell r="L134">
            <v>322</v>
          </cell>
        </row>
        <row r="135">
          <cell r="B135">
            <v>522</v>
          </cell>
          <cell r="C135">
            <v>1074.3809285899999</v>
          </cell>
          <cell r="D135">
            <v>1044.4992906100001</v>
          </cell>
          <cell r="E135">
            <v>1136.2171179300001</v>
          </cell>
          <cell r="F135">
            <v>1191.77156352</v>
          </cell>
          <cell r="G135">
            <v>1112</v>
          </cell>
          <cell r="H135">
            <v>857.61023236000005</v>
          </cell>
          <cell r="I135">
            <v>849.86830498999996</v>
          </cell>
          <cell r="J135">
            <v>929.47657727000001</v>
          </cell>
          <cell r="K135">
            <v>988.80093121000004</v>
          </cell>
          <cell r="L135">
            <v>906</v>
          </cell>
        </row>
        <row r="136">
          <cell r="B136">
            <v>523</v>
          </cell>
          <cell r="C136">
            <v>158.80783363999998</v>
          </cell>
          <cell r="D136">
            <v>161.66139424000002</v>
          </cell>
          <cell r="E136">
            <v>126.57005896</v>
          </cell>
          <cell r="F136">
            <v>130.88931669999999</v>
          </cell>
          <cell r="G136">
            <v>144</v>
          </cell>
          <cell r="H136">
            <v>142.21697981</v>
          </cell>
          <cell r="I136">
            <v>145.74836962000001</v>
          </cell>
          <cell r="J136">
            <v>104.30203053</v>
          </cell>
          <cell r="K136">
            <v>110.74597308</v>
          </cell>
          <cell r="L136">
            <v>126</v>
          </cell>
        </row>
        <row r="137">
          <cell r="B137">
            <v>524</v>
          </cell>
          <cell r="C137">
            <v>87.680360579999999</v>
          </cell>
          <cell r="D137">
            <v>94.736992659999999</v>
          </cell>
          <cell r="E137">
            <v>103.08827665999999</v>
          </cell>
          <cell r="F137">
            <v>94.173817270000001</v>
          </cell>
          <cell r="G137">
            <v>95</v>
          </cell>
          <cell r="H137">
            <v>87.680360590000006</v>
          </cell>
          <cell r="I137">
            <v>91.642164349999987</v>
          </cell>
          <cell r="J137">
            <v>96.916882889999997</v>
          </cell>
          <cell r="K137">
            <v>84.577785340000005</v>
          </cell>
          <cell r="L137">
            <v>90</v>
          </cell>
        </row>
        <row r="138">
          <cell r="B138">
            <v>540</v>
          </cell>
          <cell r="C138">
            <v>67.653792120000006</v>
          </cell>
          <cell r="D138">
            <v>75.424577499999998</v>
          </cell>
          <cell r="E138">
            <v>61.48040881</v>
          </cell>
          <cell r="F138">
            <v>120.39117834000001</v>
          </cell>
          <cell r="G138">
            <v>81</v>
          </cell>
          <cell r="H138">
            <v>44.981221520000005</v>
          </cell>
          <cell r="I138">
            <v>49.877176110000001</v>
          </cell>
          <cell r="J138">
            <v>45.975629259999998</v>
          </cell>
          <cell r="K138">
            <v>102.13178895999999</v>
          </cell>
          <cell r="L138">
            <v>61</v>
          </cell>
        </row>
        <row r="139">
          <cell r="B139">
            <v>541</v>
          </cell>
          <cell r="C139">
            <v>133.63728288999999</v>
          </cell>
          <cell r="D139">
            <v>134.23772219</v>
          </cell>
          <cell r="E139">
            <v>147.27665855000001</v>
          </cell>
          <cell r="F139">
            <v>168.33962939</v>
          </cell>
          <cell r="G139">
            <v>146</v>
          </cell>
          <cell r="H139">
            <v>133.6372829</v>
          </cell>
          <cell r="I139">
            <v>134.23772219</v>
          </cell>
          <cell r="J139">
            <v>147.27665855000001</v>
          </cell>
          <cell r="K139">
            <v>168.33962939</v>
          </cell>
          <cell r="L139">
            <v>146</v>
          </cell>
        </row>
        <row r="140">
          <cell r="B140">
            <v>542</v>
          </cell>
          <cell r="C140">
            <v>1.0540529999999999</v>
          </cell>
          <cell r="D140">
            <v>1.0585575</v>
          </cell>
          <cell r="E140">
            <v>1.0633837500000001</v>
          </cell>
          <cell r="F140">
            <v>1.0696578700000001</v>
          </cell>
          <cell r="G140">
            <v>1</v>
          </cell>
          <cell r="H140">
            <v>1.0540529999999999</v>
          </cell>
          <cell r="I140">
            <v>1.0585575</v>
          </cell>
          <cell r="J140">
            <v>1.0633837500000001</v>
          </cell>
          <cell r="K140">
            <v>1.0696578700000001</v>
          </cell>
          <cell r="L140">
            <v>1</v>
          </cell>
        </row>
        <row r="141">
          <cell r="B141">
            <v>543</v>
          </cell>
          <cell r="C141">
            <v>7.0649026299999997</v>
          </cell>
          <cell r="D141">
            <v>8.22446564</v>
          </cell>
          <cell r="E141">
            <v>6.2726979699999994</v>
          </cell>
          <cell r="F141">
            <v>5.7195935899999997</v>
          </cell>
          <cell r="G141">
            <v>7</v>
          </cell>
          <cell r="H141">
            <v>7.0649026299999997</v>
          </cell>
          <cell r="I141">
            <v>8.22446564</v>
          </cell>
          <cell r="J141">
            <v>6.2726979699999994</v>
          </cell>
          <cell r="K141">
            <v>5.7195935899999997</v>
          </cell>
          <cell r="L141">
            <v>7</v>
          </cell>
        </row>
        <row r="142">
          <cell r="B142">
            <v>600</v>
          </cell>
          <cell r="C142">
            <v>153.10280015000001</v>
          </cell>
          <cell r="D142">
            <v>150.59871153999998</v>
          </cell>
          <cell r="E142">
            <v>93.028355500000004</v>
          </cell>
          <cell r="F142">
            <v>96.593402870000006</v>
          </cell>
          <cell r="G142">
            <v>123</v>
          </cell>
          <cell r="H142">
            <v>123.95116051000001</v>
          </cell>
          <cell r="I142">
            <v>120.74119334999999</v>
          </cell>
          <cell r="J142">
            <v>79.722783450000009</v>
          </cell>
          <cell r="K142">
            <v>96.593402890000007</v>
          </cell>
          <cell r="L142">
            <v>105</v>
          </cell>
        </row>
        <row r="143">
          <cell r="B143">
            <v>601</v>
          </cell>
          <cell r="C143">
            <v>42.427883479999998</v>
          </cell>
          <cell r="D143">
            <v>42.672400060000001</v>
          </cell>
          <cell r="E143">
            <v>46.865787450000006</v>
          </cell>
          <cell r="F143">
            <v>52.104543169999999</v>
          </cell>
          <cell r="G143">
            <v>46</v>
          </cell>
          <cell r="H143">
            <v>31.849912079999999</v>
          </cell>
          <cell r="I143">
            <v>33.350119920000004</v>
          </cell>
          <cell r="J143">
            <v>42.31898691</v>
          </cell>
          <cell r="K143">
            <v>46.623646479999998</v>
          </cell>
          <cell r="L143">
            <v>39</v>
          </cell>
        </row>
        <row r="144">
          <cell r="B144">
            <v>602</v>
          </cell>
          <cell r="C144">
            <v>10.755004529999999</v>
          </cell>
          <cell r="D144">
            <v>9.9891915600000001</v>
          </cell>
          <cell r="E144">
            <v>8.2303598700000009</v>
          </cell>
          <cell r="F144">
            <v>18.156771670000001</v>
          </cell>
          <cell r="G144">
            <v>12</v>
          </cell>
          <cell r="H144">
            <v>10.75500454</v>
          </cell>
          <cell r="I144">
            <v>8.8581968199999999</v>
          </cell>
          <cell r="J144">
            <v>7.0563366199999997</v>
          </cell>
          <cell r="K144">
            <v>18.04248634</v>
          </cell>
          <cell r="L144">
            <v>11</v>
          </cell>
        </row>
        <row r="145">
          <cell r="B145">
            <v>620</v>
          </cell>
          <cell r="C145">
            <v>132.61078401</v>
          </cell>
          <cell r="D145">
            <v>149.14536172999999</v>
          </cell>
          <cell r="E145">
            <v>138.16350861000001</v>
          </cell>
          <cell r="F145">
            <v>101.90959599999999</v>
          </cell>
          <cell r="G145">
            <v>130</v>
          </cell>
          <cell r="H145">
            <v>132.61078401</v>
          </cell>
          <cell r="I145">
            <v>149.14536174</v>
          </cell>
          <cell r="J145">
            <v>138.16350861000001</v>
          </cell>
          <cell r="K145">
            <v>101.90959599999999</v>
          </cell>
          <cell r="L145">
            <v>130</v>
          </cell>
        </row>
        <row r="146">
          <cell r="B146">
            <v>621</v>
          </cell>
          <cell r="C146">
            <v>395.38415507000002</v>
          </cell>
          <cell r="D146">
            <v>385.62473267000001</v>
          </cell>
          <cell r="E146">
            <v>475.39067329</v>
          </cell>
          <cell r="F146">
            <v>579.02914640999995</v>
          </cell>
          <cell r="G146">
            <v>459</v>
          </cell>
          <cell r="H146">
            <v>138.89131172</v>
          </cell>
          <cell r="I146">
            <v>149.14518093999999</v>
          </cell>
          <cell r="J146">
            <v>141.37380403</v>
          </cell>
          <cell r="K146">
            <v>145.20749465</v>
          </cell>
          <cell r="L146">
            <v>144</v>
          </cell>
        </row>
        <row r="147">
          <cell r="B147">
            <v>622</v>
          </cell>
          <cell r="C147">
            <v>257.74083149000001</v>
          </cell>
          <cell r="D147">
            <v>361.02834618000003</v>
          </cell>
          <cell r="E147">
            <v>165.84219508999999</v>
          </cell>
          <cell r="F147">
            <v>168.78964984000001</v>
          </cell>
          <cell r="G147">
            <v>238</v>
          </cell>
          <cell r="H147">
            <v>243.26325912999999</v>
          </cell>
          <cell r="I147">
            <v>348.54662514999995</v>
          </cell>
          <cell r="J147">
            <v>148.97559666999999</v>
          </cell>
          <cell r="K147">
            <v>151.33426871</v>
          </cell>
          <cell r="L147">
            <v>223</v>
          </cell>
        </row>
        <row r="148">
          <cell r="B148">
            <v>640</v>
          </cell>
          <cell r="C148">
            <v>2581.3507117700001</v>
          </cell>
          <cell r="D148">
            <v>2516.6293306399998</v>
          </cell>
          <cell r="E148">
            <v>2744.1235386100002</v>
          </cell>
          <cell r="F148">
            <v>3039.4560006199999</v>
          </cell>
          <cell r="G148">
            <v>2720</v>
          </cell>
          <cell r="H148">
            <v>2485.98291887</v>
          </cell>
          <cell r="I148">
            <v>2418.9297578200003</v>
          </cell>
          <cell r="J148">
            <v>2636.6051728699999</v>
          </cell>
          <cell r="K148">
            <v>2923.9976844799999</v>
          </cell>
          <cell r="L148">
            <v>2616</v>
          </cell>
        </row>
        <row r="149">
          <cell r="B149">
            <v>642</v>
          </cell>
          <cell r="C149">
            <v>272.57696168000001</v>
          </cell>
          <cell r="D149">
            <v>323.53190810000001</v>
          </cell>
          <cell r="E149">
            <v>310.65988505000001</v>
          </cell>
          <cell r="F149">
            <v>358.23202513999996</v>
          </cell>
          <cell r="G149">
            <v>316</v>
          </cell>
          <cell r="H149">
            <v>271.68673557</v>
          </cell>
          <cell r="I149">
            <v>323.53190810000001</v>
          </cell>
          <cell r="J149">
            <v>310.35141850000002</v>
          </cell>
          <cell r="K149">
            <v>356.93300836000003</v>
          </cell>
          <cell r="L149">
            <v>316</v>
          </cell>
        </row>
        <row r="150">
          <cell r="B150">
            <v>643</v>
          </cell>
          <cell r="C150">
            <v>403.32993252</v>
          </cell>
          <cell r="D150">
            <v>443.16420654000001</v>
          </cell>
          <cell r="E150">
            <v>494.09431477999999</v>
          </cell>
          <cell r="F150">
            <v>544.19270688999995</v>
          </cell>
          <cell r="G150">
            <v>471</v>
          </cell>
          <cell r="H150">
            <v>375.76545135000003</v>
          </cell>
          <cell r="I150">
            <v>414.48911139000001</v>
          </cell>
          <cell r="J150">
            <v>456.84723250999997</v>
          </cell>
          <cell r="K150">
            <v>484.64238291000004</v>
          </cell>
          <cell r="L150">
            <v>433</v>
          </cell>
        </row>
        <row r="151">
          <cell r="B151">
            <v>644</v>
          </cell>
          <cell r="C151">
            <v>455.13172801000002</v>
          </cell>
          <cell r="D151">
            <v>555.67092764999995</v>
          </cell>
          <cell r="E151">
            <v>617.97055301</v>
          </cell>
          <cell r="F151">
            <v>703.13822992999997</v>
          </cell>
          <cell r="G151">
            <v>583</v>
          </cell>
          <cell r="H151">
            <v>417.82590836000003</v>
          </cell>
          <cell r="I151">
            <v>514.24847434000003</v>
          </cell>
          <cell r="J151">
            <v>576.53890977999993</v>
          </cell>
          <cell r="K151">
            <v>664.75386739999999</v>
          </cell>
          <cell r="L151">
            <v>543</v>
          </cell>
        </row>
        <row r="152">
          <cell r="B152">
            <v>645</v>
          </cell>
          <cell r="C152">
            <v>123.94819119</v>
          </cell>
          <cell r="D152">
            <v>131.2652673</v>
          </cell>
          <cell r="E152">
            <v>133.73055998000001</v>
          </cell>
          <cell r="F152">
            <v>118.81817414</v>
          </cell>
          <cell r="G152">
            <v>127</v>
          </cell>
          <cell r="H152">
            <v>88.564130609999992</v>
          </cell>
          <cell r="I152">
            <v>97.696853810000007</v>
          </cell>
          <cell r="J152">
            <v>99.016937689999992</v>
          </cell>
          <cell r="K152">
            <v>88.196235569999999</v>
          </cell>
          <cell r="L152">
            <v>93</v>
          </cell>
        </row>
        <row r="153">
          <cell r="B153">
            <v>646</v>
          </cell>
          <cell r="C153">
            <v>0.85660422000000003</v>
          </cell>
          <cell r="D153">
            <v>0.54171692000000005</v>
          </cell>
          <cell r="E153">
            <v>1.2267750100000001</v>
          </cell>
          <cell r="F153">
            <v>1.4969492</v>
          </cell>
          <cell r="G153">
            <v>1</v>
          </cell>
          <cell r="H153">
            <v>0.85660422000000003</v>
          </cell>
          <cell r="I153">
            <v>0.54171692000000005</v>
          </cell>
          <cell r="J153">
            <v>1.2267750100000001</v>
          </cell>
          <cell r="K153">
            <v>1.4969492099999999</v>
          </cell>
          <cell r="L153">
            <v>1</v>
          </cell>
        </row>
        <row r="154">
          <cell r="B154">
            <v>647</v>
          </cell>
          <cell r="C154">
            <v>341.09841774</v>
          </cell>
          <cell r="D154">
            <v>306.52629781999997</v>
          </cell>
          <cell r="E154">
            <v>284.32253794999997</v>
          </cell>
          <cell r="F154">
            <v>261.04993382999999</v>
          </cell>
          <cell r="G154">
            <v>298</v>
          </cell>
          <cell r="H154">
            <v>320.13455273</v>
          </cell>
          <cell r="I154">
            <v>285.95884176999999</v>
          </cell>
          <cell r="J154">
            <v>270.15506650999998</v>
          </cell>
          <cell r="K154">
            <v>250.18862346</v>
          </cell>
          <cell r="L154">
            <v>282</v>
          </cell>
        </row>
        <row r="155">
          <cell r="B155">
            <v>648</v>
          </cell>
          <cell r="C155">
            <v>69.861526680000011</v>
          </cell>
          <cell r="D155">
            <v>102.80071156999999</v>
          </cell>
          <cell r="E155">
            <v>105.98870823</v>
          </cell>
          <cell r="F155">
            <v>101.99300848</v>
          </cell>
          <cell r="G155">
            <v>95</v>
          </cell>
          <cell r="H155">
            <v>66.399334580000001</v>
          </cell>
          <cell r="I155">
            <v>81.494398840000002</v>
          </cell>
          <cell r="J155">
            <v>81.923327599999993</v>
          </cell>
          <cell r="K155">
            <v>95.016638999999998</v>
          </cell>
          <cell r="L155">
            <v>81</v>
          </cell>
        </row>
        <row r="156">
          <cell r="B156">
            <v>681</v>
          </cell>
          <cell r="C156">
            <v>225.61070726</v>
          </cell>
          <cell r="D156">
            <v>268.06333771999999</v>
          </cell>
          <cell r="E156">
            <v>287.30444138000001</v>
          </cell>
          <cell r="F156">
            <v>287.11457607</v>
          </cell>
          <cell r="G156">
            <v>267</v>
          </cell>
          <cell r="H156">
            <v>204.95475808</v>
          </cell>
          <cell r="I156">
            <v>241.76024077000002</v>
          </cell>
          <cell r="J156">
            <v>258.21992847000001</v>
          </cell>
          <cell r="K156">
            <v>266.59511580999998</v>
          </cell>
          <cell r="L156">
            <v>243</v>
          </cell>
        </row>
        <row r="157">
          <cell r="B157">
            <v>700</v>
          </cell>
          <cell r="C157">
            <v>1839.5790930200001</v>
          </cell>
          <cell r="D157">
            <v>1805.26689663</v>
          </cell>
          <cell r="E157">
            <v>1847.7458047</v>
          </cell>
          <cell r="F157">
            <v>1552.88430447</v>
          </cell>
          <cell r="G157">
            <v>1761</v>
          </cell>
          <cell r="H157">
            <v>1668.8893485799999</v>
          </cell>
          <cell r="I157">
            <v>1539.0161392</v>
          </cell>
          <cell r="J157">
            <v>1502.4177206099998</v>
          </cell>
          <cell r="K157">
            <v>1207.8297998399999</v>
          </cell>
          <cell r="L157">
            <v>1480</v>
          </cell>
        </row>
        <row r="158">
          <cell r="B158">
            <v>701</v>
          </cell>
          <cell r="C158">
            <v>126.07292693000001</v>
          </cell>
          <cell r="D158">
            <v>130.10099097</v>
          </cell>
          <cell r="E158">
            <v>167.64530669999999</v>
          </cell>
          <cell r="F158">
            <v>201.26496069000001</v>
          </cell>
          <cell r="G158">
            <v>156</v>
          </cell>
          <cell r="H158">
            <v>112.17739259999999</v>
          </cell>
          <cell r="I158">
            <v>116.92628762999999</v>
          </cell>
          <cell r="J158">
            <v>149.10868839</v>
          </cell>
          <cell r="K158">
            <v>180.95009512999999</v>
          </cell>
          <cell r="L158">
            <v>140</v>
          </cell>
        </row>
        <row r="159">
          <cell r="B159">
            <v>702</v>
          </cell>
          <cell r="C159">
            <v>700.33396885000002</v>
          </cell>
          <cell r="D159">
            <v>677.94205313999998</v>
          </cell>
          <cell r="E159">
            <v>770.80785274000004</v>
          </cell>
          <cell r="F159">
            <v>696.76763634000008</v>
          </cell>
          <cell r="G159">
            <v>711</v>
          </cell>
          <cell r="H159">
            <v>694.59330727999998</v>
          </cell>
          <cell r="I159">
            <v>672.83198829999992</v>
          </cell>
          <cell r="J159">
            <v>765.6563195</v>
          </cell>
          <cell r="K159">
            <v>685.83271189999994</v>
          </cell>
          <cell r="L159">
            <v>705</v>
          </cell>
        </row>
        <row r="160">
          <cell r="B160">
            <v>703</v>
          </cell>
          <cell r="C160">
            <v>472.36350830000003</v>
          </cell>
          <cell r="D160">
            <v>413.11922519000001</v>
          </cell>
          <cell r="E160">
            <v>335.03681736999999</v>
          </cell>
          <cell r="F160">
            <v>375.68446836000004</v>
          </cell>
          <cell r="G160">
            <v>399</v>
          </cell>
          <cell r="H160">
            <v>438.4578315</v>
          </cell>
          <cell r="I160">
            <v>390.18312313000001</v>
          </cell>
          <cell r="J160">
            <v>318.23033979000002</v>
          </cell>
          <cell r="K160">
            <v>327.00227366000001</v>
          </cell>
          <cell r="L160">
            <v>368</v>
          </cell>
        </row>
        <row r="161">
          <cell r="B161">
            <v>704</v>
          </cell>
          <cell r="C161">
            <v>356.33361888999997</v>
          </cell>
          <cell r="D161">
            <v>343.81819057000001</v>
          </cell>
          <cell r="E161">
            <v>372.88433822000002</v>
          </cell>
          <cell r="F161">
            <v>356.53099957000001</v>
          </cell>
          <cell r="G161">
            <v>357</v>
          </cell>
          <cell r="H161">
            <v>333.50758963999999</v>
          </cell>
          <cell r="I161">
            <v>323.52088727999995</v>
          </cell>
          <cell r="J161">
            <v>353.20837273000001</v>
          </cell>
          <cell r="K161">
            <v>337.45852427</v>
          </cell>
          <cell r="L161">
            <v>337</v>
          </cell>
        </row>
        <row r="162">
          <cell r="B162">
            <v>705</v>
          </cell>
          <cell r="C162">
            <v>307.03774146000001</v>
          </cell>
          <cell r="D162">
            <v>264.11621287999998</v>
          </cell>
          <cell r="E162">
            <v>237.07849347999999</v>
          </cell>
          <cell r="F162">
            <v>230.51815211000002</v>
          </cell>
          <cell r="G162">
            <v>260</v>
          </cell>
          <cell r="H162">
            <v>193.54877585</v>
          </cell>
          <cell r="I162">
            <v>179.5209739</v>
          </cell>
          <cell r="J162">
            <v>148.43681105000002</v>
          </cell>
          <cell r="K162">
            <v>140.59793718</v>
          </cell>
          <cell r="L162">
            <v>166</v>
          </cell>
        </row>
        <row r="163">
          <cell r="B163">
            <v>706</v>
          </cell>
          <cell r="C163">
            <v>209.22730838999999</v>
          </cell>
          <cell r="D163">
            <v>256.26163434</v>
          </cell>
          <cell r="E163">
            <v>218.63821208000002</v>
          </cell>
          <cell r="F163">
            <v>257.57249951</v>
          </cell>
          <cell r="G163">
            <v>235</v>
          </cell>
          <cell r="H163">
            <v>207.38268324000001</v>
          </cell>
          <cell r="I163">
            <v>251.42003646999999</v>
          </cell>
          <cell r="J163">
            <v>211.37197359999999</v>
          </cell>
          <cell r="K163">
            <v>250.76527891999999</v>
          </cell>
          <cell r="L163">
            <v>230</v>
          </cell>
        </row>
        <row r="164">
          <cell r="B164">
            <v>707</v>
          </cell>
          <cell r="C164">
            <v>170.28669328999999</v>
          </cell>
          <cell r="D164">
            <v>216.89373616</v>
          </cell>
          <cell r="E164">
            <v>206.38470955000003</v>
          </cell>
          <cell r="F164">
            <v>210.74243195</v>
          </cell>
          <cell r="G164">
            <v>201</v>
          </cell>
          <cell r="H164">
            <v>144.32010828999998</v>
          </cell>
          <cell r="I164">
            <v>207.87941187000001</v>
          </cell>
          <cell r="J164">
            <v>200.97482546000001</v>
          </cell>
          <cell r="K164">
            <v>203.68277933000002</v>
          </cell>
          <cell r="L164">
            <v>189</v>
          </cell>
        </row>
        <row r="165">
          <cell r="B165">
            <v>708</v>
          </cell>
          <cell r="C165">
            <v>551.90773078999996</v>
          </cell>
          <cell r="D165">
            <v>526.58541477999995</v>
          </cell>
          <cell r="E165">
            <v>538.06289387000004</v>
          </cell>
          <cell r="F165">
            <v>696.21880428999998</v>
          </cell>
          <cell r="G165">
            <v>578</v>
          </cell>
          <cell r="H165">
            <v>517.54551685000001</v>
          </cell>
          <cell r="I165">
            <v>476.63636337999998</v>
          </cell>
          <cell r="J165">
            <v>517.21725449999997</v>
          </cell>
          <cell r="K165">
            <v>630.80932600000006</v>
          </cell>
          <cell r="L165">
            <v>536</v>
          </cell>
        </row>
        <row r="166">
          <cell r="B166">
            <v>709</v>
          </cell>
          <cell r="C166">
            <v>31.76053379</v>
          </cell>
          <cell r="D166">
            <v>25.616366469999999</v>
          </cell>
          <cell r="E166">
            <v>22.86114315</v>
          </cell>
          <cell r="F166">
            <v>27.12419998</v>
          </cell>
          <cell r="G166">
            <v>27</v>
          </cell>
          <cell r="H166">
            <v>31.76053379</v>
          </cell>
          <cell r="I166">
            <v>25.61636648</v>
          </cell>
          <cell r="J166">
            <v>22.86114315</v>
          </cell>
          <cell r="K166">
            <v>27.12419998</v>
          </cell>
          <cell r="L166">
            <v>27</v>
          </cell>
        </row>
        <row r="167">
          <cell r="B167">
            <v>710</v>
          </cell>
          <cell r="C167">
            <v>384.01606017</v>
          </cell>
          <cell r="D167">
            <v>437.11518224999998</v>
          </cell>
          <cell r="E167">
            <v>475.72768574000003</v>
          </cell>
          <cell r="F167">
            <v>379.66253644</v>
          </cell>
          <cell r="G167">
            <v>419</v>
          </cell>
          <cell r="H167">
            <v>384.01606018000001</v>
          </cell>
          <cell r="I167">
            <v>437.11518226999999</v>
          </cell>
          <cell r="J167">
            <v>475.72768574999998</v>
          </cell>
          <cell r="K167">
            <v>379.66253647000002</v>
          </cell>
          <cell r="L167">
            <v>419</v>
          </cell>
        </row>
        <row r="168">
          <cell r="B168">
            <v>711</v>
          </cell>
          <cell r="C168">
            <v>91.123238139999998</v>
          </cell>
          <cell r="D168">
            <v>126.54811170999999</v>
          </cell>
          <cell r="E168">
            <v>144.03901335</v>
          </cell>
          <cell r="F168">
            <v>152.37092325999998</v>
          </cell>
          <cell r="G168">
            <v>129</v>
          </cell>
          <cell r="H168">
            <v>62.022297549999998</v>
          </cell>
          <cell r="I168">
            <v>91.302218019999998</v>
          </cell>
          <cell r="J168">
            <v>111.74208306</v>
          </cell>
          <cell r="K168">
            <v>125.35737705</v>
          </cell>
          <cell r="L168">
            <v>98</v>
          </cell>
        </row>
        <row r="169">
          <cell r="B169">
            <v>719</v>
          </cell>
          <cell r="C169">
            <v>623.34191463000002</v>
          </cell>
          <cell r="D169">
            <v>635.28311570000005</v>
          </cell>
          <cell r="E169">
            <v>631.81622879999998</v>
          </cell>
          <cell r="F169">
            <v>610.27520891999995</v>
          </cell>
          <cell r="G169">
            <v>625</v>
          </cell>
          <cell r="H169">
            <v>502.81166172000002</v>
          </cell>
          <cell r="I169">
            <v>519.46475452999994</v>
          </cell>
          <cell r="J169">
            <v>506.72445692000002</v>
          </cell>
          <cell r="K169">
            <v>479.4788805</v>
          </cell>
          <cell r="L169">
            <v>502</v>
          </cell>
        </row>
        <row r="170">
          <cell r="B170">
            <v>720</v>
          </cell>
          <cell r="C170">
            <v>117.04357616</v>
          </cell>
          <cell r="D170">
            <v>131.37932498999999</v>
          </cell>
          <cell r="E170">
            <v>142.84285772999999</v>
          </cell>
          <cell r="F170">
            <v>141.67383827</v>
          </cell>
          <cell r="G170">
            <v>133</v>
          </cell>
          <cell r="H170">
            <v>117.04357618</v>
          </cell>
          <cell r="I170">
            <v>131.37932499999999</v>
          </cell>
          <cell r="J170">
            <v>142.84285775000001</v>
          </cell>
          <cell r="K170">
            <v>141.67383828000001</v>
          </cell>
          <cell r="L170">
            <v>133</v>
          </cell>
        </row>
        <row r="171">
          <cell r="B171">
            <v>721</v>
          </cell>
          <cell r="C171">
            <v>98.212105640000004</v>
          </cell>
          <cell r="D171">
            <v>85.312050459999995</v>
          </cell>
          <cell r="E171">
            <v>96.545527500000006</v>
          </cell>
          <cell r="F171">
            <v>108.7354859</v>
          </cell>
          <cell r="G171">
            <v>97</v>
          </cell>
          <cell r="H171">
            <v>98.212105650000012</v>
          </cell>
          <cell r="I171">
            <v>85.312050470000003</v>
          </cell>
          <cell r="J171">
            <v>96.545527509999999</v>
          </cell>
          <cell r="K171">
            <v>108.7354859</v>
          </cell>
          <cell r="L171">
            <v>97</v>
          </cell>
        </row>
        <row r="172">
          <cell r="B172">
            <v>750</v>
          </cell>
          <cell r="C172">
            <v>76.625154569999992</v>
          </cell>
          <cell r="D172">
            <v>88.39763739</v>
          </cell>
          <cell r="E172">
            <v>89.466787150000002</v>
          </cell>
          <cell r="F172">
            <v>91.629758290000012</v>
          </cell>
          <cell r="G172">
            <v>87</v>
          </cell>
          <cell r="H172">
            <v>76.62515458</v>
          </cell>
          <cell r="I172">
            <v>88.397637400000008</v>
          </cell>
          <cell r="J172">
            <v>89.466787170000003</v>
          </cell>
          <cell r="K172">
            <v>91.629758299999992</v>
          </cell>
          <cell r="L172">
            <v>87</v>
          </cell>
        </row>
        <row r="173">
          <cell r="B173">
            <v>751</v>
          </cell>
          <cell r="C173">
            <v>145.79974113</v>
          </cell>
          <cell r="D173">
            <v>157.15071538000001</v>
          </cell>
          <cell r="E173">
            <v>139.83021680000002</v>
          </cell>
          <cell r="F173">
            <v>144.44271071</v>
          </cell>
          <cell r="G173">
            <v>147</v>
          </cell>
          <cell r="H173">
            <v>140.44530616</v>
          </cell>
          <cell r="I173">
            <v>146.48263994999999</v>
          </cell>
          <cell r="J173">
            <v>128.06829751000001</v>
          </cell>
          <cell r="K173">
            <v>127.6023122</v>
          </cell>
          <cell r="L173">
            <v>136</v>
          </cell>
        </row>
        <row r="174">
          <cell r="B174">
            <v>752</v>
          </cell>
          <cell r="C174">
            <v>5.9240252499999997</v>
          </cell>
          <cell r="D174">
            <v>6.4383043099999995</v>
          </cell>
          <cell r="E174">
            <v>3.2474166499999999</v>
          </cell>
          <cell r="F174">
            <v>3.1333547599999996</v>
          </cell>
          <cell r="G174">
            <v>5</v>
          </cell>
          <cell r="H174">
            <v>5.9240252599999996</v>
          </cell>
          <cell r="I174">
            <v>6.4383043099999995</v>
          </cell>
          <cell r="J174">
            <v>3.2474166499999999</v>
          </cell>
          <cell r="K174">
            <v>3.1333547599999996</v>
          </cell>
          <cell r="L174">
            <v>5</v>
          </cell>
        </row>
        <row r="175">
          <cell r="B175">
            <v>753</v>
          </cell>
          <cell r="C175">
            <v>272.69391202999998</v>
          </cell>
          <cell r="D175">
            <v>285.48380341000001</v>
          </cell>
          <cell r="E175">
            <v>283.22013852999999</v>
          </cell>
          <cell r="F175">
            <v>327.78783239999996</v>
          </cell>
          <cell r="G175">
            <v>292</v>
          </cell>
          <cell r="H175">
            <v>214.78808821999999</v>
          </cell>
          <cell r="I175">
            <v>229.91752972</v>
          </cell>
          <cell r="J175">
            <v>217.16239166</v>
          </cell>
          <cell r="K175">
            <v>243.06630286000001</v>
          </cell>
          <cell r="L175">
            <v>226</v>
          </cell>
        </row>
        <row r="176">
          <cell r="B176">
            <v>760</v>
          </cell>
          <cell r="C176">
            <v>0</v>
          </cell>
          <cell r="D176">
            <v>2.3497462900000001</v>
          </cell>
          <cell r="E176">
            <v>0</v>
          </cell>
          <cell r="F176">
            <v>0</v>
          </cell>
          <cell r="G176">
            <v>1</v>
          </cell>
          <cell r="H176">
            <v>0</v>
          </cell>
          <cell r="I176">
            <v>0</v>
          </cell>
          <cell r="J176">
            <v>0</v>
          </cell>
          <cell r="K176">
            <v>2.3497462900000001</v>
          </cell>
          <cell r="L176">
            <v>1</v>
          </cell>
        </row>
        <row r="177">
          <cell r="B177">
            <v>763</v>
          </cell>
          <cell r="C177">
            <v>0</v>
          </cell>
          <cell r="D177">
            <v>0</v>
          </cell>
          <cell r="E177">
            <v>0</v>
          </cell>
          <cell r="F177">
            <v>0</v>
          </cell>
          <cell r="G177">
            <v>0</v>
          </cell>
          <cell r="H177">
            <v>0</v>
          </cell>
          <cell r="I177">
            <v>0</v>
          </cell>
          <cell r="J177">
            <v>0</v>
          </cell>
          <cell r="K177">
            <v>0</v>
          </cell>
          <cell r="L177">
            <v>0</v>
          </cell>
        </row>
        <row r="178">
          <cell r="B178">
            <v>765</v>
          </cell>
          <cell r="C178">
            <v>0.48016462999999998</v>
          </cell>
          <cell r="D178">
            <v>0.48221660999999999</v>
          </cell>
          <cell r="E178">
            <v>0.92925758999999997</v>
          </cell>
          <cell r="F178">
            <v>1.2071023400000001</v>
          </cell>
          <cell r="G178">
            <v>1</v>
          </cell>
          <cell r="H178">
            <v>0.48016462999999998</v>
          </cell>
          <cell r="I178">
            <v>0.48221660999999999</v>
          </cell>
          <cell r="J178">
            <v>0.92925758999999997</v>
          </cell>
          <cell r="K178">
            <v>1.2071023400000001</v>
          </cell>
          <cell r="L178">
            <v>1</v>
          </cell>
        </row>
        <row r="179">
          <cell r="B179">
            <v>800</v>
          </cell>
          <cell r="C179">
            <v>25.95614088</v>
          </cell>
          <cell r="D179">
            <v>28.063472079999997</v>
          </cell>
          <cell r="E179">
            <v>24.72405663</v>
          </cell>
          <cell r="F179">
            <v>27.038239399999998</v>
          </cell>
          <cell r="G179">
            <v>26</v>
          </cell>
          <cell r="H179">
            <v>25.95614089</v>
          </cell>
          <cell r="I179">
            <v>28.063472079999997</v>
          </cell>
          <cell r="J179">
            <v>24.724056640000001</v>
          </cell>
          <cell r="K179">
            <v>27.038239399999998</v>
          </cell>
          <cell r="L179">
            <v>26</v>
          </cell>
        </row>
        <row r="180">
          <cell r="B180">
            <v>801</v>
          </cell>
          <cell r="C180">
            <v>60.25740502</v>
          </cell>
          <cell r="D180">
            <v>56.359722120000001</v>
          </cell>
          <cell r="E180">
            <v>66.882134100000002</v>
          </cell>
          <cell r="F180">
            <v>60.299209099999999</v>
          </cell>
          <cell r="G180">
            <v>61</v>
          </cell>
          <cell r="H180">
            <v>60.200592960000002</v>
          </cell>
          <cell r="I180">
            <v>56.359722120000001</v>
          </cell>
          <cell r="J180">
            <v>66.882134109999996</v>
          </cell>
          <cell r="K180">
            <v>60.299209099999999</v>
          </cell>
          <cell r="L180">
            <v>61</v>
          </cell>
        </row>
        <row r="181">
          <cell r="B181">
            <v>802</v>
          </cell>
          <cell r="C181">
            <v>39.607442570000003</v>
          </cell>
          <cell r="D181">
            <v>45.146406859999999</v>
          </cell>
          <cell r="E181">
            <v>47.604478380000003</v>
          </cell>
          <cell r="F181">
            <v>35.118706880000005</v>
          </cell>
          <cell r="G181">
            <v>42</v>
          </cell>
          <cell r="H181">
            <v>39.607442579999997</v>
          </cell>
          <cell r="I181">
            <v>45.146406859999999</v>
          </cell>
          <cell r="J181">
            <v>47.604478390000004</v>
          </cell>
          <cell r="K181">
            <v>35.118706889999999</v>
          </cell>
          <cell r="L181">
            <v>42</v>
          </cell>
        </row>
        <row r="182">
          <cell r="B182">
            <v>810</v>
          </cell>
          <cell r="C182">
            <v>0</v>
          </cell>
          <cell r="D182">
            <v>0</v>
          </cell>
          <cell r="E182">
            <v>0</v>
          </cell>
          <cell r="F182">
            <v>0</v>
          </cell>
          <cell r="G182">
            <v>0</v>
          </cell>
          <cell r="H182">
            <v>0</v>
          </cell>
          <cell r="I182">
            <v>0.82640522999999999</v>
          </cell>
          <cell r="J182">
            <v>4.4903927800000005</v>
          </cell>
          <cell r="K182">
            <v>6.72132649</v>
          </cell>
          <cell r="L182">
            <v>3</v>
          </cell>
        </row>
        <row r="183">
          <cell r="B183">
            <v>813</v>
          </cell>
          <cell r="C183">
            <v>23.14658979</v>
          </cell>
          <cell r="D183">
            <v>24.01667527</v>
          </cell>
          <cell r="E183">
            <v>12.916374599999999</v>
          </cell>
          <cell r="F183">
            <v>10.543823289999999</v>
          </cell>
          <cell r="G183">
            <v>18</v>
          </cell>
          <cell r="H183">
            <v>23.14658979</v>
          </cell>
          <cell r="I183">
            <v>24.01667527</v>
          </cell>
          <cell r="J183">
            <v>12.916374599999999</v>
          </cell>
          <cell r="K183">
            <v>10.543823289999999</v>
          </cell>
          <cell r="L183">
            <v>18</v>
          </cell>
        </row>
        <row r="184">
          <cell r="B184">
            <v>820</v>
          </cell>
          <cell r="C184">
            <v>67.066896630000002</v>
          </cell>
          <cell r="D184">
            <v>68.208502069999994</v>
          </cell>
          <cell r="E184">
            <v>71.6219191</v>
          </cell>
          <cell r="F184">
            <v>79.402779290000012</v>
          </cell>
          <cell r="G184">
            <v>72</v>
          </cell>
          <cell r="H184">
            <v>67.066896630000002</v>
          </cell>
          <cell r="I184">
            <v>68.208502069999994</v>
          </cell>
          <cell r="J184">
            <v>71.621919109999993</v>
          </cell>
          <cell r="K184">
            <v>79.402779299999992</v>
          </cell>
          <cell r="L184">
            <v>72</v>
          </cell>
        </row>
        <row r="185">
          <cell r="B185">
            <v>830</v>
          </cell>
          <cell r="C185">
            <v>10.670044460000002</v>
          </cell>
          <cell r="D185">
            <v>9.4895128300000007</v>
          </cell>
          <cell r="E185">
            <v>4.64887184</v>
          </cell>
          <cell r="F185">
            <v>4.6169522199999999</v>
          </cell>
          <cell r="G185">
            <v>7</v>
          </cell>
          <cell r="H185">
            <v>10.670044470000001</v>
          </cell>
          <cell r="I185">
            <v>9.4895128300000007</v>
          </cell>
          <cell r="J185">
            <v>4.6488718499999999</v>
          </cell>
          <cell r="K185">
            <v>4.6169522199999999</v>
          </cell>
          <cell r="L185">
            <v>7</v>
          </cell>
        </row>
      </sheetData>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U匯總"/>
      <sheetName val="外幣放款95年平均餘額"/>
    </sheetNames>
    <sheetDataSet>
      <sheetData sheetId="0" refreshError="1">
        <row r="4">
          <cell r="B4">
            <v>100</v>
          </cell>
          <cell r="C4">
            <v>1060.48006659</v>
          </cell>
          <cell r="D4">
            <v>1137.18454563</v>
          </cell>
          <cell r="E4">
            <v>1170.1282745599999</v>
          </cell>
          <cell r="F4">
            <v>1031.40636679</v>
          </cell>
          <cell r="G4">
            <v>1100</v>
          </cell>
        </row>
        <row r="5">
          <cell r="B5">
            <v>101</v>
          </cell>
          <cell r="C5">
            <v>395.22492908999999</v>
          </cell>
          <cell r="D5">
            <v>390.93592272000001</v>
          </cell>
          <cell r="E5">
            <v>393.65924218999999</v>
          </cell>
          <cell r="F5">
            <v>426.15563830000002</v>
          </cell>
          <cell r="G5">
            <v>401</v>
          </cell>
        </row>
        <row r="6">
          <cell r="B6">
            <v>103</v>
          </cell>
          <cell r="C6">
            <v>193.61190163000001</v>
          </cell>
          <cell r="D6">
            <v>182.9876007</v>
          </cell>
          <cell r="E6">
            <v>175.60601728</v>
          </cell>
          <cell r="F6">
            <v>173.72129183000001</v>
          </cell>
          <cell r="G6">
            <v>181</v>
          </cell>
        </row>
        <row r="7">
          <cell r="B7">
            <v>104</v>
          </cell>
          <cell r="C7">
            <v>374.29230034</v>
          </cell>
          <cell r="D7">
            <v>334.64439229999999</v>
          </cell>
          <cell r="E7">
            <v>314.89538904</v>
          </cell>
          <cell r="F7">
            <v>351.45590793000002</v>
          </cell>
          <cell r="G7">
            <v>344</v>
          </cell>
        </row>
        <row r="8">
          <cell r="B8">
            <v>105</v>
          </cell>
          <cell r="C8">
            <v>932.88185960999999</v>
          </cell>
          <cell r="D8">
            <v>893.74769192999997</v>
          </cell>
          <cell r="E8">
            <v>880.31647616999999</v>
          </cell>
          <cell r="F8">
            <v>907.07576295000001</v>
          </cell>
          <cell r="G8">
            <v>904</v>
          </cell>
        </row>
        <row r="9">
          <cell r="B9">
            <v>106</v>
          </cell>
          <cell r="C9">
            <v>1283.9947473900002</v>
          </cell>
          <cell r="D9">
            <v>1077.7503419000002</v>
          </cell>
          <cell r="E9">
            <v>1318.5304753</v>
          </cell>
          <cell r="F9">
            <v>1361.5972782899998</v>
          </cell>
          <cell r="G9">
            <v>1260</v>
          </cell>
        </row>
        <row r="10">
          <cell r="B10">
            <v>107</v>
          </cell>
          <cell r="C10">
            <v>2109.8735047300001</v>
          </cell>
          <cell r="D10">
            <v>2296.5750201399997</v>
          </cell>
          <cell r="E10">
            <v>2379.1349551399999</v>
          </cell>
          <cell r="F10">
            <v>2429.3114930000002</v>
          </cell>
          <cell r="G10">
            <v>2304</v>
          </cell>
        </row>
        <row r="11">
          <cell r="B11">
            <v>108</v>
          </cell>
          <cell r="C11">
            <v>2241.82799299</v>
          </cell>
          <cell r="D11">
            <v>2458.93885241</v>
          </cell>
          <cell r="E11">
            <v>2387.2079950500001</v>
          </cell>
          <cell r="F11">
            <v>2564.5714551599999</v>
          </cell>
          <cell r="G11">
            <v>2413</v>
          </cell>
        </row>
        <row r="12">
          <cell r="B12">
            <v>109</v>
          </cell>
          <cell r="C12">
            <v>967.50167584999997</v>
          </cell>
          <cell r="D12">
            <v>921.22182778000001</v>
          </cell>
          <cell r="E12">
            <v>887.55558847999998</v>
          </cell>
          <cell r="F12">
            <v>788.90433604999998</v>
          </cell>
          <cell r="G12">
            <v>891</v>
          </cell>
        </row>
        <row r="13">
          <cell r="B13">
            <v>110</v>
          </cell>
          <cell r="C13">
            <v>419.58595286000002</v>
          </cell>
          <cell r="D13">
            <v>443.29504744999997</v>
          </cell>
          <cell r="E13">
            <v>422.29307885000003</v>
          </cell>
          <cell r="F13">
            <v>434.6925789</v>
          </cell>
          <cell r="G13">
            <v>430</v>
          </cell>
        </row>
        <row r="14">
          <cell r="B14">
            <v>111</v>
          </cell>
          <cell r="C14">
            <v>867.44301186999996</v>
          </cell>
          <cell r="D14">
            <v>485.96872881999997</v>
          </cell>
          <cell r="E14">
            <v>623.21091862000003</v>
          </cell>
          <cell r="F14">
            <v>452.67239188000002</v>
          </cell>
          <cell r="G14">
            <v>607</v>
          </cell>
        </row>
        <row r="15">
          <cell r="B15">
            <v>112</v>
          </cell>
          <cell r="C15">
            <v>2684.53669889</v>
          </cell>
          <cell r="D15">
            <v>2179.4987757399999</v>
          </cell>
          <cell r="E15">
            <v>1966.4486774700001</v>
          </cell>
          <cell r="F15">
            <v>1971.0487368299998</v>
          </cell>
          <cell r="G15">
            <v>2200</v>
          </cell>
        </row>
        <row r="16">
          <cell r="B16">
            <v>113</v>
          </cell>
          <cell r="C16">
            <v>719.95601210000007</v>
          </cell>
          <cell r="D16">
            <v>773.19817795000006</v>
          </cell>
          <cell r="E16">
            <v>819.36601955999993</v>
          </cell>
          <cell r="F16">
            <v>791.05000686000005</v>
          </cell>
          <cell r="G16">
            <v>776</v>
          </cell>
        </row>
        <row r="17">
          <cell r="B17">
            <v>114</v>
          </cell>
          <cell r="C17">
            <v>547.89608679999992</v>
          </cell>
          <cell r="D17">
            <v>639.06161572000008</v>
          </cell>
          <cell r="E17">
            <v>658.00181592000001</v>
          </cell>
          <cell r="F17">
            <v>611.12809569000001</v>
          </cell>
          <cell r="G17">
            <v>614</v>
          </cell>
        </row>
        <row r="18">
          <cell r="B18">
            <v>115</v>
          </cell>
          <cell r="C18">
            <v>600.06852863999995</v>
          </cell>
          <cell r="D18">
            <v>605.19945638000002</v>
          </cell>
          <cell r="E18">
            <v>580.43459610000002</v>
          </cell>
          <cell r="F18">
            <v>504.32610746</v>
          </cell>
          <cell r="G18">
            <v>573</v>
          </cell>
        </row>
        <row r="19">
          <cell r="B19">
            <v>116</v>
          </cell>
          <cell r="C19">
            <v>1960.76827899</v>
          </cell>
          <cell r="D19">
            <v>2133.1451204</v>
          </cell>
          <cell r="E19">
            <v>1686.1665480499998</v>
          </cell>
          <cell r="F19">
            <v>2450.0560784099998</v>
          </cell>
          <cell r="G19">
            <v>2058</v>
          </cell>
        </row>
        <row r="20">
          <cell r="B20">
            <v>117</v>
          </cell>
          <cell r="C20">
            <v>562.61940496</v>
          </cell>
          <cell r="D20">
            <v>587.68765506</v>
          </cell>
          <cell r="E20">
            <v>604.69121286999996</v>
          </cell>
          <cell r="F20">
            <v>584.87259326999992</v>
          </cell>
          <cell r="G20">
            <v>585</v>
          </cell>
        </row>
        <row r="21">
          <cell r="B21">
            <v>118</v>
          </cell>
          <cell r="C21">
            <v>136.39297486000001</v>
          </cell>
          <cell r="D21">
            <v>134.19294189999999</v>
          </cell>
          <cell r="E21">
            <v>128.28330754999999</v>
          </cell>
          <cell r="F21">
            <v>126.04842943000001</v>
          </cell>
          <cell r="G21">
            <v>131</v>
          </cell>
        </row>
        <row r="22">
          <cell r="B22">
            <v>119</v>
          </cell>
          <cell r="C22">
            <v>74.568622469999994</v>
          </cell>
          <cell r="D22">
            <v>80.056023120000006</v>
          </cell>
          <cell r="E22">
            <v>87.38802321</v>
          </cell>
          <cell r="F22">
            <v>93.261894909999995</v>
          </cell>
          <cell r="G22">
            <v>84</v>
          </cell>
        </row>
        <row r="23">
          <cell r="B23">
            <v>120</v>
          </cell>
          <cell r="C23">
            <v>1009.72575379</v>
          </cell>
          <cell r="D23">
            <v>890.42007086000001</v>
          </cell>
          <cell r="E23">
            <v>746.91282440999998</v>
          </cell>
          <cell r="F23">
            <v>842.50249470000006</v>
          </cell>
          <cell r="G23">
            <v>872</v>
          </cell>
        </row>
        <row r="24">
          <cell r="B24">
            <v>121</v>
          </cell>
          <cell r="C24">
            <v>309.31885892000003</v>
          </cell>
          <cell r="D24">
            <v>277.89180737999999</v>
          </cell>
          <cell r="E24">
            <v>289.06017739999999</v>
          </cell>
          <cell r="F24">
            <v>298.39786120999997</v>
          </cell>
          <cell r="G24">
            <v>294</v>
          </cell>
        </row>
        <row r="25">
          <cell r="B25">
            <v>122</v>
          </cell>
          <cell r="C25">
            <v>165.15147422999999</v>
          </cell>
          <cell r="D25">
            <v>165.20434708000002</v>
          </cell>
          <cell r="E25">
            <v>162.36993147999999</v>
          </cell>
          <cell r="F25">
            <v>174.34764324</v>
          </cell>
          <cell r="G25">
            <v>167</v>
          </cell>
        </row>
        <row r="26">
          <cell r="B26">
            <v>123</v>
          </cell>
          <cell r="C26">
            <v>2147.92554144</v>
          </cell>
          <cell r="D26">
            <v>2600.77602776</v>
          </cell>
          <cell r="E26">
            <v>2004.5548522300001</v>
          </cell>
          <cell r="F26">
            <v>2703.6428151100004</v>
          </cell>
          <cell r="G26">
            <v>2364</v>
          </cell>
        </row>
        <row r="27">
          <cell r="B27">
            <v>124</v>
          </cell>
          <cell r="C27">
            <v>293.97032000999997</v>
          </cell>
          <cell r="D27">
            <v>335.10228645999996</v>
          </cell>
          <cell r="E27">
            <v>332.08197648000004</v>
          </cell>
          <cell r="F27">
            <v>350.34829077000001</v>
          </cell>
          <cell r="G27">
            <v>328</v>
          </cell>
        </row>
        <row r="28">
          <cell r="B28">
            <v>125</v>
          </cell>
          <cell r="C28">
            <v>536.51800358999992</v>
          </cell>
          <cell r="D28">
            <v>595.64135348000002</v>
          </cell>
          <cell r="E28">
            <v>528.47137479000003</v>
          </cell>
          <cell r="F28">
            <v>549.76882000000001</v>
          </cell>
          <cell r="G28">
            <v>553</v>
          </cell>
        </row>
        <row r="29">
          <cell r="B29">
            <v>126</v>
          </cell>
          <cell r="C29">
            <v>3293.1693962899999</v>
          </cell>
          <cell r="D29">
            <v>3085.4589512900002</v>
          </cell>
          <cell r="E29">
            <v>3231.2456820399998</v>
          </cell>
          <cell r="F29">
            <v>3219.2636693000004</v>
          </cell>
          <cell r="G29">
            <v>3207</v>
          </cell>
        </row>
        <row r="30">
          <cell r="B30">
            <v>127</v>
          </cell>
          <cell r="C30">
            <v>114.42166191</v>
          </cell>
          <cell r="D30">
            <v>121.79001577</v>
          </cell>
          <cell r="E30">
            <v>126.23288134000001</v>
          </cell>
          <cell r="F30">
            <v>143.11183713</v>
          </cell>
          <cell r="G30">
            <v>126</v>
          </cell>
        </row>
        <row r="31">
          <cell r="B31">
            <v>128</v>
          </cell>
          <cell r="C31">
            <v>284.23007194000002</v>
          </cell>
          <cell r="D31">
            <v>299.16140498000004</v>
          </cell>
          <cell r="E31">
            <v>270.56999248</v>
          </cell>
          <cell r="F31">
            <v>278.94514860999999</v>
          </cell>
          <cell r="G31">
            <v>283</v>
          </cell>
        </row>
        <row r="32">
          <cell r="B32">
            <v>129</v>
          </cell>
          <cell r="C32">
            <v>257.11924531</v>
          </cell>
          <cell r="D32">
            <v>247.84989193000001</v>
          </cell>
          <cell r="E32">
            <v>249.41747724999999</v>
          </cell>
          <cell r="F32">
            <v>205.14782015</v>
          </cell>
          <cell r="G32">
            <v>240</v>
          </cell>
        </row>
        <row r="33">
          <cell r="B33">
            <v>130</v>
          </cell>
          <cell r="C33">
            <v>1184.5497122199999</v>
          </cell>
          <cell r="D33">
            <v>1315.42239608</v>
          </cell>
          <cell r="E33">
            <v>1241.8007680999999</v>
          </cell>
          <cell r="F33">
            <v>1309.36025909</v>
          </cell>
          <cell r="G33">
            <v>1263</v>
          </cell>
        </row>
        <row r="34">
          <cell r="B34">
            <v>131</v>
          </cell>
          <cell r="C34">
            <v>507.60473551999996</v>
          </cell>
          <cell r="D34">
            <v>474.38735857</v>
          </cell>
          <cell r="E34">
            <v>555.84120879</v>
          </cell>
          <cell r="F34">
            <v>630.48567184000001</v>
          </cell>
          <cell r="G34">
            <v>542</v>
          </cell>
        </row>
        <row r="35">
          <cell r="B35">
            <v>133</v>
          </cell>
          <cell r="C35">
            <v>217.57029341999998</v>
          </cell>
          <cell r="D35">
            <v>313.38223126999998</v>
          </cell>
          <cell r="E35">
            <v>304.65179110000003</v>
          </cell>
          <cell r="F35">
            <v>223.90814730000002</v>
          </cell>
          <cell r="G35">
            <v>265</v>
          </cell>
        </row>
        <row r="36">
          <cell r="B36">
            <v>134</v>
          </cell>
          <cell r="C36">
            <v>265.90452223</v>
          </cell>
          <cell r="D36">
            <v>275.16631561000003</v>
          </cell>
          <cell r="E36">
            <v>235.24843694999998</v>
          </cell>
          <cell r="F36">
            <v>144.81152721999999</v>
          </cell>
          <cell r="G36">
            <v>230</v>
          </cell>
        </row>
        <row r="37">
          <cell r="B37">
            <v>137</v>
          </cell>
          <cell r="C37">
            <v>221.15527396000002</v>
          </cell>
          <cell r="D37">
            <v>192.66094644999998</v>
          </cell>
          <cell r="E37">
            <v>161.62817699999999</v>
          </cell>
          <cell r="F37">
            <v>161.64810793999999</v>
          </cell>
          <cell r="G37">
            <v>184</v>
          </cell>
        </row>
        <row r="38">
          <cell r="B38">
            <v>143</v>
          </cell>
          <cell r="C38">
            <v>44.222203010000001</v>
          </cell>
          <cell r="D38">
            <v>35.539297340000005</v>
          </cell>
          <cell r="E38">
            <v>35.034697770000001</v>
          </cell>
          <cell r="F38">
            <v>29.130631609999998</v>
          </cell>
          <cell r="G38">
            <v>36</v>
          </cell>
        </row>
        <row r="39">
          <cell r="B39">
            <v>145</v>
          </cell>
          <cell r="C39">
            <v>133.17767892000001</v>
          </cell>
          <cell r="D39">
            <v>133.76080576000001</v>
          </cell>
          <cell r="E39">
            <v>119.94250887999999</v>
          </cell>
          <cell r="F39">
            <v>107.33125523000001</v>
          </cell>
          <cell r="G39">
            <v>124</v>
          </cell>
        </row>
        <row r="40">
          <cell r="B40">
            <v>147</v>
          </cell>
          <cell r="C40">
            <v>646.14730825000004</v>
          </cell>
          <cell r="D40">
            <v>581.54796024000007</v>
          </cell>
          <cell r="E40">
            <v>628.68576911000002</v>
          </cell>
          <cell r="F40">
            <v>576.19182337999996</v>
          </cell>
          <cell r="G40">
            <v>608</v>
          </cell>
        </row>
        <row r="41">
          <cell r="B41">
            <v>148</v>
          </cell>
          <cell r="C41">
            <v>3.8474070299999998</v>
          </cell>
          <cell r="D41">
            <v>3.7847847400000001</v>
          </cell>
          <cell r="E41">
            <v>4.0744122000000003</v>
          </cell>
          <cell r="F41">
            <v>2.4153405800000001</v>
          </cell>
          <cell r="G41">
            <v>4</v>
          </cell>
        </row>
        <row r="42">
          <cell r="B42">
            <v>149</v>
          </cell>
          <cell r="C42">
            <v>235.67624078</v>
          </cell>
          <cell r="D42">
            <v>235.38519558000002</v>
          </cell>
          <cell r="E42">
            <v>199.35781066999999</v>
          </cell>
          <cell r="F42">
            <v>299.13255595999999</v>
          </cell>
          <cell r="G42">
            <v>242</v>
          </cell>
        </row>
        <row r="43">
          <cell r="B43">
            <v>151</v>
          </cell>
          <cell r="C43">
            <v>111.61257918999999</v>
          </cell>
          <cell r="D43">
            <v>122.95646056</v>
          </cell>
          <cell r="E43">
            <v>118.58931523999999</v>
          </cell>
          <cell r="F43">
            <v>122.75896948</v>
          </cell>
          <cell r="G43">
            <v>119</v>
          </cell>
        </row>
        <row r="44">
          <cell r="B44">
            <v>152</v>
          </cell>
          <cell r="C44">
            <v>34.3928856</v>
          </cell>
          <cell r="D44">
            <v>31.955786190000001</v>
          </cell>
          <cell r="E44">
            <v>28.4739124</v>
          </cell>
          <cell r="F44">
            <v>33.315133709999998</v>
          </cell>
          <cell r="G44">
            <v>32</v>
          </cell>
        </row>
        <row r="45">
          <cell r="B45">
            <v>153</v>
          </cell>
          <cell r="C45">
            <v>150.91583691</v>
          </cell>
          <cell r="D45">
            <v>141.58099630000001</v>
          </cell>
          <cell r="E45">
            <v>136.86520367</v>
          </cell>
          <cell r="F45">
            <v>160.41162000999998</v>
          </cell>
          <cell r="G45">
            <v>147</v>
          </cell>
        </row>
        <row r="46">
          <cell r="B46">
            <v>156</v>
          </cell>
          <cell r="C46">
            <v>115.32025435999999</v>
          </cell>
          <cell r="D46">
            <v>152.95789677000002</v>
          </cell>
          <cell r="E46">
            <v>153.59022815</v>
          </cell>
          <cell r="F46">
            <v>164.79005968999999</v>
          </cell>
          <cell r="G46">
            <v>147</v>
          </cell>
        </row>
        <row r="47">
          <cell r="B47">
            <v>157</v>
          </cell>
          <cell r="C47">
            <v>203.72815596000001</v>
          </cell>
          <cell r="D47">
            <v>230.47905249999999</v>
          </cell>
          <cell r="E47">
            <v>221.71335500999999</v>
          </cell>
          <cell r="F47">
            <v>206.12259528000001</v>
          </cell>
          <cell r="G47">
            <v>216</v>
          </cell>
        </row>
        <row r="48">
          <cell r="B48">
            <v>158</v>
          </cell>
          <cell r="C48">
            <v>544.30183163000004</v>
          </cell>
          <cell r="D48">
            <v>466.51559069000001</v>
          </cell>
          <cell r="E48">
            <v>440.49454897000004</v>
          </cell>
          <cell r="F48">
            <v>488.98560657999997</v>
          </cell>
          <cell r="G48">
            <v>485</v>
          </cell>
        </row>
        <row r="49">
          <cell r="B49">
            <v>159</v>
          </cell>
          <cell r="C49">
            <v>194.03602538999999</v>
          </cell>
          <cell r="D49">
            <v>203.23833293000001</v>
          </cell>
          <cell r="E49">
            <v>199.90880817999999</v>
          </cell>
          <cell r="F49">
            <v>164.92103943000001</v>
          </cell>
          <cell r="G49">
            <v>191</v>
          </cell>
        </row>
        <row r="50">
          <cell r="B50">
            <v>160</v>
          </cell>
          <cell r="C50">
            <v>133.44646778000001</v>
          </cell>
          <cell r="D50">
            <v>113.75607237</v>
          </cell>
          <cell r="E50">
            <v>93.345840730000006</v>
          </cell>
          <cell r="F50">
            <v>85.786483390000001</v>
          </cell>
          <cell r="G50">
            <v>107</v>
          </cell>
        </row>
        <row r="51">
          <cell r="B51">
            <v>161</v>
          </cell>
          <cell r="C51">
            <v>168.33475161000001</v>
          </cell>
          <cell r="D51">
            <v>216.89141190000001</v>
          </cell>
          <cell r="E51">
            <v>227.6780656</v>
          </cell>
          <cell r="F51">
            <v>216.56710916</v>
          </cell>
          <cell r="G51">
            <v>207</v>
          </cell>
        </row>
        <row r="52">
          <cell r="B52">
            <v>162</v>
          </cell>
          <cell r="C52">
            <v>279.38976323000003</v>
          </cell>
          <cell r="D52">
            <v>395.96053931</v>
          </cell>
          <cell r="E52">
            <v>268.55995948000003</v>
          </cell>
          <cell r="F52">
            <v>425.92517061000001</v>
          </cell>
          <cell r="G52">
            <v>342</v>
          </cell>
        </row>
        <row r="53">
          <cell r="B53">
            <v>163</v>
          </cell>
          <cell r="C53">
            <v>362.25947298</v>
          </cell>
          <cell r="D53">
            <v>397.60616582</v>
          </cell>
          <cell r="E53">
            <v>357.14929185</v>
          </cell>
          <cell r="F53">
            <v>360.69134862999999</v>
          </cell>
          <cell r="G53">
            <v>369</v>
          </cell>
        </row>
        <row r="54">
          <cell r="B54">
            <v>164</v>
          </cell>
          <cell r="C54">
            <v>408.33950563999997</v>
          </cell>
          <cell r="D54">
            <v>358.58137362000002</v>
          </cell>
          <cell r="E54">
            <v>357.57897947000004</v>
          </cell>
          <cell r="F54">
            <v>418.45097127999998</v>
          </cell>
          <cell r="G54">
            <v>386</v>
          </cell>
        </row>
        <row r="55">
          <cell r="B55">
            <v>165</v>
          </cell>
          <cell r="C55">
            <v>727.75349038000002</v>
          </cell>
          <cell r="D55">
            <v>581.14035345000002</v>
          </cell>
          <cell r="E55">
            <v>636.41801812000006</v>
          </cell>
          <cell r="F55">
            <v>787.67935304999992</v>
          </cell>
          <cell r="G55">
            <v>683</v>
          </cell>
        </row>
        <row r="56">
          <cell r="B56">
            <v>166</v>
          </cell>
          <cell r="C56">
            <v>286.64495418000001</v>
          </cell>
          <cell r="D56">
            <v>229.96152803000001</v>
          </cell>
          <cell r="E56">
            <v>169.23885899000001</v>
          </cell>
          <cell r="F56">
            <v>211.53900216</v>
          </cell>
          <cell r="G56">
            <v>224</v>
          </cell>
        </row>
        <row r="57">
          <cell r="B57">
            <v>167</v>
          </cell>
          <cell r="C57">
            <v>55.174374329999999</v>
          </cell>
          <cell r="D57">
            <v>71.852670660000001</v>
          </cell>
          <cell r="E57">
            <v>82.212126239999989</v>
          </cell>
          <cell r="F57">
            <v>87.228269150000003</v>
          </cell>
          <cell r="G57">
            <v>74</v>
          </cell>
        </row>
        <row r="58">
          <cell r="B58">
            <v>168</v>
          </cell>
          <cell r="C58">
            <v>385.19997338999997</v>
          </cell>
          <cell r="D58">
            <v>395.20590002</v>
          </cell>
          <cell r="E58">
            <v>358.45043282</v>
          </cell>
          <cell r="F58">
            <v>322.07164454000002</v>
          </cell>
          <cell r="G58">
            <v>365</v>
          </cell>
        </row>
        <row r="59">
          <cell r="B59">
            <v>169</v>
          </cell>
          <cell r="C59">
            <v>181.12994061000001</v>
          </cell>
          <cell r="D59">
            <v>238.89959140000002</v>
          </cell>
          <cell r="E59">
            <v>265.04759811000002</v>
          </cell>
          <cell r="F59">
            <v>257.99099368999998</v>
          </cell>
          <cell r="G59">
            <v>236</v>
          </cell>
        </row>
        <row r="60">
          <cell r="B60">
            <v>170</v>
          </cell>
          <cell r="C60">
            <v>62.116244430000002</v>
          </cell>
          <cell r="D60">
            <v>79.003272680000009</v>
          </cell>
          <cell r="E60">
            <v>82.200841269999998</v>
          </cell>
          <cell r="F60">
            <v>76.114862900000006</v>
          </cell>
          <cell r="G60">
            <v>75</v>
          </cell>
        </row>
        <row r="61">
          <cell r="B61">
            <v>171</v>
          </cell>
          <cell r="C61">
            <v>185.39312312999999</v>
          </cell>
          <cell r="D61">
            <v>186.26745005000001</v>
          </cell>
          <cell r="E61">
            <v>194.16492954</v>
          </cell>
          <cell r="F61">
            <v>218.02511577000001</v>
          </cell>
          <cell r="G61">
            <v>196</v>
          </cell>
        </row>
        <row r="62">
          <cell r="B62">
            <v>172</v>
          </cell>
          <cell r="C62">
            <v>22.227493729999999</v>
          </cell>
          <cell r="D62">
            <v>22.81838866</v>
          </cell>
          <cell r="E62">
            <v>25.404096899999999</v>
          </cell>
          <cell r="F62">
            <v>22.035761090000001</v>
          </cell>
          <cell r="G62">
            <v>23</v>
          </cell>
        </row>
        <row r="63">
          <cell r="B63">
            <v>173</v>
          </cell>
          <cell r="C63">
            <v>108.24564134000001</v>
          </cell>
          <cell r="D63">
            <v>109.23458377999999</v>
          </cell>
          <cell r="E63">
            <v>114.30967423999999</v>
          </cell>
          <cell r="F63">
            <v>113.453261</v>
          </cell>
          <cell r="G63">
            <v>111</v>
          </cell>
        </row>
        <row r="64">
          <cell r="B64">
            <v>174</v>
          </cell>
          <cell r="C64">
            <v>293.94034531</v>
          </cell>
          <cell r="D64">
            <v>289.27419113999997</v>
          </cell>
          <cell r="E64">
            <v>307.31019017</v>
          </cell>
          <cell r="F64">
            <v>354.54903335</v>
          </cell>
          <cell r="G64">
            <v>311</v>
          </cell>
        </row>
        <row r="65">
          <cell r="B65">
            <v>175</v>
          </cell>
          <cell r="C65">
            <v>81.087351040000001</v>
          </cell>
          <cell r="D65">
            <v>74.391471449999997</v>
          </cell>
          <cell r="E65">
            <v>62.368604619999999</v>
          </cell>
          <cell r="F65">
            <v>48.87130707</v>
          </cell>
          <cell r="G65">
            <v>67</v>
          </cell>
        </row>
        <row r="66">
          <cell r="B66">
            <v>176</v>
          </cell>
          <cell r="C66">
            <v>288.39342342999998</v>
          </cell>
          <cell r="D66">
            <v>355.85756379000003</v>
          </cell>
          <cell r="E66">
            <v>393.42882507999997</v>
          </cell>
          <cell r="F66">
            <v>432.53013642000002</v>
          </cell>
          <cell r="G66">
            <v>368</v>
          </cell>
        </row>
        <row r="67">
          <cell r="B67">
            <v>178</v>
          </cell>
          <cell r="C67">
            <v>144.39027062</v>
          </cell>
          <cell r="D67">
            <v>146.45885102</v>
          </cell>
          <cell r="E67">
            <v>164.55080960000001</v>
          </cell>
          <cell r="F67">
            <v>190.19922231999999</v>
          </cell>
          <cell r="G67">
            <v>161</v>
          </cell>
        </row>
        <row r="68">
          <cell r="B68">
            <v>179</v>
          </cell>
          <cell r="C68">
            <v>516.81862844</v>
          </cell>
          <cell r="D68">
            <v>639.23089047000008</v>
          </cell>
          <cell r="E68">
            <v>661.18394233000004</v>
          </cell>
          <cell r="F68">
            <v>694.35327066000002</v>
          </cell>
          <cell r="G68">
            <v>628</v>
          </cell>
        </row>
        <row r="69">
          <cell r="B69">
            <v>180</v>
          </cell>
          <cell r="C69">
            <v>205.51026741999999</v>
          </cell>
          <cell r="D69">
            <v>204.25415649999999</v>
          </cell>
          <cell r="E69">
            <v>357.97481566000005</v>
          </cell>
          <cell r="F69">
            <v>520.61196529000006</v>
          </cell>
          <cell r="G69">
            <v>322</v>
          </cell>
        </row>
        <row r="70">
          <cell r="B70">
            <v>181</v>
          </cell>
          <cell r="C70">
            <v>362.79602829999999</v>
          </cell>
          <cell r="D70">
            <v>360.39668798000002</v>
          </cell>
          <cell r="E70">
            <v>315.83075077999996</v>
          </cell>
          <cell r="F70">
            <v>284.99669172</v>
          </cell>
          <cell r="G70">
            <v>331</v>
          </cell>
        </row>
        <row r="71">
          <cell r="B71">
            <v>182</v>
          </cell>
          <cell r="C71">
            <v>22.602814049999999</v>
          </cell>
          <cell r="D71">
            <v>32.538249530000002</v>
          </cell>
          <cell r="E71">
            <v>27.336339550000002</v>
          </cell>
          <cell r="F71">
            <v>25.132305429999999</v>
          </cell>
          <cell r="G71">
            <v>27</v>
          </cell>
        </row>
        <row r="72">
          <cell r="B72">
            <v>183</v>
          </cell>
          <cell r="C72">
            <v>58.812631670000002</v>
          </cell>
          <cell r="D72">
            <v>50.608870179999997</v>
          </cell>
          <cell r="E72">
            <v>49.391708630000004</v>
          </cell>
          <cell r="F72">
            <v>51.437219149999997</v>
          </cell>
          <cell r="G72">
            <v>53</v>
          </cell>
        </row>
        <row r="73">
          <cell r="B73">
            <v>185</v>
          </cell>
          <cell r="C73">
            <v>59.079277090000005</v>
          </cell>
          <cell r="D73">
            <v>65.393598830000002</v>
          </cell>
          <cell r="E73">
            <v>57.056771939999997</v>
          </cell>
          <cell r="F73">
            <v>64.925014450000006</v>
          </cell>
          <cell r="G73">
            <v>62</v>
          </cell>
        </row>
        <row r="74">
          <cell r="B74">
            <v>186</v>
          </cell>
          <cell r="C74">
            <v>38.326758170000005</v>
          </cell>
          <cell r="D74">
            <v>28.836348620000003</v>
          </cell>
          <cell r="E74">
            <v>25.337972920000002</v>
          </cell>
          <cell r="F74">
            <v>27.224995979999999</v>
          </cell>
          <cell r="G74">
            <v>30</v>
          </cell>
        </row>
        <row r="75">
          <cell r="B75">
            <v>187</v>
          </cell>
          <cell r="C75">
            <v>187.81270638000001</v>
          </cell>
          <cell r="D75">
            <v>186.78127631999999</v>
          </cell>
          <cell r="E75">
            <v>187.20476909999999</v>
          </cell>
          <cell r="F75">
            <v>158.85535894999998</v>
          </cell>
          <cell r="G75">
            <v>180</v>
          </cell>
        </row>
        <row r="76">
          <cell r="B76">
            <v>189</v>
          </cell>
          <cell r="C76">
            <v>246.42272143</v>
          </cell>
          <cell r="D76">
            <v>243.72683609999999</v>
          </cell>
          <cell r="E76">
            <v>222.05112646999999</v>
          </cell>
          <cell r="F76">
            <v>260.05446899999998</v>
          </cell>
          <cell r="G76">
            <v>243</v>
          </cell>
        </row>
        <row r="77">
          <cell r="B77">
            <v>190</v>
          </cell>
          <cell r="C77">
            <v>416.19737931999998</v>
          </cell>
          <cell r="D77">
            <v>562.34840112999996</v>
          </cell>
          <cell r="E77">
            <v>419.63789800000001</v>
          </cell>
          <cell r="F77">
            <v>459.58110033999998</v>
          </cell>
          <cell r="G77">
            <v>464</v>
          </cell>
        </row>
        <row r="78">
          <cell r="B78">
            <v>191</v>
          </cell>
          <cell r="C78">
            <v>27.42954756</v>
          </cell>
          <cell r="D78">
            <v>29.62346922</v>
          </cell>
          <cell r="E78">
            <v>38.378276670000005</v>
          </cell>
          <cell r="F78">
            <v>36.718793670000004</v>
          </cell>
          <cell r="G78">
            <v>33</v>
          </cell>
        </row>
        <row r="79">
          <cell r="B79">
            <v>192</v>
          </cell>
          <cell r="C79">
            <v>479.59106301999998</v>
          </cell>
          <cell r="D79">
            <v>485.85079482999998</v>
          </cell>
          <cell r="E79">
            <v>530.86672973999998</v>
          </cell>
          <cell r="F79">
            <v>549.63155204999998</v>
          </cell>
          <cell r="G79">
            <v>511</v>
          </cell>
        </row>
        <row r="80">
          <cell r="B80">
            <v>193</v>
          </cell>
          <cell r="C80">
            <v>458.07981805000003</v>
          </cell>
          <cell r="D80">
            <v>371.25857951999996</v>
          </cell>
          <cell r="E80">
            <v>323.08830424000001</v>
          </cell>
          <cell r="F80">
            <v>286.53390564</v>
          </cell>
          <cell r="G80">
            <v>360</v>
          </cell>
        </row>
        <row r="81">
          <cell r="B81">
            <v>194</v>
          </cell>
          <cell r="C81">
            <v>101.04125893000001</v>
          </cell>
          <cell r="D81">
            <v>87.526306959999999</v>
          </cell>
          <cell r="E81">
            <v>86.55548945999999</v>
          </cell>
          <cell r="F81">
            <v>92.822464519999997</v>
          </cell>
          <cell r="G81">
            <v>92</v>
          </cell>
        </row>
        <row r="82">
          <cell r="B82">
            <v>195</v>
          </cell>
          <cell r="C82">
            <v>22.461068530000002</v>
          </cell>
          <cell r="D82">
            <v>21.796927839999999</v>
          </cell>
          <cell r="E82">
            <v>22.015690450000001</v>
          </cell>
          <cell r="F82">
            <v>18.05979177</v>
          </cell>
          <cell r="G82">
            <v>21</v>
          </cell>
        </row>
        <row r="83">
          <cell r="B83">
            <v>196</v>
          </cell>
          <cell r="C83">
            <v>10.620493529999999</v>
          </cell>
          <cell r="D83">
            <v>14.39782224</v>
          </cell>
          <cell r="E83">
            <v>14.367290410000001</v>
          </cell>
          <cell r="F83">
            <v>19.879271550000002</v>
          </cell>
          <cell r="G83">
            <v>15</v>
          </cell>
        </row>
        <row r="84">
          <cell r="B84">
            <v>200</v>
          </cell>
          <cell r="C84">
            <v>140.52186054000001</v>
          </cell>
          <cell r="D84">
            <v>135.44661777000002</v>
          </cell>
          <cell r="E84">
            <v>140.63520448</v>
          </cell>
          <cell r="F84">
            <v>148.59470630999999</v>
          </cell>
          <cell r="G84">
            <v>141</v>
          </cell>
        </row>
        <row r="85">
          <cell r="B85">
            <v>201</v>
          </cell>
          <cell r="C85">
            <v>110.91269159000001</v>
          </cell>
          <cell r="D85">
            <v>110.00207201000001</v>
          </cell>
          <cell r="E85">
            <v>99.391774499999997</v>
          </cell>
          <cell r="F85">
            <v>92.515191959999996</v>
          </cell>
          <cell r="G85">
            <v>103</v>
          </cell>
        </row>
        <row r="86">
          <cell r="B86">
            <v>211</v>
          </cell>
          <cell r="C86">
            <v>52.94285532</v>
          </cell>
          <cell r="D86">
            <v>32.868217460000004</v>
          </cell>
          <cell r="E86">
            <v>16.890939739999997</v>
          </cell>
          <cell r="F86">
            <v>28.467643649999999</v>
          </cell>
          <cell r="G86">
            <v>33</v>
          </cell>
        </row>
        <row r="87">
          <cell r="B87">
            <v>220</v>
          </cell>
          <cell r="C87">
            <v>169.15660209999999</v>
          </cell>
          <cell r="D87">
            <v>231.79189352</v>
          </cell>
          <cell r="E87">
            <v>279.86018970999999</v>
          </cell>
          <cell r="F87">
            <v>302.65663370999999</v>
          </cell>
          <cell r="G87">
            <v>246</v>
          </cell>
        </row>
        <row r="88">
          <cell r="B88">
            <v>221</v>
          </cell>
          <cell r="C88">
            <v>3.9065531200000003</v>
          </cell>
          <cell r="D88">
            <v>6.0507618700000005</v>
          </cell>
          <cell r="E88">
            <v>21.418463260000003</v>
          </cell>
          <cell r="F88">
            <v>24.41291953</v>
          </cell>
          <cell r="G88">
            <v>14</v>
          </cell>
        </row>
        <row r="89">
          <cell r="B89">
            <v>240</v>
          </cell>
          <cell r="C89">
            <v>185.08389338000001</v>
          </cell>
          <cell r="D89">
            <v>169.71541463</v>
          </cell>
          <cell r="E89">
            <v>131.81388063</v>
          </cell>
          <cell r="F89">
            <v>80.27571021</v>
          </cell>
          <cell r="G89">
            <v>142</v>
          </cell>
        </row>
        <row r="90">
          <cell r="B90">
            <v>241</v>
          </cell>
          <cell r="C90">
            <v>368.31308998000003</v>
          </cell>
          <cell r="D90">
            <v>301.56268799000003</v>
          </cell>
          <cell r="E90">
            <v>331.89758768000002</v>
          </cell>
          <cell r="F90">
            <v>400.00947417000003</v>
          </cell>
          <cell r="G90">
            <v>350</v>
          </cell>
        </row>
        <row r="91">
          <cell r="B91">
            <v>242</v>
          </cell>
          <cell r="C91">
            <v>107.64345229000001</v>
          </cell>
          <cell r="D91">
            <v>99.660400190000004</v>
          </cell>
          <cell r="E91">
            <v>62.300945520000006</v>
          </cell>
          <cell r="F91">
            <v>54.202837259999995</v>
          </cell>
          <cell r="G91">
            <v>81</v>
          </cell>
        </row>
        <row r="92">
          <cell r="B92">
            <v>243</v>
          </cell>
          <cell r="C92">
            <v>110.42898502</v>
          </cell>
          <cell r="D92">
            <v>116.31307456</v>
          </cell>
          <cell r="E92">
            <v>137.93083987</v>
          </cell>
          <cell r="F92">
            <v>138.88123458000001</v>
          </cell>
          <cell r="G92">
            <v>126</v>
          </cell>
        </row>
        <row r="93">
          <cell r="B93">
            <v>244</v>
          </cell>
          <cell r="C93">
            <v>145.97069074999999</v>
          </cell>
          <cell r="D93">
            <v>119.44522261</v>
          </cell>
          <cell r="E93">
            <v>123.56954766</v>
          </cell>
          <cell r="F93">
            <v>98.1990962</v>
          </cell>
          <cell r="G93">
            <v>122</v>
          </cell>
        </row>
        <row r="94">
          <cell r="B94">
            <v>245</v>
          </cell>
          <cell r="C94">
            <v>107.93518913</v>
          </cell>
          <cell r="D94">
            <v>112.90509147</v>
          </cell>
          <cell r="E94">
            <v>102.17692072</v>
          </cell>
          <cell r="F94">
            <v>108.17070015</v>
          </cell>
          <cell r="G94">
            <v>108</v>
          </cell>
        </row>
        <row r="95">
          <cell r="B95">
            <v>247</v>
          </cell>
          <cell r="C95">
            <v>54.784909140000003</v>
          </cell>
          <cell r="D95">
            <v>58.214301169999999</v>
          </cell>
          <cell r="E95">
            <v>59.659794979999994</v>
          </cell>
          <cell r="F95">
            <v>53.340413429999998</v>
          </cell>
          <cell r="G95">
            <v>56</v>
          </cell>
        </row>
        <row r="96">
          <cell r="B96">
            <v>248</v>
          </cell>
          <cell r="C96">
            <v>391.93281314000001</v>
          </cell>
          <cell r="D96">
            <v>585.57574297000008</v>
          </cell>
          <cell r="E96">
            <v>1234.7650934800001</v>
          </cell>
          <cell r="F96">
            <v>1202.13113808</v>
          </cell>
          <cell r="G96">
            <v>854</v>
          </cell>
        </row>
        <row r="97">
          <cell r="C97">
            <v>0</v>
          </cell>
          <cell r="D97">
            <v>0</v>
          </cell>
          <cell r="E97">
            <v>0.49230525000000003</v>
          </cell>
          <cell r="F97">
            <v>0</v>
          </cell>
          <cell r="G97">
            <v>0</v>
          </cell>
        </row>
        <row r="98">
          <cell r="B98">
            <v>250</v>
          </cell>
          <cell r="C98">
            <v>49.994799990000004</v>
          </cell>
          <cell r="D98">
            <v>50.58390009</v>
          </cell>
          <cell r="E98">
            <v>55.802191110000003</v>
          </cell>
          <cell r="F98">
            <v>52.221629409999998</v>
          </cell>
          <cell r="G98">
            <v>52</v>
          </cell>
        </row>
        <row r="99">
          <cell r="B99">
            <v>251</v>
          </cell>
          <cell r="C99">
            <v>27.72353635</v>
          </cell>
          <cell r="D99">
            <v>35.562349329999996</v>
          </cell>
          <cell r="E99">
            <v>37.222007240000003</v>
          </cell>
          <cell r="F99">
            <v>33.654012899999998</v>
          </cell>
          <cell r="G99">
            <v>34</v>
          </cell>
        </row>
        <row r="100">
          <cell r="B100">
            <v>252</v>
          </cell>
          <cell r="C100">
            <v>354.96622771</v>
          </cell>
          <cell r="D100">
            <v>203.34624724</v>
          </cell>
          <cell r="E100">
            <v>162.82874786000002</v>
          </cell>
          <cell r="F100">
            <v>212.22792358000001</v>
          </cell>
          <cell r="G100">
            <v>233</v>
          </cell>
        </row>
        <row r="101">
          <cell r="B101">
            <v>260</v>
          </cell>
          <cell r="C101">
            <v>18.36988354</v>
          </cell>
          <cell r="D101">
            <v>12.00561491</v>
          </cell>
          <cell r="E101">
            <v>16.712484570000001</v>
          </cell>
          <cell r="F101">
            <v>19.012815159999999</v>
          </cell>
          <cell r="G101">
            <v>17</v>
          </cell>
        </row>
        <row r="102">
          <cell r="B102">
            <v>300</v>
          </cell>
          <cell r="C102">
            <v>179.23340592</v>
          </cell>
          <cell r="D102">
            <v>77.322543469999999</v>
          </cell>
          <cell r="E102">
            <v>33.97363782</v>
          </cell>
          <cell r="F102">
            <v>31.917382199999999</v>
          </cell>
          <cell r="G102">
            <v>81</v>
          </cell>
        </row>
        <row r="103">
          <cell r="B103">
            <v>301</v>
          </cell>
          <cell r="C103">
            <v>33.004488359999996</v>
          </cell>
          <cell r="D103">
            <v>69.136488589999999</v>
          </cell>
          <cell r="E103">
            <v>82.853215750000004</v>
          </cell>
          <cell r="F103">
            <v>89.631616340000008</v>
          </cell>
          <cell r="G103">
            <v>69</v>
          </cell>
        </row>
        <row r="104">
          <cell r="B104">
            <v>302</v>
          </cell>
          <cell r="C104">
            <v>310.87866011</v>
          </cell>
          <cell r="D104">
            <v>401.54329331000002</v>
          </cell>
          <cell r="E104">
            <v>550.10261101000003</v>
          </cell>
          <cell r="F104">
            <v>618.79497804999994</v>
          </cell>
          <cell r="G104">
            <v>470</v>
          </cell>
        </row>
        <row r="105">
          <cell r="B105">
            <v>310</v>
          </cell>
          <cell r="C105">
            <v>8.8447037699999989</v>
          </cell>
          <cell r="D105">
            <v>16.773027550000002</v>
          </cell>
          <cell r="E105">
            <v>34.075939179999999</v>
          </cell>
          <cell r="F105">
            <v>34.158399289999998</v>
          </cell>
          <cell r="G105">
            <v>23</v>
          </cell>
        </row>
        <row r="106">
          <cell r="B106">
            <v>320</v>
          </cell>
          <cell r="C106">
            <v>148.79895493999999</v>
          </cell>
          <cell r="D106">
            <v>114.56260066999999</v>
          </cell>
          <cell r="E106">
            <v>108.7038721</v>
          </cell>
          <cell r="F106">
            <v>195.42067978</v>
          </cell>
          <cell r="G106">
            <v>142</v>
          </cell>
        </row>
        <row r="107">
          <cell r="B107">
            <v>321</v>
          </cell>
          <cell r="C107">
            <v>35.695107960000001</v>
          </cell>
          <cell r="D107">
            <v>33.637905700000005</v>
          </cell>
          <cell r="E107">
            <v>32.217773049999998</v>
          </cell>
          <cell r="F107">
            <v>35.296071789999999</v>
          </cell>
          <cell r="G107">
            <v>34</v>
          </cell>
        </row>
        <row r="108">
          <cell r="B108">
            <v>322</v>
          </cell>
          <cell r="C108">
            <v>79.754664869999999</v>
          </cell>
          <cell r="D108">
            <v>54.947768500000002</v>
          </cell>
          <cell r="E108">
            <v>55.338825469999996</v>
          </cell>
          <cell r="F108">
            <v>55.936588540000002</v>
          </cell>
          <cell r="G108">
            <v>61</v>
          </cell>
        </row>
        <row r="109">
          <cell r="B109">
            <v>323</v>
          </cell>
          <cell r="C109">
            <v>250.70442058</v>
          </cell>
          <cell r="D109">
            <v>315.69273176999997</v>
          </cell>
          <cell r="E109">
            <v>245.67194068999999</v>
          </cell>
          <cell r="F109">
            <v>225.88624467</v>
          </cell>
          <cell r="G109">
            <v>259</v>
          </cell>
        </row>
        <row r="110">
          <cell r="B110">
            <v>351</v>
          </cell>
          <cell r="C110">
            <v>55.779671159999999</v>
          </cell>
          <cell r="D110">
            <v>54.511131549999995</v>
          </cell>
          <cell r="E110">
            <v>61.021160340000002</v>
          </cell>
          <cell r="F110">
            <v>54.237628170000001</v>
          </cell>
          <cell r="G110">
            <v>56</v>
          </cell>
        </row>
        <row r="111">
          <cell r="B111">
            <v>400</v>
          </cell>
          <cell r="C111">
            <v>249.10453906000001</v>
          </cell>
          <cell r="D111">
            <v>205.55534727</v>
          </cell>
          <cell r="E111">
            <v>187.84927691999999</v>
          </cell>
          <cell r="F111">
            <v>226.88687146000001</v>
          </cell>
          <cell r="G111">
            <v>217</v>
          </cell>
        </row>
        <row r="112">
          <cell r="B112">
            <v>401</v>
          </cell>
          <cell r="C112">
            <v>8.0420831100000001</v>
          </cell>
          <cell r="D112">
            <v>1.46805048</v>
          </cell>
          <cell r="E112">
            <v>0.44442466999999997</v>
          </cell>
          <cell r="F112">
            <v>1.4375929199999999</v>
          </cell>
          <cell r="G112">
            <v>3</v>
          </cell>
        </row>
        <row r="113">
          <cell r="B113">
            <v>402</v>
          </cell>
          <cell r="C113">
            <v>93.149812780000005</v>
          </cell>
          <cell r="D113">
            <v>87.590812930000013</v>
          </cell>
          <cell r="E113">
            <v>87.391526450000001</v>
          </cell>
          <cell r="F113">
            <v>99.547467859999998</v>
          </cell>
          <cell r="G113">
            <v>92</v>
          </cell>
        </row>
        <row r="114">
          <cell r="B114">
            <v>403</v>
          </cell>
          <cell r="C114">
            <v>60.189040499999997</v>
          </cell>
          <cell r="D114">
            <v>58.052808429999999</v>
          </cell>
          <cell r="E114">
            <v>57.360245020000001</v>
          </cell>
          <cell r="F114">
            <v>56.034044850000001</v>
          </cell>
          <cell r="G114">
            <v>58</v>
          </cell>
        </row>
        <row r="115">
          <cell r="B115">
            <v>420</v>
          </cell>
          <cell r="C115">
            <v>386.33769606999999</v>
          </cell>
          <cell r="D115">
            <v>395.46206411999998</v>
          </cell>
          <cell r="E115">
            <v>359.26253427</v>
          </cell>
          <cell r="F115">
            <v>379.78749350999999</v>
          </cell>
          <cell r="G115">
            <v>380</v>
          </cell>
        </row>
        <row r="116">
          <cell r="B116">
            <v>421</v>
          </cell>
          <cell r="C116">
            <v>106.2024488</v>
          </cell>
          <cell r="D116">
            <v>146.54621272</v>
          </cell>
          <cell r="E116">
            <v>155.73146499999999</v>
          </cell>
          <cell r="F116">
            <v>153.17071769999998</v>
          </cell>
          <cell r="G116">
            <v>140</v>
          </cell>
        </row>
        <row r="117">
          <cell r="B117">
            <v>422</v>
          </cell>
          <cell r="C117">
            <v>44.911685499999997</v>
          </cell>
          <cell r="D117">
            <v>140.75297659</v>
          </cell>
          <cell r="E117">
            <v>150.76862628999999</v>
          </cell>
          <cell r="F117">
            <v>75.160795090000008</v>
          </cell>
          <cell r="G117">
            <v>103</v>
          </cell>
        </row>
        <row r="118">
          <cell r="B118">
            <v>423</v>
          </cell>
          <cell r="C118">
            <v>172.40677323</v>
          </cell>
          <cell r="D118">
            <v>156.08207218999999</v>
          </cell>
          <cell r="E118">
            <v>134.96027869</v>
          </cell>
          <cell r="F118">
            <v>150.63964190000002</v>
          </cell>
          <cell r="G118">
            <v>154</v>
          </cell>
        </row>
        <row r="119">
          <cell r="B119">
            <v>424</v>
          </cell>
          <cell r="C119">
            <v>115.76753716</v>
          </cell>
          <cell r="D119">
            <v>124.07434162999999</v>
          </cell>
          <cell r="E119">
            <v>118.31219351999999</v>
          </cell>
          <cell r="F119">
            <v>77.012329579999999</v>
          </cell>
          <cell r="G119">
            <v>109</v>
          </cell>
        </row>
        <row r="120">
          <cell r="B120">
            <v>425</v>
          </cell>
          <cell r="C120">
            <v>73.620961609999995</v>
          </cell>
          <cell r="D120">
            <v>80.117748050000003</v>
          </cell>
          <cell r="E120">
            <v>78.807485360000001</v>
          </cell>
          <cell r="F120">
            <v>80.952845209999992</v>
          </cell>
          <cell r="G120">
            <v>78</v>
          </cell>
        </row>
        <row r="121">
          <cell r="B121">
            <v>426</v>
          </cell>
          <cell r="C121">
            <v>51.874437210000004</v>
          </cell>
          <cell r="D121">
            <v>68.529809629999988</v>
          </cell>
          <cell r="E121">
            <v>80.440172610000005</v>
          </cell>
          <cell r="F121">
            <v>73.852331680000006</v>
          </cell>
          <cell r="G121">
            <v>69</v>
          </cell>
        </row>
        <row r="122">
          <cell r="B122">
            <v>427</v>
          </cell>
          <cell r="C122">
            <v>113.43242531</v>
          </cell>
          <cell r="D122">
            <v>110.11118872</v>
          </cell>
          <cell r="E122">
            <v>110.00824824999999</v>
          </cell>
          <cell r="F122">
            <v>106.76714637000001</v>
          </cell>
          <cell r="G122">
            <v>110</v>
          </cell>
        </row>
        <row r="123">
          <cell r="B123">
            <v>429</v>
          </cell>
          <cell r="C123">
            <v>40.829498639999997</v>
          </cell>
          <cell r="D123">
            <v>30.34458523</v>
          </cell>
          <cell r="E123">
            <v>33.311725819999999</v>
          </cell>
          <cell r="F123">
            <v>39.701236850000001</v>
          </cell>
          <cell r="G123">
            <v>36</v>
          </cell>
        </row>
        <row r="124">
          <cell r="B124">
            <v>430</v>
          </cell>
          <cell r="C124">
            <v>92.717525879999997</v>
          </cell>
          <cell r="D124">
            <v>98.39966063</v>
          </cell>
          <cell r="E124">
            <v>91.912701080000005</v>
          </cell>
          <cell r="F124">
            <v>70.293004980000006</v>
          </cell>
          <cell r="G124">
            <v>88</v>
          </cell>
        </row>
        <row r="125">
          <cell r="B125">
            <v>451</v>
          </cell>
          <cell r="C125">
            <v>191.14750088</v>
          </cell>
          <cell r="D125">
            <v>172.53257052000001</v>
          </cell>
          <cell r="E125">
            <v>201.16517684000002</v>
          </cell>
          <cell r="F125">
            <v>202.51720943000001</v>
          </cell>
          <cell r="G125">
            <v>192</v>
          </cell>
        </row>
        <row r="126">
          <cell r="B126">
            <v>500</v>
          </cell>
          <cell r="C126">
            <v>3.5773794199999998</v>
          </cell>
          <cell r="D126">
            <v>2.6672776000000002</v>
          </cell>
          <cell r="E126">
            <v>2.8476869100000002</v>
          </cell>
          <cell r="F126">
            <v>15.200633529999999</v>
          </cell>
          <cell r="G126">
            <v>6</v>
          </cell>
        </row>
        <row r="127">
          <cell r="B127">
            <v>501</v>
          </cell>
          <cell r="C127">
            <v>194.20558315</v>
          </cell>
          <cell r="D127">
            <v>181.10783334999999</v>
          </cell>
          <cell r="E127">
            <v>152.14311115000001</v>
          </cell>
          <cell r="F127">
            <v>129.72326264</v>
          </cell>
          <cell r="G127">
            <v>164</v>
          </cell>
        </row>
        <row r="128">
          <cell r="B128">
            <v>520</v>
          </cell>
          <cell r="C128">
            <v>184.46024563</v>
          </cell>
          <cell r="D128">
            <v>206.70760292</v>
          </cell>
          <cell r="E128">
            <v>235.47126419999998</v>
          </cell>
          <cell r="F128">
            <v>264.13439022</v>
          </cell>
          <cell r="G128">
            <v>223</v>
          </cell>
        </row>
        <row r="129">
          <cell r="B129">
            <v>521</v>
          </cell>
          <cell r="C129">
            <v>317.72073760000001</v>
          </cell>
          <cell r="D129">
            <v>305.79550712000002</v>
          </cell>
          <cell r="E129">
            <v>350.59071625999997</v>
          </cell>
          <cell r="F129">
            <v>318.83816791999999</v>
          </cell>
          <cell r="G129">
            <v>323</v>
          </cell>
        </row>
        <row r="130">
          <cell r="B130">
            <v>522</v>
          </cell>
          <cell r="C130">
            <v>673.58352415000002</v>
          </cell>
          <cell r="D130">
            <v>625.88663297000005</v>
          </cell>
          <cell r="E130">
            <v>705.48668057000009</v>
          </cell>
          <cell r="F130">
            <v>753.07004255999993</v>
          </cell>
          <cell r="G130">
            <v>690</v>
          </cell>
        </row>
        <row r="131">
          <cell r="B131">
            <v>523</v>
          </cell>
          <cell r="C131">
            <v>116.50570886</v>
          </cell>
          <cell r="D131">
            <v>129.34105948000001</v>
          </cell>
          <cell r="E131">
            <v>93.251372939999996</v>
          </cell>
          <cell r="F131">
            <v>102.57119713</v>
          </cell>
          <cell r="G131">
            <v>110</v>
          </cell>
        </row>
        <row r="132">
          <cell r="B132">
            <v>524</v>
          </cell>
          <cell r="C132">
            <v>83.115666540000007</v>
          </cell>
          <cell r="D132">
            <v>87.491284709999988</v>
          </cell>
          <cell r="E132">
            <v>93.335545499999995</v>
          </cell>
          <cell r="F132">
            <v>80.576661430000001</v>
          </cell>
          <cell r="G132">
            <v>86</v>
          </cell>
        </row>
        <row r="133">
          <cell r="B133">
            <v>540</v>
          </cell>
          <cell r="C133">
            <v>43.343633840000003</v>
          </cell>
          <cell r="D133">
            <v>49.829844380000004</v>
          </cell>
          <cell r="E133">
            <v>46.246892430000003</v>
          </cell>
          <cell r="F133">
            <v>102.13178895999999</v>
          </cell>
          <cell r="G133">
            <v>60</v>
          </cell>
        </row>
        <row r="134">
          <cell r="B134">
            <v>541</v>
          </cell>
          <cell r="C134">
            <v>132.62779148999999</v>
          </cell>
          <cell r="D134">
            <v>132.4915106</v>
          </cell>
          <cell r="E134">
            <v>146.19159630000001</v>
          </cell>
          <cell r="F134">
            <v>166.55253012</v>
          </cell>
          <cell r="G134">
            <v>144</v>
          </cell>
        </row>
        <row r="135">
          <cell r="B135">
            <v>542</v>
          </cell>
          <cell r="C135">
            <v>1.0696578700000001</v>
          </cell>
          <cell r="D135">
            <v>1.0696578700000001</v>
          </cell>
          <cell r="E135">
            <v>1.0696578700000001</v>
          </cell>
          <cell r="F135">
            <v>1.0696578700000001</v>
          </cell>
          <cell r="G135">
            <v>1</v>
          </cell>
        </row>
        <row r="136">
          <cell r="B136">
            <v>543</v>
          </cell>
          <cell r="C136">
            <v>7.1483347999999998</v>
          </cell>
          <cell r="D136">
            <v>8.238382549999999</v>
          </cell>
          <cell r="E136">
            <v>6.3155958400000003</v>
          </cell>
          <cell r="F136">
            <v>5.7195935899999997</v>
          </cell>
          <cell r="G136">
            <v>7</v>
          </cell>
        </row>
        <row r="137">
          <cell r="B137">
            <v>600</v>
          </cell>
          <cell r="C137">
            <v>112.54379579</v>
          </cell>
          <cell r="D137">
            <v>104.86714192000001</v>
          </cell>
          <cell r="E137">
            <v>67.817101940000001</v>
          </cell>
          <cell r="F137">
            <v>73.229673590000004</v>
          </cell>
          <cell r="G137">
            <v>90</v>
          </cell>
        </row>
        <row r="138">
          <cell r="B138">
            <v>601</v>
          </cell>
          <cell r="C138">
            <v>32.205642709999999</v>
          </cell>
          <cell r="D138">
            <v>33.68312298</v>
          </cell>
          <cell r="E138">
            <v>42.577415810000005</v>
          </cell>
          <cell r="F138">
            <v>46.623646479999998</v>
          </cell>
          <cell r="G138">
            <v>39</v>
          </cell>
        </row>
        <row r="139">
          <cell r="B139">
            <v>602</v>
          </cell>
          <cell r="C139">
            <v>1.267431</v>
          </cell>
          <cell r="D139">
            <v>0</v>
          </cell>
          <cell r="E139">
            <v>0</v>
          </cell>
          <cell r="F139">
            <v>12.839738259999999</v>
          </cell>
          <cell r="G139">
            <v>4</v>
          </cell>
        </row>
        <row r="140">
          <cell r="B140">
            <v>620</v>
          </cell>
          <cell r="C140">
            <v>134.57403890000001</v>
          </cell>
          <cell r="D140">
            <v>142.39549996</v>
          </cell>
          <cell r="E140">
            <v>125.86836989</v>
          </cell>
          <cell r="F140">
            <v>94.411987790000012</v>
          </cell>
          <cell r="G140">
            <v>124</v>
          </cell>
        </row>
        <row r="141">
          <cell r="B141">
            <v>621</v>
          </cell>
          <cell r="C141">
            <v>120.84233433</v>
          </cell>
          <cell r="D141">
            <v>129.66131529999998</v>
          </cell>
          <cell r="E141">
            <v>122.54151741</v>
          </cell>
          <cell r="F141">
            <v>128.34782648000001</v>
          </cell>
          <cell r="G141">
            <v>125</v>
          </cell>
        </row>
        <row r="142">
          <cell r="B142">
            <v>622</v>
          </cell>
          <cell r="C142">
            <v>239.54250986000002</v>
          </cell>
          <cell r="D142">
            <v>347.27322307999998</v>
          </cell>
          <cell r="E142">
            <v>146.42058663999998</v>
          </cell>
          <cell r="F142">
            <v>148.57517706000002</v>
          </cell>
          <cell r="G142">
            <v>220</v>
          </cell>
        </row>
        <row r="143">
          <cell r="B143">
            <v>640</v>
          </cell>
          <cell r="C143">
            <v>2488.8348299099998</v>
          </cell>
          <cell r="D143">
            <v>2402.98843304</v>
          </cell>
          <cell r="E143">
            <v>2599.5516847399999</v>
          </cell>
          <cell r="F143">
            <v>2870.3534167500002</v>
          </cell>
          <cell r="G143">
            <v>2590</v>
          </cell>
        </row>
        <row r="144">
          <cell r="B144">
            <v>642</v>
          </cell>
          <cell r="C144">
            <v>242.34113484</v>
          </cell>
          <cell r="D144">
            <v>289.81319543000001</v>
          </cell>
          <cell r="E144">
            <v>277.09937726999999</v>
          </cell>
          <cell r="F144">
            <v>321.72770463000001</v>
          </cell>
          <cell r="G144">
            <v>283</v>
          </cell>
        </row>
        <row r="145">
          <cell r="B145">
            <v>643</v>
          </cell>
          <cell r="C145">
            <v>354.01339105</v>
          </cell>
          <cell r="D145">
            <v>388.16141292999998</v>
          </cell>
          <cell r="E145">
            <v>429.99306331000003</v>
          </cell>
          <cell r="F145">
            <v>447.34359451999995</v>
          </cell>
          <cell r="G145">
            <v>405</v>
          </cell>
        </row>
        <row r="146">
          <cell r="B146">
            <v>644</v>
          </cell>
          <cell r="C146">
            <v>402.90702160000001</v>
          </cell>
          <cell r="D146">
            <v>496.28675229999999</v>
          </cell>
          <cell r="E146">
            <v>551.50772345000007</v>
          </cell>
          <cell r="F146">
            <v>643.55050158000006</v>
          </cell>
          <cell r="G146">
            <v>524</v>
          </cell>
        </row>
        <row r="147">
          <cell r="B147">
            <v>645</v>
          </cell>
          <cell r="C147">
            <v>86.463237309999997</v>
          </cell>
          <cell r="D147">
            <v>96.286622919999999</v>
          </cell>
          <cell r="E147">
            <v>92.863362120000005</v>
          </cell>
          <cell r="F147">
            <v>76.563336000000007</v>
          </cell>
          <cell r="G147">
            <v>88</v>
          </cell>
        </row>
        <row r="148">
          <cell r="C148">
            <v>0</v>
          </cell>
          <cell r="D148">
            <v>0</v>
          </cell>
          <cell r="E148">
            <v>0</v>
          </cell>
          <cell r="F148">
            <v>0.30317809999999995</v>
          </cell>
          <cell r="G148">
            <v>0</v>
          </cell>
        </row>
        <row r="149">
          <cell r="B149">
            <v>647</v>
          </cell>
          <cell r="C149">
            <v>293.10372276999999</v>
          </cell>
          <cell r="D149">
            <v>255.29592326</v>
          </cell>
          <cell r="E149">
            <v>229.17499619999998</v>
          </cell>
          <cell r="F149">
            <v>210.77229513999998</v>
          </cell>
          <cell r="G149">
            <v>247</v>
          </cell>
        </row>
        <row r="150">
          <cell r="B150">
            <v>648</v>
          </cell>
          <cell r="C150">
            <v>56.53427645</v>
          </cell>
          <cell r="D150">
            <v>70.300174549999994</v>
          </cell>
          <cell r="E150">
            <v>70.17741706999999</v>
          </cell>
          <cell r="F150">
            <v>83.834295280000006</v>
          </cell>
          <cell r="G150">
            <v>70</v>
          </cell>
        </row>
        <row r="151">
          <cell r="B151">
            <v>681</v>
          </cell>
          <cell r="C151">
            <v>189.49716956</v>
          </cell>
          <cell r="D151">
            <v>221.25715283000002</v>
          </cell>
          <cell r="E151">
            <v>236.31244437999999</v>
          </cell>
          <cell r="F151">
            <v>236.80369483999999</v>
          </cell>
          <cell r="G151">
            <v>221</v>
          </cell>
        </row>
        <row r="152">
          <cell r="B152">
            <v>700</v>
          </cell>
          <cell r="C152">
            <v>1633.99914459</v>
          </cell>
          <cell r="D152">
            <v>1489.1048441199998</v>
          </cell>
          <cell r="E152">
            <v>1459.3043581900001</v>
          </cell>
          <cell r="F152">
            <v>1154.7383892400001</v>
          </cell>
          <cell r="G152">
            <v>1434</v>
          </cell>
        </row>
        <row r="153">
          <cell r="B153">
            <v>701</v>
          </cell>
          <cell r="C153">
            <v>112.96574365000001</v>
          </cell>
          <cell r="D153">
            <v>117.410876</v>
          </cell>
          <cell r="E153">
            <v>148.05119722000001</v>
          </cell>
          <cell r="F153">
            <v>180.95009512999999</v>
          </cell>
          <cell r="G153">
            <v>140</v>
          </cell>
        </row>
        <row r="154">
          <cell r="B154">
            <v>702</v>
          </cell>
          <cell r="C154">
            <v>701.18985939999993</v>
          </cell>
          <cell r="D154">
            <v>674.84231530999989</v>
          </cell>
          <cell r="E154">
            <v>765.90920366</v>
          </cell>
          <cell r="F154">
            <v>677.47494615999994</v>
          </cell>
          <cell r="G154">
            <v>705</v>
          </cell>
        </row>
        <row r="155">
          <cell r="B155">
            <v>703</v>
          </cell>
          <cell r="C155">
            <v>416.48718385000001</v>
          </cell>
          <cell r="D155">
            <v>364.86009655999999</v>
          </cell>
          <cell r="E155">
            <v>296.96184837999999</v>
          </cell>
          <cell r="F155">
            <v>308.66011452999999</v>
          </cell>
          <cell r="G155">
            <v>347</v>
          </cell>
        </row>
        <row r="156">
          <cell r="B156">
            <v>704</v>
          </cell>
          <cell r="C156">
            <v>299.38258361999999</v>
          </cell>
          <cell r="D156">
            <v>287.70761630999999</v>
          </cell>
          <cell r="E156">
            <v>311.75650789999997</v>
          </cell>
          <cell r="F156">
            <v>287.59474969999997</v>
          </cell>
          <cell r="G156">
            <v>297</v>
          </cell>
        </row>
        <row r="157">
          <cell r="B157">
            <v>705</v>
          </cell>
          <cell r="C157">
            <v>196.34019756999999</v>
          </cell>
          <cell r="D157">
            <v>181.16361653999999</v>
          </cell>
          <cell r="E157">
            <v>149.34342733000003</v>
          </cell>
          <cell r="F157">
            <v>140.59793718</v>
          </cell>
          <cell r="G157">
            <v>167</v>
          </cell>
        </row>
        <row r="158">
          <cell r="B158">
            <v>706</v>
          </cell>
          <cell r="C158">
            <v>208.48944643999999</v>
          </cell>
          <cell r="D158">
            <v>251.10571658000001</v>
          </cell>
          <cell r="E158">
            <v>210.62578236000002</v>
          </cell>
          <cell r="F158">
            <v>248.70128603999999</v>
          </cell>
          <cell r="G158">
            <v>230</v>
          </cell>
        </row>
        <row r="159">
          <cell r="B159">
            <v>707</v>
          </cell>
          <cell r="C159">
            <v>142.53272808000003</v>
          </cell>
          <cell r="D159">
            <v>207.00810324</v>
          </cell>
          <cell r="E159">
            <v>199.32682559</v>
          </cell>
          <cell r="F159">
            <v>200.44424791</v>
          </cell>
          <cell r="G159">
            <v>187</v>
          </cell>
        </row>
        <row r="160">
          <cell r="B160">
            <v>708</v>
          </cell>
          <cell r="C160">
            <v>521.23922470000002</v>
          </cell>
          <cell r="D160">
            <v>478.25350467999999</v>
          </cell>
          <cell r="E160">
            <v>515.53570104000005</v>
          </cell>
          <cell r="F160">
            <v>619.06866740999999</v>
          </cell>
          <cell r="G160">
            <v>534</v>
          </cell>
        </row>
        <row r="161">
          <cell r="B161">
            <v>709</v>
          </cell>
          <cell r="C161">
            <v>32.178593859999999</v>
          </cell>
          <cell r="D161">
            <v>25.789709800000001</v>
          </cell>
          <cell r="E161">
            <v>23.003575940000001</v>
          </cell>
          <cell r="F161">
            <v>27.12419998</v>
          </cell>
          <cell r="G161">
            <v>27</v>
          </cell>
        </row>
        <row r="162">
          <cell r="B162">
            <v>710</v>
          </cell>
          <cell r="C162">
            <v>361.19169897</v>
          </cell>
          <cell r="D162">
            <v>429.35259281999998</v>
          </cell>
          <cell r="E162">
            <v>462.298813</v>
          </cell>
          <cell r="F162">
            <v>340.14501116000002</v>
          </cell>
          <cell r="G162">
            <v>398</v>
          </cell>
        </row>
        <row r="163">
          <cell r="B163">
            <v>711</v>
          </cell>
          <cell r="C163">
            <v>62.900599390000004</v>
          </cell>
          <cell r="D163">
            <v>72.29952892</v>
          </cell>
          <cell r="E163">
            <v>83.49346156</v>
          </cell>
          <cell r="F163">
            <v>97.122104329999999</v>
          </cell>
          <cell r="G163">
            <v>79</v>
          </cell>
        </row>
        <row r="164">
          <cell r="B164">
            <v>719</v>
          </cell>
          <cell r="C164">
            <v>484.46302932999998</v>
          </cell>
          <cell r="D164">
            <v>469.53545966000001</v>
          </cell>
          <cell r="E164">
            <v>472.61522771</v>
          </cell>
          <cell r="F164">
            <v>446.42291248000004</v>
          </cell>
          <cell r="G164">
            <v>468</v>
          </cell>
        </row>
        <row r="165">
          <cell r="B165">
            <v>720</v>
          </cell>
          <cell r="C165">
            <v>87.036190560000009</v>
          </cell>
          <cell r="D165">
            <v>90.420162019999992</v>
          </cell>
          <cell r="E165">
            <v>94.889462760000001</v>
          </cell>
          <cell r="F165">
            <v>93.263051069999989</v>
          </cell>
          <cell r="G165">
            <v>91</v>
          </cell>
        </row>
        <row r="166">
          <cell r="B166">
            <v>721</v>
          </cell>
          <cell r="C166">
            <v>96.166062209999993</v>
          </cell>
          <cell r="D166">
            <v>81.56168876000001</v>
          </cell>
          <cell r="E166">
            <v>93.274318280000003</v>
          </cell>
          <cell r="F166">
            <v>105.78734823000001</v>
          </cell>
          <cell r="G166">
            <v>94</v>
          </cell>
        </row>
        <row r="167">
          <cell r="B167">
            <v>750</v>
          </cell>
          <cell r="C167">
            <v>77.671613809999997</v>
          </cell>
          <cell r="D167">
            <v>89.215731480000002</v>
          </cell>
          <cell r="E167">
            <v>90.009160590000008</v>
          </cell>
          <cell r="F167">
            <v>91.629758299999992</v>
          </cell>
          <cell r="G167">
            <v>87</v>
          </cell>
        </row>
        <row r="168">
          <cell r="B168">
            <v>751</v>
          </cell>
          <cell r="C168">
            <v>138.79833066999998</v>
          </cell>
          <cell r="D168">
            <v>145.82348879</v>
          </cell>
          <cell r="E168">
            <v>127.32242648</v>
          </cell>
          <cell r="F168">
            <v>125.5432675</v>
          </cell>
          <cell r="G168">
            <v>134</v>
          </cell>
        </row>
        <row r="169">
          <cell r="B169">
            <v>752</v>
          </cell>
          <cell r="C169">
            <v>5.9049700999999999</v>
          </cell>
          <cell r="D169">
            <v>6.4870306500000003</v>
          </cell>
          <cell r="E169">
            <v>3.2681232400000004</v>
          </cell>
          <cell r="F169">
            <v>3.1333547599999996</v>
          </cell>
          <cell r="G169">
            <v>5</v>
          </cell>
        </row>
        <row r="170">
          <cell r="B170">
            <v>753</v>
          </cell>
          <cell r="C170">
            <v>202.95524753000001</v>
          </cell>
          <cell r="D170">
            <v>216.90168958000001</v>
          </cell>
          <cell r="E170">
            <v>208.09887666</v>
          </cell>
          <cell r="F170">
            <v>231.60909713000001</v>
          </cell>
          <cell r="G170">
            <v>215</v>
          </cell>
        </row>
        <row r="171">
          <cell r="C171">
            <v>0</v>
          </cell>
          <cell r="D171">
            <v>0</v>
          </cell>
          <cell r="E171">
            <v>0</v>
          </cell>
          <cell r="F171">
            <v>2.3497462900000001</v>
          </cell>
          <cell r="G171">
            <v>1</v>
          </cell>
        </row>
        <row r="172">
          <cell r="B172">
            <v>765</v>
          </cell>
          <cell r="C172">
            <v>0.48727328999999997</v>
          </cell>
          <cell r="D172">
            <v>0.48727328999999997</v>
          </cell>
          <cell r="E172">
            <v>0.93474035</v>
          </cell>
          <cell r="F172">
            <v>1.2071023400000001</v>
          </cell>
          <cell r="G172">
            <v>1</v>
          </cell>
        </row>
        <row r="173">
          <cell r="B173">
            <v>800</v>
          </cell>
          <cell r="C173">
            <v>23.00360985</v>
          </cell>
          <cell r="D173">
            <v>25.583001639999999</v>
          </cell>
          <cell r="E173">
            <v>23.787246109999998</v>
          </cell>
          <cell r="F173">
            <v>23.12670185</v>
          </cell>
          <cell r="G173">
            <v>24</v>
          </cell>
        </row>
        <row r="174">
          <cell r="B174">
            <v>801</v>
          </cell>
          <cell r="C174">
            <v>61.101464139999997</v>
          </cell>
          <cell r="D174">
            <v>56.965617659999999</v>
          </cell>
          <cell r="E174">
            <v>67.331360040000007</v>
          </cell>
          <cell r="F174">
            <v>60.299209099999999</v>
          </cell>
          <cell r="G174">
            <v>61</v>
          </cell>
        </row>
        <row r="175">
          <cell r="B175">
            <v>802</v>
          </cell>
          <cell r="C175">
            <v>40.040227869999995</v>
          </cell>
          <cell r="D175">
            <v>45.58367655</v>
          </cell>
          <cell r="E175">
            <v>47.898315159999996</v>
          </cell>
          <cell r="F175">
            <v>35.118706889999999</v>
          </cell>
          <cell r="G175">
            <v>42</v>
          </cell>
        </row>
        <row r="176">
          <cell r="C176">
            <v>0</v>
          </cell>
          <cell r="D176">
            <v>0.83507118000000002</v>
          </cell>
          <cell r="E176">
            <v>4.5168867699999993</v>
          </cell>
          <cell r="F176">
            <v>6.72132649</v>
          </cell>
          <cell r="G176">
            <v>3</v>
          </cell>
        </row>
        <row r="177">
          <cell r="B177">
            <v>813</v>
          </cell>
          <cell r="C177">
            <v>23.489266710000003</v>
          </cell>
          <cell r="D177">
            <v>24.268521870000001</v>
          </cell>
          <cell r="E177">
            <v>12.99258317</v>
          </cell>
          <cell r="F177">
            <v>10.543823289999999</v>
          </cell>
          <cell r="G177">
            <v>18</v>
          </cell>
        </row>
        <row r="178">
          <cell r="B178">
            <v>820</v>
          </cell>
          <cell r="C178">
            <v>68.012955900000009</v>
          </cell>
          <cell r="D178">
            <v>68.759723840000007</v>
          </cell>
          <cell r="E178">
            <v>72.061697049999992</v>
          </cell>
          <cell r="F178">
            <v>79.402779299999992</v>
          </cell>
          <cell r="G178">
            <v>72</v>
          </cell>
        </row>
        <row r="179">
          <cell r="B179">
            <v>830</v>
          </cell>
          <cell r="C179">
            <v>10.826621749999999</v>
          </cell>
          <cell r="D179">
            <v>9.5848907499999996</v>
          </cell>
          <cell r="E179">
            <v>4.6767515499999996</v>
          </cell>
          <cell r="F179">
            <v>4.6169522199999999</v>
          </cell>
          <cell r="G179">
            <v>7</v>
          </cell>
        </row>
      </sheetData>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2015"/>
      <sheetName val="2015.1-12"/>
      <sheetName val="Sheet5"/>
      <sheetName val="104年1~12月理專人員實績暨協銷情況一覽表(渝薇)"/>
      <sheetName val="2016"/>
      <sheetName val="2016.1-12"/>
      <sheetName val="Sheet4"/>
      <sheetName val="105年1~12月理專人員實績暨協銷情況一覽表(渝薇)"/>
      <sheetName val="2017"/>
      <sheetName val="2017.1-9月"/>
      <sheetName val="106年1~9月理專人員實績暨協銷情況一覽表(渝薇)"/>
      <sheetName val="Sheet1"/>
    </sheetNames>
    <sheetDataSet>
      <sheetData sheetId="0" refreshError="1">
        <row r="3">
          <cell r="C3" t="str">
            <v>專任</v>
          </cell>
        </row>
        <row r="4">
          <cell r="C4" t="str">
            <v>兼任</v>
          </cell>
        </row>
        <row r="5">
          <cell r="C5" t="str">
            <v>其他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工作表1"/>
      <sheetName val="原始參數_115"/>
      <sheetName val="調整參數1_116"/>
      <sheetName val="分行業績_115"/>
      <sheetName val="原始參數_115PRINT"/>
      <sheetName val="SUMMARY1"/>
    </sheetNames>
    <sheetDataSet>
      <sheetData sheetId="0"/>
      <sheetData sheetId="1">
        <row r="1">
          <cell r="E1" t="str">
            <v>114年年化達成率</v>
          </cell>
          <cell r="F1" t="str">
            <v>預估實績參數</v>
          </cell>
          <cell r="G1" t="str">
            <v>分行目標參數</v>
          </cell>
        </row>
        <row r="2">
          <cell r="E2">
            <v>0</v>
          </cell>
          <cell r="F2">
            <v>1</v>
          </cell>
          <cell r="G2">
            <v>1.1499999999999999</v>
          </cell>
        </row>
        <row r="3">
          <cell r="E3">
            <v>0.75</v>
          </cell>
          <cell r="F3">
            <v>1</v>
          </cell>
          <cell r="G3">
            <v>1.1000000000000001</v>
          </cell>
        </row>
        <row r="4">
          <cell r="E4">
            <v>0.9</v>
          </cell>
          <cell r="F4">
            <v>1</v>
          </cell>
          <cell r="G4">
            <v>1.05</v>
          </cell>
        </row>
        <row r="5">
          <cell r="E5">
            <v>1</v>
          </cell>
          <cell r="F5">
            <v>1.05</v>
          </cell>
          <cell r="G5">
            <v>1</v>
          </cell>
        </row>
        <row r="6">
          <cell r="E6">
            <v>1.1000000000000001</v>
          </cell>
          <cell r="F6">
            <v>1.03</v>
          </cell>
          <cell r="G6">
            <v>1</v>
          </cell>
        </row>
        <row r="7">
          <cell r="E7">
            <v>1.2</v>
          </cell>
          <cell r="F7">
            <v>1.01</v>
          </cell>
          <cell r="G7">
            <v>1</v>
          </cell>
        </row>
        <row r="8">
          <cell r="E8">
            <v>1.3</v>
          </cell>
          <cell r="F8">
            <v>0.9</v>
          </cell>
          <cell r="G8">
            <v>1</v>
          </cell>
        </row>
        <row r="9">
          <cell r="E9">
            <v>1.5</v>
          </cell>
          <cell r="F9">
            <v>0.8</v>
          </cell>
          <cell r="G9">
            <v>1</v>
          </cell>
        </row>
        <row r="10">
          <cell r="E10">
            <v>2</v>
          </cell>
          <cell r="F10">
            <v>0.7</v>
          </cell>
          <cell r="G10">
            <v>1</v>
          </cell>
        </row>
      </sheetData>
      <sheetData sheetId="2">
        <row r="2">
          <cell r="B2" t="str">
            <v>115年年化達成率百分位數</v>
          </cell>
          <cell r="C2" t="str">
            <v>115年年化達成率百分位數</v>
          </cell>
          <cell r="D2" t="str">
            <v>115年預估達成率</v>
          </cell>
          <cell r="E2" t="str">
            <v>115年年化達成率取整數</v>
          </cell>
          <cell r="F2" t="str">
            <v>115年預估達成率取整數</v>
          </cell>
          <cell r="G2" t="str">
            <v>分行家數</v>
          </cell>
          <cell r="H2" t="str">
            <v>分行家數佔比</v>
          </cell>
          <cell r="I2" t="str">
            <v>目標設定規則</v>
          </cell>
          <cell r="J2" t="str">
            <v>成長參數</v>
          </cell>
        </row>
        <row r="3">
          <cell r="A3" t="str">
            <v>TYPE_4</v>
          </cell>
          <cell r="B3">
            <v>0.1</v>
          </cell>
          <cell r="C3" t="str">
            <v>未達10%</v>
          </cell>
          <cell r="D3">
            <v>0.74447790082010645</v>
          </cell>
          <cell r="E3">
            <v>0.75</v>
          </cell>
          <cell r="F3" t="str">
            <v>未達75%</v>
          </cell>
          <cell r="G3">
            <v>21</v>
          </cell>
          <cell r="H3">
            <v>0.11475409836065574</v>
          </cell>
          <cell r="I3" t="str">
            <v>115年預估實績成長20%</v>
          </cell>
          <cell r="J3">
            <v>1.2</v>
          </cell>
        </row>
        <row r="4">
          <cell r="A4" t="str">
            <v>TYPE_3</v>
          </cell>
          <cell r="B4">
            <v>0.5</v>
          </cell>
          <cell r="C4" t="str">
            <v>10%以上未達50%</v>
          </cell>
          <cell r="D4">
            <v>1.0141297072330655</v>
          </cell>
          <cell r="E4">
            <v>1</v>
          </cell>
          <cell r="F4" t="str">
            <v>75%以上未達100%</v>
          </cell>
          <cell r="G4">
            <v>63</v>
          </cell>
          <cell r="H4">
            <v>0.34426229508196721</v>
          </cell>
          <cell r="I4" t="str">
            <v>115年預估實績成長15%</v>
          </cell>
          <cell r="J4">
            <v>1.1499999999999999</v>
          </cell>
        </row>
        <row r="5">
          <cell r="A5" t="str">
            <v>TYPE_2</v>
          </cell>
          <cell r="B5">
            <v>0.9</v>
          </cell>
          <cell r="C5" t="str">
            <v>50%以上未達90%</v>
          </cell>
          <cell r="D5">
            <v>1.3553243451512988</v>
          </cell>
          <cell r="E5">
            <v>1.35</v>
          </cell>
          <cell r="F5" t="str">
            <v>100%以上未達135%</v>
          </cell>
          <cell r="G5">
            <v>79</v>
          </cell>
          <cell r="H5">
            <v>0.43169398907103823</v>
          </cell>
          <cell r="I5" t="str">
            <v>115年預估實績成長10%</v>
          </cell>
          <cell r="J5">
            <v>1.1000000000000001</v>
          </cell>
        </row>
        <row r="6">
          <cell r="A6" t="str">
            <v>TYPE_1</v>
          </cell>
          <cell r="B6">
            <v>1</v>
          </cell>
          <cell r="C6" t="str">
            <v>90%以上</v>
          </cell>
          <cell r="D6">
            <v>2.1448043713450291</v>
          </cell>
          <cell r="E6">
            <v>2.15</v>
          </cell>
          <cell r="F6" t="str">
            <v>135%以上</v>
          </cell>
          <cell r="G6">
            <v>20</v>
          </cell>
          <cell r="H6">
            <v>0.10928961748633879</v>
          </cell>
          <cell r="I6" t="str">
            <v>115年預估實績之90%</v>
          </cell>
          <cell r="J6">
            <v>0.9</v>
          </cell>
        </row>
        <row r="7">
          <cell r="G7">
            <v>183</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1.728301620373" createdVersion="8" refreshedVersion="8" minRefreshableVersion="3" recordCount="183" xr:uid="{00000000-000A-0000-FFFF-FFFF10000000}">
  <cacheSource type="worksheet">
    <worksheetSource ref="A1:E184" sheet="115分組"/>
  </cacheSource>
  <cacheFields count="5">
    <cacheField name="分行代號" numFmtId="0">
      <sharedItems containsSemiMixedTypes="0" containsString="0" containsNumber="1" containsInteger="1" minValue="100" maxValue="888"/>
    </cacheField>
    <cacheField name="分行名稱" numFmtId="0">
      <sharedItems/>
    </cacheField>
    <cacheField name="新組別" numFmtId="0">
      <sharedItems/>
    </cacheField>
    <cacheField name="115年組別" numFmtId="0">
      <sharedItems containsSemiMixedTypes="0" containsString="0" containsNumber="1" containsInteger="1" minValue="1" maxValue="8" count="8">
        <n v="1"/>
        <n v="3"/>
        <n v="2"/>
        <n v="4"/>
        <n v="5"/>
        <n v="6"/>
        <n v="8"/>
        <n v="7"/>
      </sharedItems>
    </cacheField>
    <cacheField name="參數" numFmtId="0">
      <sharedItems containsSemiMixedTypes="0" containsString="0" containsNumber="1" minValue="0.3"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1.728302199073" createdVersion="8" refreshedVersion="8" minRefreshableVersion="3" recordCount="653" xr:uid="{00000000-000A-0000-FFFF-FFFF11000000}">
  <cacheSource type="worksheet">
    <worksheetSource ref="BB3:BE656" sheet="底稿_理財AUM25%"/>
  </cacheSource>
  <cacheFields count="4">
    <cacheField name="理專分行別" numFmtId="0">
      <sharedItems containsSemiMixedTypes="0" containsString="0" containsNumber="1" containsInteger="1" minValue="1000" maxValue="8880" count="186">
        <n v="1000"/>
        <n v="1010"/>
        <n v="1030"/>
        <n v="1040"/>
        <n v="1050"/>
        <n v="1060"/>
        <n v="1070"/>
        <n v="1080"/>
        <n v="1090"/>
        <n v="1100"/>
        <n v="1110"/>
        <n v="1120"/>
        <n v="1130"/>
        <n v="1140"/>
        <n v="1150"/>
        <n v="1160"/>
        <n v="1170"/>
        <n v="1180"/>
        <n v="1190"/>
        <n v="1200"/>
        <n v="1210"/>
        <n v="1220"/>
        <n v="1230"/>
        <n v="1240"/>
        <n v="1250"/>
        <n v="1260"/>
        <n v="1270"/>
        <n v="1280"/>
        <n v="1290"/>
        <n v="1300"/>
        <n v="1320"/>
        <n v="1330"/>
        <n v="1340"/>
        <n v="1360"/>
        <n v="1370"/>
        <n v="1430"/>
        <n v="1450"/>
        <n v="1470"/>
        <n v="1480"/>
        <n v="1490"/>
        <n v="1510"/>
        <n v="1520"/>
        <n v="1530"/>
        <n v="1540"/>
        <n v="1560"/>
        <n v="1570"/>
        <n v="1580"/>
        <n v="1590"/>
        <n v="1600"/>
        <n v="1610"/>
        <n v="1620"/>
        <n v="1630"/>
        <n v="1640"/>
        <n v="1650"/>
        <n v="1660"/>
        <n v="1670"/>
        <n v="1680"/>
        <n v="1690"/>
        <n v="1700"/>
        <n v="1710"/>
        <n v="1720"/>
        <n v="1730"/>
        <n v="1740"/>
        <n v="1750"/>
        <n v="1760"/>
        <n v="1770"/>
        <n v="1780"/>
        <n v="1790"/>
        <n v="1800"/>
        <n v="1820"/>
        <n v="1830"/>
        <n v="1840"/>
        <n v="1850"/>
        <n v="1860"/>
        <n v="1870"/>
        <n v="1890"/>
        <n v="1900"/>
        <n v="1910"/>
        <n v="1920"/>
        <n v="1930"/>
        <n v="1940"/>
        <n v="1950"/>
        <n v="1960"/>
        <n v="1970"/>
        <n v="1990"/>
        <n v="2000"/>
        <n v="2010"/>
        <n v="2110"/>
        <n v="2200"/>
        <n v="2210"/>
        <n v="2400"/>
        <n v="2410"/>
        <n v="2420"/>
        <n v="2430"/>
        <n v="2440"/>
        <n v="2450"/>
        <n v="2460"/>
        <n v="2470"/>
        <n v="2480"/>
        <n v="2490"/>
        <n v="2500"/>
        <n v="2510"/>
        <n v="2520"/>
        <n v="2600"/>
        <n v="2620"/>
        <n v="2680"/>
        <n v="3000"/>
        <n v="3010"/>
        <n v="3020"/>
        <n v="3100"/>
        <n v="3130"/>
        <n v="3200"/>
        <n v="3210"/>
        <n v="3220"/>
        <n v="3230"/>
        <n v="3510"/>
        <n v="4000"/>
        <n v="4010"/>
        <n v="4020"/>
        <n v="4030"/>
        <n v="4200"/>
        <n v="4220"/>
        <n v="4230"/>
        <n v="4240"/>
        <n v="4250"/>
        <n v="4260"/>
        <n v="4270"/>
        <n v="4290"/>
        <n v="4300"/>
        <n v="4310"/>
        <n v="4510"/>
        <n v="5000"/>
        <n v="5010"/>
        <n v="5200"/>
        <n v="5210"/>
        <n v="5220"/>
        <n v="5230"/>
        <n v="5240"/>
        <n v="5400"/>
        <n v="5410"/>
        <n v="5420"/>
        <n v="6000"/>
        <n v="6010"/>
        <n v="6020"/>
        <n v="6200"/>
        <n v="6210"/>
        <n v="6220"/>
        <n v="6400"/>
        <n v="6420"/>
        <n v="6430"/>
        <n v="6440"/>
        <n v="6450"/>
        <n v="6460"/>
        <n v="6470"/>
        <n v="6480"/>
        <n v="6810"/>
        <n v="7000"/>
        <n v="7010"/>
        <n v="7020"/>
        <n v="7030"/>
        <n v="7040"/>
        <n v="7050"/>
        <n v="7060"/>
        <n v="7070"/>
        <n v="7080"/>
        <n v="7090"/>
        <n v="7100"/>
        <n v="7110"/>
        <n v="7120"/>
        <n v="7190"/>
        <n v="7200"/>
        <n v="7210"/>
        <n v="7220"/>
        <n v="7510"/>
        <n v="7520"/>
        <n v="7530"/>
        <n v="7600"/>
        <n v="7650"/>
        <n v="8000"/>
        <n v="8010"/>
        <n v="8020"/>
        <n v="8130"/>
        <n v="8200"/>
        <n v="8300"/>
        <n v="8880"/>
        <n v="1980" u="1"/>
      </sharedItems>
    </cacheField>
    <cacheField name="分行名稱" numFmtId="0">
      <sharedItems/>
    </cacheField>
    <cacheField name="理專代號" numFmtId="0">
      <sharedItems/>
    </cacheField>
    <cacheField name="外國債券餘額" numFmtId="0">
      <sharedItems containsSemiMixedTypes="0" containsString="0" containsNumber="1" minValue="53836.242222000001" maxValue="761680496.8139665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1.728303935182" createdVersion="8" refreshedVersion="8" minRefreshableVersion="3" recordCount="653" xr:uid="{00000000-000A-0000-FFFF-FFFF12000000}">
  <cacheSource type="worksheet">
    <worksheetSource ref="AI3:AO656" sheet="底稿_理財AUM25%"/>
  </cacheSource>
  <cacheFields count="7">
    <cacheField name="理專分行別" numFmtId="0">
      <sharedItems containsSemiMixedTypes="0" containsString="0" containsNumber="1" containsInteger="1" minValue="1000" maxValue="8880" count="186">
        <n v="1000"/>
        <n v="1010"/>
        <n v="1030"/>
        <n v="1040"/>
        <n v="1050"/>
        <n v="1060"/>
        <n v="1070"/>
        <n v="1080"/>
        <n v="1090"/>
        <n v="1100"/>
        <n v="1110"/>
        <n v="1120"/>
        <n v="1130"/>
        <n v="1140"/>
        <n v="1150"/>
        <n v="1160"/>
        <n v="1170"/>
        <n v="1180"/>
        <n v="1190"/>
        <n v="1200"/>
        <n v="1210"/>
        <n v="1220"/>
        <n v="1230"/>
        <n v="1240"/>
        <n v="1250"/>
        <n v="1260"/>
        <n v="1270"/>
        <n v="1280"/>
        <n v="1290"/>
        <n v="1300"/>
        <n v="1320"/>
        <n v="1330"/>
        <n v="1340"/>
        <n v="1360"/>
        <n v="1370"/>
        <n v="1430"/>
        <n v="1450"/>
        <n v="1470"/>
        <n v="1480"/>
        <n v="1490"/>
        <n v="1510"/>
        <n v="1520"/>
        <n v="1530"/>
        <n v="1540"/>
        <n v="1560"/>
        <n v="1570"/>
        <n v="1580"/>
        <n v="1590"/>
        <n v="1600"/>
        <n v="1610"/>
        <n v="1620"/>
        <n v="1630"/>
        <n v="1640"/>
        <n v="1650"/>
        <n v="1660"/>
        <n v="1670"/>
        <n v="1680"/>
        <n v="1690"/>
        <n v="1700"/>
        <n v="1710"/>
        <n v="1720"/>
        <n v="1730"/>
        <n v="1740"/>
        <n v="1750"/>
        <n v="1760"/>
        <n v="1770"/>
        <n v="1780"/>
        <n v="1790"/>
        <n v="1800"/>
        <n v="1820"/>
        <n v="1830"/>
        <n v="1840"/>
        <n v="1850"/>
        <n v="1860"/>
        <n v="1870"/>
        <n v="1890"/>
        <n v="1900"/>
        <n v="1910"/>
        <n v="1920"/>
        <n v="1930"/>
        <n v="1940"/>
        <n v="1950"/>
        <n v="1960"/>
        <n v="1970"/>
        <n v="1990"/>
        <n v="2000"/>
        <n v="2010"/>
        <n v="2110"/>
        <n v="2200"/>
        <n v="2210"/>
        <n v="2400"/>
        <n v="2410"/>
        <n v="2420"/>
        <n v="2430"/>
        <n v="2440"/>
        <n v="2450"/>
        <n v="2460"/>
        <n v="2470"/>
        <n v="2480"/>
        <n v="2490"/>
        <n v="2500"/>
        <n v="2510"/>
        <n v="2520"/>
        <n v="2600"/>
        <n v="2620"/>
        <n v="2680"/>
        <n v="3000"/>
        <n v="3010"/>
        <n v="3020"/>
        <n v="3100"/>
        <n v="3130"/>
        <n v="3200"/>
        <n v="3210"/>
        <n v="3220"/>
        <n v="3230"/>
        <n v="3510"/>
        <n v="4000"/>
        <n v="4010"/>
        <n v="4020"/>
        <n v="4030"/>
        <n v="4200"/>
        <n v="4220"/>
        <n v="4230"/>
        <n v="4240"/>
        <n v="4250"/>
        <n v="4260"/>
        <n v="4270"/>
        <n v="4290"/>
        <n v="4300"/>
        <n v="4310"/>
        <n v="4510"/>
        <n v="5000"/>
        <n v="5010"/>
        <n v="5200"/>
        <n v="5210"/>
        <n v="5220"/>
        <n v="5230"/>
        <n v="5240"/>
        <n v="5400"/>
        <n v="5410"/>
        <n v="5420"/>
        <n v="6000"/>
        <n v="6010"/>
        <n v="6020"/>
        <n v="6200"/>
        <n v="6210"/>
        <n v="6220"/>
        <n v="6400"/>
        <n v="6420"/>
        <n v="6430"/>
        <n v="6440"/>
        <n v="6450"/>
        <n v="6460"/>
        <n v="6470"/>
        <n v="6480"/>
        <n v="6810"/>
        <n v="7000"/>
        <n v="7010"/>
        <n v="7020"/>
        <n v="7030"/>
        <n v="7040"/>
        <n v="7050"/>
        <n v="7060"/>
        <n v="7070"/>
        <n v="7080"/>
        <n v="7090"/>
        <n v="7100"/>
        <n v="7110"/>
        <n v="7120"/>
        <n v="7190"/>
        <n v="7200"/>
        <n v="7210"/>
        <n v="7220"/>
        <n v="7510"/>
        <n v="7520"/>
        <n v="7530"/>
        <n v="7600"/>
        <n v="7650"/>
        <n v="8000"/>
        <n v="8010"/>
        <n v="8020"/>
        <n v="8130"/>
        <n v="8200"/>
        <n v="8300"/>
        <n v="8880"/>
        <n v="1980" u="1"/>
      </sharedItems>
    </cacheField>
    <cacheField name="分行名稱" numFmtId="0">
      <sharedItems/>
    </cacheField>
    <cacheField name="理專代號" numFmtId="0">
      <sharedItems/>
    </cacheField>
    <cacheField name="傳統型保險躉繳" numFmtId="4">
      <sharedItems containsSemiMixedTypes="0" containsString="0" containsNumber="1" minValue="0" maxValue="959935273.2659899"/>
    </cacheField>
    <cacheField name="傳統型分期繳" numFmtId="4">
      <sharedItems containsSemiMixedTypes="0" containsString="0" containsNumber="1" minValue="2996148.7199969999" maxValue="2243808534.1078081"/>
    </cacheField>
    <cacheField name="投資型躉繳" numFmtId="4">
      <sharedItems containsSemiMixedTypes="0" containsString="0" containsNumber="1" minValue="0" maxValue="27228751.200000003"/>
    </cacheField>
    <cacheField name="投資型分期繳" numFmtId="4">
      <sharedItems containsSemiMixedTypes="0" containsString="0" containsNumber="1" minValue="0" maxValue="862157004.6779658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1.72830451389" createdVersion="8" refreshedVersion="8" minRefreshableVersion="3" recordCount="653" xr:uid="{00000000-000A-0000-FFFF-FFFF13000000}">
  <cacheSource type="worksheet">
    <worksheetSource ref="M3:P656" sheet="底稿_理財AUM25%"/>
  </cacheSource>
  <cacheFields count="4">
    <cacheField name="理專分行別" numFmtId="0">
      <sharedItems containsSemiMixedTypes="0" containsString="0" containsNumber="1" containsInteger="1" minValue="1000" maxValue="8880" count="186">
        <n v="1000"/>
        <n v="1010"/>
        <n v="1030"/>
        <n v="1040"/>
        <n v="1050"/>
        <n v="1060"/>
        <n v="1070"/>
        <n v="1080"/>
        <n v="1090"/>
        <n v="1100"/>
        <n v="1110"/>
        <n v="1120"/>
        <n v="1130"/>
        <n v="1140"/>
        <n v="1150"/>
        <n v="1160"/>
        <n v="1170"/>
        <n v="1180"/>
        <n v="1190"/>
        <n v="1200"/>
        <n v="1210"/>
        <n v="1220"/>
        <n v="1230"/>
        <n v="1240"/>
        <n v="1250"/>
        <n v="1260"/>
        <n v="1270"/>
        <n v="1280"/>
        <n v="1290"/>
        <n v="1300"/>
        <n v="1320"/>
        <n v="1330"/>
        <n v="1340"/>
        <n v="1360"/>
        <n v="1370"/>
        <n v="1430"/>
        <n v="1450"/>
        <n v="1470"/>
        <n v="1480"/>
        <n v="1490"/>
        <n v="1510"/>
        <n v="1520"/>
        <n v="1530"/>
        <n v="1540"/>
        <n v="1560"/>
        <n v="1570"/>
        <n v="1580"/>
        <n v="1590"/>
        <n v="1600"/>
        <n v="1610"/>
        <n v="1620"/>
        <n v="1630"/>
        <n v="1640"/>
        <n v="1650"/>
        <n v="1660"/>
        <n v="1670"/>
        <n v="1680"/>
        <n v="1690"/>
        <n v="1700"/>
        <n v="1710"/>
        <n v="1720"/>
        <n v="1730"/>
        <n v="1740"/>
        <n v="1750"/>
        <n v="1760"/>
        <n v="1770"/>
        <n v="1780"/>
        <n v="1790"/>
        <n v="1800"/>
        <n v="1820"/>
        <n v="1830"/>
        <n v="1840"/>
        <n v="1850"/>
        <n v="1860"/>
        <n v="1870"/>
        <n v="1890"/>
        <n v="1900"/>
        <n v="1910"/>
        <n v="1920"/>
        <n v="1930"/>
        <n v="1940"/>
        <n v="1950"/>
        <n v="1960"/>
        <n v="1970"/>
        <n v="1990"/>
        <n v="2000"/>
        <n v="2010"/>
        <n v="2110"/>
        <n v="2200"/>
        <n v="2210"/>
        <n v="2400"/>
        <n v="2410"/>
        <n v="2420"/>
        <n v="2430"/>
        <n v="2440"/>
        <n v="2450"/>
        <n v="2460"/>
        <n v="2470"/>
        <n v="2480"/>
        <n v="2490"/>
        <n v="2500"/>
        <n v="2510"/>
        <n v="2520"/>
        <n v="2600"/>
        <n v="2620"/>
        <n v="2680"/>
        <n v="3000"/>
        <n v="3010"/>
        <n v="3020"/>
        <n v="3100"/>
        <n v="3130"/>
        <n v="3200"/>
        <n v="3210"/>
        <n v="3220"/>
        <n v="3230"/>
        <n v="3510"/>
        <n v="4000"/>
        <n v="4010"/>
        <n v="4020"/>
        <n v="4030"/>
        <n v="4200"/>
        <n v="4220"/>
        <n v="4230"/>
        <n v="4240"/>
        <n v="4250"/>
        <n v="4260"/>
        <n v="4270"/>
        <n v="4290"/>
        <n v="4300"/>
        <n v="4310"/>
        <n v="4510"/>
        <n v="5000"/>
        <n v="5010"/>
        <n v="5200"/>
        <n v="5210"/>
        <n v="5220"/>
        <n v="5230"/>
        <n v="5240"/>
        <n v="5400"/>
        <n v="5410"/>
        <n v="5420"/>
        <n v="6000"/>
        <n v="6010"/>
        <n v="6020"/>
        <n v="6200"/>
        <n v="6210"/>
        <n v="6220"/>
        <n v="6400"/>
        <n v="6420"/>
        <n v="6430"/>
        <n v="6440"/>
        <n v="6450"/>
        <n v="6460"/>
        <n v="6470"/>
        <n v="6480"/>
        <n v="6810"/>
        <n v="7000"/>
        <n v="7010"/>
        <n v="7020"/>
        <n v="7030"/>
        <n v="7040"/>
        <n v="7050"/>
        <n v="7060"/>
        <n v="7070"/>
        <n v="7080"/>
        <n v="7090"/>
        <n v="7100"/>
        <n v="7110"/>
        <n v="7120"/>
        <n v="7190"/>
        <n v="7200"/>
        <n v="7210"/>
        <n v="7220"/>
        <n v="7510"/>
        <n v="7520"/>
        <n v="7530"/>
        <n v="7600"/>
        <n v="7650"/>
        <n v="8000"/>
        <n v="8010"/>
        <n v="8020"/>
        <n v="8130"/>
        <n v="8200"/>
        <n v="8300"/>
        <n v="8880"/>
        <n v="1980" u="1"/>
      </sharedItems>
    </cacheField>
    <cacheField name="分行名稱" numFmtId="0">
      <sharedItems/>
    </cacheField>
    <cacheField name="理專代號" numFmtId="0">
      <sharedItems/>
    </cacheField>
    <cacheField name="基金餘額" numFmtId="0">
      <sharedItems containsSemiMixedTypes="0" containsString="0" containsNumber="1" minValue="3640585.2410932002" maxValue="2524020400.85960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1.728304976852" createdVersion="6" refreshedVersion="8" minRefreshableVersion="3" recordCount="185" xr:uid="{00000000-000A-0000-FFFF-FFFF15000000}">
  <cacheSource type="worksheet">
    <worksheetSource ref="A3:D188" sheet="財管手收表"/>
  </cacheSource>
  <cacheFields count="4">
    <cacheField name="通路中心" numFmtId="176">
      <sharedItems count="5">
        <s v="北一區"/>
        <s v="北二區"/>
        <s v="北三區"/>
        <s v="中區"/>
        <s v="南區"/>
      </sharedItems>
    </cacheField>
    <cacheField name="單位代號" numFmtId="180">
      <sharedItems containsSemiMixedTypes="0" containsString="0" containsNumber="1" containsInteger="1" minValue="100" maxValue="888"/>
    </cacheField>
    <cacheField name="單位名稱" numFmtId="176">
      <sharedItems/>
    </cacheField>
    <cacheField name="財富管理_x000a_手續費收入目標" numFmtId="176">
      <sharedItems containsMixedTypes="1" containsNumber="1" containsInteger="1" minValue="1600000" maxValue="13250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羅國" refreshedDate="46314.44232303241" createdVersion="8" refreshedVersion="8" minRefreshableVersion="3" recordCount="183" xr:uid="{396DA136-035D-457D-B178-6EA971A74C99}">
  <cacheSource type="worksheet">
    <worksheetSource ref="A7:AB190" sheet="116目標底稿ver1"/>
  </cacheSource>
  <cacheFields count="28">
    <cacheField name="TYPE" numFmtId="0">
      <sharedItems count="4">
        <s v="TYPE_1"/>
        <s v="TYPE_4"/>
        <s v="TYPE_3"/>
        <s v="TYPE_2"/>
      </sharedItems>
    </cacheField>
    <cacheField name="序號" numFmtId="180">
      <sharedItems containsSemiMixedTypes="0" containsString="0" containsNumber="1" containsInteger="1" minValue="1" maxValue="183"/>
    </cacheField>
    <cacheField name="通路別" numFmtId="0">
      <sharedItems/>
    </cacheField>
    <cacheField name="單位_x000a_代號" numFmtId="180">
      <sharedItems containsSemiMixedTypes="0" containsString="0" containsNumber="1" containsInteger="1" minValue="100" maxValue="888"/>
    </cacheField>
    <cacheField name="單位名稱" numFmtId="176">
      <sharedItems/>
    </cacheField>
    <cacheField name="115年組別" numFmtId="180">
      <sharedItems containsSemiMixedTypes="0" containsString="0" containsNumber="1" containsInteger="1" minValue="1" maxValue="8"/>
    </cacheField>
    <cacheField name="115年1-9月_x000a_年化業績_x000a_(未刪除超過100%)" numFmtId="176">
      <sharedItems containsSemiMixedTypes="0" containsString="0" containsNumber="1" containsInteger="1" minValue="13618622" maxValue="181181359"/>
    </cacheField>
    <cacheField name="前2年_x000a_平均業績_x000a_(113~114年，_x000a_未刪除超過_x000a_100%)" numFmtId="176">
      <sharedItems containsSemiMixedTypes="0" containsString="0" containsNumber="1" minValue="9588777.0850000009" maxValue="112686689.935"/>
    </cacheField>
    <cacheField name="115年年中_x000a_調整後目標" numFmtId="176">
      <sharedItems containsSemiMixedTypes="0" containsString="0" containsNumber="1" containsInteger="1" minValue="15750000" maxValue="129150000"/>
    </cacheField>
    <cacheField name="115年_x000a_年化_x000a_達成率" numFmtId="9">
      <sharedItems containsSemiMixedTypes="0" containsString="0" containsNumber="1" minValue="0.52" maxValue="2.14"/>
    </cacheField>
    <cacheField name="116年_x000a_試算_x000a_達成率_x000a_(115年化業績)" numFmtId="9">
      <sharedItems containsSemiMixedTypes="0" containsString="0" containsNumber="1" minValue="0.52" maxValue="1.73"/>
    </cacheField>
    <cacheField name="116年成長目標_x000a_原規則_x000a_分類" numFmtId="176">
      <sharedItems/>
    </cacheField>
    <cacheField name="116年成長目標_x000a_原規則_x000a_計算公式" numFmtId="176">
      <sharedItems/>
    </cacheField>
    <cacheField name="116年成長目標_x000a_原規則_x000a_計算目標數" numFmtId="176">
      <sharedItems containsSemiMixedTypes="0" containsString="0" containsNumber="1" containsInteger="1" minValue="17330000" maxValue="163060000"/>
    </cacheField>
    <cacheField name="116年成長目標_x000a_調整規則_x000a_分類" numFmtId="176">
      <sharedItems/>
    </cacheField>
    <cacheField name="116年成長目標_x000a_調整規則_x000a_計算公式" numFmtId="176">
      <sharedItems/>
    </cacheField>
    <cacheField name="116年成長目標_x000a_調整規則_x000a_計算目標數" numFmtId="176">
      <sharedItems containsSemiMixedTypes="0" containsString="0" containsNumber="1" containsInteger="1" minValue="14030000" maxValue="156530000"/>
    </cacheField>
    <cacheField name="116年成長目標_x000a_調整規則_x000a_與原規則_x000a_目標差異數" numFmtId="186">
      <sharedItems containsSemiMixedTypes="0" containsString="0" containsNumber="1" containsInteger="1" minValue="-22350000" maxValue="3390000"/>
    </cacheField>
    <cacheField name="前2年_x000a_業績分攤指標_x000a_(刪除超過_x000a_100%)_x000a_20%" numFmtId="176">
      <sharedItems containsSemiMixedTypes="0" containsString="0" containsNumber="1" containsInteger="1" minValue="72073" maxValue="997606"/>
    </cacheField>
    <cacheField name="存款指標_x000a_25%" numFmtId="176">
      <sharedItems containsSemiMixedTypes="0" containsString="0" containsNumber="1" containsInteger="1" minValue="30199" maxValue="1320988"/>
    </cacheField>
    <cacheField name="投資類_x000a_AUM指標_x000a_25%" numFmtId="176">
      <sharedItems containsSemiMixedTypes="0" containsString="0" containsNumber="1" containsInteger="1" minValue="81883" maxValue="1650624"/>
    </cacheField>
    <cacheField name="人數指標_x000a_25%" numFmtId="176">
      <sharedItems containsSemiMixedTypes="0" containsString="0" containsNumber="1" containsInteger="1" minValue="338403" maxValue="1453142"/>
    </cacheField>
    <cacheField name="組別指標_x000a_5%" numFmtId="176">
      <sharedItems containsSemiMixedTypes="0" containsString="0" containsNumber="1" containsInteger="1" minValue="40000" maxValue="190000"/>
    </cacheField>
    <cacheField name="尾差調整" numFmtId="0">
      <sharedItems containsNonDate="0" containsString="0" containsBlank="1"/>
    </cacheField>
    <cacheField name="116年綜合指標_x000a_目標數合計_x000a_(以萬元為單位)" numFmtId="176">
      <sharedItems containsSemiMixedTypes="0" containsString="0" containsNumber="1" containsInteger="1" minValue="580000" maxValue="4720000"/>
    </cacheField>
    <cacheField name="116年目標合計_x000a_(以萬元為單位)" numFmtId="185">
      <sharedItems containsSemiMixedTypes="0" containsString="0" containsNumber="1" containsInteger="1" minValue="14610000" maxValue="160900000"/>
    </cacheField>
    <cacheField name="116年目標_x000a_vs.115年_x000a_業績成長" numFmtId="178">
      <sharedItems containsSemiMixedTypes="0" containsString="0" containsNumber="1" minValue="-0.42331489411283585" maxValue="0.91765739751881936"/>
    </cacheField>
    <cacheField name="116年目標_x000a_vs.115年_x000a_目標成長" numFmtId="178">
      <sharedItems containsSemiMixedTypes="0" containsString="0" containsNumber="1" minValue="-0.14153525348625051" maxValue="0.2738927738927738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n v="100"/>
    <s v="營業部"/>
    <s v="第1組"/>
    <x v="0"/>
    <n v="1.7"/>
  </r>
  <r>
    <n v="101"/>
    <s v="儲蓄分行"/>
    <s v="第3組"/>
    <x v="1"/>
    <n v="1.3"/>
  </r>
  <r>
    <n v="103"/>
    <s v="城內分行"/>
    <s v="第3組"/>
    <x v="1"/>
    <n v="1.3"/>
  </r>
  <r>
    <n v="104"/>
    <s v="大稻埕分行"/>
    <s v="第2組"/>
    <x v="2"/>
    <n v="1.5"/>
  </r>
  <r>
    <n v="105"/>
    <s v="建成分行"/>
    <s v="第1組"/>
    <x v="0"/>
    <n v="1.7"/>
  </r>
  <r>
    <n v="106"/>
    <s v="中山分行"/>
    <s v="第1組"/>
    <x v="0"/>
    <n v="1.7"/>
  </r>
  <r>
    <n v="107"/>
    <s v="圓山分行"/>
    <s v="第1組"/>
    <x v="0"/>
    <n v="1.7"/>
  </r>
  <r>
    <n v="108"/>
    <s v="城東分行"/>
    <s v="第1組"/>
    <x v="0"/>
    <n v="1.7"/>
  </r>
  <r>
    <n v="109"/>
    <s v="西門分行"/>
    <s v="第4組"/>
    <x v="3"/>
    <n v="1.1000000000000001"/>
  </r>
  <r>
    <n v="110"/>
    <s v="南松山分行"/>
    <s v="第5組"/>
    <x v="4"/>
    <n v="0.9"/>
  </r>
  <r>
    <n v="111"/>
    <s v="仁愛路分行"/>
    <s v="第1組"/>
    <x v="0"/>
    <n v="1.7"/>
  </r>
  <r>
    <n v="112"/>
    <s v="南京東路分行"/>
    <s v="第1組"/>
    <x v="0"/>
    <n v="1.7"/>
  </r>
  <r>
    <n v="113"/>
    <s v="新生分行"/>
    <s v="第2組"/>
    <x v="2"/>
    <n v="1.5"/>
  </r>
  <r>
    <n v="114"/>
    <s v="大同分行"/>
    <s v="第3組"/>
    <x v="1"/>
    <n v="1.3"/>
  </r>
  <r>
    <n v="115"/>
    <s v="松山分行"/>
    <s v="第3組"/>
    <x v="1"/>
    <n v="1.3"/>
  </r>
  <r>
    <n v="116"/>
    <s v="中崙分行"/>
    <s v="第2組"/>
    <x v="2"/>
    <n v="1.5"/>
  </r>
  <r>
    <n v="117"/>
    <s v="台北南門分行"/>
    <s v="第1組"/>
    <x v="0"/>
    <n v="1.7"/>
  </r>
  <r>
    <n v="118"/>
    <s v="公館分行"/>
    <s v="第2組"/>
    <x v="2"/>
    <n v="1.5"/>
  </r>
  <r>
    <n v="119"/>
    <s v="信義分行"/>
    <s v="第5組"/>
    <x v="4"/>
    <n v="0.9"/>
  </r>
  <r>
    <n v="120"/>
    <s v="忠孝東路分行"/>
    <s v="第1組"/>
    <x v="0"/>
    <n v="1.7"/>
  </r>
  <r>
    <n v="121"/>
    <s v="和平分行"/>
    <s v="第3組"/>
    <x v="1"/>
    <n v="1.3"/>
  </r>
  <r>
    <n v="122"/>
    <s v="雙園分行"/>
    <s v="第3組"/>
    <x v="1"/>
    <n v="1.3"/>
  </r>
  <r>
    <n v="123"/>
    <s v="士林分行"/>
    <s v="第1組"/>
    <x v="0"/>
    <n v="1.7"/>
  </r>
  <r>
    <n v="124"/>
    <s v="東台北分行"/>
    <s v="第4組"/>
    <x v="3"/>
    <n v="1.1000000000000001"/>
  </r>
  <r>
    <n v="125"/>
    <s v="大安分行"/>
    <s v="第2組"/>
    <x v="2"/>
    <n v="1.5"/>
  </r>
  <r>
    <n v="126"/>
    <s v="民生分行"/>
    <s v="第1組"/>
    <x v="0"/>
    <n v="1.7"/>
  </r>
  <r>
    <n v="127"/>
    <s v="復興分行"/>
    <s v="第1組"/>
    <x v="0"/>
    <n v="1.7"/>
  </r>
  <r>
    <n v="128"/>
    <s v="龍江分行"/>
    <s v="第5組"/>
    <x v="4"/>
    <n v="0.9"/>
  </r>
  <r>
    <n v="129"/>
    <s v="永吉分行"/>
    <s v="第6組"/>
    <x v="5"/>
    <n v="0.7"/>
  </r>
  <r>
    <n v="130"/>
    <s v="敦化分行"/>
    <s v="第1組"/>
    <x v="0"/>
    <n v="1.7"/>
  </r>
  <r>
    <n v="132"/>
    <s v="大直分行"/>
    <s v="第8組"/>
    <x v="6"/>
    <n v="0.3"/>
  </r>
  <r>
    <n v="133"/>
    <s v="敦和分行"/>
    <s v="第1組"/>
    <x v="0"/>
    <n v="1.7"/>
  </r>
  <r>
    <n v="134"/>
    <s v="東湖分行"/>
    <s v="第4組"/>
    <x v="3"/>
    <n v="1.1000000000000001"/>
  </r>
  <r>
    <n v="136"/>
    <s v="東興分行"/>
    <s v="第7組"/>
    <x v="7"/>
    <n v="0.5"/>
  </r>
  <r>
    <n v="137"/>
    <s v="北南港分行"/>
    <s v="第3組"/>
    <x v="1"/>
    <n v="1.3"/>
  </r>
  <r>
    <n v="143"/>
    <s v="南內湖分行"/>
    <s v="第5組"/>
    <x v="4"/>
    <n v="0.9"/>
  </r>
  <r>
    <n v="145"/>
    <s v="長安分行"/>
    <s v="第6組"/>
    <x v="5"/>
    <n v="0.7"/>
  </r>
  <r>
    <n v="147"/>
    <s v="懷生分行"/>
    <s v="第2組"/>
    <x v="2"/>
    <n v="1.5"/>
  </r>
  <r>
    <n v="148"/>
    <s v="中華路分行"/>
    <s v="第6組"/>
    <x v="5"/>
    <n v="0.7"/>
  </r>
  <r>
    <n v="149"/>
    <s v="信維分行"/>
    <s v="第2組"/>
    <x v="2"/>
    <n v="1.5"/>
  </r>
  <r>
    <n v="151"/>
    <s v="埔墘分行"/>
    <s v="第3組"/>
    <x v="1"/>
    <n v="1.3"/>
  </r>
  <r>
    <n v="152"/>
    <s v="石牌分行"/>
    <s v="第4組"/>
    <x v="3"/>
    <n v="1.1000000000000001"/>
  </r>
  <r>
    <n v="153"/>
    <s v="瑞祥分行"/>
    <s v="第3組"/>
    <x v="1"/>
    <n v="1.3"/>
  </r>
  <r>
    <n v="154"/>
    <s v="台大分行"/>
    <s v="第7組"/>
    <x v="7"/>
    <n v="0.5"/>
  </r>
  <r>
    <n v="156"/>
    <s v="世貿分行"/>
    <s v="第3組"/>
    <x v="1"/>
    <n v="1.3"/>
  </r>
  <r>
    <n v="157"/>
    <s v="萬華分行"/>
    <s v="第6組"/>
    <x v="5"/>
    <n v="0.7"/>
  </r>
  <r>
    <n v="158"/>
    <s v="南港分行"/>
    <s v="第2組"/>
    <x v="2"/>
    <n v="1.5"/>
  </r>
  <r>
    <n v="159"/>
    <s v="華江分行"/>
    <s v="第1組"/>
    <x v="0"/>
    <n v="1.7"/>
  </r>
  <r>
    <n v="160"/>
    <s v="板橋分行"/>
    <s v="第2組"/>
    <x v="2"/>
    <n v="1.5"/>
  </r>
  <r>
    <n v="161"/>
    <s v="三重分行"/>
    <s v="第8組"/>
    <x v="6"/>
    <n v="0.3"/>
  </r>
  <r>
    <n v="162"/>
    <s v="北三重分行"/>
    <s v="第1組"/>
    <x v="0"/>
    <n v="1.7"/>
  </r>
  <r>
    <n v="163"/>
    <s v="新莊分行"/>
    <s v="第5組"/>
    <x v="4"/>
    <n v="0.9"/>
  </r>
  <r>
    <n v="164"/>
    <s v="永和分行"/>
    <s v="第4組"/>
    <x v="3"/>
    <n v="1.1000000000000001"/>
  </r>
  <r>
    <n v="165"/>
    <s v="中和分行"/>
    <s v="第3組"/>
    <x v="1"/>
    <n v="1.3"/>
  </r>
  <r>
    <n v="166"/>
    <s v="新店分行"/>
    <s v="第3組"/>
    <x v="1"/>
    <n v="1.3"/>
  </r>
  <r>
    <n v="167"/>
    <s v="淡水分行"/>
    <s v="第2組"/>
    <x v="2"/>
    <n v="1.5"/>
  </r>
  <r>
    <n v="168"/>
    <s v="汐止分行"/>
    <s v="第3組"/>
    <x v="1"/>
    <n v="1.3"/>
  </r>
  <r>
    <n v="169"/>
    <s v="南永和分行"/>
    <s v="第4組"/>
    <x v="3"/>
    <n v="1.1000000000000001"/>
  </r>
  <r>
    <n v="170"/>
    <s v="西三重分行"/>
    <s v="第3組"/>
    <x v="1"/>
    <n v="1.3"/>
  </r>
  <r>
    <n v="171"/>
    <s v="南三重分行"/>
    <s v="第6組"/>
    <x v="5"/>
    <n v="0.7"/>
  </r>
  <r>
    <n v="172"/>
    <s v="雙和分行"/>
    <s v="第8組"/>
    <x v="6"/>
    <n v="0.3"/>
  </r>
  <r>
    <n v="173"/>
    <s v="新泰分行"/>
    <s v="第5組"/>
    <x v="4"/>
    <n v="0.9"/>
  </r>
  <r>
    <n v="174"/>
    <s v="二重分行"/>
    <s v="第1組"/>
    <x v="0"/>
    <n v="1.7"/>
  </r>
  <r>
    <n v="175"/>
    <s v="板新分行"/>
    <s v="第2組"/>
    <x v="2"/>
    <n v="1.5"/>
  </r>
  <r>
    <n v="176"/>
    <s v="五股分行"/>
    <s v="第5組"/>
    <x v="4"/>
    <n v="0.9"/>
  </r>
  <r>
    <n v="177"/>
    <s v="潭美分行"/>
    <s v="第8組"/>
    <x v="6"/>
    <n v="0.3"/>
  </r>
  <r>
    <n v="178"/>
    <s v="北投分行"/>
    <s v="第4組"/>
    <x v="3"/>
    <n v="1.1000000000000001"/>
  </r>
  <r>
    <n v="179"/>
    <s v="西湖分行"/>
    <s v="第2組"/>
    <x v="2"/>
    <n v="1.5"/>
  </r>
  <r>
    <n v="180"/>
    <s v="積穗分行"/>
    <s v="第3組"/>
    <x v="1"/>
    <n v="1.3"/>
  </r>
  <r>
    <n v="182"/>
    <s v="福和分行"/>
    <s v="第8組"/>
    <x v="6"/>
    <n v="0.3"/>
  </r>
  <r>
    <n v="183"/>
    <s v="南勢角分行"/>
    <s v="第8組"/>
    <x v="6"/>
    <n v="0.3"/>
  </r>
  <r>
    <n v="184"/>
    <s v="北蘆洲分行"/>
    <s v="第7組"/>
    <x v="7"/>
    <n v="0.5"/>
  </r>
  <r>
    <n v="185"/>
    <s v="蘆洲分行"/>
    <s v="第5組"/>
    <x v="4"/>
    <n v="0.9"/>
  </r>
  <r>
    <n v="186"/>
    <s v="土城分行"/>
    <s v="第5組"/>
    <x v="4"/>
    <n v="0.9"/>
  </r>
  <r>
    <n v="187"/>
    <s v="北新分行"/>
    <s v="第4組"/>
    <x v="3"/>
    <n v="1.1000000000000001"/>
  </r>
  <r>
    <n v="189"/>
    <s v="天母分行"/>
    <s v="第3組"/>
    <x v="1"/>
    <n v="1.3"/>
  </r>
  <r>
    <n v="190"/>
    <s v="內湖分行"/>
    <s v="第4組"/>
    <x v="3"/>
    <n v="1.1000000000000001"/>
  </r>
  <r>
    <n v="191"/>
    <s v="樹林分行"/>
    <s v="第4組"/>
    <x v="3"/>
    <n v="1.1000000000000001"/>
  </r>
  <r>
    <n v="192"/>
    <s v="樟樹灣分行"/>
    <s v="第2組"/>
    <x v="2"/>
    <n v="1.5"/>
  </r>
  <r>
    <n v="193"/>
    <s v="泰山分行"/>
    <s v="第4組"/>
    <x v="3"/>
    <n v="1.1000000000000001"/>
  </r>
  <r>
    <n v="194"/>
    <s v="三峽分行"/>
    <s v="第6組"/>
    <x v="5"/>
    <n v="0.7"/>
  </r>
  <r>
    <n v="195"/>
    <s v="文山分行"/>
    <s v="第8組"/>
    <x v="6"/>
    <n v="0.3"/>
  </r>
  <r>
    <n v="196"/>
    <s v="鶯歌分行"/>
    <s v="第5組"/>
    <x v="4"/>
    <n v="0.9"/>
  </r>
  <r>
    <n v="197"/>
    <s v="北新莊分行"/>
    <s v="第8組"/>
    <x v="6"/>
    <n v="0.3"/>
  </r>
  <r>
    <n v="199"/>
    <s v="林口站前分行"/>
    <s v="第6組"/>
    <x v="5"/>
    <n v="0.7"/>
  </r>
  <r>
    <n v="200"/>
    <s v="基隆分行"/>
    <s v="第6組"/>
    <x v="5"/>
    <n v="0.7"/>
  </r>
  <r>
    <n v="201"/>
    <s v="基隆港口分行"/>
    <s v="第6組"/>
    <x v="5"/>
    <n v="0.7"/>
  </r>
  <r>
    <n v="211"/>
    <s v="七堵分行"/>
    <s v="第6組"/>
    <x v="5"/>
    <n v="0.7"/>
  </r>
  <r>
    <n v="220"/>
    <s v="羅東分行"/>
    <s v="第8組"/>
    <x v="6"/>
    <n v="0.3"/>
  </r>
  <r>
    <n v="221"/>
    <s v="宜蘭分行"/>
    <s v="第8組"/>
    <x v="6"/>
    <n v="0.3"/>
  </r>
  <r>
    <n v="240"/>
    <s v="桃園分行"/>
    <s v="第2組"/>
    <x v="2"/>
    <n v="1.5"/>
  </r>
  <r>
    <n v="241"/>
    <s v="中壢分行"/>
    <s v="第2組"/>
    <x v="2"/>
    <n v="1.5"/>
  </r>
  <r>
    <n v="242"/>
    <s v="楊梅分行"/>
    <s v="第3組"/>
    <x v="1"/>
    <n v="1.3"/>
  </r>
  <r>
    <n v="243"/>
    <s v="壢昌分行"/>
    <s v="第7組"/>
    <x v="7"/>
    <n v="0.5"/>
  </r>
  <r>
    <n v="244"/>
    <s v="北桃園分行"/>
    <s v="第4組"/>
    <x v="3"/>
    <n v="1.1000000000000001"/>
  </r>
  <r>
    <n v="245"/>
    <s v="南崁分行"/>
    <s v="第4組"/>
    <x v="3"/>
    <n v="1.1000000000000001"/>
  </r>
  <r>
    <n v="246"/>
    <s v="平鎮分行"/>
    <s v="第5組"/>
    <x v="4"/>
    <n v="0.9"/>
  </r>
  <r>
    <n v="247"/>
    <s v="八德分行"/>
    <s v="第5組"/>
    <x v="4"/>
    <n v="0.9"/>
  </r>
  <r>
    <n v="248"/>
    <s v="龜山分行"/>
    <s v="第4組"/>
    <x v="3"/>
    <n v="1.1000000000000001"/>
  </r>
  <r>
    <n v="249"/>
    <s v="龍潭分行"/>
    <s v="第7組"/>
    <x v="7"/>
    <n v="0.5"/>
  </r>
  <r>
    <n v="250"/>
    <s v="大溪分行"/>
    <s v="第8組"/>
    <x v="6"/>
    <n v="0.3"/>
  </r>
  <r>
    <n v="251"/>
    <s v="內壢分行"/>
    <s v="第7組"/>
    <x v="7"/>
    <n v="0.5"/>
  </r>
  <r>
    <n v="252"/>
    <s v="林口分行"/>
    <s v="第2組"/>
    <x v="2"/>
    <n v="1.5"/>
  </r>
  <r>
    <n v="260"/>
    <s v="觀音分行"/>
    <s v="第3組"/>
    <x v="1"/>
    <n v="1.3"/>
  </r>
  <r>
    <n v="262"/>
    <s v="大園分行"/>
    <s v="第5組"/>
    <x v="4"/>
    <n v="0.9"/>
  </r>
  <r>
    <n v="268"/>
    <s v="青埔分行"/>
    <s v="第8組"/>
    <x v="6"/>
    <n v="0.3"/>
  </r>
  <r>
    <n v="300"/>
    <s v="新竹分行"/>
    <s v="第1組"/>
    <x v="0"/>
    <n v="1.7"/>
  </r>
  <r>
    <n v="301"/>
    <s v="竹東分行"/>
    <s v="第5組"/>
    <x v="4"/>
    <n v="0.9"/>
  </r>
  <r>
    <n v="302"/>
    <s v="竹科分行"/>
    <s v="第3組"/>
    <x v="1"/>
    <n v="1.3"/>
  </r>
  <r>
    <n v="310"/>
    <s v="新豐分行"/>
    <s v="第7組"/>
    <x v="7"/>
    <n v="0.5"/>
  </r>
  <r>
    <n v="313"/>
    <s v="六家分行"/>
    <s v="第7組"/>
    <x v="7"/>
    <n v="0.5"/>
  </r>
  <r>
    <n v="320"/>
    <s v="竹南分行"/>
    <s v="第5組"/>
    <x v="4"/>
    <n v="0.9"/>
  </r>
  <r>
    <n v="321"/>
    <s v="頭份分行"/>
    <s v="第2組"/>
    <x v="2"/>
    <n v="1.5"/>
  </r>
  <r>
    <n v="322"/>
    <s v="苗栗分行"/>
    <s v="第6組"/>
    <x v="5"/>
    <n v="0.7"/>
  </r>
  <r>
    <n v="323"/>
    <s v="竹北分行"/>
    <s v="第4組"/>
    <x v="3"/>
    <n v="1.1000000000000001"/>
  </r>
  <r>
    <n v="351"/>
    <s v="大眾分行"/>
    <s v="第8組"/>
    <x v="6"/>
    <n v="0.3"/>
  </r>
  <r>
    <n v="400"/>
    <s v="豐原分行"/>
    <s v="第2組"/>
    <x v="2"/>
    <n v="1.5"/>
  </r>
  <r>
    <n v="401"/>
    <s v="東勢分行"/>
    <s v="第7組"/>
    <x v="7"/>
    <n v="0.5"/>
  </r>
  <r>
    <n v="402"/>
    <s v="清水分行"/>
    <s v="第4組"/>
    <x v="3"/>
    <n v="1.1000000000000001"/>
  </r>
  <r>
    <n v="403"/>
    <s v="西豐原分行"/>
    <s v="第4組"/>
    <x v="3"/>
    <n v="1.1000000000000001"/>
  </r>
  <r>
    <n v="420"/>
    <s v="台中分行"/>
    <s v="第1組"/>
    <x v="0"/>
    <n v="1.7"/>
  </r>
  <r>
    <n v="422"/>
    <s v="南台中分行"/>
    <s v="第6組"/>
    <x v="5"/>
    <n v="0.7"/>
  </r>
  <r>
    <n v="423"/>
    <s v="北台中分行"/>
    <s v="第5組"/>
    <x v="4"/>
    <n v="0.9"/>
  </r>
  <r>
    <n v="424"/>
    <s v="台中港路分行"/>
    <s v="第1組"/>
    <x v="0"/>
    <n v="1.7"/>
  </r>
  <r>
    <n v="425"/>
    <s v="大里分行"/>
    <s v="第4組"/>
    <x v="3"/>
    <n v="1.1000000000000001"/>
  </r>
  <r>
    <n v="426"/>
    <s v="水湳分行"/>
    <s v="第6組"/>
    <x v="5"/>
    <n v="0.7"/>
  </r>
  <r>
    <n v="427"/>
    <s v="五權分行"/>
    <s v="第6組"/>
    <x v="5"/>
    <n v="0.7"/>
  </r>
  <r>
    <n v="429"/>
    <s v="大甲分行"/>
    <s v="第7組"/>
    <x v="7"/>
    <n v="0.5"/>
  </r>
  <r>
    <n v="430"/>
    <s v="太平分行"/>
    <s v="第8組"/>
    <x v="6"/>
    <n v="0.3"/>
  </r>
  <r>
    <n v="431"/>
    <s v="中科分行"/>
    <s v="第6組"/>
    <x v="5"/>
    <n v="0.7"/>
  </r>
  <r>
    <n v="451"/>
    <s v="沙鹿分行"/>
    <s v="第8組"/>
    <x v="6"/>
    <n v="0.3"/>
  </r>
  <r>
    <n v="500"/>
    <s v="草屯分行"/>
    <s v="第7組"/>
    <x v="7"/>
    <n v="0.5"/>
  </r>
  <r>
    <n v="501"/>
    <s v="南投分行"/>
    <s v="第7組"/>
    <x v="7"/>
    <n v="0.5"/>
  </r>
  <r>
    <n v="520"/>
    <s v="彰化分行"/>
    <s v="第2組"/>
    <x v="2"/>
    <n v="1.5"/>
  </r>
  <r>
    <n v="521"/>
    <s v="和美分行"/>
    <s v="第2組"/>
    <x v="2"/>
    <n v="1.5"/>
  </r>
  <r>
    <n v="522"/>
    <s v="員林分行"/>
    <s v="第1組"/>
    <x v="0"/>
    <n v="1.7"/>
  </r>
  <r>
    <n v="523"/>
    <s v="鹿港分行"/>
    <s v="第6組"/>
    <x v="5"/>
    <n v="0.7"/>
  </r>
  <r>
    <n v="524"/>
    <s v="溪湖分行"/>
    <s v="第7組"/>
    <x v="7"/>
    <n v="0.5"/>
  </r>
  <r>
    <n v="540"/>
    <s v="斗六分行"/>
    <s v="第7組"/>
    <x v="7"/>
    <n v="0.5"/>
  </r>
  <r>
    <n v="541"/>
    <s v="虎尾分行"/>
    <s v="第5組"/>
    <x v="4"/>
    <n v="0.9"/>
  </r>
  <r>
    <n v="542"/>
    <s v="西螺分行"/>
    <s v="第8組"/>
    <x v="6"/>
    <n v="0.3"/>
  </r>
  <r>
    <n v="600"/>
    <s v="嘉義分行"/>
    <s v="第4組"/>
    <x v="3"/>
    <n v="1.1000000000000001"/>
  </r>
  <r>
    <n v="601"/>
    <s v="嘉南分行"/>
    <s v="第5組"/>
    <x v="4"/>
    <n v="0.9"/>
  </r>
  <r>
    <n v="602"/>
    <s v="朴子分行"/>
    <s v="第8組"/>
    <x v="6"/>
    <n v="0.3"/>
  </r>
  <r>
    <n v="620"/>
    <s v="新營分行"/>
    <s v="第4組"/>
    <x v="3"/>
    <n v="1.1000000000000001"/>
  </r>
  <r>
    <n v="621"/>
    <s v="麻豆分行"/>
    <s v="第3組"/>
    <x v="1"/>
    <n v="1.3"/>
  </r>
  <r>
    <n v="622"/>
    <s v="永康分行"/>
    <s v="第5組"/>
    <x v="4"/>
    <n v="0.9"/>
  </r>
  <r>
    <n v="640"/>
    <s v="台南分行"/>
    <s v="第1組"/>
    <x v="0"/>
    <n v="1.7"/>
  </r>
  <r>
    <n v="642"/>
    <s v="東台南分行"/>
    <s v="第2組"/>
    <x v="2"/>
    <n v="1.5"/>
  </r>
  <r>
    <n v="643"/>
    <s v="西台南分行"/>
    <s v="第6組"/>
    <x v="5"/>
    <n v="0.7"/>
  </r>
  <r>
    <n v="644"/>
    <s v="北台南分行"/>
    <s v="第5組"/>
    <x v="4"/>
    <n v="0.9"/>
  </r>
  <r>
    <n v="645"/>
    <s v="南都分行"/>
    <s v="第2組"/>
    <x v="2"/>
    <n v="1.5"/>
  </r>
  <r>
    <n v="646"/>
    <s v="安南分行"/>
    <s v="第7組"/>
    <x v="7"/>
    <n v="0.5"/>
  </r>
  <r>
    <n v="647"/>
    <s v="仁德分行"/>
    <s v="第5組"/>
    <x v="4"/>
    <n v="0.9"/>
  </r>
  <r>
    <n v="648"/>
    <s v="新市分行"/>
    <s v="第7組"/>
    <x v="7"/>
    <n v="0.5"/>
  </r>
  <r>
    <n v="681"/>
    <s v="金華分行"/>
    <s v="第5組"/>
    <x v="4"/>
    <n v="0.9"/>
  </r>
  <r>
    <n v="700"/>
    <s v="高雄分行"/>
    <s v="第1組"/>
    <x v="0"/>
    <n v="1.7"/>
  </r>
  <r>
    <n v="701"/>
    <s v="東苓分行"/>
    <s v="第3組"/>
    <x v="1"/>
    <n v="1.3"/>
  </r>
  <r>
    <n v="702"/>
    <s v="新興分行"/>
    <s v="第3組"/>
    <x v="1"/>
    <n v="1.3"/>
  </r>
  <r>
    <n v="703"/>
    <s v="高雄三民分行"/>
    <s v="第6組"/>
    <x v="5"/>
    <n v="0.7"/>
  </r>
  <r>
    <n v="704"/>
    <s v="苓雅分行"/>
    <s v="第6組"/>
    <x v="5"/>
    <n v="0.7"/>
  </r>
  <r>
    <n v="705"/>
    <s v="前鎮分行"/>
    <s v="第8組"/>
    <x v="6"/>
    <n v="0.3"/>
  </r>
  <r>
    <n v="706"/>
    <s v="高雄博愛分行"/>
    <s v="第4組"/>
    <x v="3"/>
    <n v="1.1000000000000001"/>
  </r>
  <r>
    <n v="707"/>
    <s v="南高雄分行"/>
    <s v="第8組"/>
    <x v="6"/>
    <n v="0.3"/>
  </r>
  <r>
    <n v="708"/>
    <s v="東高雄分行"/>
    <s v="第5組"/>
    <x v="4"/>
    <n v="0.9"/>
  </r>
  <r>
    <n v="709"/>
    <s v="大昌分行"/>
    <s v="第7組"/>
    <x v="7"/>
    <n v="0.5"/>
  </r>
  <r>
    <n v="710"/>
    <s v="北高雄分行"/>
    <s v="第3組"/>
    <x v="1"/>
    <n v="1.3"/>
  </r>
  <r>
    <n v="711"/>
    <s v="楠梓分行"/>
    <s v="第4組"/>
    <x v="3"/>
    <n v="1.1000000000000001"/>
  </r>
  <r>
    <n v="712"/>
    <s v="左營分行"/>
    <s v="第8組"/>
    <x v="6"/>
    <n v="0.3"/>
  </r>
  <r>
    <n v="719"/>
    <s v="岡山分行"/>
    <s v="第2組"/>
    <x v="2"/>
    <n v="1.5"/>
  </r>
  <r>
    <n v="720"/>
    <s v="鳳山分行"/>
    <s v="第6組"/>
    <x v="5"/>
    <n v="0.7"/>
  </r>
  <r>
    <n v="721"/>
    <s v="路竹分行"/>
    <s v="第6組"/>
    <x v="5"/>
    <n v="0.7"/>
  </r>
  <r>
    <n v="722"/>
    <s v="仁武分行"/>
    <s v="第7組"/>
    <x v="7"/>
    <n v="0.5"/>
  </r>
  <r>
    <n v="751"/>
    <s v="籬仔內分行"/>
    <s v="第7組"/>
    <x v="7"/>
    <n v="0.5"/>
  </r>
  <r>
    <n v="752"/>
    <s v="五甲分行"/>
    <s v="第6組"/>
    <x v="5"/>
    <n v="0.7"/>
  </r>
  <r>
    <n v="753"/>
    <s v="光華分行"/>
    <s v="第7組"/>
    <x v="7"/>
    <n v="0.5"/>
  </r>
  <r>
    <n v="760"/>
    <s v="小港分行"/>
    <s v="第6組"/>
    <x v="5"/>
    <n v="0.7"/>
  </r>
  <r>
    <n v="800"/>
    <s v="屏東分行"/>
    <s v="第7組"/>
    <x v="7"/>
    <n v="0.5"/>
  </r>
  <r>
    <n v="801"/>
    <s v="內埔分行"/>
    <s v="第4組"/>
    <x v="3"/>
    <n v="1.1000000000000001"/>
  </r>
  <r>
    <n v="802"/>
    <s v="潮州分行"/>
    <s v="第8組"/>
    <x v="6"/>
    <n v="0.3"/>
  </r>
  <r>
    <n v="820"/>
    <s v="花蓮分行"/>
    <s v="第7組"/>
    <x v="7"/>
    <n v="0.5"/>
  </r>
  <r>
    <n v="830"/>
    <s v="台東分行"/>
    <s v="第7組"/>
    <x v="7"/>
    <n v="0.5"/>
  </r>
  <r>
    <n v="888"/>
    <s v="營運總部分行"/>
    <s v="第8組"/>
    <x v="6"/>
    <n v="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3">
  <r>
    <x v="0"/>
    <s v="營業部　　　　　　　"/>
    <s v="HB14946"/>
    <n v="115636554.04819821"/>
  </r>
  <r>
    <x v="0"/>
    <s v="營業部　　　　　　　"/>
    <s v="HB15807"/>
    <n v="190194048.28643543"/>
  </r>
  <r>
    <x v="0"/>
    <s v="營業部　　　　　　　"/>
    <s v="HB15924"/>
    <n v="26927245.921761397"/>
  </r>
  <r>
    <x v="0"/>
    <s v="營業部　　　　　　　"/>
    <s v="HB18339"/>
    <n v="22265668.387543801"/>
  </r>
  <r>
    <x v="0"/>
    <s v="營業部　　　　　　　"/>
    <s v="HB18603"/>
    <n v="124211999.8699872"/>
  </r>
  <r>
    <x v="0"/>
    <s v="營業部　　　　　　　"/>
    <s v="HB19264"/>
    <n v="10502840.538436601"/>
  </r>
  <r>
    <x v="0"/>
    <s v="營業部　　　　　　　"/>
    <s v="HB19306"/>
    <n v="2883188.3126623998"/>
  </r>
  <r>
    <x v="1"/>
    <s v="儲蓄分行　　　　　　"/>
    <s v="HB17960"/>
    <n v="19071684.2146594"/>
  </r>
  <r>
    <x v="1"/>
    <s v="儲蓄分行　　　　　　"/>
    <s v="HB19099"/>
    <n v="6946480.8606638005"/>
  </r>
  <r>
    <x v="1"/>
    <s v="儲蓄分行　　　　　　"/>
    <s v="HB20008"/>
    <n v="65726615.805542603"/>
  </r>
  <r>
    <x v="2"/>
    <s v="城內分行　　　　　　"/>
    <s v="HB14729"/>
    <n v="20335081.932210401"/>
  </r>
  <r>
    <x v="2"/>
    <s v="城內分行　　　　　　"/>
    <s v="HB16465"/>
    <n v="24002316.023107402"/>
  </r>
  <r>
    <x v="2"/>
    <s v="城內分行　　　　　　"/>
    <s v="HB16814"/>
    <n v="16631403.359549802"/>
  </r>
  <r>
    <x v="3"/>
    <s v="大稻埕分行　　　　　"/>
    <s v="HB15570"/>
    <n v="136743950.00354701"/>
  </r>
  <r>
    <x v="3"/>
    <s v="大稻埕分行　　　　　"/>
    <s v="HB16941"/>
    <n v="57963205.669979408"/>
  </r>
  <r>
    <x v="3"/>
    <s v="大稻埕分行　　　　　"/>
    <s v="HB9717"/>
    <n v="4298438.3813306"/>
  </r>
  <r>
    <x v="3"/>
    <s v="大稻埕分行　　　　　"/>
    <s v="HB9935"/>
    <n v="78949327.034429193"/>
  </r>
  <r>
    <x v="4"/>
    <s v="建成分行　　　　　　"/>
    <s v="HB14751"/>
    <n v="471338082.55397224"/>
  </r>
  <r>
    <x v="4"/>
    <s v="建成分行　　　　　　"/>
    <s v="HB15953"/>
    <n v="11320114.632436199"/>
  </r>
  <r>
    <x v="5"/>
    <s v="中山分行　　　　　　"/>
    <s v="HB11100"/>
    <n v="197174894.09865239"/>
  </r>
  <r>
    <x v="5"/>
    <s v="中山分行　　　　　　"/>
    <s v="HB14468"/>
    <n v="8373318.6779936003"/>
  </r>
  <r>
    <x v="5"/>
    <s v="中山分行　　　　　　"/>
    <s v="HB14744"/>
    <n v="106331634.359534"/>
  </r>
  <r>
    <x v="5"/>
    <s v="中山分行　　　　　　"/>
    <s v="HB9918"/>
    <n v="21706408.266663"/>
  </r>
  <r>
    <x v="6"/>
    <s v="圓山分行　　　　　　"/>
    <s v="HB14209"/>
    <n v="24757186.2535378"/>
  </r>
  <r>
    <x v="6"/>
    <s v="圓山分行　　　　　　"/>
    <s v="HB15810"/>
    <n v="436583207.19708222"/>
  </r>
  <r>
    <x v="6"/>
    <s v="圓山分行　　　　　　"/>
    <s v="HB16973"/>
    <n v="50346040.034875005"/>
  </r>
  <r>
    <x v="6"/>
    <s v="圓山分行　　　　　　"/>
    <s v="HB18277"/>
    <n v="143554852.29131299"/>
  </r>
  <r>
    <x v="6"/>
    <s v="圓山分行　　　　　　"/>
    <s v="HB18718"/>
    <n v="198366463.3037748"/>
  </r>
  <r>
    <x v="6"/>
    <s v="圓山分行　　　　　　"/>
    <s v="HB18891"/>
    <n v="277222287.55576861"/>
  </r>
  <r>
    <x v="7"/>
    <s v="城東分行　　　　　　"/>
    <s v="HB15557"/>
    <n v="4585033.3779902002"/>
  </r>
  <r>
    <x v="7"/>
    <s v="城東分行　　　　　　"/>
    <s v="HB15973"/>
    <n v="8908526.9795404002"/>
  </r>
  <r>
    <x v="7"/>
    <s v="城東分行　　　　　　"/>
    <s v="HB16100"/>
    <n v="125479938.243099"/>
  </r>
  <r>
    <x v="7"/>
    <s v="城東分行　　　　　　"/>
    <s v="HB17926"/>
    <n v="271927011.53975558"/>
  </r>
  <r>
    <x v="7"/>
    <s v="城東分行　　　　　　"/>
    <s v="HB18181"/>
    <n v="24361319.664649799"/>
  </r>
  <r>
    <x v="7"/>
    <s v="城東分行　　　　　　"/>
    <s v="HB18556"/>
    <n v="152227492.7222088"/>
  </r>
  <r>
    <x v="7"/>
    <s v="城東分行　　　　　　"/>
    <s v="HB6906"/>
    <n v="19187110.281325001"/>
  </r>
  <r>
    <x v="8"/>
    <s v="西門分行　　　　　　"/>
    <s v="HB15434"/>
    <n v="21429991.531767201"/>
  </r>
  <r>
    <x v="8"/>
    <s v="西門分行　　　　　　"/>
    <s v="HB9231"/>
    <n v="140729931.73887581"/>
  </r>
  <r>
    <x v="9"/>
    <s v="南松山分行　　　　　"/>
    <s v="HB15190"/>
    <n v="223934204.75753701"/>
  </r>
  <r>
    <x v="9"/>
    <s v="南松山分行　　　　　"/>
    <s v="HB17834"/>
    <n v="76219987.540426999"/>
  </r>
  <r>
    <x v="9"/>
    <s v="南松山分行　　　　　"/>
    <s v="HB18173"/>
    <n v="13876324.09688"/>
  </r>
  <r>
    <x v="9"/>
    <s v="南松山分行　　　　　"/>
    <s v="HB18597"/>
    <n v="30234788.843769003"/>
  </r>
  <r>
    <x v="10"/>
    <s v="仁愛路分行　　　　　"/>
    <s v="HB12010"/>
    <n v="327202158.54064119"/>
  </r>
  <r>
    <x v="10"/>
    <s v="仁愛路分行　　　　　"/>
    <s v="HB15906"/>
    <n v="9730852.9388820007"/>
  </r>
  <r>
    <x v="10"/>
    <s v="仁愛路分行　　　　　"/>
    <s v="HB16734"/>
    <n v="75273513.094209999"/>
  </r>
  <r>
    <x v="10"/>
    <s v="仁愛路分行　　　　　"/>
    <s v="HB17525"/>
    <n v="10896398.408210199"/>
  </r>
  <r>
    <x v="11"/>
    <s v="南京東路分行　　　　"/>
    <s v="HB10600"/>
    <n v="205442802.60864419"/>
  </r>
  <r>
    <x v="11"/>
    <s v="南京東路分行　　　　"/>
    <s v="HB13562"/>
    <n v="85692136.01554741"/>
  </r>
  <r>
    <x v="11"/>
    <s v="南京東路分行　　　　"/>
    <s v="HB16420"/>
    <n v="18306173.2084268"/>
  </r>
  <r>
    <x v="11"/>
    <s v="南京東路分行　　　　"/>
    <s v="HB17534"/>
    <n v="11463802.4513258"/>
  </r>
  <r>
    <x v="11"/>
    <s v="南京東路分行　　　　"/>
    <s v="HB8121"/>
    <n v="4056596.9626620002"/>
  </r>
  <r>
    <x v="12"/>
    <s v="新生分行　　　　　　"/>
    <s v="HB14013"/>
    <n v="25880460.115993802"/>
  </r>
  <r>
    <x v="12"/>
    <s v="新生分行　　　　　　"/>
    <s v="HB1581"/>
    <n v="11699956.373772601"/>
  </r>
  <r>
    <x v="12"/>
    <s v="新生分行　　　　　　"/>
    <s v="HB16448"/>
    <n v="4873968.2173277996"/>
  </r>
  <r>
    <x v="12"/>
    <s v="新生分行　　　　　　"/>
    <s v="HB17624"/>
    <n v="2184317.2777709998"/>
  </r>
  <r>
    <x v="12"/>
    <s v="新生分行　　　　　　"/>
    <s v="HB17681"/>
    <n v="1960096.1037734"/>
  </r>
  <r>
    <x v="12"/>
    <s v="新生分行　　　　　　"/>
    <s v="HB9162"/>
    <n v="24367228.295766998"/>
  </r>
  <r>
    <x v="13"/>
    <s v="大同分行　　　　　　"/>
    <s v="HB13549"/>
    <n v="617160066.04954565"/>
  </r>
  <r>
    <x v="13"/>
    <s v="大同分行　　　　　　"/>
    <s v="HB16106"/>
    <n v="273736456.25931466"/>
  </r>
  <r>
    <x v="13"/>
    <s v="大同分行　　　　　　"/>
    <s v="HB17641"/>
    <n v="6606539.0231088009"/>
  </r>
  <r>
    <x v="14"/>
    <s v="松山分行　　　　　　"/>
    <s v="HB14721"/>
    <n v="183407860.03086638"/>
  </r>
  <r>
    <x v="14"/>
    <s v="松山分行　　　　　　"/>
    <s v="HB2092"/>
    <n v="99229866.250208005"/>
  </r>
  <r>
    <x v="15"/>
    <s v="中崙分行　　　　　　"/>
    <s v="HB13270"/>
    <n v="68495809.887762398"/>
  </r>
  <r>
    <x v="15"/>
    <s v="中崙分行　　　　　　"/>
    <s v="HB14522"/>
    <n v="7422622.599107001"/>
  </r>
  <r>
    <x v="15"/>
    <s v="中崙分行　　　　　　"/>
    <s v="HB15122"/>
    <n v="6247259.474436"/>
  </r>
  <r>
    <x v="16"/>
    <s v="南門分行　　　　　　"/>
    <s v="HB14701"/>
    <n v="60000462.280656397"/>
  </r>
  <r>
    <x v="16"/>
    <s v="南門分行　　　　　　"/>
    <s v="HB14717"/>
    <n v="172245182.9761956"/>
  </r>
  <r>
    <x v="16"/>
    <s v="南門分行　　　　　　"/>
    <s v="HB16280"/>
    <n v="43009754.123310998"/>
  </r>
  <r>
    <x v="16"/>
    <s v="南門分行　　　　　　"/>
    <s v="HB16773"/>
    <n v="103940736.6644142"/>
  </r>
  <r>
    <x v="16"/>
    <s v="南門分行　　　　　　"/>
    <s v="HB18993"/>
    <n v="12980771.803770002"/>
  </r>
  <r>
    <x v="17"/>
    <s v="公館分行　　　　　　"/>
    <s v="HB13683"/>
    <n v="13948504.829104399"/>
  </r>
  <r>
    <x v="17"/>
    <s v="公館分行　　　　　　"/>
    <s v="HB15860"/>
    <n v="45712240.957764804"/>
  </r>
  <r>
    <x v="17"/>
    <s v="公館分行　　　　　　"/>
    <s v="HB17071"/>
    <n v="26041102.808644399"/>
  </r>
  <r>
    <x v="17"/>
    <s v="公館分行　　　　　　"/>
    <s v="HB17966"/>
    <n v="53751152.423764199"/>
  </r>
  <r>
    <x v="17"/>
    <s v="公館分行　　　　　　"/>
    <s v="HB20235"/>
    <n v="10610293.413770599"/>
  </r>
  <r>
    <x v="18"/>
    <s v="信義分行　　　　　　"/>
    <s v="HB16899"/>
    <n v="127512454.3324312"/>
  </r>
  <r>
    <x v="18"/>
    <s v="信義分行　　　　　　"/>
    <s v="HB19905"/>
    <n v="9934358.6217695996"/>
  </r>
  <r>
    <x v="18"/>
    <s v="信義分行　　　　　　"/>
    <s v="HB7873"/>
    <n v="30764038.148656003"/>
  </r>
  <r>
    <x v="19"/>
    <s v="忠孝東路分行　　　　"/>
    <s v="HB11953"/>
    <n v="27935809.399100401"/>
  </r>
  <r>
    <x v="19"/>
    <s v="忠孝東路分行　　　　"/>
    <s v="HB12081"/>
    <n v="16340196.7175478"/>
  </r>
  <r>
    <x v="19"/>
    <s v="忠孝東路分行　　　　"/>
    <s v="HB12478"/>
    <n v="28345058.389324598"/>
  </r>
  <r>
    <x v="19"/>
    <s v="忠孝東路分行　　　　"/>
    <s v="HB15188"/>
    <n v="92717135.945547596"/>
  </r>
  <r>
    <x v="19"/>
    <s v="忠孝東路分行　　　　"/>
    <s v="HB15191"/>
    <n v="20483297.7108768"/>
  </r>
  <r>
    <x v="20"/>
    <s v="和平分行　　　　　　"/>
    <s v="HB13557"/>
    <n v="275785262.89465898"/>
  </r>
  <r>
    <x v="20"/>
    <s v="和平分行　　　　　　"/>
    <s v="HB15052"/>
    <n v="130358159.1699892"/>
  </r>
  <r>
    <x v="20"/>
    <s v="和平分行　　　　　　"/>
    <s v="HB19288"/>
    <n v="114925325.8675468"/>
  </r>
  <r>
    <x v="20"/>
    <s v="和平分行　　　　　　"/>
    <s v="HB8366"/>
    <n v="84279475.016882598"/>
  </r>
  <r>
    <x v="21"/>
    <s v="雙園分行　　　　　　"/>
    <s v="HB13339"/>
    <n v="47489091.354875803"/>
  </r>
  <r>
    <x v="21"/>
    <s v="雙園分行　　　　　　"/>
    <s v="HB13406"/>
    <n v="31265238.7417586"/>
  </r>
  <r>
    <x v="21"/>
    <s v="雙園分行　　　　　　"/>
    <s v="HB8833"/>
    <n v="61367120.523098394"/>
  </r>
  <r>
    <x v="22"/>
    <s v="士林分行　　　　　　"/>
    <s v="HB15470"/>
    <n v="100933952.01643321"/>
  </r>
  <r>
    <x v="22"/>
    <s v="士林分行　　　　　　"/>
    <s v="HB15827"/>
    <n v="135500649.6828734"/>
  </r>
  <r>
    <x v="22"/>
    <s v="士林分行　　　　　　"/>
    <s v="HB16455"/>
    <n v="29156260.907105602"/>
  </r>
  <r>
    <x v="22"/>
    <s v="士林分行　　　　　　"/>
    <s v="HB18238"/>
    <n v="1210438.6988860001"/>
  </r>
  <r>
    <x v="23"/>
    <s v="東台北分行　　　　　"/>
    <s v="HB12606"/>
    <n v="126255854.61042601"/>
  </r>
  <r>
    <x v="23"/>
    <s v="東台北分行　　　　　"/>
    <s v="HB17072"/>
    <n v="85410531.752433807"/>
  </r>
  <r>
    <x v="23"/>
    <s v="東台北分行　　　　　"/>
    <s v="HB18337"/>
    <n v="69266286.316884995"/>
  </r>
  <r>
    <x v="24"/>
    <s v="大安分行　　　　　　"/>
    <s v="HB13932"/>
    <n v="47526180.809986398"/>
  </r>
  <r>
    <x v="24"/>
    <s v="大安分行　　　　　　"/>
    <s v="HB15834"/>
    <n v="92689739.506867602"/>
  </r>
  <r>
    <x v="24"/>
    <s v="大安分行　　　　　　"/>
    <s v="HB16192"/>
    <n v="9079050.362886399"/>
  </r>
  <r>
    <x v="24"/>
    <s v="大安分行　　　　　　"/>
    <s v="HB16426"/>
    <n v="3798901.9124419997"/>
  </r>
  <r>
    <x v="25"/>
    <s v="民生分行　　　　　　"/>
    <s v="HB15237"/>
    <n v="64731705.715750597"/>
  </r>
  <r>
    <x v="25"/>
    <s v="民生分行　　　　　　"/>
    <s v="HB15648"/>
    <n v="20535487.923990201"/>
  </r>
  <r>
    <x v="25"/>
    <s v="民生分行　　　　　　"/>
    <s v="HB7487"/>
    <n v="4222955.3455539998"/>
  </r>
  <r>
    <x v="25"/>
    <s v="民生分行　　　　　　"/>
    <s v="HB9105"/>
    <n v="62029580.894436799"/>
  </r>
  <r>
    <x v="26"/>
    <s v="復興分行　　　　　　"/>
    <s v="HB13332"/>
    <n v="145937598.10441059"/>
  </r>
  <r>
    <x v="26"/>
    <s v="復興分行　　　　　　"/>
    <s v="HB8470"/>
    <n v="93986821.083316803"/>
  </r>
  <r>
    <x v="27"/>
    <s v="龍江分行　　　　　　"/>
    <s v="HB11974"/>
    <n v="19073306.540213201"/>
  </r>
  <r>
    <x v="27"/>
    <s v="龍江分行　　　　　　"/>
    <s v="HB14597"/>
    <n v="23636609.086866997"/>
  </r>
  <r>
    <x v="28"/>
    <s v="永吉分行　　　　　　"/>
    <s v="HB13464"/>
    <n v="39185413.953096002"/>
  </r>
  <r>
    <x v="28"/>
    <s v="永吉分行　　　　　　"/>
    <s v="HB19598"/>
    <n v="1089976.2506664002"/>
  </r>
  <r>
    <x v="28"/>
    <s v="永吉分行　　　　　　"/>
    <s v="HB7822"/>
    <n v="15450495.6922174"/>
  </r>
  <r>
    <x v="28"/>
    <s v="永吉分行　　　　　　"/>
    <s v="HB8688"/>
    <n v="1556339.809997"/>
  </r>
  <r>
    <x v="29"/>
    <s v="敦化分行　　　　　　"/>
    <s v="HB15968"/>
    <n v="73711086.892205209"/>
  </r>
  <r>
    <x v="29"/>
    <s v="敦化分行　　　　　　"/>
    <s v="HB16134"/>
    <n v="14725640.287767"/>
  </r>
  <r>
    <x v="29"/>
    <s v="敦化分行　　　　　　"/>
    <s v="HB9299"/>
    <n v="8923508.7406599987"/>
  </r>
  <r>
    <x v="30"/>
    <s v="大直分行　　　　　　"/>
    <s v="HB17372"/>
    <n v="111151331.3886354"/>
  </r>
  <r>
    <x v="31"/>
    <s v="敦和分行　　　　　　"/>
    <s v="HB14027"/>
    <n v="3132564.1473270003"/>
  </r>
  <r>
    <x v="31"/>
    <s v="敦和分行　　　　　　"/>
    <s v="HB15436"/>
    <n v="43825970.325542599"/>
  </r>
  <r>
    <x v="31"/>
    <s v="敦和分行　　　　　　"/>
    <s v="HB16367"/>
    <n v="64148181.655322596"/>
  </r>
  <r>
    <x v="32"/>
    <s v="東湖分行　　　　　　"/>
    <s v="HB14911"/>
    <n v="110478917.36220759"/>
  </r>
  <r>
    <x v="32"/>
    <s v="東湖分行　　　　　　"/>
    <s v="HB18622"/>
    <n v="7590328.8779914007"/>
  </r>
  <r>
    <x v="32"/>
    <s v="東湖分行　　　　　　"/>
    <s v="HB7758"/>
    <n v="54431846.499314398"/>
  </r>
  <r>
    <x v="33"/>
    <s v="東興分行　　　　　　"/>
    <s v="HB15602"/>
    <n v="12874350.232660599"/>
  </r>
  <r>
    <x v="33"/>
    <s v="東興分行　　　　　　"/>
    <s v="HB18610"/>
    <n v="25359443.890216399"/>
  </r>
  <r>
    <x v="33"/>
    <s v="東興分行　　　　　　"/>
    <s v="HB18903"/>
    <n v="31460999.020661"/>
  </r>
  <r>
    <x v="34"/>
    <s v="北南港分行　　　　　"/>
    <s v="HB11657"/>
    <n v="130241738.50708321"/>
  </r>
  <r>
    <x v="35"/>
    <s v="南內湖分行　　　　　"/>
    <s v="HB16717"/>
    <n v="147661339.94242662"/>
  </r>
  <r>
    <x v="35"/>
    <s v="南內湖分行　　　　　"/>
    <s v="HB18826"/>
    <n v="20786740.465984799"/>
  </r>
  <r>
    <x v="36"/>
    <s v="長安分行　　　　　　"/>
    <s v="HB13572"/>
    <n v="243350174.25666061"/>
  </r>
  <r>
    <x v="36"/>
    <s v="長安分行　　　　　　"/>
    <s v="HB16929"/>
    <n v="14720963.351320999"/>
  </r>
  <r>
    <x v="37"/>
    <s v="懷生分行　　　　　　"/>
    <s v="HB13330"/>
    <n v="6296431.0162167996"/>
  </r>
  <r>
    <x v="37"/>
    <s v="懷生分行　　　　　　"/>
    <s v="HB13583"/>
    <n v="75960231.462882802"/>
  </r>
  <r>
    <x v="37"/>
    <s v="懷生分行　　　　　　"/>
    <s v="HB19424"/>
    <n v="29696348.361107398"/>
  </r>
  <r>
    <x v="37"/>
    <s v="懷生分行　　　　　　"/>
    <s v="HB7924"/>
    <n v="21761030.476661999"/>
  </r>
  <r>
    <x v="38"/>
    <s v="中華路分行　　　　　"/>
    <s v="HB12577"/>
    <n v="34438405.365765601"/>
  </r>
  <r>
    <x v="38"/>
    <s v="中華路分行　　　　　"/>
    <s v="HB15481"/>
    <n v="20491539.490878001"/>
  </r>
  <r>
    <x v="38"/>
    <s v="中華路分行　　　　　"/>
    <s v="HB16376"/>
    <n v="39664120.485325396"/>
  </r>
  <r>
    <x v="39"/>
    <s v="信維分行　　　　　　"/>
    <s v="HB10758"/>
    <n v="13848233.987543"/>
  </r>
  <r>
    <x v="39"/>
    <s v="信維分行　　　　　　"/>
    <s v="HB15069"/>
    <n v="8242143.5466630002"/>
  </r>
  <r>
    <x v="39"/>
    <s v="信維分行　　　　　　"/>
    <s v="HB15869"/>
    <n v="42872362.743323602"/>
  </r>
  <r>
    <x v="39"/>
    <s v="信維分行　　　　　　"/>
    <s v="HB9721"/>
    <n v="10809896.356663"/>
  </r>
  <r>
    <x v="40"/>
    <s v="埔墘分行　　　　　　"/>
    <s v="HB12398"/>
    <n v="197051446.52287421"/>
  </r>
  <r>
    <x v="40"/>
    <s v="埔墘分行　　　　　　"/>
    <s v="HB13297"/>
    <n v="55447143.979988001"/>
  </r>
  <r>
    <x v="40"/>
    <s v="埔墘分行　　　　　　"/>
    <s v="HB15872"/>
    <n v="8458370.7522155996"/>
  </r>
  <r>
    <x v="40"/>
    <s v="埔墘分行　　　　　　"/>
    <s v="HB17897"/>
    <n v="16353226.143548001"/>
  </r>
  <r>
    <x v="40"/>
    <s v="埔墘分行　　　　　　"/>
    <s v="HB17932"/>
    <n v="186540958.954869"/>
  </r>
  <r>
    <x v="41"/>
    <s v="石牌分行　　　　　　"/>
    <s v="HB11231"/>
    <n v="1224276.5713281999"/>
  </r>
  <r>
    <x v="41"/>
    <s v="石牌分行　　　　　　"/>
    <s v="HB12924"/>
    <n v="10451620.856876999"/>
  </r>
  <r>
    <x v="41"/>
    <s v="石牌分行　　　　　　"/>
    <s v="HB15240"/>
    <n v="6731564.3293326003"/>
  </r>
  <r>
    <x v="41"/>
    <s v="石牌分行　　　　　　"/>
    <s v="HB17078"/>
    <n v="89849128.665324599"/>
  </r>
  <r>
    <x v="41"/>
    <s v="石牌分行　　　　　　"/>
    <s v="HB9695"/>
    <n v="27531866.258662"/>
  </r>
  <r>
    <x v="42"/>
    <s v="瑞祥分行　　　　　　"/>
    <s v="HB10040"/>
    <n v="8915527.4751069993"/>
  </r>
  <r>
    <x v="42"/>
    <s v="瑞祥分行　　　　　　"/>
    <s v="HB13074"/>
    <n v="88102323.397104204"/>
  </r>
  <r>
    <x v="42"/>
    <s v="瑞祥分行　　　　　　"/>
    <s v="HB15040"/>
    <n v="3965894.2304402003"/>
  </r>
  <r>
    <x v="42"/>
    <s v="瑞祥分行　　　　　　"/>
    <s v="HB17181"/>
    <n v="36571397.6137686"/>
  </r>
  <r>
    <x v="43"/>
    <s v="台大分行　　　　　　"/>
    <s v="HB8213"/>
    <n v="208963333.35041219"/>
  </r>
  <r>
    <x v="44"/>
    <s v="世貿分行　　　　　　"/>
    <s v="HB16200"/>
    <n v="51795024.135101199"/>
  </r>
  <r>
    <x v="44"/>
    <s v="世貿分行　　　　　　"/>
    <s v="HB17249"/>
    <n v="15353929.918882202"/>
  </r>
  <r>
    <x v="44"/>
    <s v="世貿分行　　　　　　"/>
    <s v="HB18063"/>
    <n v="67254707.836650193"/>
  </r>
  <r>
    <x v="45"/>
    <s v="萬華分行　　　　　　"/>
    <s v="HB14742"/>
    <n v="48041493.849764004"/>
  </r>
  <r>
    <x v="45"/>
    <s v="萬華分行　　　　　　"/>
    <s v="HB18575"/>
    <n v="1250046.951106"/>
  </r>
  <r>
    <x v="45"/>
    <s v="萬華分行　　　　　　"/>
    <s v="HB9232"/>
    <n v="38917635.389324605"/>
  </r>
  <r>
    <x v="46"/>
    <s v="南港分行　　　　　　"/>
    <s v="HB10707"/>
    <n v="576351242.20797896"/>
  </r>
  <r>
    <x v="46"/>
    <s v="南港分行　　　　　　"/>
    <s v="HB14647"/>
    <n v="25755590.8106586"/>
  </r>
  <r>
    <x v="46"/>
    <s v="南港分行　　　　　　"/>
    <s v="HB17028"/>
    <n v="58999842.5568766"/>
  </r>
  <r>
    <x v="47"/>
    <s v="華江分行　　　　　　"/>
    <s v="HB11060"/>
    <n v="6549934.5359969996"/>
  </r>
  <r>
    <x v="47"/>
    <s v="華江分行　　　　　　"/>
    <s v="HB12091"/>
    <n v="164045479.20376319"/>
  </r>
  <r>
    <x v="47"/>
    <s v="華江分行　　　　　　"/>
    <s v="HB14880"/>
    <n v="45933465.7068744"/>
  </r>
  <r>
    <x v="47"/>
    <s v="華江分行　　　　　　"/>
    <s v="HB16104"/>
    <n v="231109264.93998539"/>
  </r>
  <r>
    <x v="47"/>
    <s v="華江分行　　　　　　"/>
    <s v="HB16364"/>
    <n v="241596288.49997661"/>
  </r>
  <r>
    <x v="47"/>
    <s v="華江分行　　　　　　"/>
    <s v="HB19748"/>
    <n v="79488354.314428002"/>
  </r>
  <r>
    <x v="48"/>
    <s v="板橋分行　　　　　　"/>
    <s v="HB13335"/>
    <n v="54629325.000651196"/>
  </r>
  <r>
    <x v="48"/>
    <s v="板橋分行　　　　　　"/>
    <s v="HB13362"/>
    <n v="96404733.013985813"/>
  </r>
  <r>
    <x v="48"/>
    <s v="板橋分行　　　　　　"/>
    <s v="HB17120"/>
    <n v="22198729.051547199"/>
  </r>
  <r>
    <x v="49"/>
    <s v="三重分行　　　　　　"/>
    <s v="HB15982"/>
    <n v="176608916.44130599"/>
  </r>
  <r>
    <x v="49"/>
    <s v="三重分行　　　　　　"/>
    <s v="HB8670"/>
    <n v="87206064.581744"/>
  </r>
  <r>
    <x v="50"/>
    <s v="北三重分行　　　　　"/>
    <s v="HB11198"/>
    <n v="12294658.5524392"/>
  </r>
  <r>
    <x v="50"/>
    <s v="北三重分行　　　　　"/>
    <s v="HB15808"/>
    <n v="119167676.43753821"/>
  </r>
  <r>
    <x v="50"/>
    <s v="北三重分行　　　　　"/>
    <s v="HB16128"/>
    <n v="129037292.90242061"/>
  </r>
  <r>
    <x v="50"/>
    <s v="北三重分行　　　　　"/>
    <s v="HB16174"/>
    <n v="30231483.347547602"/>
  </r>
  <r>
    <x v="50"/>
    <s v="北三重分行　　　　　"/>
    <s v="HB16950"/>
    <n v="13794529.283323402"/>
  </r>
  <r>
    <x v="50"/>
    <s v="北三重分行　　　　　"/>
    <s v="HB17074"/>
    <n v="74127882.97532481"/>
  </r>
  <r>
    <x v="51"/>
    <s v="新莊分行　　　　　　"/>
    <s v="HB10632"/>
    <n v="1342000.793332"/>
  </r>
  <r>
    <x v="51"/>
    <s v="新莊分行　　　　　　"/>
    <s v="HB12393"/>
    <n v="220395164.99665242"/>
  </r>
  <r>
    <x v="51"/>
    <s v="新莊分行　　　　　　"/>
    <s v="HB18866"/>
    <n v="5378428.4302196"/>
  </r>
  <r>
    <x v="51"/>
    <s v="新莊分行　　　　　　"/>
    <s v="HB9731"/>
    <n v="41492161.365992799"/>
  </r>
  <r>
    <x v="52"/>
    <s v="永和分行　　　　　　"/>
    <s v="HB14617"/>
    <n v="32919672.043322202"/>
  </r>
  <r>
    <x v="52"/>
    <s v="永和分行　　　　　　"/>
    <s v="HB14763"/>
    <n v="179643108.51264679"/>
  </r>
  <r>
    <x v="52"/>
    <s v="永和分行　　　　　　"/>
    <s v="HB15622"/>
    <n v="50776086.741094202"/>
  </r>
  <r>
    <x v="53"/>
    <s v="中和分行　　　　　　"/>
    <s v="HB13559"/>
    <n v="17108002.963103201"/>
  </r>
  <r>
    <x v="53"/>
    <s v="中和分行　　　　　　"/>
    <s v="HB13588"/>
    <n v="234570320.03663981"/>
  </r>
  <r>
    <x v="53"/>
    <s v="中和分行　　　　　　"/>
    <s v="HB18583"/>
    <n v="67682231.275992602"/>
  </r>
  <r>
    <x v="53"/>
    <s v="中和分行　　　　　　"/>
    <s v="HB19332"/>
    <n v="4020217.8126624003"/>
  </r>
  <r>
    <x v="54"/>
    <s v="新店分行　　　　　　"/>
    <s v="HB12229"/>
    <n v="82706193.975316599"/>
  </r>
  <r>
    <x v="54"/>
    <s v="新店分行　　　　　　"/>
    <s v="HB15187"/>
    <n v="578600789.16818941"/>
  </r>
  <r>
    <x v="54"/>
    <s v="新店分行　　　　　　"/>
    <s v="HB17748"/>
    <n v="31885611.259102799"/>
  </r>
  <r>
    <x v="54"/>
    <s v="新店分行　　　　　　"/>
    <s v="HB7907"/>
    <n v="57819155.481986403"/>
  </r>
  <r>
    <x v="55"/>
    <s v="淡水分行　　　　　　"/>
    <s v="HB11500"/>
    <n v="276358888.02308559"/>
  </r>
  <r>
    <x v="55"/>
    <s v="淡水分行　　　　　　"/>
    <s v="HB14032"/>
    <n v="39735701.747089401"/>
  </r>
  <r>
    <x v="55"/>
    <s v="淡水分行　　　　　　"/>
    <s v="HB15858"/>
    <n v="12619369.649328001"/>
  </r>
  <r>
    <x v="55"/>
    <s v="淡水分行　　　　　　"/>
    <s v="HB20049"/>
    <n v="47585896.622647405"/>
  </r>
  <r>
    <x v="55"/>
    <s v="淡水分行　　　　　　"/>
    <s v="HB20263"/>
    <n v="43776645.603987806"/>
  </r>
  <r>
    <x v="56"/>
    <s v="汐止分行　　　　　　"/>
    <s v="HB16934"/>
    <n v="4941252.8368829992"/>
  </r>
  <r>
    <x v="56"/>
    <s v="汐止分行　　　　　　"/>
    <s v="HB18287"/>
    <n v="9541436.4688841999"/>
  </r>
  <r>
    <x v="56"/>
    <s v="汐止分行　　　　　　"/>
    <s v="HB18607"/>
    <n v="38320244.279104799"/>
  </r>
  <r>
    <x v="56"/>
    <s v="汐止分行　　　　　　"/>
    <s v="HB3667"/>
    <n v="138392994.70554301"/>
  </r>
  <r>
    <x v="56"/>
    <s v="汐止分行　　　　　　"/>
    <s v="HB7345"/>
    <n v="6292074.9126621997"/>
  </r>
  <r>
    <x v="57"/>
    <s v="南永和分行　　　　　"/>
    <s v="HB10910"/>
    <n v="51200232.491765402"/>
  </r>
  <r>
    <x v="57"/>
    <s v="南永和分行　　　　　"/>
    <s v="HB11484"/>
    <n v="98781857.4135492"/>
  </r>
  <r>
    <x v="57"/>
    <s v="南永和分行　　　　　"/>
    <s v="HB19270"/>
    <n v="5783292.1093298001"/>
  </r>
  <r>
    <x v="57"/>
    <s v="南永和分行　　　　　"/>
    <s v="HB19324"/>
    <n v="19508775.110881601"/>
  </r>
  <r>
    <x v="57"/>
    <s v="南永和分行　　　　　"/>
    <s v="HB8017"/>
    <n v="8782046.4688859992"/>
  </r>
  <r>
    <x v="58"/>
    <s v="西三重分行　　　　　"/>
    <s v="HB10071"/>
    <n v="41509907.861762404"/>
  </r>
  <r>
    <x v="58"/>
    <s v="西三重分行　　　　　"/>
    <s v="HB12215"/>
    <n v="46607647.985096999"/>
  </r>
  <r>
    <x v="58"/>
    <s v="西三重分行　　　　　"/>
    <s v="HB7775"/>
    <n v="52896090.953325599"/>
  </r>
  <r>
    <x v="59"/>
    <s v="南三重分行　　　　　"/>
    <s v="HB11922"/>
    <n v="84439263.38398701"/>
  </r>
  <r>
    <x v="59"/>
    <s v="南三重分行　　　　　"/>
    <s v="HB16031"/>
    <n v="20857491.808664002"/>
  </r>
  <r>
    <x v="59"/>
    <s v="南三重分行　　　　　"/>
    <s v="HB19101"/>
    <n v="30186507.712216001"/>
  </r>
  <r>
    <x v="59"/>
    <s v="南三重分行　　　　　"/>
    <s v="HB7213"/>
    <n v="26387243.926881403"/>
  </r>
  <r>
    <x v="60"/>
    <s v="雙和分行　　　　　　"/>
    <s v="HB15184"/>
    <n v="13920029.4135464"/>
  </r>
  <r>
    <x v="60"/>
    <s v="雙和分行　　　　　　"/>
    <s v="HB15697"/>
    <n v="30143873.926879801"/>
  </r>
  <r>
    <x v="60"/>
    <s v="雙和分行　　　　　　"/>
    <s v="HB20125"/>
    <n v="129999631.47243622"/>
  </r>
  <r>
    <x v="61"/>
    <s v="新泰分行　　　　　　"/>
    <s v="HB14839"/>
    <n v="709770.07888699998"/>
  </r>
  <r>
    <x v="61"/>
    <s v="新泰分行　　　　　　"/>
    <s v="HB16349"/>
    <n v="59761947.501763403"/>
  </r>
  <r>
    <x v="61"/>
    <s v="新泰分行　　　　　　"/>
    <s v="HB7919"/>
    <n v="102278170.00287101"/>
  </r>
  <r>
    <x v="61"/>
    <s v="新泰分行　　　　　　"/>
    <s v="HB9280"/>
    <n v="18709717.141768001"/>
  </r>
  <r>
    <x v="62"/>
    <s v="二重分行　　　　　　"/>
    <s v="HB0481"/>
    <n v="66149021.107767805"/>
  </r>
  <r>
    <x v="62"/>
    <s v="二重分行　　　　　　"/>
    <s v="HB16107"/>
    <n v="129211432.00798321"/>
  </r>
  <r>
    <x v="62"/>
    <s v="二重分行　　　　　　"/>
    <s v="HB8038"/>
    <n v="184048579.74331719"/>
  </r>
  <r>
    <x v="62"/>
    <s v="二重分行　　　　　　"/>
    <s v="HB8214"/>
    <n v="132467499.180436"/>
  </r>
  <r>
    <x v="63"/>
    <s v="板新分行　　　　　　"/>
    <s v="HB12043"/>
    <n v="23608198.395766601"/>
  </r>
  <r>
    <x v="63"/>
    <s v="板新分行　　　　　　"/>
    <s v="HB15819"/>
    <n v="129980001.11596359"/>
  </r>
  <r>
    <x v="63"/>
    <s v="板新分行　　　　　　"/>
    <s v="HB16902"/>
    <n v="57304849.247539401"/>
  </r>
  <r>
    <x v="63"/>
    <s v="板新分行　　　　　　"/>
    <s v="HB19894"/>
    <n v="257285.56444099999"/>
  </r>
  <r>
    <x v="64"/>
    <s v="五股分行　　　　　　"/>
    <s v="HB15682"/>
    <n v="18443494.961099997"/>
  </r>
  <r>
    <x v="64"/>
    <s v="五股分行　　　　　　"/>
    <s v="HB16825"/>
    <n v="5424604.7975500003"/>
  </r>
  <r>
    <x v="64"/>
    <s v="五股分行　　　　　　"/>
    <s v="HB17086"/>
    <n v="91689131.643986404"/>
  </r>
  <r>
    <x v="64"/>
    <s v="五股分行　　　　　　"/>
    <s v="HB8037"/>
    <n v="5862616.0664379997"/>
  </r>
  <r>
    <x v="65"/>
    <s v="潭美分行　　　　　　"/>
    <s v="HB15561"/>
    <n v="39443592.022430405"/>
  </r>
  <r>
    <x v="65"/>
    <s v="潭美分行　　　　　　"/>
    <s v="HB17225"/>
    <n v="6267786.2222210001"/>
  </r>
  <r>
    <x v="66"/>
    <s v="北投分行　　　　　　"/>
    <s v="HB10163"/>
    <n v="15702532.4917714"/>
  </r>
  <r>
    <x v="66"/>
    <s v="北投分行　　　　　　"/>
    <s v="HB14909"/>
    <n v="59532736.9639818"/>
  </r>
  <r>
    <x v="66"/>
    <s v="北投分行　　　　　　"/>
    <s v="HB19652"/>
    <n v="31036028.616426799"/>
  </r>
  <r>
    <x v="67"/>
    <s v="西湖分行　　　　　　"/>
    <s v="HB13282"/>
    <n v="81649467.098423406"/>
  </r>
  <r>
    <x v="67"/>
    <s v="西湖分行　　　　　　"/>
    <s v="HB15586"/>
    <n v="325874573.33708799"/>
  </r>
  <r>
    <x v="67"/>
    <s v="西湖分行　　　　　　"/>
    <s v="HB16774"/>
    <n v="139052784.46620962"/>
  </r>
  <r>
    <x v="67"/>
    <s v="西湖分行　　　　　　"/>
    <s v="HB19122"/>
    <n v="8145861.9726599995"/>
  </r>
  <r>
    <x v="68"/>
    <s v="積穗分行　　　　　　"/>
    <s v="HB14019"/>
    <n v="23580186.540215001"/>
  </r>
  <r>
    <x v="68"/>
    <s v="積穗分行　　　　　　"/>
    <s v="HB14967"/>
    <n v="571056.65155439998"/>
  </r>
  <r>
    <x v="68"/>
    <s v="積穗分行　　　　　　"/>
    <s v="HB16971"/>
    <n v="6119398.9566639997"/>
  </r>
  <r>
    <x v="68"/>
    <s v="積穗分行　　　　　　"/>
    <s v="HB19653"/>
    <n v="5163575.4813304003"/>
  </r>
  <r>
    <x v="68"/>
    <s v="積穗分行　　　　　　"/>
    <s v="HB8060"/>
    <n v="88065960.571543396"/>
  </r>
  <r>
    <x v="69"/>
    <s v="福和分行　　　　　　"/>
    <s v="HB13585"/>
    <n v="258300690.06042063"/>
  </r>
  <r>
    <x v="69"/>
    <s v="福和分行　　　　　　"/>
    <s v="HB16711"/>
    <n v="25591729.883992001"/>
  </r>
  <r>
    <x v="70"/>
    <s v="南勢角分行　　　　　"/>
    <s v="HB16794"/>
    <n v="3251279.7946634004"/>
  </r>
  <r>
    <x v="70"/>
    <s v="南勢角分行　　　　　"/>
    <s v="HB17411"/>
    <n v="4173190.1399969999"/>
  </r>
  <r>
    <x v="70"/>
    <s v="南勢角分行　　　　　"/>
    <s v="HB7089"/>
    <n v="2635619.7582220002"/>
  </r>
  <r>
    <x v="71"/>
    <s v="北蘆洲分行　　　　　"/>
    <s v="HB14773"/>
    <n v="40733110.819324195"/>
  </r>
  <r>
    <x v="71"/>
    <s v="北蘆洲分行　　　　　"/>
    <s v="HB17167"/>
    <n v="412539557.47509825"/>
  </r>
  <r>
    <x v="71"/>
    <s v="北蘆洲分行　　　　　"/>
    <s v="HB17631"/>
    <n v="9511600.250655001"/>
  </r>
  <r>
    <x v="72"/>
    <s v="蘆洲分行　　　　　　"/>
    <s v="HB12462"/>
    <n v="104603423.8953228"/>
  </r>
  <r>
    <x v="72"/>
    <s v="蘆洲分行　　　　　　"/>
    <s v="HB15874"/>
    <n v="23210936.7335466"/>
  </r>
  <r>
    <x v="72"/>
    <s v="蘆洲分行　　　　　　"/>
    <s v="HB16447"/>
    <n v="3851041.9833281999"/>
  </r>
  <r>
    <x v="72"/>
    <s v="蘆洲分行　　　　　　"/>
    <s v="HB9466"/>
    <n v="96840714.334650204"/>
  </r>
  <r>
    <x v="73"/>
    <s v="土城分行　　　　　　"/>
    <s v="HB15859"/>
    <n v="85911652.6655384"/>
  </r>
  <r>
    <x v="73"/>
    <s v="土城分行　　　　　　"/>
    <s v="HB18999"/>
    <n v="24580791.1244266"/>
  </r>
  <r>
    <x v="73"/>
    <s v="土城分行　　　　　　"/>
    <s v="HB9728"/>
    <n v="163416180.57864559"/>
  </r>
  <r>
    <x v="74"/>
    <s v="北新分行　　　　　　"/>
    <s v="HB13445"/>
    <n v="23333533.3490986"/>
  </r>
  <r>
    <x v="74"/>
    <s v="北新分行　　　　　　"/>
    <s v="HB15888"/>
    <n v="30999176.259548001"/>
  </r>
  <r>
    <x v="74"/>
    <s v="北新分行　　　　　　"/>
    <s v="HB16937"/>
    <n v="24187392.4339808"/>
  </r>
  <r>
    <x v="74"/>
    <s v="北新分行　　　　　　"/>
    <s v="HB17395"/>
    <n v="31836772.990648001"/>
  </r>
  <r>
    <x v="74"/>
    <s v="北新分行　　　　　　"/>
    <s v="HB8056"/>
    <n v="131171131.7813136"/>
  </r>
  <r>
    <x v="75"/>
    <s v="天母分行　　　　　　"/>
    <s v="HB15855"/>
    <n v="25339544.955318999"/>
  </r>
  <r>
    <x v="75"/>
    <s v="天母分行　　　　　　"/>
    <s v="HB15930"/>
    <n v="246770494.7773118"/>
  </r>
  <r>
    <x v="75"/>
    <s v="天母分行　　　　　　"/>
    <s v="HB17152"/>
    <n v="32105716.764208999"/>
  </r>
  <r>
    <x v="75"/>
    <s v="天母分行　　　　　　"/>
    <s v="HB19459"/>
    <n v="26580950.2573222"/>
  </r>
  <r>
    <x v="76"/>
    <s v="內湖分行　　　　　　"/>
    <s v="HB14881"/>
    <n v="11172277.0711076"/>
  </r>
  <r>
    <x v="76"/>
    <s v="內湖分行　　　　　　"/>
    <s v="HB16102"/>
    <n v="100248698.46420179"/>
  </r>
  <r>
    <x v="76"/>
    <s v="內湖分行　　　　　　"/>
    <s v="HB18615"/>
    <n v="20288170.8564354"/>
  </r>
  <r>
    <x v="77"/>
    <s v="樹林分行　　　　　　"/>
    <s v="HB15217"/>
    <n v="39519095.931550205"/>
  </r>
  <r>
    <x v="77"/>
    <s v="樹林分行　　　　　　"/>
    <s v="HB16724"/>
    <n v="47681600.300659001"/>
  </r>
  <r>
    <x v="77"/>
    <s v="樹林分行　　　　　　"/>
    <s v="HB17486"/>
    <n v="53918326.692209996"/>
  </r>
  <r>
    <x v="77"/>
    <s v="樹林分行　　　　　　"/>
    <s v="HB17723"/>
    <n v="283012851.34599179"/>
  </r>
  <r>
    <x v="78"/>
    <s v="樟樹灣分行　　　　　"/>
    <s v="HB15485"/>
    <n v="43734116.778654404"/>
  </r>
  <r>
    <x v="78"/>
    <s v="樟樹灣分行　　　　　"/>
    <s v="HB16145"/>
    <n v="6379080.5644402001"/>
  </r>
  <r>
    <x v="78"/>
    <s v="樟樹灣分行　　　　　"/>
    <s v="HB17950"/>
    <n v="7864628.2244388005"/>
  </r>
  <r>
    <x v="78"/>
    <s v="樟樹灣分行　　　　　"/>
    <s v="HB19620"/>
    <n v="3710379.3162198002"/>
  </r>
  <r>
    <x v="79"/>
    <s v="泰山分行　　　　　　"/>
    <s v="HB14480"/>
    <n v="109482966.09464699"/>
  </r>
  <r>
    <x v="79"/>
    <s v="泰山分行　　　　　　"/>
    <s v="HB14963"/>
    <n v="84222605.499091804"/>
  </r>
  <r>
    <x v="79"/>
    <s v="泰山分行　　　　　　"/>
    <s v="HB16443"/>
    <n v="76793233.666644394"/>
  </r>
  <r>
    <x v="79"/>
    <s v="泰山分行　　　　　　"/>
    <s v="HB19431"/>
    <n v="11401061.154435601"/>
  </r>
  <r>
    <x v="80"/>
    <s v="三峽分行　　　　　　"/>
    <s v="HB14790"/>
    <n v="58353299.253081203"/>
  </r>
  <r>
    <x v="80"/>
    <s v="三峽分行　　　　　　"/>
    <s v="HB14801"/>
    <n v="6681039.8991043996"/>
  </r>
  <r>
    <x v="80"/>
    <s v="三峽分行　　　　　　"/>
    <s v="HB15816"/>
    <n v="47852978.845983997"/>
  </r>
  <r>
    <x v="81"/>
    <s v="文山分行　　　　　　"/>
    <s v="HB11106"/>
    <n v="9779656.0824353993"/>
  </r>
  <r>
    <x v="81"/>
    <s v="文山分行　　　　　　"/>
    <s v="HB13587"/>
    <n v="194112538.70087901"/>
  </r>
  <r>
    <x v="81"/>
    <s v="文山分行　　　　　　"/>
    <s v="HB7298"/>
    <n v="6025120.5957716005"/>
  </r>
  <r>
    <x v="82"/>
    <s v="鶯歌分行　　　　　　"/>
    <s v="HB17230"/>
    <n v="11402247.699323801"/>
  </r>
  <r>
    <x v="82"/>
    <s v="鶯歌分行　　　　　　"/>
    <s v="HB17948"/>
    <n v="8059622.7259924002"/>
  </r>
  <r>
    <x v="82"/>
    <s v="鶯歌分行　　　　　　"/>
    <s v="HB20250"/>
    <n v="52283223.151985802"/>
  </r>
  <r>
    <x v="82"/>
    <s v="鶯歌分行　　　　　　"/>
    <s v="HB9448"/>
    <n v="32873464.905535202"/>
  </r>
  <r>
    <x v="83"/>
    <s v="北新莊分行　　　　　"/>
    <s v="HB13007"/>
    <n v="26631702.093545202"/>
  </r>
  <r>
    <x v="83"/>
    <s v="北新莊分行　　　　　"/>
    <s v="HB15399"/>
    <n v="59247675.066862598"/>
  </r>
  <r>
    <x v="84"/>
    <s v="林口站前分行　　　　"/>
    <s v="HB14184"/>
    <n v="25000828.991318401"/>
  </r>
  <r>
    <x v="84"/>
    <s v="林口站前分行　　　　"/>
    <s v="HB15606"/>
    <n v="35108358.337096199"/>
  </r>
  <r>
    <x v="84"/>
    <s v="林口站前分行　　　　"/>
    <s v="HB16137"/>
    <n v="30660571.309097201"/>
  </r>
  <r>
    <x v="85"/>
    <s v="基隆分行　　　　　　"/>
    <s v="HB11983"/>
    <n v="37206862.224431999"/>
  </r>
  <r>
    <x v="85"/>
    <s v="基隆分行　　　　　　"/>
    <s v="HB16285"/>
    <n v="9613747.3635488003"/>
  </r>
  <r>
    <x v="85"/>
    <s v="基隆分行　　　　　　"/>
    <s v="HB19009"/>
    <n v="31533269.334876601"/>
  </r>
  <r>
    <x v="85"/>
    <s v="基隆分行　　　　　　"/>
    <s v="HB19126"/>
    <n v="27210616.458205603"/>
  </r>
  <r>
    <x v="86"/>
    <s v="基隆港口分行　　　　"/>
    <s v="HB12561"/>
    <n v="53026237.781757399"/>
  </r>
  <r>
    <x v="86"/>
    <s v="基隆港口分行　　　　"/>
    <s v="HB13765"/>
    <n v="24793596.419771601"/>
  </r>
  <r>
    <x v="86"/>
    <s v="基隆港口分行　　　　"/>
    <s v="HB16206"/>
    <n v="9828893.2784382012"/>
  </r>
  <r>
    <x v="86"/>
    <s v="基隆港口分行　　　　"/>
    <s v="HB18668"/>
    <n v="14272686.673551399"/>
  </r>
  <r>
    <x v="87"/>
    <s v="七堵分行　　　　　　"/>
    <s v="HB13507"/>
    <n v="54987947.442198999"/>
  </r>
  <r>
    <x v="87"/>
    <s v="七堵分行　　　　　　"/>
    <s v="HB17457"/>
    <n v="97991841.148872614"/>
  </r>
  <r>
    <x v="87"/>
    <s v="七堵分行　　　　　　"/>
    <s v="HB7129"/>
    <n v="88454773.109081"/>
  </r>
  <r>
    <x v="87"/>
    <s v="七堵分行　　　　　　"/>
    <s v="HB8063"/>
    <n v="15303674.963545799"/>
  </r>
  <r>
    <x v="88"/>
    <s v="羅東分行　　　　　　"/>
    <s v="HB16949"/>
    <n v="6834383.3735498004"/>
  </r>
  <r>
    <x v="88"/>
    <s v="羅東分行　　　　　　"/>
    <s v="HB16999"/>
    <n v="27511130.061989401"/>
  </r>
  <r>
    <x v="88"/>
    <s v="羅東分行　　　　　　"/>
    <s v="HB17168"/>
    <n v="41283610.656652801"/>
  </r>
  <r>
    <x v="89"/>
    <s v="宜蘭分行　　　　　　"/>
    <s v="HB10610"/>
    <n v="19337671.751547404"/>
  </r>
  <r>
    <x v="89"/>
    <s v="宜蘭分行　　　　　　"/>
    <s v="HB14552"/>
    <n v="56558510.483769603"/>
  </r>
  <r>
    <x v="89"/>
    <s v="宜蘭分行　　　　　　"/>
    <s v="HB14715"/>
    <n v="45461106.0406546"/>
  </r>
  <r>
    <x v="89"/>
    <s v="宜蘭分行　　　　　　"/>
    <s v="HB20065"/>
    <n v="6905045.8237725999"/>
  </r>
  <r>
    <x v="90"/>
    <s v="桃園分行　　　　　　"/>
    <s v="HB16034"/>
    <n v="37023862.914434597"/>
  </r>
  <r>
    <x v="90"/>
    <s v="桃園分行　　　　　　"/>
    <s v="HB16152"/>
    <n v="18100418.639766"/>
  </r>
  <r>
    <x v="90"/>
    <s v="桃園分行　　　　　　"/>
    <s v="HB18493"/>
    <n v="146898410.0366478"/>
  </r>
  <r>
    <x v="90"/>
    <s v="桃園分行　　　　　　"/>
    <s v="HB18724"/>
    <n v="135318595.74265081"/>
  </r>
  <r>
    <x v="91"/>
    <s v="中壢分行　　　　　　"/>
    <s v="HB14479"/>
    <n v="127409756.303756"/>
  </r>
  <r>
    <x v="91"/>
    <s v="中壢分行　　　　　　"/>
    <s v="HB14554"/>
    <n v="194305064.370186"/>
  </r>
  <r>
    <x v="91"/>
    <s v="中壢分行　　　　　　"/>
    <s v="HB14964"/>
    <n v="183979826.97996181"/>
  </r>
  <r>
    <x v="91"/>
    <s v="中壢分行　　　　　　"/>
    <s v="HB15136"/>
    <n v="16099001.479097601"/>
  </r>
  <r>
    <x v="91"/>
    <s v="中壢分行　　　　　　"/>
    <s v="HB19128"/>
    <n v="17461012.840658601"/>
  </r>
  <r>
    <x v="92"/>
    <s v="楊梅分行　　　　　　"/>
    <s v="HB12154"/>
    <n v="15334598.2182144"/>
  </r>
  <r>
    <x v="92"/>
    <s v="楊梅分行　　　　　　"/>
    <s v="HB13913"/>
    <n v="26487633.038876802"/>
  </r>
  <r>
    <x v="92"/>
    <s v="楊梅分行　　　　　　"/>
    <s v="HB16120"/>
    <n v="24514026.0675468"/>
  </r>
  <r>
    <x v="92"/>
    <s v="楊梅分行　　　　　　"/>
    <s v="HB16900"/>
    <n v="18992170.043550201"/>
  </r>
  <r>
    <x v="93"/>
    <s v="壢昌分行　　　　　　"/>
    <s v="HB10670"/>
    <n v="31805448.049540401"/>
  </r>
  <r>
    <x v="93"/>
    <s v="壢昌分行　　　　　　"/>
    <s v="HB14129"/>
    <n v="38461613.197093606"/>
  </r>
  <r>
    <x v="93"/>
    <s v="壢昌分行　　　　　　"/>
    <s v="HB14731"/>
    <n v="489719862.84865862"/>
  </r>
  <r>
    <x v="94"/>
    <s v="北桃園分行　　　　　"/>
    <s v="HB13584"/>
    <n v="113509898.3235236"/>
  </r>
  <r>
    <x v="94"/>
    <s v="北桃園分行　　　　　"/>
    <s v="HB14117"/>
    <n v="47241789.817088202"/>
  </r>
  <r>
    <x v="94"/>
    <s v="北桃園分行　　　　　"/>
    <s v="HB17655"/>
    <n v="173180181.94486302"/>
  </r>
  <r>
    <x v="95"/>
    <s v="南崁分行　　　　　　"/>
    <s v="HB12678"/>
    <n v="7243070.7588825999"/>
  </r>
  <r>
    <x v="95"/>
    <s v="南崁分行　　　　　　"/>
    <s v="HB16033"/>
    <n v="158915713.6482082"/>
  </r>
  <r>
    <x v="95"/>
    <s v="南崁分行　　　　　　"/>
    <s v="HB16833"/>
    <n v="9655606.7655519992"/>
  </r>
  <r>
    <x v="96"/>
    <s v="平鎮分行　　　　　　"/>
    <s v="HB12265"/>
    <n v="47588918.804428004"/>
  </r>
  <r>
    <x v="96"/>
    <s v="平鎮分行　　　　　　"/>
    <s v="HB14730"/>
    <n v="77936543.062202811"/>
  </r>
  <r>
    <x v="96"/>
    <s v="平鎮分行　　　　　　"/>
    <s v="HB14923"/>
    <n v="38025152.055978999"/>
  </r>
  <r>
    <x v="96"/>
    <s v="平鎮分行　　　　　　"/>
    <s v="HB19277"/>
    <n v="26249903.319768202"/>
  </r>
  <r>
    <x v="97"/>
    <s v="八德分行　　　　　　"/>
    <s v="HB11963"/>
    <n v="6151783.0071045998"/>
  </r>
  <r>
    <x v="97"/>
    <s v="八德分行　　　　　　"/>
    <s v="HB12078"/>
    <n v="4366498.2891077995"/>
  </r>
  <r>
    <x v="97"/>
    <s v="八德分行　　　　　　"/>
    <s v="HB14128"/>
    <n v="37805033.113988601"/>
  </r>
  <r>
    <x v="97"/>
    <s v="八德分行　　　　　　"/>
    <s v="HB14843"/>
    <n v="40094839.5319864"/>
  </r>
  <r>
    <x v="98"/>
    <s v="龜山分行　　　　　　"/>
    <s v="HB15072"/>
    <n v="171757902.3277598"/>
  </r>
  <r>
    <x v="98"/>
    <s v="龜山分行　　　　　　"/>
    <s v="HB15830"/>
    <n v="59557226.413100004"/>
  </r>
  <r>
    <x v="98"/>
    <s v="龜山分行　　　　　　"/>
    <s v="HB16470"/>
    <n v="35350345.891093202"/>
  </r>
  <r>
    <x v="99"/>
    <s v="龍潭分行　　　　　　"/>
    <s v="HB14130"/>
    <n v="37284377.251766995"/>
  </r>
  <r>
    <x v="99"/>
    <s v="龍潭分行　　　　　　"/>
    <s v="HB9673"/>
    <n v="14382157.6450994"/>
  </r>
  <r>
    <x v="99"/>
    <s v="龍潭分行　　　　　　"/>
    <s v="HB9967"/>
    <n v="12822461.9973312"/>
  </r>
  <r>
    <x v="100"/>
    <s v="大溪分行　　　　　　"/>
    <s v="HB15150"/>
    <n v="50082797.104653604"/>
  </r>
  <r>
    <x v="100"/>
    <s v="大溪分行　　　　　　"/>
    <s v="HB9532"/>
    <n v="48736310.670421198"/>
  </r>
  <r>
    <x v="101"/>
    <s v="內壢分行　　　　　　"/>
    <s v="HB13730"/>
    <n v="31064475.743987001"/>
  </r>
  <r>
    <x v="101"/>
    <s v="內壢分行　　　　　　"/>
    <s v="HB14358"/>
    <n v="12697836.905772399"/>
  </r>
  <r>
    <x v="101"/>
    <s v="內壢分行　　　　　　"/>
    <s v="HB14962"/>
    <n v="20273072.102876201"/>
  </r>
  <r>
    <x v="102"/>
    <s v="林口分行　　　　　　"/>
    <s v="HB11271"/>
    <n v="1696239.5255539999"/>
  </r>
  <r>
    <x v="102"/>
    <s v="林口分行　　　　　　"/>
    <s v="HB14607"/>
    <n v="14355280.7702142"/>
  </r>
  <r>
    <x v="102"/>
    <s v="林口分行　　　　　　"/>
    <s v="HB15216"/>
    <n v="29637345.687104203"/>
  </r>
  <r>
    <x v="102"/>
    <s v="林口分行　　　　　　"/>
    <s v="HB8217"/>
    <n v="41857855.566879198"/>
  </r>
  <r>
    <x v="102"/>
    <s v="林口分行　　　　　　"/>
    <s v="HB9252"/>
    <n v="91514732.069324404"/>
  </r>
  <r>
    <x v="103"/>
    <s v="觀音分行　　　　　　"/>
    <s v="HB11482"/>
    <n v="208152250.27661481"/>
  </r>
  <r>
    <x v="103"/>
    <s v="觀音分行　　　　　　"/>
    <s v="HB14594"/>
    <n v="4541901.2639897997"/>
  </r>
  <r>
    <x v="103"/>
    <s v="觀音分行　　　　　　"/>
    <s v="HB15246"/>
    <n v="13424833.957101401"/>
  </r>
  <r>
    <x v="103"/>
    <s v="觀音分行　　　　　　"/>
    <s v="HB16830"/>
    <n v="19545843.347101599"/>
  </r>
  <r>
    <x v="103"/>
    <s v="觀音分行　　　　　　"/>
    <s v="HB9467"/>
    <n v="170567532.93509018"/>
  </r>
  <r>
    <x v="104"/>
    <s v="大園分行　　　　　　"/>
    <s v="HB16654"/>
    <n v="43910426.647991396"/>
  </r>
  <r>
    <x v="104"/>
    <s v="大園分行　　　　　　"/>
    <s v="HB17835"/>
    <n v="28802635.129323799"/>
  </r>
  <r>
    <x v="105"/>
    <s v="青埔分行　　　　　　"/>
    <s v="HB13591"/>
    <n v="22870808.849752601"/>
  </r>
  <r>
    <x v="105"/>
    <s v="青埔分行　　　　　　"/>
    <s v="HB19337"/>
    <n v="61316.145555000003"/>
  </r>
  <r>
    <x v="106"/>
    <s v="新竹分行　　　　　　"/>
    <s v="HB13348"/>
    <n v="107437949.15265201"/>
  </r>
  <r>
    <x v="106"/>
    <s v="新竹分行　　　　　　"/>
    <s v="HB16838"/>
    <n v="15019807.777330201"/>
  </r>
  <r>
    <x v="106"/>
    <s v="新竹分行　　　　　　"/>
    <s v="HB16865"/>
    <n v="2543072.8266650001"/>
  </r>
  <r>
    <x v="106"/>
    <s v="新竹分行　　　　　　"/>
    <s v="HB16898"/>
    <n v="28004446.714657601"/>
  </r>
  <r>
    <x v="107"/>
    <s v="竹東分行　　　　　　"/>
    <s v="HB10384"/>
    <n v="15510547.313996"/>
  </r>
  <r>
    <x v="107"/>
    <s v="竹東分行　　　　　　"/>
    <s v="HB15182"/>
    <n v="22726508.093761001"/>
  </r>
  <r>
    <x v="107"/>
    <s v="竹東分行　　　　　　"/>
    <s v="HB20378"/>
    <n v="2246681.1944406"/>
  </r>
  <r>
    <x v="108"/>
    <s v="竹科分行　　　　　　"/>
    <s v="HB12681"/>
    <n v="56928575.345533803"/>
  </r>
  <r>
    <x v="108"/>
    <s v="竹科分行　　　　　　"/>
    <s v="HB17572"/>
    <n v="20587467.797765799"/>
  </r>
  <r>
    <x v="108"/>
    <s v="竹科分行　　　　　　"/>
    <s v="HB19666"/>
    <n v="27417872.525098801"/>
  </r>
  <r>
    <x v="109"/>
    <s v="新豐分行　　　　　　"/>
    <s v="HB10241"/>
    <n v="36134065.7588716"/>
  </r>
  <r>
    <x v="109"/>
    <s v="新豐分行　　　　　　"/>
    <s v="HB14723"/>
    <n v="36215358.535980798"/>
  </r>
  <r>
    <x v="110"/>
    <s v="六家分行　　　　　　"/>
    <s v="HB17066"/>
    <n v="2696719.8659975999"/>
  </r>
  <r>
    <x v="110"/>
    <s v="六家分行　　　　　　"/>
    <s v="HB18852"/>
    <n v="130406423.69242722"/>
  </r>
  <r>
    <x v="111"/>
    <s v="竹南分行　　　　　　"/>
    <s v="HB10734"/>
    <n v="7552550.0073234001"/>
  </r>
  <r>
    <x v="111"/>
    <s v="竹南分行　　　　　　"/>
    <s v="HB14749"/>
    <n v="228493351.5866406"/>
  </r>
  <r>
    <x v="112"/>
    <s v="頭份分行　　　　　　"/>
    <s v="HB15423"/>
    <n v="147238168.35576099"/>
  </r>
  <r>
    <x v="112"/>
    <s v="頭份分行　　　　　　"/>
    <s v="HB19343"/>
    <n v="20645001.917989202"/>
  </r>
  <r>
    <x v="112"/>
    <s v="頭份分行　　　　　　"/>
    <s v="HB19671"/>
    <n v="5433982.5155514004"/>
  </r>
  <r>
    <x v="113"/>
    <s v="苗栗分行　　　　　　"/>
    <s v="HB16661"/>
    <n v="49558866.946434006"/>
  </r>
  <r>
    <x v="113"/>
    <s v="苗栗分行　　　　　　"/>
    <s v="HB17913"/>
    <n v="59136285.781765208"/>
  </r>
  <r>
    <x v="113"/>
    <s v="苗栗分行　　　　　　"/>
    <s v="HB4026"/>
    <n v="77102556.104430601"/>
  </r>
  <r>
    <x v="114"/>
    <s v="竹北分行　　　　　　"/>
    <s v="HB13083"/>
    <n v="170448513.31908619"/>
  </r>
  <r>
    <x v="114"/>
    <s v="竹北分行　　　　　　"/>
    <s v="HB16656"/>
    <n v="5196434.2479897998"/>
  </r>
  <r>
    <x v="114"/>
    <s v="竹北分行　　　　　　"/>
    <s v="HB19667"/>
    <n v="148777986.30042899"/>
  </r>
  <r>
    <x v="115"/>
    <s v="大眾分行　　　　　　"/>
    <s v="HB14555"/>
    <n v="41596424.878210202"/>
  </r>
  <r>
    <x v="115"/>
    <s v="大眾分行　　　　　　"/>
    <s v="HB8539"/>
    <n v="29035779.332435202"/>
  </r>
  <r>
    <x v="116"/>
    <s v="豐原分行　　　　　　"/>
    <s v="HB13873"/>
    <n v="51174503.444866806"/>
  </r>
  <r>
    <x v="116"/>
    <s v="豐原分行　　　　　　"/>
    <s v="HB15831"/>
    <n v="11303058.3826582"/>
  </r>
  <r>
    <x v="116"/>
    <s v="豐原分行　　　　　　"/>
    <s v="HB16097"/>
    <n v="64710723.531990603"/>
  </r>
  <r>
    <x v="116"/>
    <s v="豐原分行　　　　　　"/>
    <s v="HB16879"/>
    <n v="107131527.9268688"/>
  </r>
  <r>
    <x v="117"/>
    <s v="東勢分行　　　　　　"/>
    <s v="HB16483"/>
    <n v="1703301.9639976001"/>
  </r>
  <r>
    <x v="117"/>
    <s v="東勢分行　　　　　　"/>
    <s v="HB17527"/>
    <n v="6648971.0815517996"/>
  </r>
  <r>
    <x v="117"/>
    <s v="東勢分行　　　　　　"/>
    <s v="HB19938"/>
    <n v="12458045.157105401"/>
  </r>
  <r>
    <x v="117"/>
    <s v="東勢分行　　　　　　"/>
    <s v="HB7652"/>
    <n v="17869281.808657601"/>
  </r>
  <r>
    <x v="118"/>
    <s v="清水分行　　　　　　"/>
    <s v="HB10527"/>
    <n v="10696517.4542122"/>
  </r>
  <r>
    <x v="118"/>
    <s v="清水分行　　　　　　"/>
    <s v="HB12329"/>
    <n v="62847165.3786548"/>
  </r>
  <r>
    <x v="118"/>
    <s v="清水分行　　　　　　"/>
    <s v="HB12932"/>
    <n v="10576701.307329401"/>
  </r>
  <r>
    <x v="118"/>
    <s v="清水分行　　　　　　"/>
    <s v="HB17205"/>
    <n v="6266939.002886001"/>
  </r>
  <r>
    <x v="118"/>
    <s v="清水分行　　　　　　"/>
    <s v="HB19003"/>
    <n v="2122502.4864427997"/>
  </r>
  <r>
    <x v="118"/>
    <s v="清水分行　　　　　　"/>
    <s v="HB20150"/>
    <n v="31672738.3715524"/>
  </r>
  <r>
    <x v="119"/>
    <s v="西豐原分行　　　　　"/>
    <s v="HB15820"/>
    <n v="54545627.196437404"/>
  </r>
  <r>
    <x v="119"/>
    <s v="西豐原分行　　　　　"/>
    <s v="HB16215"/>
    <n v="60981008.3975356"/>
  </r>
  <r>
    <x v="119"/>
    <s v="西豐原分行　　　　　"/>
    <s v="HB16840"/>
    <n v="20875272.872879002"/>
  </r>
  <r>
    <x v="119"/>
    <s v="西豐原分行　　　　　"/>
    <s v="HB8196"/>
    <n v="62662879.193991005"/>
  </r>
  <r>
    <x v="120"/>
    <s v="台中分行　　　　　　"/>
    <s v="HB13199"/>
    <n v="7283501.3077745996"/>
  </r>
  <r>
    <x v="120"/>
    <s v="台中分行　　　　　　"/>
    <s v="HB15430"/>
    <n v="225635994.23376301"/>
  </r>
  <r>
    <x v="120"/>
    <s v="台中分行　　　　　　"/>
    <s v="HB17076"/>
    <n v="22104515.197549999"/>
  </r>
  <r>
    <x v="120"/>
    <s v="台中分行　　　　　　"/>
    <s v="HB17656"/>
    <n v="34940876.673322402"/>
  </r>
  <r>
    <x v="120"/>
    <s v="台中分行　　　　　　"/>
    <s v="HB7645"/>
    <n v="14355898.913107799"/>
  </r>
  <r>
    <x v="120"/>
    <s v="台中分行　　　　　　"/>
    <s v="HB9795"/>
    <n v="188289544.54175499"/>
  </r>
  <r>
    <x v="121"/>
    <s v="南台中分行　　　　　"/>
    <s v="HB15249"/>
    <n v="4962626.0935346"/>
  </r>
  <r>
    <x v="121"/>
    <s v="南台中分行　　　　　"/>
    <s v="HB15508"/>
    <n v="777356.08444200002"/>
  </r>
  <r>
    <x v="121"/>
    <s v="南台中分行　　　　　"/>
    <s v="HB16150"/>
    <n v="2256954.7171070003"/>
  </r>
  <r>
    <x v="121"/>
    <s v="南台中分行　　　　　"/>
    <s v="HB9219"/>
    <n v="188210799.02110481"/>
  </r>
  <r>
    <x v="121"/>
    <s v="南台中分行　　　　　"/>
    <s v="HB9337"/>
    <n v="60587194.073325396"/>
  </r>
  <r>
    <x v="122"/>
    <s v="北台中分行　　　　　"/>
    <s v="HB14100"/>
    <n v="44581863.164659604"/>
  </r>
  <r>
    <x v="122"/>
    <s v="北台中分行　　　　　"/>
    <s v="HB14750"/>
    <n v="89961984.769316792"/>
  </r>
  <r>
    <x v="122"/>
    <s v="北台中分行　　　　　"/>
    <s v="HB16149"/>
    <n v="28913497.300654203"/>
  </r>
  <r>
    <x v="122"/>
    <s v="北台中分行　　　　　"/>
    <s v="HB9199"/>
    <n v="1639577.3857741999"/>
  </r>
  <r>
    <x v="123"/>
    <s v="台中港路分行　　　　"/>
    <s v="HB15028"/>
    <n v="302677871.19041038"/>
  </r>
  <r>
    <x v="123"/>
    <s v="台中港路分行　　　　"/>
    <s v="HB16101"/>
    <n v="20150290.897768401"/>
  </r>
  <r>
    <x v="123"/>
    <s v="台中港路分行　　　　"/>
    <s v="HB17106"/>
    <n v="91073482.934200406"/>
  </r>
  <r>
    <x v="123"/>
    <s v="台中港路分行　　　　"/>
    <s v="HB19218"/>
    <n v="30452688.592655204"/>
  </r>
  <r>
    <x v="123"/>
    <s v="台中港路分行　　　　"/>
    <s v="HB20264"/>
    <n v="3919966.5022160001"/>
  </r>
  <r>
    <x v="124"/>
    <s v="大里分行　　　　　　"/>
    <s v="HB12897"/>
    <n v="216562702.39687258"/>
  </r>
  <r>
    <x v="124"/>
    <s v="大里分行　　　　　　"/>
    <s v="HB13886"/>
    <n v="19137630.525996402"/>
  </r>
  <r>
    <x v="124"/>
    <s v="大里分行　　　　　　"/>
    <s v="HB13907"/>
    <n v="45437533.419105202"/>
  </r>
  <r>
    <x v="124"/>
    <s v="大里分行　　　　　　"/>
    <s v="HB16390"/>
    <n v="16064722.388661399"/>
  </r>
  <r>
    <x v="124"/>
    <s v="大里分行　　　　　　"/>
    <s v="HB18883"/>
    <n v="39063821.489761204"/>
  </r>
  <r>
    <x v="125"/>
    <s v="水湳分行　　　　　　"/>
    <s v="HB11389"/>
    <n v="123056304.02354521"/>
  </r>
  <r>
    <x v="125"/>
    <s v="水湳分行　　　　　　"/>
    <s v="HB17024"/>
    <n v="248765750.63841403"/>
  </r>
  <r>
    <x v="125"/>
    <s v="水湳分行　　　　　　"/>
    <s v="HB18174"/>
    <n v="93221222.669097394"/>
  </r>
  <r>
    <x v="126"/>
    <s v="五權分行　　　　　　"/>
    <s v="HB10410"/>
    <n v="73745276.902876198"/>
  </r>
  <r>
    <x v="126"/>
    <s v="五權分行　　　　　　"/>
    <s v="HB10612"/>
    <n v="15203955.483328201"/>
  </r>
  <r>
    <x v="126"/>
    <s v="五權分行　　　　　　"/>
    <s v="HB13349"/>
    <n v="96299473.332432598"/>
  </r>
  <r>
    <x v="126"/>
    <s v="五權分行　　　　　　"/>
    <s v="HB16908"/>
    <n v="141398715.68042421"/>
  </r>
  <r>
    <x v="127"/>
    <s v="大甲分行　　　　　　"/>
    <s v="HB16000"/>
    <n v="250083804.66531181"/>
  </r>
  <r>
    <x v="127"/>
    <s v="大甲分行　　　　　　"/>
    <s v="HB18397"/>
    <n v="885023.24777400005"/>
  </r>
  <r>
    <x v="127"/>
    <s v="大甲分行　　　　　　"/>
    <s v="HB19674"/>
    <n v="13650043.282880001"/>
  </r>
  <r>
    <x v="128"/>
    <s v="太平分行　　　　　　"/>
    <s v="HB12362"/>
    <n v="29432935.084660601"/>
  </r>
  <r>
    <x v="128"/>
    <s v="太平分行　　　　　　"/>
    <s v="HB16355"/>
    <n v="72043004.723534405"/>
  </r>
  <r>
    <x v="129"/>
    <s v="中科分行　　　　　　"/>
    <s v="HB17182"/>
    <n v="77946252.744420797"/>
  </r>
  <r>
    <x v="129"/>
    <s v="中科分行　　　　　　"/>
    <s v="HB8560"/>
    <n v="56141115.851987801"/>
  </r>
  <r>
    <x v="130"/>
    <s v="沙鹿分行　　　　　　"/>
    <s v="HB10689"/>
    <n v="35733425.874217197"/>
  </r>
  <r>
    <x v="130"/>
    <s v="沙鹿分行　　　　　　"/>
    <s v="HB16121"/>
    <n v="11098888.801766401"/>
  </r>
  <r>
    <x v="130"/>
    <s v="沙鹿分行　　　　　　"/>
    <s v="HB16957"/>
    <n v="22364519.565328401"/>
  </r>
  <r>
    <x v="130"/>
    <s v="沙鹿分行　　　　　　"/>
    <s v="HB18917"/>
    <n v="9307771.8582158014"/>
  </r>
  <r>
    <x v="131"/>
    <s v="草屯分行　　　　　　"/>
    <s v="HB10017"/>
    <n v="83676034.586204603"/>
  </r>
  <r>
    <x v="131"/>
    <s v="草屯分行　　　　　　"/>
    <s v="HB11509"/>
    <n v="20788515.143548001"/>
  </r>
  <r>
    <x v="131"/>
    <s v="草屯分行　　　　　　"/>
    <s v="HB14384"/>
    <n v="35178381.262209602"/>
  </r>
  <r>
    <x v="132"/>
    <s v="南投分行　　　　　　"/>
    <s v="HB10939"/>
    <n v="1560295.9395502"/>
  </r>
  <r>
    <x v="132"/>
    <s v="南投分行　　　　　　"/>
    <s v="HB7241"/>
    <n v="7169460.031103"/>
  </r>
  <r>
    <x v="132"/>
    <s v="南投分行　　　　　　"/>
    <s v="HB7647"/>
    <n v="6001416.1426611999"/>
  </r>
  <r>
    <x v="132"/>
    <s v="南投分行　　　　　　"/>
    <s v="HB9803"/>
    <n v="50358848.372649401"/>
  </r>
  <r>
    <x v="133"/>
    <s v="彰化分行　　　　　　"/>
    <s v="HB10994"/>
    <n v="85599800.464428812"/>
  </r>
  <r>
    <x v="133"/>
    <s v="彰化分行　　　　　　"/>
    <s v="HB11017"/>
    <n v="24740898.9655472"/>
  </r>
  <r>
    <x v="133"/>
    <s v="彰化分行　　　　　　"/>
    <s v="HB12553"/>
    <n v="37903643.650651798"/>
  </r>
  <r>
    <x v="133"/>
    <s v="彰化分行　　　　　　"/>
    <s v="HB13252"/>
    <n v="2422911.3951050001"/>
  </r>
  <r>
    <x v="133"/>
    <s v="彰化分行　　　　　　"/>
    <s v="HB20165"/>
    <n v="1879027.2322190001"/>
  </r>
  <r>
    <x v="134"/>
    <s v="和美分行　　　　　　"/>
    <s v="HB18924"/>
    <n v="7428854.8751053996"/>
  </r>
  <r>
    <x v="134"/>
    <s v="和美分行　　　　　　"/>
    <s v="HB4566"/>
    <n v="85352674.89643319"/>
  </r>
  <r>
    <x v="134"/>
    <s v="和美分行　　　　　　"/>
    <s v="HB6323"/>
    <n v="166720513.44732422"/>
  </r>
  <r>
    <x v="134"/>
    <s v="和美分行　　　　　　"/>
    <s v="HB8583"/>
    <n v="26802226.045764603"/>
  </r>
  <r>
    <x v="135"/>
    <s v="員林分行　　　　　　"/>
    <s v="HB14242"/>
    <n v="34433408.271550804"/>
  </r>
  <r>
    <x v="135"/>
    <s v="員林分行　　　　　　"/>
    <s v="HB16486"/>
    <n v="37407342.086217798"/>
  </r>
  <r>
    <x v="135"/>
    <s v="員林分行　　　　　　"/>
    <s v="HB17430"/>
    <n v="3611120.2215523999"/>
  </r>
  <r>
    <x v="135"/>
    <s v="員林分行　　　　　　"/>
    <s v="HB4642"/>
    <n v="4173272.3884434002"/>
  </r>
  <r>
    <x v="135"/>
    <s v="員林分行　　　　　　"/>
    <s v="HB8526"/>
    <n v="57701316.306881994"/>
  </r>
  <r>
    <x v="135"/>
    <s v="員林分行　　　　　　"/>
    <s v="HB9794"/>
    <n v="137582832.77642581"/>
  </r>
  <r>
    <x v="136"/>
    <s v="鹿港分行　　　　　　"/>
    <s v="HB10203"/>
    <n v="77474014.24731499"/>
  </r>
  <r>
    <x v="136"/>
    <s v="鹿港分行　　　　　　"/>
    <s v="HB10820"/>
    <n v="31244626.6044394"/>
  </r>
  <r>
    <x v="137"/>
    <s v="溪湖分行　　　　　　"/>
    <s v="HB10229"/>
    <n v="78810992.362869397"/>
  </r>
  <r>
    <x v="137"/>
    <s v="溪湖分行　　　　　　"/>
    <s v="HB11050"/>
    <n v="105102805.79887401"/>
  </r>
  <r>
    <x v="137"/>
    <s v="溪湖分行　　　　　　"/>
    <s v="HB11704"/>
    <n v="40153786.216877401"/>
  </r>
  <r>
    <x v="138"/>
    <s v="斗六分行　　　　　　"/>
    <s v="HB10740"/>
    <n v="42662509.344642997"/>
  </r>
  <r>
    <x v="138"/>
    <s v="斗六分行　　　　　　"/>
    <s v="HB7933"/>
    <n v="159627949.17753339"/>
  </r>
  <r>
    <x v="138"/>
    <s v="斗六分行　　　　　　"/>
    <s v="HB8331"/>
    <n v="33985813.048657604"/>
  </r>
  <r>
    <x v="139"/>
    <s v="虎尾分行　　　　　　"/>
    <s v="HB11032"/>
    <n v="47344056.601103805"/>
  </r>
  <r>
    <x v="139"/>
    <s v="虎尾分行　　　　　　"/>
    <s v="HB12568"/>
    <n v="3981533.6253303997"/>
  </r>
  <r>
    <x v="139"/>
    <s v="虎尾分行　　　　　　"/>
    <s v="HB13450"/>
    <n v="7613226.6846599998"/>
  </r>
  <r>
    <x v="139"/>
    <s v="虎尾分行　　　　　　"/>
    <s v="HB16910"/>
    <n v="56104860.640211999"/>
  </r>
  <r>
    <x v="139"/>
    <s v="虎尾分行　　　　　　"/>
    <s v="HB9657"/>
    <n v="1761463.2128869998"/>
  </r>
  <r>
    <x v="140"/>
    <s v="西螺分行　　　　　　"/>
    <s v="HB13296"/>
    <n v="7387825.5126598002"/>
  </r>
  <r>
    <x v="140"/>
    <s v="西螺分行　　　　　　"/>
    <s v="HB14132"/>
    <n v="153670239.47952822"/>
  </r>
  <r>
    <x v="140"/>
    <s v="西螺分行　　　　　　"/>
    <s v="HB19353"/>
    <n v="17389910.862656001"/>
  </r>
  <r>
    <x v="141"/>
    <s v="嘉義分行　　　　　　"/>
    <s v="HB12750"/>
    <n v="14738747.9148816"/>
  </r>
  <r>
    <x v="141"/>
    <s v="嘉義分行　　　　　　"/>
    <s v="HB12997"/>
    <n v="50871154.091323599"/>
  </r>
  <r>
    <x v="141"/>
    <s v="嘉義分行　　　　　　"/>
    <s v="HB16098"/>
    <n v="2889865.1799940001"/>
  </r>
  <r>
    <x v="141"/>
    <s v="嘉義分行　　　　　　"/>
    <s v="HB16491"/>
    <n v="1788366.8322155999"/>
  </r>
  <r>
    <x v="141"/>
    <s v="嘉義分行　　　　　　"/>
    <s v="HB9651"/>
    <n v="12026188.142884001"/>
  </r>
  <r>
    <x v="142"/>
    <s v="嘉南分行　　　　　　"/>
    <s v="HB10239"/>
    <n v="13146822.477104601"/>
  </r>
  <r>
    <x v="142"/>
    <s v="嘉南分行　　　　　　"/>
    <s v="HB11806"/>
    <n v="10258370.791330799"/>
  </r>
  <r>
    <x v="142"/>
    <s v="嘉南分行　　　　　　"/>
    <s v="HB14624"/>
    <n v="26731819.226435803"/>
  </r>
  <r>
    <x v="142"/>
    <s v="嘉南分行　　　　　　"/>
    <s v="HB16122"/>
    <n v="118134057.6868736"/>
  </r>
  <r>
    <x v="143"/>
    <s v="朴子分行　　　　　　"/>
    <s v="HB14121"/>
    <n v="17010792.459770799"/>
  </r>
  <r>
    <x v="143"/>
    <s v="朴子分行　　　　　　"/>
    <s v="HB17528"/>
    <n v="69327011.024210393"/>
  </r>
  <r>
    <x v="143"/>
    <s v="朴子分行　　　　　　"/>
    <s v="HB18022"/>
    <n v="53836.242222000001"/>
  </r>
  <r>
    <x v="144"/>
    <s v="新營分行　　　　　　"/>
    <s v="HB11249"/>
    <n v="37953329.657538995"/>
  </r>
  <r>
    <x v="144"/>
    <s v="新營分行　　　　　　"/>
    <s v="HB13248"/>
    <n v="21772961.985094599"/>
  </r>
  <r>
    <x v="144"/>
    <s v="新營分行　　　　　　"/>
    <s v="HB14884"/>
    <n v="19726438.074879602"/>
  </r>
  <r>
    <x v="144"/>
    <s v="新營分行　　　　　　"/>
    <s v="HB18144"/>
    <n v="10702151.043090001"/>
  </r>
  <r>
    <x v="144"/>
    <s v="新營分行　　　　　　"/>
    <s v="HB18154"/>
    <n v="579433095.67199183"/>
  </r>
  <r>
    <x v="145"/>
    <s v="麻豆分行　　　　　　"/>
    <s v="HB10087"/>
    <n v="116280412.33265001"/>
  </r>
  <r>
    <x v="145"/>
    <s v="麻豆分行　　　　　　"/>
    <s v="HB16605"/>
    <n v="560132796.76487696"/>
  </r>
  <r>
    <x v="145"/>
    <s v="麻豆分行　　　　　　"/>
    <s v="HB18931"/>
    <n v="71522990.182873398"/>
  </r>
  <r>
    <x v="146"/>
    <s v="永康分行　　　　　　"/>
    <s v="HB10310"/>
    <n v="77358481.968639195"/>
  </r>
  <r>
    <x v="146"/>
    <s v="永康分行　　　　　　"/>
    <s v="HB11033"/>
    <n v="29876601.426436998"/>
  </r>
  <r>
    <x v="146"/>
    <s v="永康分行　　　　　　"/>
    <s v="HB11656"/>
    <n v="2816537.5166619997"/>
  </r>
  <r>
    <x v="146"/>
    <s v="永康分行　　　　　　"/>
    <s v="HB16232"/>
    <n v="77942352.539081603"/>
  </r>
  <r>
    <x v="147"/>
    <s v="台南分行　　　　　　"/>
    <s v="HB11052"/>
    <n v="17246348.962437399"/>
  </r>
  <r>
    <x v="147"/>
    <s v="台南分行　　　　　　"/>
    <s v="HB13084"/>
    <n v="34458232.883992806"/>
  </r>
  <r>
    <x v="147"/>
    <s v="台南分行　　　　　　"/>
    <s v="HB14949"/>
    <n v="125690134.25131699"/>
  </r>
  <r>
    <x v="147"/>
    <s v="台南分行　　　　　　"/>
    <s v="HB14966"/>
    <n v="125515077.5846512"/>
  </r>
  <r>
    <x v="147"/>
    <s v="台南分行　　　　　　"/>
    <s v="HB16852"/>
    <n v="39511227.1119904"/>
  </r>
  <r>
    <x v="147"/>
    <s v="台南分行　　　　　　"/>
    <s v="HB18155"/>
    <n v="5176872.7597703999"/>
  </r>
  <r>
    <x v="148"/>
    <s v="東台南分行　　　　　"/>
    <s v="HB15523"/>
    <n v="36509789.762424201"/>
  </r>
  <r>
    <x v="148"/>
    <s v="東台南分行　　　　　"/>
    <s v="HB16881"/>
    <n v="167084642.3604266"/>
  </r>
  <r>
    <x v="148"/>
    <s v="東台南分行　　　　　"/>
    <s v="HB5031"/>
    <n v="19598185.091546603"/>
  </r>
  <r>
    <x v="148"/>
    <s v="東台南分行　　　　　"/>
    <s v="HB7295"/>
    <n v="38448720.5726538"/>
  </r>
  <r>
    <x v="149"/>
    <s v="西台南分行　　　　　"/>
    <s v="HB12752"/>
    <n v="12383804.051105401"/>
  </r>
  <r>
    <x v="149"/>
    <s v="西台南分行　　　　　"/>
    <s v="HB14471"/>
    <n v="147020622.40285641"/>
  </r>
  <r>
    <x v="149"/>
    <s v="西台南分行　　　　　"/>
    <s v="HB17243"/>
    <n v="212592657.80865479"/>
  </r>
  <r>
    <x v="150"/>
    <s v="北台南分行　　　　　"/>
    <s v="HB14336"/>
    <n v="761680496.81396651"/>
  </r>
  <r>
    <x v="150"/>
    <s v="北台南分行　　　　　"/>
    <s v="HB14726"/>
    <n v="130575033.1821962"/>
  </r>
  <r>
    <x v="150"/>
    <s v="北台南分行　　　　　"/>
    <s v="HB17420"/>
    <n v="5090546.9433300002"/>
  </r>
  <r>
    <x v="150"/>
    <s v="北台南分行　　　　　"/>
    <s v="HB18857"/>
    <n v="11135429.3144364"/>
  </r>
  <r>
    <x v="151"/>
    <s v="南都分行　　　　　　"/>
    <s v="HB13600"/>
    <n v="89765252.274874806"/>
  </r>
  <r>
    <x v="151"/>
    <s v="南都分行　　　　　　"/>
    <s v="HB16290"/>
    <n v="3622968.2888830001"/>
  </r>
  <r>
    <x v="151"/>
    <s v="南都分行　　　　　　"/>
    <s v="HB17087"/>
    <n v="78770600.891766801"/>
  </r>
  <r>
    <x v="151"/>
    <s v="南都分行　　　　　　"/>
    <s v="HB18935"/>
    <n v="6402515.5331070004"/>
  </r>
  <r>
    <x v="152"/>
    <s v="安南分行　　　　　　"/>
    <s v="HB10156"/>
    <n v="60615428.087104805"/>
  </r>
  <r>
    <x v="152"/>
    <s v="安南分行　　　　　　"/>
    <s v="HB15419"/>
    <n v="67390229.340432808"/>
  </r>
  <r>
    <x v="152"/>
    <s v="安南分行　　　　　　"/>
    <s v="HB7377"/>
    <n v="6844402.4253279995"/>
  </r>
  <r>
    <x v="153"/>
    <s v="仁德分行　　　　　　"/>
    <s v="HB13539"/>
    <n v="68818644.686864793"/>
  </r>
  <r>
    <x v="153"/>
    <s v="仁德分行　　　　　　"/>
    <s v="HB18012"/>
    <n v="136992577.0128656"/>
  </r>
  <r>
    <x v="154"/>
    <s v="新市分行　　　　　　"/>
    <s v="HB11383"/>
    <n v="11012012.759323999"/>
  </r>
  <r>
    <x v="154"/>
    <s v="新市分行　　　　　　"/>
    <s v="HB12814"/>
    <n v="6619936.395552"/>
  </r>
  <r>
    <x v="154"/>
    <s v="新市分行　　　　　　"/>
    <s v="HB16237"/>
    <n v="58541766.1588718"/>
  </r>
  <r>
    <x v="154"/>
    <s v="新市分行　　　　　　"/>
    <s v="HB18423"/>
    <n v="10463942.770878799"/>
  </r>
  <r>
    <x v="155"/>
    <s v="金華分行　　　　　　"/>
    <s v="HB10547"/>
    <n v="46568841.475319803"/>
  </r>
  <r>
    <x v="155"/>
    <s v="金華分行　　　　　　"/>
    <s v="HB14133"/>
    <n v="85574925.514422208"/>
  </r>
  <r>
    <x v="155"/>
    <s v="金華分行　　　　　　"/>
    <s v="HB9110"/>
    <n v="6907093.1048824005"/>
  </r>
  <r>
    <x v="156"/>
    <s v="高雄分行　　　　　　"/>
    <s v="HB13598"/>
    <n v="75769850.867985398"/>
  </r>
  <r>
    <x v="156"/>
    <s v="高雄分行　　　　　　"/>
    <s v="HB16156"/>
    <n v="36278511.828193203"/>
  </r>
  <r>
    <x v="156"/>
    <s v="高雄分行　　　　　　"/>
    <s v="HB16366"/>
    <n v="109978786.3577636"/>
  </r>
  <r>
    <x v="156"/>
    <s v="高雄分行　　　　　　"/>
    <s v="HB18016"/>
    <n v="23493810.106214799"/>
  </r>
  <r>
    <x v="157"/>
    <s v="東苓分行　　　　　　"/>
    <s v="HB10286"/>
    <n v="13120479.798876999"/>
  </r>
  <r>
    <x v="157"/>
    <s v="東苓分行　　　　　　"/>
    <s v="HB19168"/>
    <n v="20043529.925986402"/>
  </r>
  <r>
    <x v="157"/>
    <s v="東苓分行　　　　　　"/>
    <s v="HB9923"/>
    <n v="116761891.55684981"/>
  </r>
  <r>
    <x v="158"/>
    <s v="新興分行　　　　　　"/>
    <s v="HB16357"/>
    <n v="52835511.5059788"/>
  </r>
  <r>
    <x v="158"/>
    <s v="新興分行　　　　　　"/>
    <s v="HB16599"/>
    <n v="161715607.0664286"/>
  </r>
  <r>
    <x v="159"/>
    <s v="高雄三民分行　　　　"/>
    <s v="HB13599"/>
    <n v="22816698.293761998"/>
  </r>
  <r>
    <x v="159"/>
    <s v="高雄三民分行　　　　"/>
    <s v="HB14727"/>
    <n v="51215511.577756405"/>
  </r>
  <r>
    <x v="160"/>
    <s v="苓雅分行　　　　　　"/>
    <s v="HB16517"/>
    <n v="14248094.793318"/>
  </r>
  <r>
    <x v="160"/>
    <s v="苓雅分行　　　　　　"/>
    <s v="HB17247"/>
    <n v="32097914.287541807"/>
  </r>
  <r>
    <x v="160"/>
    <s v="苓雅分行　　　　　　"/>
    <s v="HB7798"/>
    <n v="62139270.375316605"/>
  </r>
  <r>
    <x v="161"/>
    <s v="前鎮分行　　　　　　"/>
    <s v="HB10160"/>
    <n v="11763525.939545801"/>
  </r>
  <r>
    <x v="161"/>
    <s v="前鎮分行　　　　　　"/>
    <s v="HB12523"/>
    <n v="11201141.613323402"/>
  </r>
  <r>
    <x v="161"/>
    <s v="前鎮分行　　　　　　"/>
    <s v="HB17073"/>
    <n v="138743424.4906354"/>
  </r>
  <r>
    <x v="162"/>
    <s v="高雄博愛分行　　　　"/>
    <s v="HB13545"/>
    <n v="28243907.371096"/>
  </r>
  <r>
    <x v="162"/>
    <s v="高雄博愛分行　　　　"/>
    <s v="HB15990"/>
    <n v="99578572.177308202"/>
  </r>
  <r>
    <x v="162"/>
    <s v="高雄博愛分行　　　　"/>
    <s v="HB17439"/>
    <n v="37513996.747764006"/>
  </r>
  <r>
    <x v="163"/>
    <s v="南高雄分行　　　　　"/>
    <s v="HB10662"/>
    <n v="194099462.52198559"/>
  </r>
  <r>
    <x v="163"/>
    <s v="南高雄分行　　　　　"/>
    <s v="HB14629"/>
    <n v="18533942.3855482"/>
  </r>
  <r>
    <x v="163"/>
    <s v="南高雄分行　　　　　"/>
    <s v="HB17403"/>
    <n v="9548224.6833260003"/>
  </r>
  <r>
    <x v="164"/>
    <s v="東高雄分行　　　　　"/>
    <s v="HB11141"/>
    <n v="29682186.6524304"/>
  </r>
  <r>
    <x v="164"/>
    <s v="東高雄分行　　　　　"/>
    <s v="HB7716"/>
    <n v="121919022.7910926"/>
  </r>
  <r>
    <x v="165"/>
    <s v="大昌分行　　　　　　"/>
    <s v="HB10250"/>
    <n v="113867426.3624368"/>
  </r>
  <r>
    <x v="165"/>
    <s v="大昌分行　　　　　　"/>
    <s v="HB17139"/>
    <n v="2028459.9099932001"/>
  </r>
  <r>
    <x v="165"/>
    <s v="大昌分行　　　　　　"/>
    <s v="HB17530"/>
    <n v="197480152.86953861"/>
  </r>
  <r>
    <x v="165"/>
    <s v="大昌分行　　　　　　"/>
    <s v="HB9873"/>
    <n v="11632123.0433184"/>
  </r>
  <r>
    <x v="166"/>
    <s v="北高雄分行　　　　　"/>
    <s v="HB14175"/>
    <n v="4868395.4048848003"/>
  </r>
  <r>
    <x v="166"/>
    <s v="北高雄分行　　　　　"/>
    <s v="HB14808"/>
    <n v="39123206.0926558"/>
  </r>
  <r>
    <x v="166"/>
    <s v="北高雄分行　　　　　"/>
    <s v="HB16401"/>
    <n v="72552318.395535797"/>
  </r>
  <r>
    <x v="166"/>
    <s v="北高雄分行　　　　　"/>
    <s v="HB19966"/>
    <n v="16541195.693329999"/>
  </r>
  <r>
    <x v="167"/>
    <s v="楠梓分行　　　　　　"/>
    <s v="HB14124"/>
    <n v="31535600.179762799"/>
  </r>
  <r>
    <x v="167"/>
    <s v="楠梓分行　　　　　　"/>
    <s v="HB14557"/>
    <n v="58881506.470644802"/>
  </r>
  <r>
    <x v="167"/>
    <s v="楠梓分行　　　　　　"/>
    <s v="HB19954"/>
    <n v="2097164.0966602"/>
  </r>
  <r>
    <x v="168"/>
    <s v="左營分行　　　　　　"/>
    <s v="HB14673"/>
    <n v="26835442.255769998"/>
  </r>
  <r>
    <x v="168"/>
    <s v="左營分行　　　　　　"/>
    <s v="HB14922"/>
    <n v="15175057.539093001"/>
  </r>
  <r>
    <x v="169"/>
    <s v="岡山分行　　　　　　"/>
    <s v="HB16246"/>
    <n v="135786266.60754281"/>
  </r>
  <r>
    <x v="169"/>
    <s v="岡山分行　　　　　　"/>
    <s v="HB17335"/>
    <n v="76410137.374437809"/>
  </r>
  <r>
    <x v="169"/>
    <s v="岡山分行　　　　　　"/>
    <s v="HB18064"/>
    <n v="97197890.859759599"/>
  </r>
  <r>
    <x v="169"/>
    <s v="岡山分行　　　　　　"/>
    <s v="HB19499"/>
    <n v="5312264.8224382"/>
  </r>
  <r>
    <x v="170"/>
    <s v="鳳山分行　　　　　　"/>
    <s v="HB13544"/>
    <n v="3728964.3995522"/>
  </r>
  <r>
    <x v="170"/>
    <s v="鳳山分行　　　　　　"/>
    <s v="HB14735"/>
    <n v="32342194.192651801"/>
  </r>
  <r>
    <x v="170"/>
    <s v="鳳山分行　　　　　　"/>
    <s v="HB15410"/>
    <n v="160307836.2357648"/>
  </r>
  <r>
    <x v="170"/>
    <s v="鳳山分行　　　　　　"/>
    <s v="HB19978"/>
    <n v="10367936.503325399"/>
  </r>
  <r>
    <x v="171"/>
    <s v="路竹分行　　　　　　"/>
    <s v="HB15158"/>
    <n v="15659030.893549401"/>
  </r>
  <r>
    <x v="171"/>
    <s v="路竹分行　　　　　　"/>
    <s v="HB15595"/>
    <n v="31877030.567753598"/>
  </r>
  <r>
    <x v="171"/>
    <s v="路竹分行　　　　　　"/>
    <s v="HB19187"/>
    <n v="249193.82443800001"/>
  </r>
  <r>
    <x v="171"/>
    <s v="路竹分行　　　　　　"/>
    <s v="HB7062"/>
    <n v="104483029.4730916"/>
  </r>
  <r>
    <x v="172"/>
    <s v="仁武分行　　　　　　"/>
    <s v="HB10844"/>
    <n v="103596021.62909639"/>
  </r>
  <r>
    <x v="172"/>
    <s v="仁武分行　　　　　　"/>
    <s v="HB13029"/>
    <n v="67449776.027984008"/>
  </r>
  <r>
    <x v="172"/>
    <s v="仁武分行　　　　　　"/>
    <s v="HB13836"/>
    <n v="15119972.898882201"/>
  </r>
  <r>
    <x v="173"/>
    <s v="籬仔內分行　　　　　"/>
    <s v="HB15876"/>
    <n v="17389711.0155412"/>
  </r>
  <r>
    <x v="173"/>
    <s v="籬仔內分行　　　　　"/>
    <s v="HB18944"/>
    <n v="32689362.097096"/>
  </r>
  <r>
    <x v="174"/>
    <s v="五甲分行　　　　　　"/>
    <s v="HB15741"/>
    <n v="12462353.9275434"/>
  </r>
  <r>
    <x v="174"/>
    <s v="五甲分行　　　　　　"/>
    <s v="HB17103"/>
    <n v="6701239.6399945999"/>
  </r>
  <r>
    <x v="174"/>
    <s v="五甲分行　　　　　　"/>
    <s v="HB17652"/>
    <n v="21140558.320428602"/>
  </r>
  <r>
    <x v="174"/>
    <s v="五甲分行　　　　　　"/>
    <s v="HB18015"/>
    <n v="21086644.7768788"/>
  </r>
  <r>
    <x v="175"/>
    <s v="光華分行　　　　　　"/>
    <s v="HB16650"/>
    <n v="9052045.7648792006"/>
  </r>
  <r>
    <x v="175"/>
    <s v="光華分行　　　　　　"/>
    <s v="HB17331"/>
    <n v="29215040.229318"/>
  </r>
  <r>
    <x v="175"/>
    <s v="光華分行　　　　　　"/>
    <s v="HB19956"/>
    <n v="5007987.0997684002"/>
  </r>
  <r>
    <x v="176"/>
    <s v="小港分行　　　　　　"/>
    <s v="HB13569"/>
    <n v="31782075.340656202"/>
  </r>
  <r>
    <x v="176"/>
    <s v="小港分行　　　　　　"/>
    <s v="HB16402"/>
    <n v="18108512.916878402"/>
  </r>
  <r>
    <x v="176"/>
    <s v="小港分行　　　　　　"/>
    <s v="HB19006"/>
    <n v="4482987.9164386"/>
  </r>
  <r>
    <x v="177"/>
    <s v="高雄桂林分行　　　　"/>
    <s v="HB17176"/>
    <n v="6894901.9282117998"/>
  </r>
  <r>
    <x v="177"/>
    <s v="高雄桂林分行　　　　"/>
    <s v="HB17650"/>
    <n v="1449869.7557726"/>
  </r>
  <r>
    <x v="178"/>
    <s v="屏東分行　　　　　　"/>
    <s v="HB11016"/>
    <n v="12974376.977767002"/>
  </r>
  <r>
    <x v="178"/>
    <s v="屏東分行　　　　　　"/>
    <s v="HB13355"/>
    <n v="6810803.9155449998"/>
  </r>
  <r>
    <x v="178"/>
    <s v="屏東分行　　　　　　"/>
    <s v="HB20178"/>
    <n v="205131.89666599999"/>
  </r>
  <r>
    <x v="178"/>
    <s v="屏東分行　　　　　　"/>
    <s v="HB9011"/>
    <n v="199531962.91932023"/>
  </r>
  <r>
    <x v="179"/>
    <s v="內埔分行　　　　　　"/>
    <s v="HB14241"/>
    <n v="16231209.601324201"/>
  </r>
  <r>
    <x v="179"/>
    <s v="內埔分行　　　　　　"/>
    <s v="HB18494"/>
    <n v="37729300.5933128"/>
  </r>
  <r>
    <x v="179"/>
    <s v="內埔分行　　　　　　"/>
    <s v="HB9023"/>
    <n v="26972258.2195458"/>
  </r>
  <r>
    <x v="179"/>
    <s v="內埔分行　　　　　　"/>
    <s v="HB9545"/>
    <n v="2263963.1993276002"/>
  </r>
  <r>
    <x v="180"/>
    <s v="潮州分行　　　　　　"/>
    <s v="HB10335"/>
    <n v="50143210.860205203"/>
  </r>
  <r>
    <x v="180"/>
    <s v="潮州分行　　　　　　"/>
    <s v="HB16245"/>
    <n v="21107619.5617662"/>
  </r>
  <r>
    <x v="180"/>
    <s v="潮州分行　　　　　　"/>
    <s v="HB7667"/>
    <n v="46525014.103990398"/>
  </r>
  <r>
    <x v="181"/>
    <s v="佳冬分行　　　　　　"/>
    <s v="HB14034"/>
    <n v="429981149.30465376"/>
  </r>
  <r>
    <x v="181"/>
    <s v="佳冬分行　　　　　　"/>
    <s v="HB16986"/>
    <n v="13449495.828659"/>
  </r>
  <r>
    <x v="182"/>
    <s v="花蓮分行　　　　　　"/>
    <s v="HB12176"/>
    <n v="8186897.3419933999"/>
  </r>
  <r>
    <x v="182"/>
    <s v="花蓮分行　　　　　　"/>
    <s v="HB13601"/>
    <n v="47032263.675106406"/>
  </r>
  <r>
    <x v="182"/>
    <s v="花蓮分行　　　　　　"/>
    <s v="HB14223"/>
    <n v="1395617.7646658001"/>
  </r>
  <r>
    <x v="182"/>
    <s v="花蓮分行　　　　　　"/>
    <s v="HB15355"/>
    <n v="23299441.169329599"/>
  </r>
  <r>
    <x v="183"/>
    <s v="台東分行　　　　　　"/>
    <s v="HB11118"/>
    <n v="104931888.7639626"/>
  </r>
  <r>
    <x v="183"/>
    <s v="台東分行　　　　　　"/>
    <s v="HB16856"/>
    <n v="50399890.811305404"/>
  </r>
  <r>
    <x v="183"/>
    <s v="台東分行　　　　　　"/>
    <s v="HB7809"/>
    <n v="76842013.2046334"/>
  </r>
  <r>
    <x v="184"/>
    <s v="營運總部分行　　　　"/>
    <s v="HB13274"/>
    <n v="21914907.043084003"/>
  </r>
  <r>
    <x v="184"/>
    <s v="營運總部分行　　　　"/>
    <s v="HB17454"/>
    <n v="53951705.5392767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3">
  <r>
    <x v="0"/>
    <s v="營業部　　　　　　　"/>
    <s v="HB14946"/>
    <n v="136179938.87799841"/>
    <n v="392448111.62595844"/>
    <n v="525600"/>
    <n v="41033114.367996603"/>
  </r>
  <r>
    <x v="0"/>
    <s v="營業部　　　　　　　"/>
    <s v="HB15807"/>
    <n v="64491772.825998008"/>
    <n v="79944138.96598801"/>
    <n v="0"/>
    <n v="32212385.199995402"/>
  </r>
  <r>
    <x v="0"/>
    <s v="營業部　　　　　　　"/>
    <s v="HB15924"/>
    <n v="54433394.547998399"/>
    <n v="125263074.9479382"/>
    <n v="0"/>
    <n v="9672742.0799982008"/>
  </r>
  <r>
    <x v="0"/>
    <s v="營業部　　　　　　　"/>
    <s v="HB18339"/>
    <n v="45106969.967998199"/>
    <n v="162742408.76795942"/>
    <n v="0"/>
    <n v="5657770.8000000007"/>
  </r>
  <r>
    <x v="0"/>
    <s v="營業部　　　　　　　"/>
    <s v="HB18603"/>
    <n v="102011398.81399441"/>
    <n v="208575341.7879636"/>
    <n v="2837088"/>
    <n v="3161480.9999994002"/>
  </r>
  <r>
    <x v="0"/>
    <s v="營業部　　　　　　　"/>
    <s v="HB19264"/>
    <n v="32127802.847999997"/>
    <n v="97038055.905975014"/>
    <n v="0"/>
    <n v="0"/>
  </r>
  <r>
    <x v="0"/>
    <s v="營業部　　　　　　　"/>
    <s v="HB19306"/>
    <n v="13768279.199999999"/>
    <n v="84891591.955974609"/>
    <n v="0"/>
    <n v="1975957.2000000002"/>
  </r>
  <r>
    <x v="1"/>
    <s v="儲蓄分行　　　　　　"/>
    <s v="HB17960"/>
    <n v="26913665.125998002"/>
    <n v="118571944.7519604"/>
    <n v="1800000"/>
    <n v="23644350"/>
  </r>
  <r>
    <x v="1"/>
    <s v="儲蓄分行　　　　　　"/>
    <s v="HB19099"/>
    <n v="31437143.262000002"/>
    <n v="126210378.1519728"/>
    <n v="0"/>
    <n v="105999194.99999881"/>
  </r>
  <r>
    <x v="1"/>
    <s v="儲蓄分行　　　　　　"/>
    <s v="HB20008"/>
    <n v="72208542.407999411"/>
    <n v="219356737.40596142"/>
    <n v="0"/>
    <n v="62586432"/>
  </r>
  <r>
    <x v="2"/>
    <s v="城內分行　　　　　　"/>
    <s v="HB14729"/>
    <n v="45047260.149996601"/>
    <n v="204833657.17592639"/>
    <n v="0"/>
    <n v="33268204.569997802"/>
  </r>
  <r>
    <x v="2"/>
    <s v="城內分行　　　　　　"/>
    <s v="HB16465"/>
    <n v="64868141.085998401"/>
    <n v="196300907.49197522"/>
    <n v="0"/>
    <n v="18909720"/>
  </r>
  <r>
    <x v="2"/>
    <s v="城內分行　　　　　　"/>
    <s v="HB16814"/>
    <n v="23364812.736000001"/>
    <n v="264380718.46997881"/>
    <n v="900000"/>
    <n v="10078785.999999"/>
  </r>
  <r>
    <x v="3"/>
    <s v="大稻埕分行　　　　　"/>
    <s v="HB15570"/>
    <n v="67434928.493997604"/>
    <n v="216217751.83797961"/>
    <n v="0"/>
    <n v="16998182.067995999"/>
  </r>
  <r>
    <x v="3"/>
    <s v="大稻埕分行　　　　　"/>
    <s v="HB16941"/>
    <n v="111416538.9759948"/>
    <n v="209944025.83596778"/>
    <n v="0"/>
    <n v="29861026.799999401"/>
  </r>
  <r>
    <x v="3"/>
    <s v="大稻埕分行　　　　　"/>
    <s v="HB9717"/>
    <n v="33726834.365997598"/>
    <n v="105339298.08998701"/>
    <n v="0"/>
    <n v="1656993.9999996"/>
  </r>
  <r>
    <x v="3"/>
    <s v="大稻埕分行　　　　　"/>
    <s v="HB9935"/>
    <n v="187885210.02599519"/>
    <n v="324055734.65798223"/>
    <n v="0"/>
    <n v="119848491.56799901"/>
  </r>
  <r>
    <x v="4"/>
    <s v="建成分行　　　　　　"/>
    <s v="HB14751"/>
    <n v="225125494.95599461"/>
    <n v="429273306.13994098"/>
    <n v="1006560"/>
    <n v="65723477.999997601"/>
  </r>
  <r>
    <x v="4"/>
    <s v="建成分行　　　　　　"/>
    <s v="HB15953"/>
    <n v="87492513.443997592"/>
    <n v="315758052.69595021"/>
    <n v="0"/>
    <n v="51658141.691998795"/>
  </r>
  <r>
    <x v="5"/>
    <s v="中山分行　　　　　　"/>
    <s v="HB11100"/>
    <n v="534160320.52399743"/>
    <n v="1406818043.7419648"/>
    <n v="0"/>
    <n v="133713748.61199722"/>
  </r>
  <r>
    <x v="5"/>
    <s v="中山分行　　　　　　"/>
    <s v="HB14468"/>
    <n v="44373197.409998402"/>
    <n v="254030129.43997324"/>
    <n v="0"/>
    <n v="13905445.399999201"/>
  </r>
  <r>
    <x v="5"/>
    <s v="中山分行　　　　　　"/>
    <s v="HB14744"/>
    <n v="279005529.9839958"/>
    <n v="652203659.76795006"/>
    <n v="0"/>
    <n v="71641319.833994403"/>
  </r>
  <r>
    <x v="5"/>
    <s v="中山分行　　　　　　"/>
    <s v="HB9918"/>
    <n v="15924130.199999999"/>
    <n v="120322178.385975"/>
    <n v="180000"/>
    <n v="19755279.999997202"/>
  </r>
  <r>
    <x v="6"/>
    <s v="圓山分行　　　　　　"/>
    <s v="HB14209"/>
    <n v="20989076.619997799"/>
    <n v="90410293.049972415"/>
    <n v="0"/>
    <n v="11042368.199999999"/>
  </r>
  <r>
    <x v="6"/>
    <s v="圓山分行　　　　　　"/>
    <s v="HB15810"/>
    <n v="164189448.12399662"/>
    <n v="832726982.4199506"/>
    <n v="1011420"/>
    <n v="57455346.999997795"/>
  </r>
  <r>
    <x v="6"/>
    <s v="圓山分行　　　　　　"/>
    <s v="HB16973"/>
    <n v="32087609.705998801"/>
    <n v="257951301.34396318"/>
    <n v="572699.99999879999"/>
    <n v="23325344.399998799"/>
  </r>
  <r>
    <x v="6"/>
    <s v="圓山分行　　　　　　"/>
    <s v="HB18277"/>
    <n v="50934836.593996204"/>
    <n v="303992811.81995398"/>
    <n v="0"/>
    <n v="76094226.035998195"/>
  </r>
  <r>
    <x v="6"/>
    <s v="圓山分行　　　　　　"/>
    <s v="HB18718"/>
    <n v="30888555.895999797"/>
    <n v="173146185.7159788"/>
    <n v="0"/>
    <n v="4140000"/>
  </r>
  <r>
    <x v="6"/>
    <s v="圓山分行　　　　　　"/>
    <s v="HB18891"/>
    <n v="62130201.447997808"/>
    <n v="492263575.56795424"/>
    <n v="6464880"/>
    <n v="90470969.063999996"/>
  </r>
  <r>
    <x v="7"/>
    <s v="城東分行　　　　　　"/>
    <s v="HB15557"/>
    <n v="53994690.299998805"/>
    <n v="67555050.477971405"/>
    <n v="0"/>
    <n v="1363315.5"/>
  </r>
  <r>
    <x v="7"/>
    <s v="城東分行　　　　　　"/>
    <s v="HB15973"/>
    <n v="36188429.397996597"/>
    <n v="43330500.003979802"/>
    <n v="0"/>
    <n v="4167927"/>
  </r>
  <r>
    <x v="7"/>
    <s v="城東分行　　　　　　"/>
    <s v="HB16100"/>
    <n v="213904558.34199721"/>
    <n v="333074126.94797158"/>
    <n v="0"/>
    <n v="98724078.287998199"/>
  </r>
  <r>
    <x v="7"/>
    <s v="城東分行　　　　　　"/>
    <s v="HB17926"/>
    <n v="152832111.4479996"/>
    <n v="285413843.55194098"/>
    <n v="0"/>
    <n v="171558852.3399978"/>
  </r>
  <r>
    <x v="7"/>
    <s v="城東分行　　　　　　"/>
    <s v="HB18181"/>
    <n v="6311372.3460000008"/>
    <n v="62315171.529984005"/>
    <n v="1800000"/>
    <n v="34954249.999996796"/>
  </r>
  <r>
    <x v="7"/>
    <s v="城東分行　　　　　　"/>
    <s v="HB18556"/>
    <n v="30928593.541996799"/>
    <n v="325438752.67797959"/>
    <n v="0"/>
    <n v="90639195.786000013"/>
  </r>
  <r>
    <x v="7"/>
    <s v="城東分行　　　　　　"/>
    <s v="HB6906"/>
    <n v="55161787.871997006"/>
    <n v="187227756.8159886"/>
    <n v="0"/>
    <n v="21751752.999995999"/>
  </r>
  <r>
    <x v="8"/>
    <s v="西門分行　　　　　　"/>
    <s v="HB15434"/>
    <n v="109555988.689989"/>
    <n v="151190758.95791942"/>
    <n v="1989432"/>
    <n v="25278877.481999405"/>
  </r>
  <r>
    <x v="8"/>
    <s v="西門分行　　　　　　"/>
    <s v="HB9231"/>
    <n v="102214284.22599661"/>
    <n v="194240815.15596479"/>
    <n v="0"/>
    <n v="24997645.9999962"/>
  </r>
  <r>
    <x v="9"/>
    <s v="南松山分行　　　　　"/>
    <s v="HB15190"/>
    <n v="44271105.797998801"/>
    <n v="297003133.74198061"/>
    <n v="0"/>
    <n v="26755482.240000002"/>
  </r>
  <r>
    <x v="9"/>
    <s v="南松山分行　　　　　"/>
    <s v="HB17834"/>
    <n v="79019367.045998394"/>
    <n v="540636274.2099582"/>
    <n v="0"/>
    <n v="28569809.9999988"/>
  </r>
  <r>
    <x v="9"/>
    <s v="南松山分行　　　　　"/>
    <s v="HB18173"/>
    <n v="70311359.725999206"/>
    <n v="144719038.59998581"/>
    <n v="0"/>
    <n v="21484879.9999974"/>
  </r>
  <r>
    <x v="9"/>
    <s v="南松山分行　　　　　"/>
    <s v="HB18597"/>
    <n v="17957911.599999003"/>
    <n v="97231096.301965207"/>
    <n v="0"/>
    <n v="5168047.1999994004"/>
  </r>
  <r>
    <x v="10"/>
    <s v="仁愛路分行　　　　　"/>
    <s v="HB12010"/>
    <n v="64883114.247997805"/>
    <n v="479559026.1019752"/>
    <n v="1800000"/>
    <n v="143735136.46399802"/>
  </r>
  <r>
    <x v="10"/>
    <s v="仁愛路分行　　　　　"/>
    <s v="HB15906"/>
    <n v="16466613.3879984"/>
    <n v="108299750.98397219"/>
    <n v="0"/>
    <n v="26494056"/>
  </r>
  <r>
    <x v="10"/>
    <s v="仁愛路分行　　　　　"/>
    <s v="HB16734"/>
    <n v="119474625.33199981"/>
    <n v="175326890.45796901"/>
    <n v="0"/>
    <n v="40201728.443999998"/>
  </r>
  <r>
    <x v="10"/>
    <s v="仁愛路分行　　　　　"/>
    <s v="HB17525"/>
    <n v="145765303.722"/>
    <n v="207718203.6519444"/>
    <n v="0"/>
    <n v="26085969.795999601"/>
  </r>
  <r>
    <x v="11"/>
    <s v="南京東路分行　　　　"/>
    <s v="HB10600"/>
    <n v="53762927.333999395"/>
    <n v="213184556.14397219"/>
    <n v="900000"/>
    <n v="23528920.399999201"/>
  </r>
  <r>
    <x v="11"/>
    <s v="南京東路分行　　　　"/>
    <s v="HB13562"/>
    <n v="83660152.719997793"/>
    <n v="283082364.6939792"/>
    <n v="0"/>
    <n v="10547959.999998601"/>
  </r>
  <r>
    <x v="11"/>
    <s v="南京東路分行　　　　"/>
    <s v="HB16420"/>
    <n v="72962554.603998601"/>
    <n v="319149006.53594756"/>
    <n v="0"/>
    <n v="44567301.399998404"/>
  </r>
  <r>
    <x v="11"/>
    <s v="南京東路分行　　　　"/>
    <s v="HB17534"/>
    <n v="52592566.693998605"/>
    <n v="58608211.2579882"/>
    <n v="0"/>
    <n v="5631571.9999998007"/>
  </r>
  <r>
    <x v="11"/>
    <s v="南京東路分行　　　　"/>
    <s v="HB8121"/>
    <n v="16905708.035998199"/>
    <n v="42676091.175983399"/>
    <n v="0"/>
    <n v="3681178.9999992"/>
  </r>
  <r>
    <x v="12"/>
    <s v="新生分行　　　　　　"/>
    <s v="HB14013"/>
    <n v="22730287.399999201"/>
    <n v="187005563.24398559"/>
    <n v="0"/>
    <n v="24834491.481999602"/>
  </r>
  <r>
    <x v="12"/>
    <s v="新生分行　　　　　　"/>
    <s v="HB1581"/>
    <n v="35234960.238000005"/>
    <n v="171485157.59198278"/>
    <n v="0"/>
    <n v="30773287.929996002"/>
  </r>
  <r>
    <x v="12"/>
    <s v="新生分行　　　　　　"/>
    <s v="HB16448"/>
    <n v="12300499.175999399"/>
    <n v="95257902.411991805"/>
    <n v="0"/>
    <n v="601524"/>
  </r>
  <r>
    <x v="12"/>
    <s v="新生分行　　　　　　"/>
    <s v="HB17624"/>
    <n v="45217154.359999798"/>
    <n v="133535966.9599566"/>
    <n v="900000"/>
    <n v="9803347.3999979999"/>
  </r>
  <r>
    <x v="12"/>
    <s v="新生分行　　　　　　"/>
    <s v="HB17681"/>
    <n v="96701939.813998789"/>
    <n v="158897830.78996378"/>
    <n v="0"/>
    <n v="104881125.11199841"/>
  </r>
  <r>
    <x v="12"/>
    <s v="新生分行　　　　　　"/>
    <s v="HB9162"/>
    <n v="79175450.983998597"/>
    <n v="208817538.79196879"/>
    <n v="0"/>
    <n v="124693593.32799181"/>
  </r>
  <r>
    <x v="13"/>
    <s v="大同分行　　　　　　"/>
    <s v="HB13549"/>
    <n v="122777908.90999921"/>
    <n v="495497054.02394879"/>
    <n v="0"/>
    <n v="26902446.999996599"/>
  </r>
  <r>
    <x v="13"/>
    <s v="大同分行　　　　　　"/>
    <s v="HB16106"/>
    <n v="202457648.3299956"/>
    <n v="888829907.24793053"/>
    <n v="0"/>
    <n v="79319899.123993799"/>
  </r>
  <r>
    <x v="13"/>
    <s v="大同分行　　　　　　"/>
    <s v="HB17641"/>
    <n v="40721675.903999999"/>
    <n v="129183111.35797861"/>
    <n v="0"/>
    <n v="12572752.071999602"/>
  </r>
  <r>
    <x v="14"/>
    <s v="松山分行　　　　　　"/>
    <s v="HB14721"/>
    <n v="207654278.93399701"/>
    <n v="477368522.77590716"/>
    <n v="0"/>
    <n v="42543234"/>
  </r>
  <r>
    <x v="14"/>
    <s v="松山分行　　　　　　"/>
    <s v="HB2092"/>
    <n v="81937101.091996804"/>
    <n v="264530247.65996039"/>
    <n v="0"/>
    <n v="59422741.977997795"/>
  </r>
  <r>
    <x v="15"/>
    <s v="中崙分行　　　　　　"/>
    <s v="HB13270"/>
    <n v="104231695.0939974"/>
    <n v="404156909.9879514"/>
    <n v="0"/>
    <n v="34610501.087998204"/>
  </r>
  <r>
    <x v="15"/>
    <s v="中崙分行　　　　　　"/>
    <s v="HB14522"/>
    <n v="98263488.089995205"/>
    <n v="418169536.9059726"/>
    <n v="3600000"/>
    <n v="8010259.9999992"/>
  </r>
  <r>
    <x v="15"/>
    <s v="中崙分行　　　　　　"/>
    <s v="HB15122"/>
    <n v="35516336.495994002"/>
    <n v="213256059.05594701"/>
    <n v="0"/>
    <n v="14444081.6199966"/>
  </r>
  <r>
    <x v="16"/>
    <s v="南門分行　　　　　　"/>
    <s v="HB14701"/>
    <n v="31919814.233999997"/>
    <n v="93752502.809976012"/>
    <n v="1800000"/>
    <n v="30101814"/>
  </r>
  <r>
    <x v="16"/>
    <s v="南門分行　　　　　　"/>
    <s v="HB14717"/>
    <n v="90948038.677995592"/>
    <n v="420202047.96797764"/>
    <n v="0"/>
    <n v="56821110.999998406"/>
  </r>
  <r>
    <x v="16"/>
    <s v="南門分行　　　　　　"/>
    <s v="HB16280"/>
    <n v="71327610.737996399"/>
    <n v="253922456.43595621"/>
    <n v="3318480"/>
    <n v="54926422.200000003"/>
  </r>
  <r>
    <x v="16"/>
    <s v="南門分行　　　　　　"/>
    <s v="HB16773"/>
    <n v="74152789.920000002"/>
    <n v="140116652.55796501"/>
    <n v="0"/>
    <n v="88754834.799998999"/>
  </r>
  <r>
    <x v="16"/>
    <s v="南門分行　　　　　　"/>
    <s v="HB18993"/>
    <n v="11088933.1999992"/>
    <n v="78243651.803982615"/>
    <n v="0"/>
    <n v="3920220"/>
  </r>
  <r>
    <x v="17"/>
    <s v="公館分行　　　　　　"/>
    <s v="HB13683"/>
    <n v="53346533.947997406"/>
    <n v="178671221.96597821"/>
    <n v="3600000"/>
    <n v="92486086.999997407"/>
  </r>
  <r>
    <x v="17"/>
    <s v="公館分行　　　　　　"/>
    <s v="HB15860"/>
    <n v="138658122.97199818"/>
    <n v="216241366.82598358"/>
    <n v="900000"/>
    <n v="71830510.611996591"/>
  </r>
  <r>
    <x v="17"/>
    <s v="公館分行　　　　　　"/>
    <s v="HB17071"/>
    <n v="98733078.595996201"/>
    <n v="147079945.77396119"/>
    <n v="0"/>
    <n v="8827589.0639934"/>
  </r>
  <r>
    <x v="17"/>
    <s v="公館分行　　　　　　"/>
    <s v="HB17966"/>
    <n v="37876925.777999401"/>
    <n v="86560651.587981597"/>
    <n v="0"/>
    <n v="9216828.5999993999"/>
  </r>
  <r>
    <x v="17"/>
    <s v="公館分行　　　　　　"/>
    <s v="HB20235"/>
    <n v="51479549.2019988"/>
    <n v="122228975.80198081"/>
    <n v="0"/>
    <n v="9395299.9999998007"/>
  </r>
  <r>
    <x v="18"/>
    <s v="信義分行　　　　　　"/>
    <s v="HB16899"/>
    <n v="74552156.939998806"/>
    <n v="274967164.55795938"/>
    <n v="3600000"/>
    <n v="215668924.1279982"/>
  </r>
  <r>
    <x v="18"/>
    <s v="信義分行　　　　　　"/>
    <s v="HB19905"/>
    <n v="25892876.043999001"/>
    <n v="75853819.443965405"/>
    <n v="0"/>
    <n v="14102012.789999999"/>
  </r>
  <r>
    <x v="18"/>
    <s v="信義分行　　　　　　"/>
    <s v="HB7873"/>
    <n v="49044564.593999997"/>
    <n v="258784859.00395802"/>
    <n v="0"/>
    <n v="33893539.9999974"/>
  </r>
  <r>
    <x v="19"/>
    <s v="忠孝東路分行　　　　"/>
    <s v="HB11953"/>
    <n v="32960952.0519966"/>
    <n v="190707799.88996461"/>
    <n v="0"/>
    <n v="41630713.299998999"/>
  </r>
  <r>
    <x v="19"/>
    <s v="忠孝東路分行　　　　"/>
    <s v="HB12081"/>
    <n v="361628632.18799824"/>
    <n v="165091597.85798103"/>
    <n v="0"/>
    <n v="33562547.999998204"/>
  </r>
  <r>
    <x v="19"/>
    <s v="忠孝東路分行　　　　"/>
    <s v="HB12478"/>
    <n v="33791695.111998007"/>
    <n v="82547304.979994997"/>
    <n v="0"/>
    <n v="44834200.899998404"/>
  </r>
  <r>
    <x v="19"/>
    <s v="忠孝東路分行　　　　"/>
    <s v="HB15188"/>
    <n v="244088735.84399518"/>
    <n v="286224513.52196878"/>
    <n v="0"/>
    <n v="48976655.865998402"/>
  </r>
  <r>
    <x v="19"/>
    <s v="忠孝東路分行　　　　"/>
    <s v="HB15191"/>
    <n v="47181365.935995601"/>
    <n v="218305333.74597484"/>
    <n v="0"/>
    <n v="44182258.599999607"/>
  </r>
  <r>
    <x v="20"/>
    <s v="和平分行　　　　　　"/>
    <s v="HB13557"/>
    <n v="69623907.213994205"/>
    <n v="179479482.03996658"/>
    <n v="0"/>
    <n v="60300223.499995202"/>
  </r>
  <r>
    <x v="20"/>
    <s v="和平分行　　　　　　"/>
    <s v="HB15052"/>
    <n v="46581811.525997996"/>
    <n v="209547369.94597921"/>
    <n v="0"/>
    <n v="40366199.609999999"/>
  </r>
  <r>
    <x v="20"/>
    <s v="和平分行　　　　　　"/>
    <s v="HB19288"/>
    <n v="30605774.515997402"/>
    <n v="107655911.9739414"/>
    <n v="0"/>
    <n v="1008360"/>
  </r>
  <r>
    <x v="20"/>
    <s v="和平分行　　　　　　"/>
    <s v="HB8366"/>
    <n v="38794229.951999404"/>
    <n v="514691624.35398054"/>
    <n v="0"/>
    <n v="16782089.723999999"/>
  </r>
  <r>
    <x v="21"/>
    <s v="雙園分行　　　　　　"/>
    <s v="HB13339"/>
    <n v="109736025.00399721"/>
    <n v="359090627.75395739"/>
    <n v="9900000"/>
    <n v="58964445.099999003"/>
  </r>
  <r>
    <x v="21"/>
    <s v="雙園分行　　　　　　"/>
    <s v="HB13406"/>
    <n v="423375353.21399224"/>
    <n v="514710372.93589258"/>
    <n v="0"/>
    <n v="6169207.3999974001"/>
  </r>
  <r>
    <x v="21"/>
    <s v="雙園分行　　　　　　"/>
    <s v="HB8833"/>
    <n v="885567735.31599367"/>
    <n v="416427835.451958"/>
    <n v="0"/>
    <n v="25581240"/>
  </r>
  <r>
    <x v="22"/>
    <s v="士林分行　　　　　　"/>
    <s v="HB15470"/>
    <n v="109313209.2159954"/>
    <n v="366751193.84596086"/>
    <n v="3600000"/>
    <n v="23272016.599994399"/>
  </r>
  <r>
    <x v="22"/>
    <s v="士林分行　　　　　　"/>
    <s v="HB15827"/>
    <n v="192615297.57199621"/>
    <n v="808727740.96594322"/>
    <n v="10273680"/>
    <n v="177294220.0999974"/>
  </r>
  <r>
    <x v="22"/>
    <s v="士林分行　　　　　　"/>
    <s v="HB16455"/>
    <n v="64246058.941996798"/>
    <n v="258607824.12994862"/>
    <n v="0"/>
    <n v="200178079.95999601"/>
  </r>
  <r>
    <x v="22"/>
    <s v="士林分行　　　　　　"/>
    <s v="HB18238"/>
    <n v="21137558.7339972"/>
    <n v="107203098.1879908"/>
    <n v="0"/>
    <n v="12078900"/>
  </r>
  <r>
    <x v="23"/>
    <s v="東台北分行　　　　　"/>
    <s v="HB12606"/>
    <n v="74731433.577996597"/>
    <n v="473563323.71196842"/>
    <n v="0"/>
    <n v="58123796.417998202"/>
  </r>
  <r>
    <x v="23"/>
    <s v="東台北分行　　　　　"/>
    <s v="HB17072"/>
    <n v="84929048.4399966"/>
    <n v="196606228.39594918"/>
    <n v="279000"/>
    <n v="17084939.999995802"/>
  </r>
  <r>
    <x v="23"/>
    <s v="東台北分行　　　　　"/>
    <s v="HB18337"/>
    <n v="57248333.337996006"/>
    <n v="79799625.913976997"/>
    <n v="0"/>
    <n v="6352268.9999976"/>
  </r>
  <r>
    <x v="24"/>
    <s v="大安分行　　　　　　"/>
    <s v="HB13932"/>
    <n v="116324303.00999761"/>
    <n v="251507444.28795004"/>
    <n v="0"/>
    <n v="21381730.200000003"/>
  </r>
  <r>
    <x v="24"/>
    <s v="大安分行　　　　　　"/>
    <s v="HB15834"/>
    <n v="100312845.5399994"/>
    <n v="463633043.73396301"/>
    <n v="0"/>
    <n v="45795328.819995597"/>
  </r>
  <r>
    <x v="24"/>
    <s v="大安分行　　　　　　"/>
    <s v="HB16192"/>
    <n v="112048108.1539956"/>
    <n v="215119500.1779834"/>
    <n v="0"/>
    <n v="6064499.9999988005"/>
  </r>
  <r>
    <x v="24"/>
    <s v="大安分行　　　　　　"/>
    <s v="HB16426"/>
    <n v="48181619.473997399"/>
    <n v="154384151.13397262"/>
    <n v="0"/>
    <n v="3812638.3999991994"/>
  </r>
  <r>
    <x v="25"/>
    <s v="民生分行　　　　　　"/>
    <s v="HB15237"/>
    <n v="155085170.51399761"/>
    <n v="386833972.37796003"/>
    <n v="0"/>
    <n v="25285720.499998201"/>
  </r>
  <r>
    <x v="25"/>
    <s v="民生分行　　　　　　"/>
    <s v="HB15648"/>
    <n v="41049676.303997397"/>
    <n v="114975892.85196781"/>
    <n v="0"/>
    <n v="84923340.999996603"/>
  </r>
  <r>
    <x v="25"/>
    <s v="民生分行　　　　　　"/>
    <s v="HB7487"/>
    <n v="17863602.275998801"/>
    <n v="59835133.093989603"/>
    <n v="0"/>
    <n v="2999999.9999988"/>
  </r>
  <r>
    <x v="25"/>
    <s v="民生分行　　　　　　"/>
    <s v="HB9105"/>
    <n v="70147959.151998609"/>
    <n v="318136720.0339818"/>
    <n v="0"/>
    <n v="17939952"/>
  </r>
  <r>
    <x v="26"/>
    <s v="復興分行　　　　　　"/>
    <s v="HB13332"/>
    <n v="253396400.09799421"/>
    <n v="651717954.80391788"/>
    <n v="0"/>
    <n v="104364989.0999946"/>
  </r>
  <r>
    <x v="26"/>
    <s v="復興分行　　　　　　"/>
    <s v="HB8470"/>
    <n v="95704423.839997202"/>
    <n v="260738737.63798141"/>
    <n v="0"/>
    <n v="156630340.79999641"/>
  </r>
  <r>
    <x v="27"/>
    <s v="龍江分行　　　　　　"/>
    <s v="HB11974"/>
    <n v="61929180.653999403"/>
    <n v="502437188.07396364"/>
    <n v="4102560"/>
    <n v="56064715.999999203"/>
  </r>
  <r>
    <x v="27"/>
    <s v="龍江分行　　　　　　"/>
    <s v="HB14597"/>
    <n v="165212135.69399461"/>
    <n v="705830290.50791526"/>
    <n v="11700000"/>
    <n v="40385637.599997595"/>
  </r>
  <r>
    <x v="28"/>
    <s v="永吉分行　　　　　　"/>
    <s v="HB13464"/>
    <n v="138912931.471995"/>
    <n v="340411712.62996799"/>
    <n v="2194869.9999996"/>
    <n v="61517425.999994993"/>
  </r>
  <r>
    <x v="28"/>
    <s v="永吉分行　　　　　　"/>
    <s v="HB19598"/>
    <n v="66708476.479996197"/>
    <n v="99191850.165984601"/>
    <n v="0"/>
    <n v="9505638"/>
  </r>
  <r>
    <x v="28"/>
    <s v="永吉分行　　　　　　"/>
    <s v="HB7822"/>
    <n v="96141644.287995607"/>
    <n v="217759846.7119734"/>
    <n v="0"/>
    <n v="40444961.999997601"/>
  </r>
  <r>
    <x v="28"/>
    <s v="永吉分行　　　　　　"/>
    <s v="HB8688"/>
    <n v="28283288.017998599"/>
    <n v="159077487.06798661"/>
    <n v="0"/>
    <n v="6505596"/>
  </r>
  <r>
    <x v="29"/>
    <s v="敦化分行　　　　　　"/>
    <s v="HB15968"/>
    <n v="68605303.091995806"/>
    <n v="220999858.61194801"/>
    <n v="1800000"/>
    <n v="11419998.723999001"/>
  </r>
  <r>
    <x v="29"/>
    <s v="敦化分行　　　　　　"/>
    <s v="HB16134"/>
    <n v="21493778.433998398"/>
    <n v="147216902.64797521"/>
    <n v="1440000"/>
    <n v="15424196.5999998"/>
  </r>
  <r>
    <x v="29"/>
    <s v="敦化分行　　　　　　"/>
    <s v="HB9299"/>
    <n v="27081037.185996599"/>
    <n v="162399581.635968"/>
    <n v="0"/>
    <n v="31064253.399997197"/>
  </r>
  <r>
    <x v="30"/>
    <s v="大直分行　　　　　　"/>
    <s v="HB17372"/>
    <n v="233902252.31199664"/>
    <n v="509214188.7259326"/>
    <n v="0"/>
    <n v="20008729.999998"/>
  </r>
  <r>
    <x v="31"/>
    <s v="敦和分行　　　　　　"/>
    <s v="HB14027"/>
    <n v="13682598.365998801"/>
    <n v="60328765.521979198"/>
    <n v="0"/>
    <n v="929200.19999940007"/>
  </r>
  <r>
    <x v="31"/>
    <s v="敦和分行　　　　　　"/>
    <s v="HB15436"/>
    <n v="63005247.4919976"/>
    <n v="351511470.78195781"/>
    <n v="0"/>
    <n v="14416106.4639972"/>
  </r>
  <r>
    <x v="31"/>
    <s v="敦和分行　　　　　　"/>
    <s v="HB16367"/>
    <n v="45452748.456"/>
    <n v="289126896.93396723"/>
    <n v="0"/>
    <n v="30932765.5899924"/>
  </r>
  <r>
    <x v="32"/>
    <s v="東湖分行　　　　　　"/>
    <s v="HB14911"/>
    <n v="116334937.05399361"/>
    <n v="1030947732.3059641"/>
    <n v="0"/>
    <n v="47572889.0799978"/>
  </r>
  <r>
    <x v="32"/>
    <s v="東湖分行　　　　　　"/>
    <s v="HB18622"/>
    <n v="86498468.653995007"/>
    <n v="313724128.60192859"/>
    <n v="0"/>
    <n v="9492248.0160000008"/>
  </r>
  <r>
    <x v="32"/>
    <s v="東湖分行　　　　　　"/>
    <s v="HB7758"/>
    <n v="151423475.2579962"/>
    <n v="821164732.58395076"/>
    <n v="0"/>
    <n v="41307956.019997202"/>
  </r>
  <r>
    <x v="33"/>
    <s v="東興分行　　　　　　"/>
    <s v="HB15602"/>
    <n v="16757354.988000002"/>
    <n v="210826209.36995822"/>
    <n v="0"/>
    <n v="5099745.5999999996"/>
  </r>
  <r>
    <x v="33"/>
    <s v="東興分行　　　　　　"/>
    <s v="HB18610"/>
    <n v="26694598.4759988"/>
    <n v="96905186.053963199"/>
    <n v="0"/>
    <n v="45713167.1999982"/>
  </r>
  <r>
    <x v="33"/>
    <s v="東興分行　　　　　　"/>
    <s v="HB18903"/>
    <n v="24613524.899999999"/>
    <n v="74527677.369966596"/>
    <n v="0"/>
    <n v="3365296.5999977998"/>
  </r>
  <r>
    <x v="34"/>
    <s v="北南港分行　　　　　"/>
    <s v="HB11657"/>
    <n v="111789990.39399481"/>
    <n v="797897028.48585129"/>
    <n v="18717359.999995802"/>
    <n v="308778405.62999582"/>
  </r>
  <r>
    <x v="35"/>
    <s v="南內湖分行　　　　　"/>
    <s v="HB16717"/>
    <n v="55561573.961994603"/>
    <n v="323911661.3139438"/>
    <n v="3398080.1999994004"/>
    <n v="42049578.399996601"/>
  </r>
  <r>
    <x v="35"/>
    <s v="南內湖分行　　　　　"/>
    <s v="HB18826"/>
    <n v="55395338.436000004"/>
    <n v="279912997.67792398"/>
    <n v="180000"/>
    <n v="51525383.099997595"/>
  </r>
  <r>
    <x v="36"/>
    <s v="長安分行　　　　　　"/>
    <s v="HB13572"/>
    <n v="75798052.457999408"/>
    <n v="288888946.68598384"/>
    <n v="0"/>
    <n v="49620106.799999997"/>
  </r>
  <r>
    <x v="36"/>
    <s v="長安分行　　　　　　"/>
    <s v="HB16929"/>
    <n v="177435396.13799518"/>
    <n v="223155252.19793159"/>
    <n v="1800000"/>
    <n v="16790109.999996599"/>
  </r>
  <r>
    <x v="37"/>
    <s v="懷生分行　　　　　　"/>
    <s v="HB13330"/>
    <n v="84348720.395994604"/>
    <n v="231763941.79595822"/>
    <n v="0"/>
    <n v="17521081.999999203"/>
  </r>
  <r>
    <x v="37"/>
    <s v="懷生分行　　　　　　"/>
    <s v="HB13583"/>
    <n v="154416961.57399738"/>
    <n v="330747528.54196984"/>
    <n v="900000"/>
    <n v="25418569.9999968"/>
  </r>
  <r>
    <x v="37"/>
    <s v="懷生分行　　　　　　"/>
    <s v="HB19424"/>
    <n v="31490503.5019968"/>
    <n v="127234224.62197919"/>
    <n v="0"/>
    <n v="28631023.999999203"/>
  </r>
  <r>
    <x v="37"/>
    <s v="懷生分行　　　　　　"/>
    <s v="HB7924"/>
    <n v="73650917.985996604"/>
    <n v="254567388.21794459"/>
    <n v="0"/>
    <n v="21242369.999997001"/>
  </r>
  <r>
    <x v="38"/>
    <s v="中華路分行　　　　　"/>
    <s v="HB12577"/>
    <n v="52131763.881999001"/>
    <n v="202684874.56198919"/>
    <n v="0"/>
    <n v="35824737.095996395"/>
  </r>
  <r>
    <x v="38"/>
    <s v="中華路分行　　　　　"/>
    <s v="HB15481"/>
    <n v="96983401.021991998"/>
    <n v="369387527.5599606"/>
    <n v="0"/>
    <n v="27140820.639998399"/>
  </r>
  <r>
    <x v="38"/>
    <s v="中華路分行　　　　　"/>
    <s v="HB16376"/>
    <n v="75930046.289999992"/>
    <n v="204114130.35797161"/>
    <n v="0"/>
    <n v="14564538"/>
  </r>
  <r>
    <x v="39"/>
    <s v="信維分行　　　　　　"/>
    <s v="HB10758"/>
    <n v="62049313.889998198"/>
    <n v="264908181.72797641"/>
    <n v="5400000"/>
    <n v="16395215.9999994"/>
  </r>
  <r>
    <x v="39"/>
    <s v="信維分行　　　　　　"/>
    <s v="HB15069"/>
    <n v="32597081.1779976"/>
    <n v="69213277.097989202"/>
    <n v="0"/>
    <n v="1999999.9999998"/>
  </r>
  <r>
    <x v="39"/>
    <s v="信維分行　　　　　　"/>
    <s v="HB15869"/>
    <n v="100516557.1139982"/>
    <n v="230895782.9819352"/>
    <n v="0"/>
    <n v="10739065.599998999"/>
  </r>
  <r>
    <x v="39"/>
    <s v="信維分行　　　　　　"/>
    <s v="HB9721"/>
    <n v="24452477.7239988"/>
    <n v="55900192.217981398"/>
    <n v="900000"/>
    <n v="2142757.7999999998"/>
  </r>
  <r>
    <x v="40"/>
    <s v="埔墘分行　　　　　　"/>
    <s v="HB12398"/>
    <n v="122067980.61799321"/>
    <n v="377104822.24596483"/>
    <n v="0"/>
    <n v="31396669.9999974"/>
  </r>
  <r>
    <x v="40"/>
    <s v="埔墘分行　　　　　　"/>
    <s v="HB13297"/>
    <n v="160643068.9779942"/>
    <n v="200125514.24998021"/>
    <n v="0"/>
    <n v="33977819.9999988"/>
  </r>
  <r>
    <x v="40"/>
    <s v="埔墘分行　　　　　　"/>
    <s v="HB15872"/>
    <n v="66590276.545998007"/>
    <n v="163923033.85995239"/>
    <n v="0"/>
    <n v="7873441.1399988001"/>
  </r>
  <r>
    <x v="40"/>
    <s v="埔墘分行　　　　　　"/>
    <s v="HB17897"/>
    <n v="80486259.045994818"/>
    <n v="178946877.92597282"/>
    <n v="0"/>
    <n v="1617498"/>
  </r>
  <r>
    <x v="40"/>
    <s v="埔墘分行　　　　　　"/>
    <s v="HB17932"/>
    <n v="145031294.62399322"/>
    <n v="448040617.80391443"/>
    <n v="0"/>
    <n v="56683916.799998403"/>
  </r>
  <r>
    <x v="41"/>
    <s v="石牌分行　　　　　　"/>
    <s v="HB11231"/>
    <n v="48493289.313997202"/>
    <n v="129462682.571982"/>
    <n v="0"/>
    <n v="5940000"/>
  </r>
  <r>
    <x v="41"/>
    <s v="石牌分行　　　　　　"/>
    <s v="HB12924"/>
    <n v="226560633.48999"/>
    <n v="437786552.68996143"/>
    <n v="0"/>
    <n v="20249917.679997001"/>
  </r>
  <r>
    <x v="41"/>
    <s v="石牌分行　　　　　　"/>
    <s v="HB15240"/>
    <n v="29707122.987997204"/>
    <n v="90624766.945978805"/>
    <n v="1854000"/>
    <n v="2986659.4659984"/>
  </r>
  <r>
    <x v="41"/>
    <s v="石牌分行　　　　　　"/>
    <s v="HB17078"/>
    <n v="99428757.297994792"/>
    <n v="435589607.5019784"/>
    <n v="0"/>
    <n v="40465047.999997795"/>
  </r>
  <r>
    <x v="41"/>
    <s v="石牌分行　　　　　　"/>
    <s v="HB9695"/>
    <n v="58927859.797998607"/>
    <n v="254260405.24797601"/>
    <n v="0"/>
    <n v="65093866.799999401"/>
  </r>
  <r>
    <x v="42"/>
    <s v="瑞祥分行　　　　　　"/>
    <s v="HB10040"/>
    <n v="28611277.0279992"/>
    <n v="167040032.73198661"/>
    <n v="0"/>
    <n v="15967559.2999986"/>
  </r>
  <r>
    <x v="42"/>
    <s v="瑞祥分行　　　　　　"/>
    <s v="HB13074"/>
    <n v="240579231.65599138"/>
    <n v="519365447.54196304"/>
    <n v="0"/>
    <n v="88512658.879998609"/>
  </r>
  <r>
    <x v="42"/>
    <s v="瑞祥分行　　　　　　"/>
    <s v="HB15040"/>
    <n v="60564656.769998401"/>
    <n v="107131726.319967"/>
    <n v="0"/>
    <n v="6447252.5999999996"/>
  </r>
  <r>
    <x v="42"/>
    <s v="瑞祥分行　　　　　　"/>
    <s v="HB17181"/>
    <n v="98307185.663998798"/>
    <n v="567951330.94996142"/>
    <n v="0"/>
    <n v="29767230"/>
  </r>
  <r>
    <x v="43"/>
    <s v="台大分行　　　　　　"/>
    <s v="HB8213"/>
    <n v="189244413.63199261"/>
    <n v="887505178.72993922"/>
    <n v="4353030"/>
    <n v="99438003.3059946"/>
  </r>
  <r>
    <x v="44"/>
    <s v="世貿分行　　　　　　"/>
    <s v="HB16200"/>
    <n v="51631356.359996997"/>
    <n v="118279624.7079846"/>
    <n v="788130"/>
    <n v="17127547.439999402"/>
  </r>
  <r>
    <x v="44"/>
    <s v="世貿分行　　　　　　"/>
    <s v="HB17249"/>
    <n v="60019297.241992205"/>
    <n v="164480882.45197141"/>
    <n v="0"/>
    <n v="106001961.6399948"/>
  </r>
  <r>
    <x v="44"/>
    <s v="世貿分行　　　　　　"/>
    <s v="HB18063"/>
    <n v="146154308.113998"/>
    <n v="241666503.18598264"/>
    <n v="0"/>
    <n v="180093785.99999583"/>
  </r>
  <r>
    <x v="45"/>
    <s v="萬華分行　　　　　　"/>
    <s v="HB14742"/>
    <n v="92792620.4479938"/>
    <n v="266394032.92195737"/>
    <n v="2370949.2000000002"/>
    <n v="31378781.561995801"/>
  </r>
  <r>
    <x v="45"/>
    <s v="萬華分行　　　　　　"/>
    <s v="HB18575"/>
    <n v="47961865.8599976"/>
    <n v="148979507.26595759"/>
    <n v="0"/>
    <n v="11650882.5"/>
  </r>
  <r>
    <x v="45"/>
    <s v="萬華分行　　　　　　"/>
    <s v="HB9232"/>
    <n v="80353407.205999807"/>
    <n v="249638574.42397439"/>
    <n v="2801880"/>
    <n v="96427569.99999781"/>
  </r>
  <r>
    <x v="46"/>
    <s v="南港分行　　　　　　"/>
    <s v="HB10707"/>
    <n v="134966453.544"/>
    <n v="726275585.05795431"/>
    <n v="21159009.999995403"/>
    <n v="125731438.19999641"/>
  </r>
  <r>
    <x v="46"/>
    <s v="南港分行　　　　　　"/>
    <s v="HB14647"/>
    <n v="50161902.935999401"/>
    <n v="193662071.77794123"/>
    <n v="0"/>
    <n v="18328952.9999988"/>
  </r>
  <r>
    <x v="46"/>
    <s v="南港分行　　　　　　"/>
    <s v="HB17028"/>
    <n v="65431902.217996806"/>
    <n v="554408399.50191355"/>
    <n v="16298640"/>
    <n v="23839203.204"/>
  </r>
  <r>
    <x v="47"/>
    <s v="華江分行　　　　　　"/>
    <s v="HB11060"/>
    <n v="14774457.3079968"/>
    <n v="100151204.4539496"/>
    <n v="984600"/>
    <n v="5159747.9999988005"/>
  </r>
  <r>
    <x v="47"/>
    <s v="華江分行　　　　　　"/>
    <s v="HB12091"/>
    <n v="49568867.165995203"/>
    <n v="182510280.3559716"/>
    <n v="2200320"/>
    <n v="15970169.999998799"/>
  </r>
  <r>
    <x v="47"/>
    <s v="華江分行　　　　　　"/>
    <s v="HB14880"/>
    <n v="36365224.247999996"/>
    <n v="156582700.8919614"/>
    <n v="0"/>
    <n v="14396759.999996401"/>
  </r>
  <r>
    <x v="47"/>
    <s v="華江分行　　　　　　"/>
    <s v="HB16104"/>
    <n v="494716667.42999697"/>
    <n v="448114424.37193084"/>
    <n v="0"/>
    <n v="19214477.111998796"/>
  </r>
  <r>
    <x v="47"/>
    <s v="華江分行　　　　　　"/>
    <s v="HB16364"/>
    <n v="162976962.95399159"/>
    <n v="498977620.91191977"/>
    <n v="0"/>
    <n v="41045659.303996801"/>
  </r>
  <r>
    <x v="47"/>
    <s v="華江分行　　　　　　"/>
    <s v="HB19748"/>
    <n v="56623407.895998001"/>
    <n v="172970127.21595141"/>
    <n v="900000"/>
    <n v="2927069.9999981998"/>
  </r>
  <r>
    <x v="48"/>
    <s v="板橋分行　　　　　　"/>
    <s v="HB13335"/>
    <n v="214440488.15799239"/>
    <n v="743915386.90187287"/>
    <n v="11700000"/>
    <n v="49567634.999996401"/>
  </r>
  <r>
    <x v="48"/>
    <s v="板橋分行　　　　　　"/>
    <s v="HB13362"/>
    <n v="201600547.81799757"/>
    <n v="366062681.54793417"/>
    <n v="0"/>
    <n v="23217498"/>
  </r>
  <r>
    <x v="48"/>
    <s v="板橋分行　　　　　　"/>
    <s v="HB17120"/>
    <n v="33435759.027996004"/>
    <n v="257423964.07592702"/>
    <n v="1800000"/>
    <n v="2379161.9999988"/>
  </r>
  <r>
    <x v="49"/>
    <s v="三重分行　　　　　　"/>
    <s v="HB15982"/>
    <n v="77464219.607996404"/>
    <n v="653829843.28793931"/>
    <n v="2935350"/>
    <n v="64127346.199992001"/>
  </r>
  <r>
    <x v="49"/>
    <s v="三重分行　　　　　　"/>
    <s v="HB8670"/>
    <n v="198501019.9579944"/>
    <n v="472388810.81193542"/>
    <n v="0"/>
    <n v="45495094.199997604"/>
  </r>
  <r>
    <x v="50"/>
    <s v="北三重分行　　　　　"/>
    <s v="HB11198"/>
    <n v="63951920.442000002"/>
    <n v="194881163.27598721"/>
    <n v="4118184"/>
    <n v="85285038.499999195"/>
  </r>
  <r>
    <x v="50"/>
    <s v="北三重分行　　　　　"/>
    <s v="HB15808"/>
    <n v="112180675.59999901"/>
    <n v="560394769.90795195"/>
    <n v="1800000"/>
    <n v="93256103.199994206"/>
  </r>
  <r>
    <x v="50"/>
    <s v="北三重分行　　　　　"/>
    <s v="HB16128"/>
    <n v="233665071.38799661"/>
    <n v="740933670.09794044"/>
    <n v="2977378.9999992"/>
    <n v="95843595.22399801"/>
  </r>
  <r>
    <x v="50"/>
    <s v="北三重分行　　　　　"/>
    <s v="HB16174"/>
    <n v="67043001.771999002"/>
    <n v="140833024.065972"/>
    <n v="0"/>
    <n v="11921969.999997001"/>
  </r>
  <r>
    <x v="50"/>
    <s v="北三重分行　　　　　"/>
    <s v="HB16950"/>
    <n v="20510624.875994999"/>
    <n v="140239629.38597038"/>
    <n v="2003040"/>
    <n v="14882141.999997001"/>
  </r>
  <r>
    <x v="50"/>
    <s v="北三重分行　　　　　"/>
    <s v="HB17074"/>
    <n v="108739979.76999781"/>
    <n v="424504223.13597482"/>
    <n v="4399999.9999992"/>
    <n v="53880305.727997795"/>
  </r>
  <r>
    <x v="51"/>
    <s v="新莊分行　　　　　　"/>
    <s v="HB10632"/>
    <n v="10863164.016000001"/>
    <n v="56452235.883982196"/>
    <n v="0"/>
    <n v="19506430.399998598"/>
  </r>
  <r>
    <x v="51"/>
    <s v="新莊分行　　　　　　"/>
    <s v="HB12393"/>
    <n v="95200793.699999407"/>
    <n v="304831170.46795678"/>
    <n v="0"/>
    <n v="43345856.691999003"/>
  </r>
  <r>
    <x v="51"/>
    <s v="新莊分行　　　　　　"/>
    <s v="HB18866"/>
    <n v="13037881.302000001"/>
    <n v="44649491.077992603"/>
    <n v="2340000"/>
    <n v="6599999.9999988005"/>
  </r>
  <r>
    <x v="51"/>
    <s v="新莊分行　　　　　　"/>
    <s v="HB9731"/>
    <n v="60516380.959997401"/>
    <n v="364002842.11595762"/>
    <n v="2026800"/>
    <n v="215040337.5979872"/>
  </r>
  <r>
    <x v="52"/>
    <s v="永和分行　　　　　　"/>
    <s v="HB14617"/>
    <n v="110100383.61399719"/>
    <n v="331641156.59396458"/>
    <n v="0"/>
    <n v="23375568.999997802"/>
  </r>
  <r>
    <x v="52"/>
    <s v="永和分行　　　　　　"/>
    <s v="HB14763"/>
    <n v="90989458.039996207"/>
    <n v="486320541.7079376"/>
    <n v="0"/>
    <n v="29687258.949994799"/>
  </r>
  <r>
    <x v="52"/>
    <s v="永和分行　　　　　　"/>
    <s v="HB15622"/>
    <n v="133381049.44998959"/>
    <n v="386070707.55391741"/>
    <n v="0"/>
    <n v="46555783.599999607"/>
  </r>
  <r>
    <x v="53"/>
    <s v="中和分行　　　　　　"/>
    <s v="HB13559"/>
    <n v="85392864.72799921"/>
    <n v="185713426.65594423"/>
    <n v="0"/>
    <n v="19843440.749998201"/>
  </r>
  <r>
    <x v="53"/>
    <s v="中和分行　　　　　　"/>
    <s v="HB13588"/>
    <n v="382741436.81599736"/>
    <n v="608427881.85595322"/>
    <n v="0"/>
    <n v="650248476.60799623"/>
  </r>
  <r>
    <x v="53"/>
    <s v="中和分行　　　　　　"/>
    <s v="HB18583"/>
    <n v="53990159.373997197"/>
    <n v="243562267.50197577"/>
    <n v="0"/>
    <n v="37756715.5999998"/>
  </r>
  <r>
    <x v="53"/>
    <s v="中和分行　　　　　　"/>
    <s v="HB19332"/>
    <n v="42494114.691999003"/>
    <n v="158401305.93395519"/>
    <n v="0"/>
    <n v="7806694.8600000003"/>
  </r>
  <r>
    <x v="54"/>
    <s v="新店分行　　　　　　"/>
    <s v="HB12229"/>
    <n v="185404877.45999822"/>
    <n v="331580939.29394042"/>
    <n v="0"/>
    <n v="18620159.9999994"/>
  </r>
  <r>
    <x v="54"/>
    <s v="新店分行　　　　　　"/>
    <s v="HB15187"/>
    <n v="157402279.83399838"/>
    <n v="383247665.42197502"/>
    <n v="0"/>
    <n v="80359036.200000003"/>
  </r>
  <r>
    <x v="54"/>
    <s v="新店分行　　　　　　"/>
    <s v="HB17748"/>
    <n v="84695982.64199999"/>
    <n v="192831592.77796322"/>
    <n v="0"/>
    <n v="11505498.9999984"/>
  </r>
  <r>
    <x v="54"/>
    <s v="新店分行　　　　　　"/>
    <s v="HB7907"/>
    <n v="152436217.92399901"/>
    <n v="312250841.3819592"/>
    <n v="3860640"/>
    <n v="31270001.399999999"/>
  </r>
  <r>
    <x v="55"/>
    <s v="淡水分行　　　　　　"/>
    <s v="HB11500"/>
    <n v="161050929.3319968"/>
    <n v="273109518.04797179"/>
    <n v="0"/>
    <n v="31201982.399998803"/>
  </r>
  <r>
    <x v="55"/>
    <s v="淡水分行　　　　　　"/>
    <s v="HB14032"/>
    <n v="109132573.3439922"/>
    <n v="346119789.30395401"/>
    <n v="0"/>
    <n v="47666979.499995008"/>
  </r>
  <r>
    <x v="55"/>
    <s v="淡水分行　　　　　　"/>
    <s v="HB15858"/>
    <n v="70755157.359997198"/>
    <n v="177241566.41198641"/>
    <n v="0"/>
    <n v="5404649.9999994002"/>
  </r>
  <r>
    <x v="55"/>
    <s v="淡水分行　　　　　　"/>
    <s v="HB20049"/>
    <n v="105943031.70399541"/>
    <n v="274257167.35394704"/>
    <n v="0"/>
    <n v="9907309.8000000007"/>
  </r>
  <r>
    <x v="55"/>
    <s v="淡水分行　　　　　　"/>
    <s v="HB20263"/>
    <n v="82433169.241997391"/>
    <n v="156506404.14797038"/>
    <n v="0"/>
    <n v="16110000"/>
  </r>
  <r>
    <x v="56"/>
    <s v="汐止分行　　　　　　"/>
    <s v="HB16934"/>
    <n v="139699430.20199519"/>
    <n v="208628777.51196119"/>
    <n v="8399999.9999988005"/>
    <n v="7207499.9999988005"/>
  </r>
  <r>
    <x v="56"/>
    <s v="汐止分行　　　　　　"/>
    <s v="HB18287"/>
    <n v="162921746.30199119"/>
    <n v="323432399.11593777"/>
    <n v="1980000"/>
    <n v="18578919.999999601"/>
  </r>
  <r>
    <x v="56"/>
    <s v="汐止分行　　　　　　"/>
    <s v="HB18607"/>
    <n v="72758004.573992401"/>
    <n v="164037088.26394558"/>
    <n v="2981160"/>
    <n v="12089999.9999988"/>
  </r>
  <r>
    <x v="56"/>
    <s v="汐止分行　　　　　　"/>
    <s v="HB3667"/>
    <n v="398847082.93999559"/>
    <n v="1006822908.6579702"/>
    <n v="4799999.9999988005"/>
    <n v="15111687.9999978"/>
  </r>
  <r>
    <x v="56"/>
    <s v="汐止分行　　　　　　"/>
    <s v="HB7345"/>
    <n v="205538684.33399582"/>
    <n v="339247476.83395803"/>
    <n v="3780000"/>
    <n v="14461594.1999982"/>
  </r>
  <r>
    <x v="57"/>
    <s v="南永和分行　　　　　"/>
    <s v="HB10910"/>
    <n v="90868855.433997601"/>
    <n v="265895363.3399424"/>
    <n v="0"/>
    <n v="41952110.495997608"/>
  </r>
  <r>
    <x v="57"/>
    <s v="南永和分行　　　　　"/>
    <s v="HB11484"/>
    <n v="190979935.70199841"/>
    <n v="292882648.79995382"/>
    <n v="3960000"/>
    <n v="34535485.537997395"/>
  </r>
  <r>
    <x v="57"/>
    <s v="南永和分行　　　　　"/>
    <s v="HB19270"/>
    <n v="44465119.063997403"/>
    <n v="126986352.531975"/>
    <n v="1020240"/>
    <n v="4104576"/>
  </r>
  <r>
    <x v="57"/>
    <s v="南永和分行　　　　　"/>
    <s v="HB19324"/>
    <n v="36106679.857996807"/>
    <n v="225342182.40595201"/>
    <n v="0"/>
    <n v="24214264.4999988"/>
  </r>
  <r>
    <x v="57"/>
    <s v="南永和分行　　　　　"/>
    <s v="HB8017"/>
    <n v="150584814.679995"/>
    <n v="239230445.73197222"/>
    <n v="9741600"/>
    <n v="58785976.179997206"/>
  </r>
  <r>
    <x v="58"/>
    <s v="西三重分行　　　　　"/>
    <s v="HB10071"/>
    <n v="135414200.1799944"/>
    <n v="418385217.20794916"/>
    <n v="1628100"/>
    <n v="131493339.15999478"/>
  </r>
  <r>
    <x v="58"/>
    <s v="西三重分行　　　　　"/>
    <s v="HB12215"/>
    <n v="136913156.085996"/>
    <n v="589183591.10990584"/>
    <n v="0"/>
    <n v="28015226.399997003"/>
  </r>
  <r>
    <x v="58"/>
    <s v="西三重分行　　　　　"/>
    <s v="HB7775"/>
    <n v="181478612.19199681"/>
    <n v="460654686.63395643"/>
    <n v="0"/>
    <n v="48583137.299997598"/>
  </r>
  <r>
    <x v="59"/>
    <s v="南三重分行　　　　　"/>
    <s v="HB11922"/>
    <n v="757482372.60799682"/>
    <n v="613349476.62987602"/>
    <n v="2520000"/>
    <n v="49242987"/>
  </r>
  <r>
    <x v="59"/>
    <s v="南三重分行　　　　　"/>
    <s v="HB16031"/>
    <n v="155361607.15999499"/>
    <n v="159224728.0359672"/>
    <n v="0"/>
    <n v="15695400.821999401"/>
  </r>
  <r>
    <x v="59"/>
    <s v="南三重分行　　　　　"/>
    <s v="HB19101"/>
    <n v="74290203.373998612"/>
    <n v="267404143.74394321"/>
    <n v="0"/>
    <n v="35956211.399999999"/>
  </r>
  <r>
    <x v="59"/>
    <s v="南三重分行　　　　　"/>
    <s v="HB7213"/>
    <n v="59214084.253999203"/>
    <n v="186366036.56596741"/>
    <n v="0"/>
    <n v="18585328.239997201"/>
  </r>
  <r>
    <x v="60"/>
    <s v="雙和分行　　　　　　"/>
    <s v="HB15184"/>
    <n v="97087506.111997202"/>
    <n v="162394269.04996741"/>
    <n v="0"/>
    <n v="20599923.999995999"/>
  </r>
  <r>
    <x v="60"/>
    <s v="雙和分行　　　　　　"/>
    <s v="HB15697"/>
    <n v="105985738.854"/>
    <n v="189859677.55194059"/>
    <n v="1045440"/>
    <n v="28318850.199999005"/>
  </r>
  <r>
    <x v="60"/>
    <s v="雙和分行　　　　　　"/>
    <s v="HB20125"/>
    <n v="124367033.1879954"/>
    <n v="223048042.48798019"/>
    <n v="0"/>
    <n v="30370311.999995403"/>
  </r>
  <r>
    <x v="61"/>
    <s v="新泰分行　　　　　　"/>
    <s v="HB14839"/>
    <n v="52917190.975997999"/>
    <n v="86737377.939971402"/>
    <n v="0"/>
    <n v="8869919.9999976009"/>
  </r>
  <r>
    <x v="61"/>
    <s v="新泰分行　　　　　　"/>
    <s v="HB16349"/>
    <n v="75154740.019997403"/>
    <n v="286857080.92395359"/>
    <n v="0"/>
    <n v="54476695.401996598"/>
  </r>
  <r>
    <x v="61"/>
    <s v="新泰分行　　　　　　"/>
    <s v="HB7919"/>
    <n v="89965649.359997988"/>
    <n v="314669937.72197157"/>
    <n v="1800000"/>
    <n v="48278510.879997596"/>
  </r>
  <r>
    <x v="61"/>
    <s v="新泰分行　　　　　　"/>
    <s v="HB9280"/>
    <n v="45345907.293996602"/>
    <n v="78813958.335976809"/>
    <n v="0"/>
    <n v="16005357.999997202"/>
  </r>
  <r>
    <x v="62"/>
    <s v="二重分行　　　　　　"/>
    <s v="HB0481"/>
    <n v="179036569.9759914"/>
    <n v="476779265.17194605"/>
    <n v="900000"/>
    <n v="47146914"/>
  </r>
  <r>
    <x v="62"/>
    <s v="二重分行　　　　　　"/>
    <s v="HB16107"/>
    <n v="133089119.5359996"/>
    <n v="462186254.45196718"/>
    <n v="0"/>
    <n v="80178341.400000006"/>
  </r>
  <r>
    <x v="62"/>
    <s v="二重分行　　　　　　"/>
    <s v="HB8038"/>
    <n v="546443564.94399786"/>
    <n v="961742385.78396654"/>
    <n v="16200000"/>
    <n v="129686304.51999719"/>
  </r>
  <r>
    <x v="62"/>
    <s v="二重分行　　　　　　"/>
    <s v="HB8214"/>
    <n v="116845065.6559974"/>
    <n v="228492396.2979396"/>
    <n v="7200000"/>
    <n v="28466943.999998398"/>
  </r>
  <r>
    <x v="63"/>
    <s v="板新分行　　　　　　"/>
    <s v="HB12043"/>
    <n v="146238129.93399841"/>
    <n v="290447631.6999318"/>
    <n v="0"/>
    <n v="112506534.9999972"/>
  </r>
  <r>
    <x v="63"/>
    <s v="板新分行　　　　　　"/>
    <s v="HB15819"/>
    <n v="97178472.467996404"/>
    <n v="361884661.61395139"/>
    <n v="0"/>
    <n v="101519845.5399912"/>
  </r>
  <r>
    <x v="63"/>
    <s v="板新分行　　　　　　"/>
    <s v="HB16902"/>
    <n v="130619141.725995"/>
    <n v="429320877.29795158"/>
    <n v="831330"/>
    <n v="33682524.799995005"/>
  </r>
  <r>
    <x v="63"/>
    <s v="板新分行　　　　　　"/>
    <s v="HB19894"/>
    <n v="21498456.618000001"/>
    <n v="104796798.30998641"/>
    <n v="3600000"/>
    <n v="4731991.9999973997"/>
  </r>
  <r>
    <x v="64"/>
    <s v="五股分行　　　　　　"/>
    <s v="HB15682"/>
    <n v="63811986.565998599"/>
    <n v="229208066.6059314"/>
    <n v="0"/>
    <n v="5932024.7999975998"/>
  </r>
  <r>
    <x v="64"/>
    <s v="五股分行　　　　　　"/>
    <s v="HB16825"/>
    <n v="8138296.8659988008"/>
    <n v="45723108.615969598"/>
    <n v="0"/>
    <n v="3099999.9999978002"/>
  </r>
  <r>
    <x v="64"/>
    <s v="五股分行　　　　　　"/>
    <s v="HB17086"/>
    <n v="124388478.95999761"/>
    <n v="440766187.50794399"/>
    <n v="0"/>
    <n v="65210117.759994604"/>
  </r>
  <r>
    <x v="64"/>
    <s v="五股分行　　　　　　"/>
    <s v="HB8037"/>
    <n v="24606498.365999997"/>
    <n v="110413417.0019688"/>
    <n v="0"/>
    <n v="2048625"/>
  </r>
  <r>
    <x v="65"/>
    <s v="潭美分行　　　　　　"/>
    <s v="HB15561"/>
    <n v="15203194.632000001"/>
    <n v="191912426.84796301"/>
    <n v="0"/>
    <n v="9099599.9999976009"/>
  </r>
  <r>
    <x v="65"/>
    <s v="潭美分行　　　　　　"/>
    <s v="HB17225"/>
    <n v="0"/>
    <n v="2996148.7199969999"/>
    <n v="0"/>
    <n v="0"/>
  </r>
  <r>
    <x v="66"/>
    <s v="北投分行　　　　　　"/>
    <s v="HB10163"/>
    <n v="182514038.58799741"/>
    <n v="469889289.82397342"/>
    <n v="25040959.999999203"/>
    <n v="62316525.499997407"/>
  </r>
  <r>
    <x v="66"/>
    <s v="北投分行　　　　　　"/>
    <s v="HB14909"/>
    <n v="169652401.87399381"/>
    <n v="707713203.67795086"/>
    <n v="0"/>
    <n v="68196457.5999984"/>
  </r>
  <r>
    <x v="66"/>
    <s v="北投分行　　　　　　"/>
    <s v="HB19652"/>
    <n v="76344957.949994996"/>
    <n v="308887219.78995782"/>
    <n v="0"/>
    <n v="38914159.999996796"/>
  </r>
  <r>
    <x v="67"/>
    <s v="西湖分行　　　　　　"/>
    <s v="HB13282"/>
    <n v="93501531.499996811"/>
    <n v="273872052.49794126"/>
    <n v="1800000"/>
    <n v="18403464.109998602"/>
  </r>
  <r>
    <x v="67"/>
    <s v="西湖分行　　　　　　"/>
    <s v="HB15586"/>
    <n v="106174294.897995"/>
    <n v="558254368.59995162"/>
    <n v="11851290"/>
    <n v="61770032.645997599"/>
  </r>
  <r>
    <x v="67"/>
    <s v="西湖分行　　　　　　"/>
    <s v="HB16774"/>
    <n v="130889500.1639946"/>
    <n v="409974592.39794898"/>
    <n v="2700000"/>
    <n v="25492736.9999988"/>
  </r>
  <r>
    <x v="67"/>
    <s v="西湖分行　　　　　　"/>
    <s v="HB19122"/>
    <n v="31017451.009998601"/>
    <n v="127748176.86596581"/>
    <n v="0"/>
    <n v="20428350.335999999"/>
  </r>
  <r>
    <x v="68"/>
    <s v="積穗分行　　　　　　"/>
    <s v="HB14019"/>
    <n v="88178749.629992992"/>
    <n v="306091238.7499578"/>
    <n v="1800000"/>
    <n v="62884429.999999203"/>
  </r>
  <r>
    <x v="68"/>
    <s v="積穗分行　　　　　　"/>
    <s v="HB14967"/>
    <n v="314020378.42199463"/>
    <n v="293175636.99596459"/>
    <n v="2705580"/>
    <n v="32893889.999999404"/>
  </r>
  <r>
    <x v="68"/>
    <s v="積穗分行　　　　　　"/>
    <s v="HB16971"/>
    <n v="120292067.671992"/>
    <n v="129507156.85194901"/>
    <n v="0"/>
    <n v="16790199.999994799"/>
  </r>
  <r>
    <x v="68"/>
    <s v="積穗分行　　　　　　"/>
    <s v="HB19653"/>
    <n v="130257282.0019986"/>
    <n v="103213284.05596681"/>
    <n v="1800000"/>
    <n v="33717999.999997795"/>
  </r>
  <r>
    <x v="68"/>
    <s v="積穗分行　　　　　　"/>
    <s v="HB8060"/>
    <n v="201377498.2319988"/>
    <n v="740348775.33995891"/>
    <n v="900000"/>
    <n v="46588194.810000002"/>
  </r>
  <r>
    <x v="69"/>
    <s v="福和分行　　　　　　"/>
    <s v="HB13585"/>
    <n v="118794476.52799021"/>
    <n v="622291917.32393944"/>
    <n v="0"/>
    <n v="36434979.601997398"/>
  </r>
  <r>
    <x v="69"/>
    <s v="福和分行　　　　　　"/>
    <s v="HB16711"/>
    <n v="40543993.559998803"/>
    <n v="182797373.461941"/>
    <n v="0"/>
    <n v="12765132"/>
  </r>
  <r>
    <x v="70"/>
    <s v="南勢角分行　　　　　"/>
    <s v="HB16794"/>
    <n v="47906862.4319994"/>
    <n v="159216018.88798261"/>
    <n v="0"/>
    <n v="7646578.4999988005"/>
  </r>
  <r>
    <x v="70"/>
    <s v="南勢角分行　　　　　"/>
    <s v="HB17411"/>
    <n v="86168132.95199579"/>
    <n v="245516498.61193985"/>
    <n v="0"/>
    <n v="26300587.9999968"/>
  </r>
  <r>
    <x v="70"/>
    <s v="南勢角分行　　　　　"/>
    <s v="HB7089"/>
    <n v="93183274.601996392"/>
    <n v="250970877.03996181"/>
    <n v="0"/>
    <n v="31602162.600000001"/>
  </r>
  <r>
    <x v="71"/>
    <s v="北蘆洲分行　　　　　"/>
    <s v="HB14773"/>
    <n v="167130524.85999662"/>
    <n v="193479535.0399842"/>
    <n v="0"/>
    <n v="58057168.399999201"/>
  </r>
  <r>
    <x v="71"/>
    <s v="北蘆洲分行　　　　　"/>
    <s v="HB17167"/>
    <n v="308656436.8819986"/>
    <n v="715407788.93595123"/>
    <n v="0"/>
    <n v="115460750.28799799"/>
  </r>
  <r>
    <x v="71"/>
    <s v="北蘆洲分行　　　　　"/>
    <s v="HB17631"/>
    <n v="25760803.590000004"/>
    <n v="157531180.9919652"/>
    <n v="0"/>
    <n v="15776665.831999801"/>
  </r>
  <r>
    <x v="72"/>
    <s v="蘆洲分行　　　　　　"/>
    <s v="HB12462"/>
    <n v="112234250.0179998"/>
    <n v="349095885.77996278"/>
    <n v="1000440"/>
    <n v="14825885.2799976"/>
  </r>
  <r>
    <x v="72"/>
    <s v="蘆洲分行　　　　　　"/>
    <s v="HB15874"/>
    <n v="272928959.01999539"/>
    <n v="237400062.52195621"/>
    <n v="0"/>
    <n v="28879279.9999974"/>
  </r>
  <r>
    <x v="72"/>
    <s v="蘆洲分行　　　　　　"/>
    <s v="HB16447"/>
    <n v="109801684.8519966"/>
    <n v="418191989.64393783"/>
    <n v="863055"/>
    <n v="20337485.999997601"/>
  </r>
  <r>
    <x v="72"/>
    <s v="蘆洲分行　　　　　　"/>
    <s v="HB9466"/>
    <n v="195904662.04199523"/>
    <n v="763748115.97794306"/>
    <n v="2340000"/>
    <n v="93047555.171995208"/>
  </r>
  <r>
    <x v="73"/>
    <s v="土城分行　　　　　　"/>
    <s v="HB15859"/>
    <n v="178203804.13399321"/>
    <n v="476665954.18593842"/>
    <n v="1814400"/>
    <n v="26131319.999998201"/>
  </r>
  <r>
    <x v="73"/>
    <s v="土城分行　　　　　　"/>
    <s v="HB18999"/>
    <n v="118063065.90999421"/>
    <n v="365490640.54987741"/>
    <n v="0"/>
    <n v="23847339.325998601"/>
  </r>
  <r>
    <x v="73"/>
    <s v="土城分行　　　　　　"/>
    <s v="HB9728"/>
    <n v="262297948.08799082"/>
    <n v="433180124.55394381"/>
    <n v="936000"/>
    <n v="69378959.883999616"/>
  </r>
  <r>
    <x v="74"/>
    <s v="北新分行　　　　　　"/>
    <s v="HB13445"/>
    <n v="19386676.127998799"/>
    <n v="100674504.8919756"/>
    <n v="0"/>
    <n v="16880610.389997598"/>
  </r>
  <r>
    <x v="74"/>
    <s v="北新分行　　　　　　"/>
    <s v="HB15888"/>
    <n v="43191532.623997808"/>
    <n v="157992192.03598559"/>
    <n v="0"/>
    <n v="7110810"/>
  </r>
  <r>
    <x v="74"/>
    <s v="北新分行　　　　　　"/>
    <s v="HB16937"/>
    <n v="42869784.095996395"/>
    <n v="182451128.13592923"/>
    <n v="0"/>
    <n v="4292421.9999984"/>
  </r>
  <r>
    <x v="74"/>
    <s v="北新分行　　　　　　"/>
    <s v="HB17395"/>
    <n v="35251881.057999"/>
    <n v="156371261.49395281"/>
    <n v="0"/>
    <n v="3288960"/>
  </r>
  <r>
    <x v="74"/>
    <s v="北新分行　　　　　　"/>
    <s v="HB8056"/>
    <n v="60926826.435998395"/>
    <n v="208851154.78595942"/>
    <n v="0"/>
    <n v="47667625.499998808"/>
  </r>
  <r>
    <x v="75"/>
    <s v="天母分行　　　　　　"/>
    <s v="HB15855"/>
    <n v="75418057.145997003"/>
    <n v="223565987.47195619"/>
    <n v="0"/>
    <n v="37614715.999995604"/>
  </r>
  <r>
    <x v="75"/>
    <s v="天母分行　　　　　　"/>
    <s v="HB15930"/>
    <n v="148540290.8339988"/>
    <n v="575903486.67795897"/>
    <n v="0"/>
    <n v="39451894.9999974"/>
  </r>
  <r>
    <x v="75"/>
    <s v="天母分行　　　　　　"/>
    <s v="HB17152"/>
    <n v="54436363.175998807"/>
    <n v="170246294.67996359"/>
    <n v="0"/>
    <n v="26027025.647999398"/>
  </r>
  <r>
    <x v="75"/>
    <s v="天母分行　　　　　　"/>
    <s v="HB19459"/>
    <n v="27605609.463999603"/>
    <n v="105312850.64997122"/>
    <n v="0"/>
    <n v="16082463.9999978"/>
  </r>
  <r>
    <x v="76"/>
    <s v="內湖分行　　　　　　"/>
    <s v="HB14881"/>
    <n v="92332816.231996804"/>
    <n v="197704519.7099562"/>
    <n v="0"/>
    <n v="13245984"/>
  </r>
  <r>
    <x v="76"/>
    <s v="內湖分行　　　　　　"/>
    <s v="HB16102"/>
    <n v="262327940.0099982"/>
    <n v="575935378.30994582"/>
    <n v="0"/>
    <n v="62972487.499994993"/>
  </r>
  <r>
    <x v="76"/>
    <s v="內湖分行　　　　　　"/>
    <s v="HB18615"/>
    <n v="49895755.229997002"/>
    <n v="209932881.11796421"/>
    <n v="0"/>
    <n v="29979052.601999402"/>
  </r>
  <r>
    <x v="77"/>
    <s v="樹林分行　　　　　　"/>
    <s v="HB15217"/>
    <n v="62079381.251998201"/>
    <n v="206016787.87197301"/>
    <n v="0"/>
    <n v="49865313.111998409"/>
  </r>
  <r>
    <x v="77"/>
    <s v="樹林分行　　　　　　"/>
    <s v="HB16724"/>
    <n v="136046088.5999994"/>
    <n v="539472108.01795554"/>
    <n v="0"/>
    <n v="134092103.82199201"/>
  </r>
  <r>
    <x v="77"/>
    <s v="樹林分行　　　　　　"/>
    <s v="HB17486"/>
    <n v="142791587.97199559"/>
    <n v="503236426.39195681"/>
    <n v="4184478"/>
    <n v="136511290.1659914"/>
  </r>
  <r>
    <x v="77"/>
    <s v="樹林分行　　　　　　"/>
    <s v="HB17723"/>
    <n v="51986823.019993797"/>
    <n v="253401134.86394101"/>
    <n v="0"/>
    <n v="53145548.391999602"/>
  </r>
  <r>
    <x v="78"/>
    <s v="樟樹灣分行　　　　　"/>
    <s v="HB15485"/>
    <n v="134956315.24999741"/>
    <n v="695374294.37592781"/>
    <n v="5400000"/>
    <n v="95004583.999992013"/>
  </r>
  <r>
    <x v="78"/>
    <s v="樟樹灣分行　　　　　"/>
    <s v="HB16145"/>
    <n v="134002072.56399842"/>
    <n v="741830955.06794405"/>
    <n v="0"/>
    <n v="19867183.9999974"/>
  </r>
  <r>
    <x v="78"/>
    <s v="樟樹灣分行　　　　　"/>
    <s v="HB17950"/>
    <n v="46703041.485996604"/>
    <n v="145647208.11594963"/>
    <n v="0"/>
    <n v="7177230"/>
  </r>
  <r>
    <x v="78"/>
    <s v="樟樹灣分行　　　　　"/>
    <s v="HB19620"/>
    <n v="31689727.171999201"/>
    <n v="191655468.25194421"/>
    <n v="3600000"/>
    <n v="47139619.999998599"/>
  </r>
  <r>
    <x v="79"/>
    <s v="泰山分行　　　　　　"/>
    <s v="HB14480"/>
    <n v="62843425.563996002"/>
    <n v="275769605.363958"/>
    <n v="900000"/>
    <n v="59421953.4839928"/>
  </r>
  <r>
    <x v="79"/>
    <s v="泰山分行　　　　　　"/>
    <s v="HB14963"/>
    <n v="155567311.51799881"/>
    <n v="372791137.98796916"/>
    <n v="900000"/>
    <n v="96236205.4779948"/>
  </r>
  <r>
    <x v="79"/>
    <s v="泰山分行　　　　　　"/>
    <s v="HB16443"/>
    <n v="68419115.577998996"/>
    <n v="348561125.21394181"/>
    <n v="0"/>
    <n v="85270137.459996596"/>
  </r>
  <r>
    <x v="79"/>
    <s v="泰山分行　　　　　　"/>
    <s v="HB19431"/>
    <n v="69755617.401998401"/>
    <n v="261359565.0579648"/>
    <n v="0"/>
    <n v="67227969.071998805"/>
  </r>
  <r>
    <x v="80"/>
    <s v="三峽分行　　　　　　"/>
    <s v="HB14790"/>
    <n v="122729192.5319964"/>
    <n v="487522589.18188685"/>
    <n v="0"/>
    <n v="45703538.491994999"/>
  </r>
  <r>
    <x v="80"/>
    <s v="三峽分行　　　　　　"/>
    <s v="HB14801"/>
    <n v="27699312.907999802"/>
    <n v="192843284.9039208"/>
    <n v="0"/>
    <n v="22731089.999999404"/>
  </r>
  <r>
    <x v="80"/>
    <s v="三峽分行　　　　　　"/>
    <s v="HB15816"/>
    <n v="153838979.4599928"/>
    <n v="400304296.28189886"/>
    <n v="0"/>
    <n v="92215621.999996215"/>
  </r>
  <r>
    <x v="81"/>
    <s v="文山分行　　　　　　"/>
    <s v="HB11106"/>
    <n v="55877578.902000003"/>
    <n v="317064169.797948"/>
    <n v="1800000"/>
    <n v="19413612.549997203"/>
  </r>
  <r>
    <x v="81"/>
    <s v="文山分行　　　　　　"/>
    <s v="HB13587"/>
    <n v="40001616.301996797"/>
    <n v="256162944.97795141"/>
    <n v="0"/>
    <n v="11246040"/>
  </r>
  <r>
    <x v="81"/>
    <s v="文山分行　　　　　　"/>
    <s v="HB7298"/>
    <n v="35414513.969999403"/>
    <n v="188861361.82996321"/>
    <n v="0"/>
    <n v="10300327.999999199"/>
  </r>
  <r>
    <x v="82"/>
    <s v="鶯歌分行　　　　　　"/>
    <s v="HB17230"/>
    <n v="26253050.669998199"/>
    <n v="230945089.91197321"/>
    <n v="2858299.9999992"/>
    <n v="17125612.825998601"/>
  </r>
  <r>
    <x v="82"/>
    <s v="鶯歌分行　　　　　　"/>
    <s v="HB17948"/>
    <n v="39649252.289999403"/>
    <n v="210814560.21394259"/>
    <n v="2700000"/>
    <n v="9180000"/>
  </r>
  <r>
    <x v="82"/>
    <s v="鶯歌分行　　　　　　"/>
    <s v="HB20250"/>
    <n v="99572938.817997605"/>
    <n v="298269125.24396938"/>
    <n v="1800000"/>
    <n v="27772506"/>
  </r>
  <r>
    <x v="82"/>
    <s v="鶯歌分行　　　　　　"/>
    <s v="HB9448"/>
    <n v="135831632.72799599"/>
    <n v="682652122.68189061"/>
    <n v="4349835"/>
    <n v="51038594.027996406"/>
  </r>
  <r>
    <x v="83"/>
    <s v="北新莊分行　　　　　"/>
    <s v="HB13007"/>
    <n v="65662572.005998209"/>
    <n v="170144107.06594679"/>
    <n v="0"/>
    <n v="18889128"/>
  </r>
  <r>
    <x v="83"/>
    <s v="北新莊分行　　　　　"/>
    <s v="HB15399"/>
    <n v="160748736.80399281"/>
    <n v="380876466.92993104"/>
    <n v="1954080"/>
    <n v="34733869.9999974"/>
  </r>
  <r>
    <x v="84"/>
    <s v="林口站前分行　　　　"/>
    <s v="HB14184"/>
    <n v="134007421.77399778"/>
    <n v="194507917.70795459"/>
    <n v="0"/>
    <n v="26547408.999997202"/>
  </r>
  <r>
    <x v="84"/>
    <s v="林口站前分行　　　　"/>
    <s v="HB15606"/>
    <n v="107498387.36999881"/>
    <n v="259500581.17997038"/>
    <n v="0"/>
    <n v="11096421.999996601"/>
  </r>
  <r>
    <x v="84"/>
    <s v="林口站前分行　　　　"/>
    <s v="HB16137"/>
    <n v="51391318.029996604"/>
    <n v="287414733.89592004"/>
    <n v="0"/>
    <n v="45247778.167994998"/>
  </r>
  <r>
    <x v="85"/>
    <s v="基隆分行　　　　　　"/>
    <s v="HB11983"/>
    <n v="141584026.49199361"/>
    <n v="402921776.34793979"/>
    <n v="0"/>
    <n v="49078044.999997199"/>
  </r>
  <r>
    <x v="85"/>
    <s v="基隆分行　　　　　　"/>
    <s v="HB16285"/>
    <n v="41606896.553994596"/>
    <n v="177140348.89398003"/>
    <n v="0"/>
    <n v="7486409.9999988005"/>
  </r>
  <r>
    <x v="85"/>
    <s v="基隆分行　　　　　　"/>
    <s v="HB19009"/>
    <n v="56541497.141998798"/>
    <n v="309120361.96594858"/>
    <n v="0"/>
    <n v="19241394.999998398"/>
  </r>
  <r>
    <x v="85"/>
    <s v="基隆分行　　　　　　"/>
    <s v="HB19126"/>
    <n v="37923629.967993602"/>
    <n v="213574395.49196219"/>
    <n v="0"/>
    <n v="2302290"/>
  </r>
  <r>
    <x v="86"/>
    <s v="基隆港口分行　　　　"/>
    <s v="HB12561"/>
    <n v="108452289.2859972"/>
    <n v="644071674.51993418"/>
    <n v="0"/>
    <n v="35646277.999996796"/>
  </r>
  <r>
    <x v="86"/>
    <s v="基隆港口分行　　　　"/>
    <s v="HB13765"/>
    <n v="56798531.945996404"/>
    <n v="294559836.23995382"/>
    <n v="900000"/>
    <n v="26962797.999999601"/>
  </r>
  <r>
    <x v="86"/>
    <s v="基隆港口分行　　　　"/>
    <s v="HB16206"/>
    <n v="39714393.780000001"/>
    <n v="118966090.1179824"/>
    <n v="0"/>
    <n v="25238682.199999802"/>
  </r>
  <r>
    <x v="86"/>
    <s v="基隆港口分行　　　　"/>
    <s v="HB18668"/>
    <n v="47102147.299999803"/>
    <n v="177297224.64796442"/>
    <n v="900000"/>
    <n v="4663089.9999989998"/>
  </r>
  <r>
    <x v="87"/>
    <s v="七堵分行　　　　　　"/>
    <s v="HB13507"/>
    <n v="152896304.05399257"/>
    <n v="260832397.60595518"/>
    <n v="0"/>
    <n v="46573889.999995798"/>
  </r>
  <r>
    <x v="87"/>
    <s v="七堵分行　　　　　　"/>
    <s v="HB17457"/>
    <n v="103782394.7039952"/>
    <n v="308956585.53792959"/>
    <n v="0"/>
    <n v="18379972.979996398"/>
  </r>
  <r>
    <x v="87"/>
    <s v="七堵分行　　　　　　"/>
    <s v="HB7129"/>
    <n v="137230063.16799599"/>
    <n v="295773371.49994385"/>
    <n v="0"/>
    <n v="58766564.25"/>
  </r>
  <r>
    <x v="87"/>
    <s v="七堵分行　　　　　　"/>
    <s v="HB8063"/>
    <n v="37248985.393995598"/>
    <n v="104467983.7499586"/>
    <n v="0"/>
    <n v="12279950.999998201"/>
  </r>
  <r>
    <x v="88"/>
    <s v="羅東分行　　　　　　"/>
    <s v="HB16949"/>
    <n v="14356404.107999999"/>
    <n v="113644455.441957"/>
    <n v="0"/>
    <n v="8854290.9999989998"/>
  </r>
  <r>
    <x v="88"/>
    <s v="羅東分行　　　　　　"/>
    <s v="HB16999"/>
    <n v="59672597.057994604"/>
    <n v="394908343.22985661"/>
    <n v="4822572.5999999996"/>
    <n v="146167083.99999899"/>
  </r>
  <r>
    <x v="88"/>
    <s v="羅東分行　　　　　　"/>
    <s v="HB17168"/>
    <n v="71832765.911995798"/>
    <n v="433898769.4038828"/>
    <n v="3009673.8"/>
    <n v="78102064.999994397"/>
  </r>
  <r>
    <x v="89"/>
    <s v="宜蘭分行　　　　　　"/>
    <s v="HB10610"/>
    <n v="94159441.145998806"/>
    <n v="202666354.52394778"/>
    <n v="0"/>
    <n v="26832159.999999002"/>
  </r>
  <r>
    <x v="89"/>
    <s v="宜蘭分行　　　　　　"/>
    <s v="HB14552"/>
    <n v="100667848.59398881"/>
    <n v="277480648.71792543"/>
    <n v="900000"/>
    <n v="39225151.301997602"/>
  </r>
  <r>
    <x v="89"/>
    <s v="宜蘭分行　　　　　　"/>
    <s v="HB14715"/>
    <n v="73925409.989997"/>
    <n v="174873980.315934"/>
    <n v="0"/>
    <n v="25140569.999995802"/>
  </r>
  <r>
    <x v="89"/>
    <s v="宜蘭分行　　　　　　"/>
    <s v="HB20065"/>
    <n v="31902410.707997404"/>
    <n v="127037179.02795118"/>
    <n v="0"/>
    <n v="36186319.9999962"/>
  </r>
  <r>
    <x v="90"/>
    <s v="桃園分行　　　　　　"/>
    <s v="HB16034"/>
    <n v="62756156.909998797"/>
    <n v="345155392.23794103"/>
    <n v="0"/>
    <n v="39090873.399996601"/>
  </r>
  <r>
    <x v="90"/>
    <s v="桃園分行　　　　　　"/>
    <s v="HB16152"/>
    <n v="187820001.96399361"/>
    <n v="490697016.98394787"/>
    <n v="111739.99999860002"/>
    <n v="161518885.69999683"/>
  </r>
  <r>
    <x v="90"/>
    <s v="桃園分行　　　　　　"/>
    <s v="HB18493"/>
    <n v="130689274.5259974"/>
    <n v="553075685.83395004"/>
    <n v="7914589.9999973997"/>
    <n v="71993795.879998803"/>
  </r>
  <r>
    <x v="90"/>
    <s v="桃園分行　　　　　　"/>
    <s v="HB18724"/>
    <n v="106690216.7859984"/>
    <n v="368318792.96396995"/>
    <n v="787050"/>
    <n v="68908790.739996001"/>
  </r>
  <r>
    <x v="91"/>
    <s v="中壢分行　　　　　　"/>
    <s v="HB14479"/>
    <n v="166904056.81199521"/>
    <n v="323735695.96791059"/>
    <n v="0"/>
    <n v="52193056.541990399"/>
  </r>
  <r>
    <x v="91"/>
    <s v="中壢分行　　　　　　"/>
    <s v="HB14554"/>
    <n v="155993100.5759958"/>
    <n v="380446065.81595802"/>
    <n v="0"/>
    <n v="48763261.399998605"/>
  </r>
  <r>
    <x v="91"/>
    <s v="中壢分行　　　　　　"/>
    <s v="HB14964"/>
    <n v="183014173.46199238"/>
    <n v="682447318.98596823"/>
    <n v="0"/>
    <n v="29066364.841996804"/>
  </r>
  <r>
    <x v="91"/>
    <s v="中壢分行　　　　　　"/>
    <s v="HB15136"/>
    <n v="114871366.0999998"/>
    <n v="197321684.54194981"/>
    <n v="4415215.7999988003"/>
    <n v="13405169.999997001"/>
  </r>
  <r>
    <x v="91"/>
    <s v="中壢分行　　　　　　"/>
    <s v="HB19128"/>
    <n v="75226261.179997802"/>
    <n v="155904549.9099642"/>
    <n v="0"/>
    <n v="14534899.999999199"/>
  </r>
  <r>
    <x v="92"/>
    <s v="楊梅分行　　　　　　"/>
    <s v="HB12154"/>
    <n v="120033461.9719926"/>
    <n v="345997364.48993522"/>
    <n v="0"/>
    <n v="42190749.719999999"/>
  </r>
  <r>
    <x v="92"/>
    <s v="楊梅分行　　　　　　"/>
    <s v="HB13913"/>
    <n v="250996987.52999097"/>
    <n v="942714924.14791441"/>
    <n v="2114280"/>
    <n v="101469136.45999141"/>
  </r>
  <r>
    <x v="92"/>
    <s v="楊梅分行　　　　　　"/>
    <s v="HB16120"/>
    <n v="243182123.84199241"/>
    <n v="1122746940.0359387"/>
    <n v="0"/>
    <n v="176676589.50799137"/>
  </r>
  <r>
    <x v="92"/>
    <s v="楊梅分行　　　　　　"/>
    <s v="HB16900"/>
    <n v="161411998.91599441"/>
    <n v="431633481.44797623"/>
    <n v="0"/>
    <n v="94277223.165999591"/>
  </r>
  <r>
    <x v="93"/>
    <s v="壢昌分行　　　　　　"/>
    <s v="HB10670"/>
    <n v="85577368.263996601"/>
    <n v="348971667.00795364"/>
    <n v="1800000"/>
    <n v="43274136.767995805"/>
  </r>
  <r>
    <x v="93"/>
    <s v="壢昌分行　　　　　　"/>
    <s v="HB14129"/>
    <n v="146803462.71399179"/>
    <n v="672113820.5519383"/>
    <n v="2700000"/>
    <n v="101268318.20599081"/>
  </r>
  <r>
    <x v="93"/>
    <s v="壢昌分行　　　　　　"/>
    <s v="HB14731"/>
    <n v="109414672.25199661"/>
    <n v="454130552.55196083"/>
    <n v="2160000"/>
    <n v="82069645.681996197"/>
  </r>
  <r>
    <x v="94"/>
    <s v="北桃園分行　　　　　"/>
    <s v="HB13584"/>
    <n v="78642422.905996799"/>
    <n v="346833734.49194759"/>
    <n v="7476300"/>
    <n v="188502005.31999302"/>
  </r>
  <r>
    <x v="94"/>
    <s v="北桃園分行　　　　　"/>
    <s v="HB14117"/>
    <n v="50568194.821993202"/>
    <n v="373397542.65592384"/>
    <n v="0"/>
    <n v="137116551.8799828"/>
  </r>
  <r>
    <x v="94"/>
    <s v="北桃園分行　　　　　"/>
    <s v="HB17655"/>
    <n v="103904473.3479972"/>
    <n v="627682074.83393049"/>
    <n v="4797972"/>
    <n v="349210761.30198181"/>
  </r>
  <r>
    <x v="95"/>
    <s v="南崁分行　　　　　　"/>
    <s v="HB12678"/>
    <n v="120372036.2759988"/>
    <n v="241858701.761931"/>
    <n v="1800000"/>
    <n v="3126199.9999986002"/>
  </r>
  <r>
    <x v="95"/>
    <s v="南崁分行　　　　　　"/>
    <s v="HB16033"/>
    <n v="217130208.66399598"/>
    <n v="615522581.59993565"/>
    <n v="0"/>
    <n v="17991849.999997802"/>
  </r>
  <r>
    <x v="95"/>
    <s v="南崁分行　　　　　　"/>
    <s v="HB16833"/>
    <n v="71935456.239998996"/>
    <n v="177409094.7279456"/>
    <n v="907362"/>
    <n v="8428261.6599984001"/>
  </r>
  <r>
    <x v="96"/>
    <s v="平鎮分行　　　　　　"/>
    <s v="HB12265"/>
    <n v="64056076.380000003"/>
    <n v="291596374.51194423"/>
    <n v="0"/>
    <n v="15847849.9999962"/>
  </r>
  <r>
    <x v="96"/>
    <s v="平鎮分行　　　　　　"/>
    <s v="HB14730"/>
    <n v="134075706.1259976"/>
    <n v="414096177.44794858"/>
    <n v="0"/>
    <n v="115525811.3439942"/>
  </r>
  <r>
    <x v="96"/>
    <s v="平鎮分行　　　　　　"/>
    <s v="HB14923"/>
    <n v="162150054.223995"/>
    <n v="467473118.08593059"/>
    <n v="0"/>
    <n v="8083545.9999984"/>
  </r>
  <r>
    <x v="96"/>
    <s v="平鎮分行　　　　　　"/>
    <s v="HB19277"/>
    <n v="73452499.473997802"/>
    <n v="214052947.811955"/>
    <n v="0"/>
    <n v="23298510.061999802"/>
  </r>
  <r>
    <x v="97"/>
    <s v="八德分行　　　　　　"/>
    <s v="HB11963"/>
    <n v="131759230.68799561"/>
    <n v="274334985.60995877"/>
    <n v="0"/>
    <n v="45973213.463996999"/>
  </r>
  <r>
    <x v="97"/>
    <s v="八德分行　　　　　　"/>
    <s v="HB12078"/>
    <n v="197939132.27399701"/>
    <n v="489443158.68794096"/>
    <n v="0"/>
    <n v="48714539.919996604"/>
  </r>
  <r>
    <x v="97"/>
    <s v="八德分行　　　　　　"/>
    <s v="HB14128"/>
    <n v="112233290.7039966"/>
    <n v="373276078.03995121"/>
    <n v="4500000"/>
    <n v="132835280.71999499"/>
  </r>
  <r>
    <x v="97"/>
    <s v="八德分行　　　　　　"/>
    <s v="HB14843"/>
    <n v="202217304.543993"/>
    <n v="723445818.17391539"/>
    <n v="5400000"/>
    <n v="199266600.33999181"/>
  </r>
  <r>
    <x v="98"/>
    <s v="龜山分行　　　　　　"/>
    <s v="HB15072"/>
    <n v="82657476.247996807"/>
    <n v="307665042.29996037"/>
    <n v="0"/>
    <n v="42464967.999998406"/>
  </r>
  <r>
    <x v="98"/>
    <s v="龜山分行　　　　　　"/>
    <s v="HB15830"/>
    <n v="148094377.7999976"/>
    <n v="480050263.67196423"/>
    <n v="0"/>
    <n v="169415254.764"/>
  </r>
  <r>
    <x v="98"/>
    <s v="龜山分行　　　　　　"/>
    <s v="HB16470"/>
    <n v="90625487.255994603"/>
    <n v="373742453.01591539"/>
    <n v="1008000"/>
    <n v="58750075.899997205"/>
  </r>
  <r>
    <x v="99"/>
    <s v="龍潭分行　　　　　　"/>
    <s v="HB14130"/>
    <n v="64840011.183997199"/>
    <n v="443910788.40795839"/>
    <n v="2028879.999999"/>
    <n v="43561421.575993799"/>
  </r>
  <r>
    <x v="99"/>
    <s v="龍潭分行　　　　　　"/>
    <s v="HB9673"/>
    <n v="109242149.85399601"/>
    <n v="358921493.35790759"/>
    <n v="2091600"/>
    <n v="18963809.923998598"/>
  </r>
  <r>
    <x v="99"/>
    <s v="龍潭分行　　　　　　"/>
    <s v="HB9967"/>
    <n v="59926103.027998194"/>
    <n v="210306166.33997521"/>
    <n v="0"/>
    <n v="14821229.999997001"/>
  </r>
  <r>
    <x v="100"/>
    <s v="大溪分行　　　　　　"/>
    <s v="HB15150"/>
    <n v="90924481.805997595"/>
    <n v="231559677.7999596"/>
    <n v="1565460"/>
    <n v="15742968.7999986"/>
  </r>
  <r>
    <x v="100"/>
    <s v="大溪分行　　　　　　"/>
    <s v="HB9532"/>
    <n v="146304281.91999599"/>
    <n v="746967708.1198746"/>
    <n v="0"/>
    <n v="49887374.379996598"/>
  </r>
  <r>
    <x v="101"/>
    <s v="內壢分行　　　　　　"/>
    <s v="HB13730"/>
    <n v="45896971.425996602"/>
    <n v="273923726.41192502"/>
    <n v="0"/>
    <n v="19260000"/>
  </r>
  <r>
    <x v="101"/>
    <s v="內壢分行　　　　　　"/>
    <s v="HB14358"/>
    <n v="27574040.877998404"/>
    <n v="157212595.01397598"/>
    <n v="0"/>
    <n v="7689600"/>
  </r>
  <r>
    <x v="101"/>
    <s v="內壢分行　　　　　　"/>
    <s v="HB14962"/>
    <n v="40409190.447996601"/>
    <n v="468677528.78193367"/>
    <n v="0"/>
    <n v="98882369.799993008"/>
  </r>
  <r>
    <x v="102"/>
    <s v="林口分行　　　　　　"/>
    <s v="HB11271"/>
    <n v="9774874.8000000007"/>
    <n v="77764986.431978405"/>
    <n v="0"/>
    <n v="60922150.200000003"/>
  </r>
  <r>
    <x v="102"/>
    <s v="林口分行　　　　　　"/>
    <s v="HB14607"/>
    <n v="37731246.553998001"/>
    <n v="189296366.98795199"/>
    <n v="0"/>
    <n v="29784718.599993002"/>
  </r>
  <r>
    <x v="102"/>
    <s v="林口分行　　　　　　"/>
    <s v="HB15216"/>
    <n v="27943795.800000001"/>
    <n v="172005525.4759776"/>
    <n v="900000"/>
    <n v="44070070.999998599"/>
  </r>
  <r>
    <x v="102"/>
    <s v="林口分行　　　　　　"/>
    <s v="HB8217"/>
    <n v="130152300.86399761"/>
    <n v="428084080.12596422"/>
    <n v="1379999.9999988"/>
    <n v="69910271.891996399"/>
  </r>
  <r>
    <x v="102"/>
    <s v="林口分行　　　　　　"/>
    <s v="HB9252"/>
    <n v="73531828.123997405"/>
    <n v="385121423.18194747"/>
    <n v="3600000"/>
    <n v="172945761.74399161"/>
  </r>
  <r>
    <x v="103"/>
    <s v="觀音分行　　　　　　"/>
    <s v="HB11482"/>
    <n v="205932667.13999102"/>
    <n v="368535091.92795902"/>
    <n v="12626370"/>
    <n v="102898874.44199342"/>
  </r>
  <r>
    <x v="103"/>
    <s v="觀音分行　　　　　　"/>
    <s v="HB14594"/>
    <n v="44450599.113999002"/>
    <n v="150702658.60994458"/>
    <n v="3600000"/>
    <n v="15539875.999999203"/>
  </r>
  <r>
    <x v="103"/>
    <s v="觀音分行　　　　　　"/>
    <s v="HB15246"/>
    <n v="83850962.901998401"/>
    <n v="157167564.77994841"/>
    <n v="3600000"/>
    <n v="40912754.155997403"/>
  </r>
  <r>
    <x v="103"/>
    <s v="觀音分行　　　　　　"/>
    <s v="HB16830"/>
    <n v="123537010.735998"/>
    <n v="211536027.11996281"/>
    <n v="6300000"/>
    <n v="23712679.279996201"/>
  </r>
  <r>
    <x v="103"/>
    <s v="觀音分行　　　　　　"/>
    <s v="HB9467"/>
    <n v="147361283.12999701"/>
    <n v="501859475.30995381"/>
    <n v="12739999.999998601"/>
    <n v="103657458.35799721"/>
  </r>
  <r>
    <x v="104"/>
    <s v="大園分行　　　　　　"/>
    <s v="HB16654"/>
    <n v="102855334.09599541"/>
    <n v="512972151.6598956"/>
    <n v="0"/>
    <n v="160035839.595981"/>
  </r>
  <r>
    <x v="104"/>
    <s v="大園分行　　　　　　"/>
    <s v="HB17835"/>
    <n v="189984403.57399559"/>
    <n v="654787581.15788102"/>
    <n v="0"/>
    <n v="264266544.9399876"/>
  </r>
  <r>
    <x v="105"/>
    <s v="青埔分行　　　　　　"/>
    <s v="HB13591"/>
    <n v="82723080.731997594"/>
    <n v="165720421.19794321"/>
    <n v="0"/>
    <n v="13554079.999999199"/>
  </r>
  <r>
    <x v="105"/>
    <s v="青埔分行　　　　　　"/>
    <s v="HB19337"/>
    <n v="9347793.9999984"/>
    <n v="40077505.565971203"/>
    <n v="0"/>
    <n v="0"/>
  </r>
  <r>
    <x v="106"/>
    <s v="新竹分行　　　　　　"/>
    <s v="HB13348"/>
    <n v="233532931.94199181"/>
    <n v="653895333.93394256"/>
    <n v="0"/>
    <n v="159790809.99999779"/>
  </r>
  <r>
    <x v="106"/>
    <s v="新竹分行　　　　　　"/>
    <s v="HB16838"/>
    <n v="79640779.263994813"/>
    <n v="266632764.48395818"/>
    <n v="0"/>
    <n v="39698536.843998"/>
  </r>
  <r>
    <x v="106"/>
    <s v="新竹分行　　　　　　"/>
    <s v="HB16865"/>
    <n v="89421092.503995597"/>
    <n v="292460597.03796303"/>
    <n v="4771584"/>
    <n v="20983544.407999802"/>
  </r>
  <r>
    <x v="106"/>
    <s v="新竹分行　　　　　　"/>
    <s v="HB16898"/>
    <n v="165607235.47999081"/>
    <n v="618249750.62192106"/>
    <n v="0"/>
    <n v="48308212.49999401"/>
  </r>
  <r>
    <x v="107"/>
    <s v="竹東分行　　　　　　"/>
    <s v="HB10384"/>
    <n v="21107293.794"/>
    <n v="65534082.999982208"/>
    <n v="0"/>
    <n v="56006960.99999401"/>
  </r>
  <r>
    <x v="107"/>
    <s v="竹東分行　　　　　　"/>
    <s v="HB15182"/>
    <n v="124017996.95399702"/>
    <n v="645087382.30187273"/>
    <n v="10800000"/>
    <n v="862157004.67796588"/>
  </r>
  <r>
    <x v="107"/>
    <s v="竹東分行　　　　　　"/>
    <s v="HB20378"/>
    <n v="54112613.256000005"/>
    <n v="194423658.77796659"/>
    <n v="0"/>
    <n v="257674721.6939922"/>
  </r>
  <r>
    <x v="108"/>
    <s v="竹科分行　　　　　　"/>
    <s v="HB12681"/>
    <n v="90841389.839994609"/>
    <n v="333891792.25792742"/>
    <n v="0"/>
    <n v="62310392.199997202"/>
  </r>
  <r>
    <x v="108"/>
    <s v="竹科分行　　　　　　"/>
    <s v="HB17572"/>
    <n v="33497309.6919972"/>
    <n v="167270463.37196821"/>
    <n v="1260000"/>
    <n v="22483896.199997403"/>
  </r>
  <r>
    <x v="108"/>
    <s v="竹科分行　　　　　　"/>
    <s v="HB19666"/>
    <n v="74326214.059999213"/>
    <n v="173793355.32394618"/>
    <n v="1800000"/>
    <n v="15064415.495999999"/>
  </r>
  <r>
    <x v="109"/>
    <s v="新豐分行　　　　　　"/>
    <s v="HB10241"/>
    <n v="319277947.94399518"/>
    <n v="863284646.18591285"/>
    <n v="18791941.9999968"/>
    <n v="238255746.0479694"/>
  </r>
  <r>
    <x v="109"/>
    <s v="新豐分行　　　　　　"/>
    <s v="HB14723"/>
    <n v="123352266.81799802"/>
    <n v="522196158.97787035"/>
    <n v="7200000"/>
    <n v="229563558.49998778"/>
  </r>
  <r>
    <x v="110"/>
    <s v="六家分行　　　　　　"/>
    <s v="HB17066"/>
    <n v="26247272.0239962"/>
    <n v="222194850.19996679"/>
    <n v="1043460"/>
    <n v="32063287.321994402"/>
  </r>
  <r>
    <x v="110"/>
    <s v="六家分行　　　　　　"/>
    <s v="HB18852"/>
    <n v="70583370.737997591"/>
    <n v="463406500.34388179"/>
    <n v="6797448"/>
    <n v="87555742.317990005"/>
  </r>
  <r>
    <x v="111"/>
    <s v="竹南分行　　　　　　"/>
    <s v="HB10734"/>
    <n v="116978568.16399559"/>
    <n v="469599224.99988061"/>
    <n v="0"/>
    <n v="40053361.999996796"/>
  </r>
  <r>
    <x v="111"/>
    <s v="竹南分行　　　　　　"/>
    <s v="HB14749"/>
    <n v="342209993.18199301"/>
    <n v="1373897650.5338256"/>
    <n v="1862928"/>
    <n v="83607488.999996409"/>
  </r>
  <r>
    <x v="112"/>
    <s v="頭份分行　　　　　　"/>
    <s v="HB15423"/>
    <n v="320430250.08599401"/>
    <n v="874484439.45193803"/>
    <n v="0"/>
    <n v="54056324.999997005"/>
  </r>
  <r>
    <x v="112"/>
    <s v="頭份分行　　　　　　"/>
    <s v="HB19343"/>
    <n v="123242267.0619936"/>
    <n v="362764447.21192324"/>
    <n v="0"/>
    <n v="18425996.399997003"/>
  </r>
  <r>
    <x v="112"/>
    <s v="頭份分行　　　　　　"/>
    <s v="HB19671"/>
    <n v="123230897.9619948"/>
    <n v="267227763.927948"/>
    <n v="0"/>
    <n v="16451833.179995999"/>
  </r>
  <r>
    <x v="113"/>
    <s v="苗栗分行　　　　　　"/>
    <s v="HB16661"/>
    <n v="100005197.2259976"/>
    <n v="246551342.26993561"/>
    <n v="0"/>
    <n v="42074557.713999003"/>
  </r>
  <r>
    <x v="113"/>
    <s v="苗栗分行　　　　　　"/>
    <s v="HB17913"/>
    <n v="44218582.799999401"/>
    <n v="152565641.74393201"/>
    <n v="1800000"/>
    <n v="11286809.100000001"/>
  </r>
  <r>
    <x v="113"/>
    <s v="苗栗分行　　　　　　"/>
    <s v="HB4026"/>
    <n v="168445251.07399797"/>
    <n v="447191028.4879638"/>
    <n v="0"/>
    <n v="52650782.573997602"/>
  </r>
  <r>
    <x v="114"/>
    <s v="竹北分行　　　　　　"/>
    <s v="HB13083"/>
    <n v="137882598.92799661"/>
    <n v="377483958.41793835"/>
    <n v="180000"/>
    <n v="60767836.619994"/>
  </r>
  <r>
    <x v="114"/>
    <s v="竹北分行　　　　　　"/>
    <s v="HB16656"/>
    <n v="94494095.867995203"/>
    <n v="188729408.57395861"/>
    <n v="0"/>
    <n v="25855814.411998197"/>
  </r>
  <r>
    <x v="114"/>
    <s v="竹北分行　　　　　　"/>
    <s v="HB19667"/>
    <n v="99061955.561998799"/>
    <n v="230773908.18797642"/>
    <n v="0"/>
    <n v="25816483.800000001"/>
  </r>
  <r>
    <x v="115"/>
    <s v="大眾分行　　　　　　"/>
    <s v="HB14555"/>
    <n v="117292479.65799659"/>
    <n v="533040017.98990679"/>
    <n v="0"/>
    <n v="72115090.699996799"/>
  </r>
  <r>
    <x v="115"/>
    <s v="大眾分行　　　　　　"/>
    <s v="HB8539"/>
    <n v="152353368.96599519"/>
    <n v="595545392.8879199"/>
    <n v="3229759.9999997998"/>
    <n v="40157070.1979976"/>
  </r>
  <r>
    <x v="116"/>
    <s v="豐原分行　　　　　　"/>
    <s v="HB13873"/>
    <n v="197764488.23198941"/>
    <n v="612570959.48984575"/>
    <n v="7032686.4000000004"/>
    <n v="41868951.851993397"/>
  </r>
  <r>
    <x v="116"/>
    <s v="豐原分行　　　　　　"/>
    <s v="HB15831"/>
    <n v="101758993.05599281"/>
    <n v="278751749.41992235"/>
    <n v="0"/>
    <n v="27609076.799996398"/>
  </r>
  <r>
    <x v="116"/>
    <s v="豐原分行　　　　　　"/>
    <s v="HB16097"/>
    <n v="230980003.777998"/>
    <n v="859238688.56592774"/>
    <n v="351959.9999994"/>
    <n v="88407169.115995795"/>
  </r>
  <r>
    <x v="116"/>
    <s v="豐原分行　　　　　　"/>
    <s v="HB16879"/>
    <n v="72156481.845996603"/>
    <n v="561775403.07595265"/>
    <n v="0"/>
    <n v="185410758.2319954"/>
  </r>
  <r>
    <x v="117"/>
    <s v="東勢分行　　　　　　"/>
    <s v="HB16483"/>
    <n v="28226718.270000003"/>
    <n v="81238449.169981807"/>
    <n v="0"/>
    <n v="2279999.9999988"/>
  </r>
  <r>
    <x v="117"/>
    <s v="東勢分行　　　　　　"/>
    <s v="HB17527"/>
    <n v="97495172.033999413"/>
    <n v="470269927.42593658"/>
    <n v="0"/>
    <n v="35044101"/>
  </r>
  <r>
    <x v="117"/>
    <s v="東勢分行　　　　　　"/>
    <s v="HB19938"/>
    <n v="46783194.167998798"/>
    <n v="168196513.1579442"/>
    <n v="900000"/>
    <n v="4970390.7999996003"/>
  </r>
  <r>
    <x v="117"/>
    <s v="東勢分行　　　　　　"/>
    <s v="HB7652"/>
    <n v="176876908.71399179"/>
    <n v="523918595.48395503"/>
    <n v="0"/>
    <n v="43514865.199992597"/>
  </r>
  <r>
    <x v="118"/>
    <s v="清水分行　　　　　　"/>
    <s v="HB10527"/>
    <n v="166035094.81399441"/>
    <n v="448509131.01793981"/>
    <n v="0"/>
    <n v="24162217.599997804"/>
  </r>
  <r>
    <x v="118"/>
    <s v="清水分行　　　　　　"/>
    <s v="HB12329"/>
    <n v="126303050.6339958"/>
    <n v="581529685.8219409"/>
    <n v="0"/>
    <n v="17538816.899997003"/>
  </r>
  <r>
    <x v="118"/>
    <s v="清水分行　　　　　　"/>
    <s v="HB12932"/>
    <n v="44769665.279995203"/>
    <n v="131255553.87795781"/>
    <n v="0"/>
    <n v="6118561.6759997997"/>
  </r>
  <r>
    <x v="118"/>
    <s v="清水分行　　　　　　"/>
    <s v="HB17205"/>
    <n v="47799942.149996996"/>
    <n v="141504922.56997621"/>
    <n v="20899397.879999999"/>
    <n v="13253593.999998601"/>
  </r>
  <r>
    <x v="118"/>
    <s v="清水分行　　　　　　"/>
    <s v="HB19003"/>
    <n v="58242619.301995799"/>
    <n v="143474707.22193179"/>
    <n v="0"/>
    <n v="0"/>
  </r>
  <r>
    <x v="118"/>
    <s v="清水分行　　　　　　"/>
    <s v="HB20150"/>
    <n v="29395600.7779998"/>
    <n v="109009662.4839924"/>
    <n v="0"/>
    <n v="5400000"/>
  </r>
  <r>
    <x v="119"/>
    <s v="西豐原分行　　　　　"/>
    <s v="HB15820"/>
    <n v="75911637.203998208"/>
    <n v="344821356.38792884"/>
    <n v="4046580"/>
    <n v="12217949.999996401"/>
  </r>
  <r>
    <x v="119"/>
    <s v="西豐原分行　　　　　"/>
    <s v="HB16215"/>
    <n v="143665808.1039972"/>
    <n v="493723634.89991218"/>
    <n v="3707460"/>
    <n v="24770409.283992603"/>
  </r>
  <r>
    <x v="119"/>
    <s v="西豐原分行　　　　　"/>
    <s v="HB16840"/>
    <n v="57264879.859995604"/>
    <n v="207816852.205917"/>
    <n v="3263040"/>
    <n v="15953921.199999001"/>
  </r>
  <r>
    <x v="119"/>
    <s v="西豐原分行　　　　　"/>
    <s v="HB8196"/>
    <n v="210779506.78399801"/>
    <n v="528873213.09394979"/>
    <n v="8651139.9999984"/>
    <n v="99995595.801994801"/>
  </r>
  <r>
    <x v="120"/>
    <s v="台中分行　　　　　　"/>
    <s v="HB13199"/>
    <n v="45959960.281996801"/>
    <n v="91038645.919981807"/>
    <n v="0"/>
    <n v="4670079.5999988001"/>
  </r>
  <r>
    <x v="120"/>
    <s v="台中分行　　　　　　"/>
    <s v="HB15430"/>
    <n v="193787387.38399678"/>
    <n v="466282293.07595944"/>
    <n v="1800000"/>
    <n v="195816414.16999081"/>
  </r>
  <r>
    <x v="120"/>
    <s v="台中分行　　　　　　"/>
    <s v="HB17076"/>
    <n v="93315726.751996815"/>
    <n v="242465999.72393522"/>
    <n v="0"/>
    <n v="130487642.71999559"/>
  </r>
  <r>
    <x v="120"/>
    <s v="台中分行　　　　　　"/>
    <s v="HB17656"/>
    <n v="194238854.02599481"/>
    <n v="527755520.98992062"/>
    <n v="11273079.600000001"/>
    <n v="76484178.87999481"/>
  </r>
  <r>
    <x v="120"/>
    <s v="台中分行　　　　　　"/>
    <s v="HB7645"/>
    <n v="44678905.164000005"/>
    <n v="164945869.64595902"/>
    <n v="0"/>
    <n v="18267932.9039976"/>
  </r>
  <r>
    <x v="120"/>
    <s v="台中分行　　　　　　"/>
    <s v="HB9795"/>
    <n v="160738459.6019994"/>
    <n v="660020234.65594745"/>
    <n v="27228751.200000003"/>
    <n v="61532346.799994394"/>
  </r>
  <r>
    <x v="121"/>
    <s v="南台中分行　　　　　"/>
    <s v="HB15249"/>
    <n v="62777652.879996002"/>
    <n v="289571143.71796739"/>
    <n v="0"/>
    <n v="345892457.1339972"/>
  </r>
  <r>
    <x v="121"/>
    <s v="南台中分行　　　　　"/>
    <s v="HB15508"/>
    <n v="18644665.631999403"/>
    <n v="128404430.08398901"/>
    <n v="0"/>
    <n v="17903879.239998601"/>
  </r>
  <r>
    <x v="121"/>
    <s v="南台中分行　　　　　"/>
    <s v="HB16150"/>
    <n v="89891128.957996801"/>
    <n v="181867461.39195478"/>
    <n v="0"/>
    <n v="45376282.799998209"/>
  </r>
  <r>
    <x v="121"/>
    <s v="南台中分行　　　　　"/>
    <s v="HB9219"/>
    <n v="98076118.6959984"/>
    <n v="284917285.16996217"/>
    <n v="0"/>
    <n v="11662591.999998601"/>
  </r>
  <r>
    <x v="121"/>
    <s v="南台中分行　　　　　"/>
    <s v="HB9337"/>
    <n v="74286165.229999214"/>
    <n v="249472747.45797122"/>
    <n v="0"/>
    <n v="442885167.14997959"/>
  </r>
  <r>
    <x v="122"/>
    <s v="北台中分行　　　　　"/>
    <s v="HB14100"/>
    <n v="54404157.739998594"/>
    <n v="302453469.28791362"/>
    <n v="0"/>
    <n v="12342247.999999199"/>
  </r>
  <r>
    <x v="122"/>
    <s v="北台中分行　　　　　"/>
    <s v="HB14750"/>
    <n v="79600266.031998605"/>
    <n v="372958113.70195383"/>
    <n v="1080000"/>
    <n v="29313231.399993598"/>
  </r>
  <r>
    <x v="122"/>
    <s v="北台中分行　　　　　"/>
    <s v="HB16149"/>
    <n v="97978414.055994004"/>
    <n v="638964232.1919018"/>
    <n v="180000"/>
    <n v="19932077.808000002"/>
  </r>
  <r>
    <x v="122"/>
    <s v="北台中分行　　　　　"/>
    <s v="HB9199"/>
    <n v="209953011.19199941"/>
    <n v="113330454.66594541"/>
    <n v="0"/>
    <n v="503280"/>
  </r>
  <r>
    <x v="123"/>
    <s v="台中港路分行　　　　"/>
    <s v="HB15028"/>
    <n v="189724703.26199943"/>
    <n v="751690840.1399262"/>
    <n v="2026080"/>
    <n v="66404097.647996411"/>
  </r>
  <r>
    <x v="123"/>
    <s v="台中港路分行　　　　"/>
    <s v="HB16101"/>
    <n v="131680726.687998"/>
    <n v="651148363.84193277"/>
    <n v="0"/>
    <n v="28090490.5199988"/>
  </r>
  <r>
    <x v="123"/>
    <s v="台中港路分行　　　　"/>
    <s v="HB17106"/>
    <n v="150597722.98800001"/>
    <n v="445792593.01593423"/>
    <n v="1005840"/>
    <n v="18782225.279991001"/>
  </r>
  <r>
    <x v="123"/>
    <s v="台中港路分行　　　　"/>
    <s v="HB19218"/>
    <n v="64333685.831999406"/>
    <n v="280289830.03595638"/>
    <n v="0"/>
    <n v="20348650.800000001"/>
  </r>
  <r>
    <x v="123"/>
    <s v="台中港路分行　　　　"/>
    <s v="HB20264"/>
    <n v="21041298.126000002"/>
    <n v="98457945.837974995"/>
    <n v="0"/>
    <n v="4550140.3999985997"/>
  </r>
  <r>
    <x v="124"/>
    <s v="大里分行　　　　　　"/>
    <s v="HB12897"/>
    <n v="123821162.8219962"/>
    <n v="742008859.76993036"/>
    <n v="0"/>
    <n v="97586909.689998597"/>
  </r>
  <r>
    <x v="124"/>
    <s v="大里分行　　　　　　"/>
    <s v="HB13886"/>
    <n v="53841989.6339994"/>
    <n v="171590222.79597962"/>
    <n v="0"/>
    <n v="17903375.033999398"/>
  </r>
  <r>
    <x v="124"/>
    <s v="大里分行　　　　　　"/>
    <s v="HB13907"/>
    <n v="30264536.469999596"/>
    <n v="320611093.2619884"/>
    <n v="3611977.2"/>
    <n v="13103730"/>
  </r>
  <r>
    <x v="124"/>
    <s v="大里分行　　　　　　"/>
    <s v="HB16390"/>
    <n v="140654324.96999282"/>
    <n v="620657007.09394145"/>
    <n v="0"/>
    <n v="21240823.5999972"/>
  </r>
  <r>
    <x v="124"/>
    <s v="大里分行　　　　　　"/>
    <s v="HB18883"/>
    <n v="167546264.37199739"/>
    <n v="365668956.89991546"/>
    <n v="331430.40000000002"/>
    <n v="25844040.829999801"/>
  </r>
  <r>
    <x v="125"/>
    <s v="水湳分行　　　　　　"/>
    <s v="HB11389"/>
    <n v="123321765.79800001"/>
    <n v="414394217.63593739"/>
    <n v="0"/>
    <n v="55181239.999999203"/>
  </r>
  <r>
    <x v="125"/>
    <s v="水湳分行　　　　　　"/>
    <s v="HB17024"/>
    <n v="68600731.765998602"/>
    <n v="475960110.36993897"/>
    <n v="897192"/>
    <n v="62107390.119994193"/>
  </r>
  <r>
    <x v="125"/>
    <s v="水湳分行　　　　　　"/>
    <s v="HB18174"/>
    <n v="107159831.35799581"/>
    <n v="417570385.9959234"/>
    <n v="3600000"/>
    <n v="8413269.9999984"/>
  </r>
  <r>
    <x v="126"/>
    <s v="五權分行　　　　　　"/>
    <s v="HB10410"/>
    <n v="75018012.183997199"/>
    <n v="270844902.39795303"/>
    <n v="0"/>
    <n v="32873306.999997597"/>
  </r>
  <r>
    <x v="126"/>
    <s v="五權分行　　　　　　"/>
    <s v="HB10612"/>
    <n v="41230099.203998402"/>
    <n v="89552471.731950611"/>
    <n v="900000"/>
    <n v="13629960"/>
  </r>
  <r>
    <x v="126"/>
    <s v="五權分行　　　　　　"/>
    <s v="HB13349"/>
    <n v="155530312.7319954"/>
    <n v="626232223.73995018"/>
    <n v="0"/>
    <n v="37014792.799996801"/>
  </r>
  <r>
    <x v="126"/>
    <s v="五權分行　　　　　　"/>
    <s v="HB16908"/>
    <n v="153001776.74799961"/>
    <n v="320790632.61792421"/>
    <n v="0"/>
    <n v="14496294.600000001"/>
  </r>
  <r>
    <x v="127"/>
    <s v="大甲分行　　　　　　"/>
    <s v="HB16000"/>
    <n v="104754577.11399901"/>
    <n v="1000389114.3679255"/>
    <n v="0"/>
    <n v="18854881.999999203"/>
  </r>
  <r>
    <x v="127"/>
    <s v="大甲分行　　　　　　"/>
    <s v="HB18397"/>
    <n v="46209099.183996603"/>
    <n v="107707119.847974"/>
    <n v="1977598.8"/>
    <n v="519663.9999996"/>
  </r>
  <r>
    <x v="127"/>
    <s v="大甲分行　　　　　　"/>
    <s v="HB19674"/>
    <n v="56133750.471998401"/>
    <n v="252713653.12188178"/>
    <n v="0"/>
    <n v="42971434.200000003"/>
  </r>
  <r>
    <x v="128"/>
    <s v="太平分行　　　　　　"/>
    <s v="HB12362"/>
    <n v="41250009.491996408"/>
    <n v="276249158.46994317"/>
    <n v="0"/>
    <n v="26910912.816"/>
  </r>
  <r>
    <x v="128"/>
    <s v="太平分行　　　　　　"/>
    <s v="HB16355"/>
    <n v="105480910.15399802"/>
    <n v="1159596664.3658719"/>
    <n v="0"/>
    <n v="38266719.999998406"/>
  </r>
  <r>
    <x v="129"/>
    <s v="中科分行　　　　　　"/>
    <s v="HB17182"/>
    <n v="74501518.025998801"/>
    <n v="374701044.37588382"/>
    <n v="1800000"/>
    <n v="56728244.719998002"/>
  </r>
  <r>
    <x v="129"/>
    <s v="中科分行　　　　　　"/>
    <s v="HB8560"/>
    <n v="56226019.793999404"/>
    <n v="279213639.90593398"/>
    <n v="4317840"/>
    <n v="51740803.999998003"/>
  </r>
  <r>
    <x v="130"/>
    <s v="沙鹿分行　　　　　　"/>
    <s v="HB10689"/>
    <n v="149806685.664"/>
    <n v="502117894.10395265"/>
    <n v="0"/>
    <n v="20022154.9999974"/>
  </r>
  <r>
    <x v="130"/>
    <s v="沙鹿分行　　　　　　"/>
    <s v="HB16121"/>
    <n v="95959371.8419974"/>
    <n v="258752198.90394181"/>
    <n v="0"/>
    <n v="7808330.7999936007"/>
  </r>
  <r>
    <x v="130"/>
    <s v="沙鹿分行　　　　　　"/>
    <s v="HB16957"/>
    <n v="148210861.7959992"/>
    <n v="267657008.59994757"/>
    <n v="0"/>
    <n v="1443639.9999996"/>
  </r>
  <r>
    <x v="130"/>
    <s v="沙鹿分行　　　　　　"/>
    <s v="HB18917"/>
    <n v="60427361.461998597"/>
    <n v="207594855.93197161"/>
    <n v="0"/>
    <n v="2215836"/>
  </r>
  <r>
    <x v="131"/>
    <s v="草屯分行　　　　　　"/>
    <s v="HB10017"/>
    <n v="152448831.92999518"/>
    <n v="430177877.82791823"/>
    <n v="0"/>
    <n v="64353813.619995005"/>
  </r>
  <r>
    <x v="131"/>
    <s v="草屯分行　　　　　　"/>
    <s v="HB11509"/>
    <n v="54956030.587995604"/>
    <n v="349357807.39195621"/>
    <n v="3538080"/>
    <n v="33143488.9999974"/>
  </r>
  <r>
    <x v="131"/>
    <s v="草屯分行　　　　　　"/>
    <s v="HB14384"/>
    <n v="178669246.2919938"/>
    <n v="458067359.52587163"/>
    <n v="3600000"/>
    <n v="115866676.5519924"/>
  </r>
  <r>
    <x v="132"/>
    <s v="南投分行　　　　　　"/>
    <s v="HB10939"/>
    <n v="34146735.227998197"/>
    <n v="110040917.24595422"/>
    <n v="2784960"/>
    <n v="5164794.7560000001"/>
  </r>
  <r>
    <x v="132"/>
    <s v="南投分行　　　　　　"/>
    <s v="HB7241"/>
    <n v="138576241.04399639"/>
    <n v="334715607.56592178"/>
    <n v="1822176"/>
    <n v="22994035.845996603"/>
  </r>
  <r>
    <x v="132"/>
    <s v="南投分行　　　　　　"/>
    <s v="HB7647"/>
    <n v="143994860.83999261"/>
    <n v="296792040.74789882"/>
    <n v="0"/>
    <n v="30378004.739998199"/>
  </r>
  <r>
    <x v="132"/>
    <s v="南投分行　　　　　　"/>
    <s v="HB9803"/>
    <n v="162034334.37199801"/>
    <n v="452102260.17789364"/>
    <n v="1194300"/>
    <n v="34029731.983994998"/>
  </r>
  <r>
    <x v="133"/>
    <s v="彰化分行　　　　　　"/>
    <s v="HB10994"/>
    <n v="178181746.29999542"/>
    <n v="618158376.22993207"/>
    <n v="0"/>
    <n v="84787155.427993208"/>
  </r>
  <r>
    <x v="133"/>
    <s v="彰化分行　　　　　　"/>
    <s v="HB11017"/>
    <n v="193449386.66999578"/>
    <n v="742715968.27192569"/>
    <n v="1800000"/>
    <n v="50363579.951996401"/>
  </r>
  <r>
    <x v="133"/>
    <s v="彰化分行　　　　　　"/>
    <s v="HB12553"/>
    <n v="133743811.8719898"/>
    <n v="641142749.27387524"/>
    <n v="900000"/>
    <n v="77814899.899993807"/>
  </r>
  <r>
    <x v="133"/>
    <s v="彰化分行　　　　　　"/>
    <s v="HB13252"/>
    <n v="43002095.007994205"/>
    <n v="149355263.80994397"/>
    <n v="0"/>
    <n v="15811377.999996599"/>
  </r>
  <r>
    <x v="133"/>
    <s v="彰化分行　　　　　　"/>
    <s v="HB20165"/>
    <n v="29124092.399997599"/>
    <n v="132528403.35596702"/>
    <n v="0"/>
    <n v="11735639.999996401"/>
  </r>
  <r>
    <x v="134"/>
    <s v="和美分行　　　　　　"/>
    <s v="HB18924"/>
    <n v="338990197.0559814"/>
    <n v="700464075.43584418"/>
    <n v="5400000"/>
    <n v="25310823.399995402"/>
  </r>
  <r>
    <x v="134"/>
    <s v="和美分行　　　　　　"/>
    <s v="HB4566"/>
    <n v="408560680.41598618"/>
    <n v="669249540.21992755"/>
    <n v="3600000"/>
    <n v="116082497.3819994"/>
  </r>
  <r>
    <x v="134"/>
    <s v="和美分行　　　　　　"/>
    <s v="HB6323"/>
    <n v="269121692.51799476"/>
    <n v="459202220.43195426"/>
    <n v="0"/>
    <n v="129193167.34799461"/>
  </r>
  <r>
    <x v="134"/>
    <s v="和美分行　　　　　　"/>
    <s v="HB8583"/>
    <n v="299504422.81199163"/>
    <n v="1125919005.0358987"/>
    <n v="5669550"/>
    <n v="30354429.999995999"/>
  </r>
  <r>
    <x v="135"/>
    <s v="員林分行　　　　　　"/>
    <s v="HB14242"/>
    <n v="443202265.53398699"/>
    <n v="630852218.39994121"/>
    <n v="0"/>
    <n v="45792583.019992799"/>
  </r>
  <r>
    <x v="135"/>
    <s v="員林分行　　　　　　"/>
    <s v="HB16486"/>
    <n v="183661348.83999661"/>
    <n v="560682131.57195759"/>
    <n v="1800000"/>
    <n v="7381220.9999994002"/>
  </r>
  <r>
    <x v="135"/>
    <s v="員林分行　　　　　　"/>
    <s v="HB17430"/>
    <n v="192375071.8739928"/>
    <n v="268026756.78194463"/>
    <n v="0"/>
    <n v="14380233.9999984"/>
  </r>
  <r>
    <x v="135"/>
    <s v="員林分行　　　　　　"/>
    <s v="HB4642"/>
    <n v="114130603.75399742"/>
    <n v="200279517.86596861"/>
    <n v="0"/>
    <n v="15405664.799998799"/>
  </r>
  <r>
    <x v="135"/>
    <s v="員林分行　　　　　　"/>
    <s v="HB8526"/>
    <n v="134930431.07999462"/>
    <n v="280492591.65793562"/>
    <n v="0"/>
    <n v="14136029.7799986"/>
  </r>
  <r>
    <x v="135"/>
    <s v="員林分行　　　　　　"/>
    <s v="HB9794"/>
    <n v="219959318.75599444"/>
    <n v="672260638.6919179"/>
    <n v="0"/>
    <n v="9629211.1999967992"/>
  </r>
  <r>
    <x v="136"/>
    <s v="鹿港分行　　　　　　"/>
    <s v="HB10203"/>
    <n v="607516998.13398778"/>
    <n v="2243808534.1078081"/>
    <n v="4866120"/>
    <n v="95773288.799991608"/>
  </r>
  <r>
    <x v="136"/>
    <s v="鹿港分行　　　　　　"/>
    <s v="HB10820"/>
    <n v="190763900.79598981"/>
    <n v="781323251.29188299"/>
    <n v="0"/>
    <n v="28300450.799998797"/>
  </r>
  <r>
    <x v="137"/>
    <s v="溪湖分行　　　　　　"/>
    <s v="HB10229"/>
    <n v="30806023.283996396"/>
    <n v="554824848.10588562"/>
    <n v="0"/>
    <n v="17482709.399997599"/>
  </r>
  <r>
    <x v="137"/>
    <s v="溪湖分行　　　　　　"/>
    <s v="HB11050"/>
    <n v="120108137.80799699"/>
    <n v="873127456.52592611"/>
    <n v="0"/>
    <n v="55111720.999998599"/>
  </r>
  <r>
    <x v="137"/>
    <s v="溪湖分行　　　　　　"/>
    <s v="HB11704"/>
    <n v="115130867.88799441"/>
    <n v="747321367.96987033"/>
    <n v="900000"/>
    <n v="24567925.842"/>
  </r>
  <r>
    <x v="138"/>
    <s v="斗六分行　　　　　　"/>
    <s v="HB10740"/>
    <n v="110007017.2379988"/>
    <n v="343480160.39589894"/>
    <n v="900000"/>
    <n v="41144992.843998596"/>
  </r>
  <r>
    <x v="138"/>
    <s v="斗六分行　　　　　　"/>
    <s v="HB7933"/>
    <n v="193740368.4339948"/>
    <n v="664148082.87989998"/>
    <n v="21600000"/>
    <n v="41114113.599997796"/>
  </r>
  <r>
    <x v="138"/>
    <s v="斗六分行　　　　　　"/>
    <s v="HB8331"/>
    <n v="32830390.599998403"/>
    <n v="178125032.29996079"/>
    <n v="0"/>
    <n v="9692157.0799998008"/>
  </r>
  <r>
    <x v="139"/>
    <s v="虎尾分行　　　　　　"/>
    <s v="HB11032"/>
    <n v="143198406.92199963"/>
    <n v="288797281.12396443"/>
    <n v="0"/>
    <n v="17914755.673999801"/>
  </r>
  <r>
    <x v="139"/>
    <s v="虎尾分行　　　　　　"/>
    <s v="HB12568"/>
    <n v="125661801.6059958"/>
    <n v="327165306.5099628"/>
    <n v="0"/>
    <n v="24841352.999997005"/>
  </r>
  <r>
    <x v="139"/>
    <s v="虎尾分行　　　　　　"/>
    <s v="HB13450"/>
    <n v="121410300.4019964"/>
    <n v="309392018.73394024"/>
    <n v="0"/>
    <n v="22063662"/>
  </r>
  <r>
    <x v="139"/>
    <s v="虎尾分行　　　　　　"/>
    <s v="HB16910"/>
    <n v="342941939.54999459"/>
    <n v="1088622506.4839334"/>
    <n v="1800000"/>
    <n v="34871422.399997398"/>
  </r>
  <r>
    <x v="139"/>
    <s v="虎尾分行　　　　　　"/>
    <s v="HB9657"/>
    <n v="64801707.253997408"/>
    <n v="223693719.49795499"/>
    <n v="0"/>
    <n v="10582949.9999988"/>
  </r>
  <r>
    <x v="140"/>
    <s v="西螺分行　　　　　　"/>
    <s v="HB13296"/>
    <n v="41213642.121997207"/>
    <n v="365341405.79395264"/>
    <n v="0"/>
    <n v="14697423.999997199"/>
  </r>
  <r>
    <x v="140"/>
    <s v="西螺分行　　　　　　"/>
    <s v="HB14132"/>
    <n v="106382391.90199742"/>
    <n v="862851990.66593218"/>
    <n v="0"/>
    <n v="24797593.955998801"/>
  </r>
  <r>
    <x v="140"/>
    <s v="西螺分行　　　　　　"/>
    <s v="HB19353"/>
    <n v="116783231.24599379"/>
    <n v="395872632.61591321"/>
    <n v="0"/>
    <n v="13809228.912"/>
  </r>
  <r>
    <x v="141"/>
    <s v="嘉義分行　　　　　　"/>
    <s v="HB12750"/>
    <n v="74364416.233997405"/>
    <n v="229825738.0219734"/>
    <n v="0"/>
    <n v="24034369.999995001"/>
  </r>
  <r>
    <x v="141"/>
    <s v="嘉義分行　　　　　　"/>
    <s v="HB12997"/>
    <n v="57308453.905998603"/>
    <n v="274509563.74597263"/>
    <n v="2277000"/>
    <n v="25726299.999998398"/>
  </r>
  <r>
    <x v="141"/>
    <s v="嘉義分行　　　　　　"/>
    <s v="HB16098"/>
    <n v="151232136.8339898"/>
    <n v="445580693.88989043"/>
    <n v="1260000"/>
    <n v="25118685.677995197"/>
  </r>
  <r>
    <x v="141"/>
    <s v="嘉義分行　　　　　　"/>
    <s v="HB16491"/>
    <n v="34684706.443993203"/>
    <n v="126776442.69592379"/>
    <n v="0"/>
    <n v="9574473.9999978002"/>
  </r>
  <r>
    <x v="141"/>
    <s v="嘉義分行　　　　　　"/>
    <s v="HB9651"/>
    <n v="146291266.90599662"/>
    <n v="335337068.78595543"/>
    <n v="0"/>
    <n v="14373499.999998601"/>
  </r>
  <r>
    <x v="142"/>
    <s v="嘉南分行　　　　　　"/>
    <s v="HB10239"/>
    <n v="56801082.851999998"/>
    <n v="421935902.39798099"/>
    <n v="1800000"/>
    <n v="108259538.27199841"/>
  </r>
  <r>
    <x v="142"/>
    <s v="嘉南分行　　　　　　"/>
    <s v="HB11806"/>
    <n v="23569707.699997202"/>
    <n v="91606960.509957001"/>
    <n v="0"/>
    <n v="23620626"/>
  </r>
  <r>
    <x v="142"/>
    <s v="嘉南分行　　　　　　"/>
    <s v="HB14624"/>
    <n v="84762907.139997005"/>
    <n v="425663010.78393602"/>
    <n v="0"/>
    <n v="69619988.599995598"/>
  </r>
  <r>
    <x v="142"/>
    <s v="嘉南分行　　　　　　"/>
    <s v="HB16122"/>
    <n v="153156951.52999198"/>
    <n v="426039205.19388485"/>
    <n v="900000"/>
    <n v="139320033.80399281"/>
  </r>
  <r>
    <x v="143"/>
    <s v="朴子分行　　　　　　"/>
    <s v="HB14121"/>
    <n v="166510427.51599377"/>
    <n v="561072395.45593441"/>
    <n v="0"/>
    <n v="8443239.5999934003"/>
  </r>
  <r>
    <x v="143"/>
    <s v="朴子分行　　　　　　"/>
    <s v="HB17528"/>
    <n v="205847194.223997"/>
    <n v="665512940.56190038"/>
    <n v="0"/>
    <n v="21532469.999995798"/>
  </r>
  <r>
    <x v="143"/>
    <s v="朴子分行　　　　　　"/>
    <s v="HB18022"/>
    <n v="33477243.821999997"/>
    <n v="161569022.05395001"/>
    <n v="0"/>
    <n v="6903355.1999994004"/>
  </r>
  <r>
    <x v="144"/>
    <s v="新營分行　　　　　　"/>
    <s v="HB11249"/>
    <n v="79269747.897997797"/>
    <n v="334716583.91392082"/>
    <n v="1800000"/>
    <n v="17387476.559999999"/>
  </r>
  <r>
    <x v="144"/>
    <s v="新營分行　　　　　　"/>
    <s v="HB13248"/>
    <n v="143807115.86599863"/>
    <n v="352094554.84995544"/>
    <n v="0"/>
    <n v="13381190.779995002"/>
  </r>
  <r>
    <x v="144"/>
    <s v="新營分行　　　　　　"/>
    <s v="HB14884"/>
    <n v="42504044.901998401"/>
    <n v="197312010.74196661"/>
    <n v="0"/>
    <n v="13596997.5999972"/>
  </r>
  <r>
    <x v="144"/>
    <s v="新營分行　　　　　　"/>
    <s v="HB18144"/>
    <n v="66988693.6279938"/>
    <n v="205541410.1819292"/>
    <n v="0"/>
    <n v="11317894.9999974"/>
  </r>
  <r>
    <x v="144"/>
    <s v="新營分行　　　　　　"/>
    <s v="HB18154"/>
    <n v="77151991.823998213"/>
    <n v="318735921.81194639"/>
    <n v="900000"/>
    <n v="10449022.923999"/>
  </r>
  <r>
    <x v="145"/>
    <s v="麻豆分行　　　　　　"/>
    <s v="HB10087"/>
    <n v="122306419.9139922"/>
    <n v="434253884.68594623"/>
    <n v="5400000"/>
    <n v="93691422.981995404"/>
  </r>
  <r>
    <x v="145"/>
    <s v="麻豆分行　　　　　　"/>
    <s v="HB16605"/>
    <n v="247977371.4159942"/>
    <n v="769303526.15189695"/>
    <n v="3901680"/>
    <n v="54388853.599995002"/>
  </r>
  <r>
    <x v="145"/>
    <s v="麻豆分行　　　　　　"/>
    <s v="HB18931"/>
    <n v="259230413.77399078"/>
    <n v="488146554.58389485"/>
    <n v="12600000"/>
    <n v="33736740.149996996"/>
  </r>
  <r>
    <x v="146"/>
    <s v="永康分行　　　　　　"/>
    <s v="HB10310"/>
    <n v="197640464.3279928"/>
    <n v="751185918.44391787"/>
    <n v="2079720"/>
    <n v="466819515.32596743"/>
  </r>
  <r>
    <x v="146"/>
    <s v="永康分行　　　　　　"/>
    <s v="HB11033"/>
    <n v="26243210.449996199"/>
    <n v="212971788.75796562"/>
    <n v="0"/>
    <n v="12229891.999999199"/>
  </r>
  <r>
    <x v="146"/>
    <s v="永康分行　　　　　　"/>
    <s v="HB11656"/>
    <n v="49376117.109995998"/>
    <n v="160453641.58196402"/>
    <n v="0"/>
    <n v="11848130.4959982"/>
  </r>
  <r>
    <x v="146"/>
    <s v="永康分行　　　　　　"/>
    <s v="HB16232"/>
    <n v="85714921.481995791"/>
    <n v="332081190.80593026"/>
    <n v="0"/>
    <n v="22569258.999997802"/>
  </r>
  <r>
    <x v="147"/>
    <s v="台南分行　　　　　　"/>
    <s v="HB11052"/>
    <n v="25788679.967998803"/>
    <n v="168909145.0359804"/>
    <n v="0"/>
    <n v="22880696.999999404"/>
  </r>
  <r>
    <x v="147"/>
    <s v="台南分行　　　　　　"/>
    <s v="HB13084"/>
    <n v="255582453.7319994"/>
    <n v="414841582.49397123"/>
    <n v="0"/>
    <n v="63510046.399998009"/>
  </r>
  <r>
    <x v="147"/>
    <s v="台南分行　　　　　　"/>
    <s v="HB14949"/>
    <n v="120670670.45599741"/>
    <n v="653782906.41390181"/>
    <n v="7181919.9999989998"/>
    <n v="57159341.599996805"/>
  </r>
  <r>
    <x v="147"/>
    <s v="台南分行　　　　　　"/>
    <s v="HB14966"/>
    <n v="90184429.553997606"/>
    <n v="500655230.61393237"/>
    <n v="2727810"/>
    <n v="56613490.599996001"/>
  </r>
  <r>
    <x v="147"/>
    <s v="台南分行　　　　　　"/>
    <s v="HB16852"/>
    <n v="68790335.0479974"/>
    <n v="252616019.84994063"/>
    <n v="1359419.9999994"/>
    <n v="27884299.9999968"/>
  </r>
  <r>
    <x v="147"/>
    <s v="台南分行　　　　　　"/>
    <s v="HB18155"/>
    <n v="49949057.159999996"/>
    <n v="242797850.0259372"/>
    <n v="0"/>
    <n v="71553459.999999598"/>
  </r>
  <r>
    <x v="148"/>
    <s v="東台南分行　　　　　"/>
    <s v="HB15523"/>
    <n v="166463315.75999522"/>
    <n v="616029827.9779098"/>
    <n v="0"/>
    <n v="4735743.9999984"/>
  </r>
  <r>
    <x v="148"/>
    <s v="東台南分行　　　　　"/>
    <s v="HB16881"/>
    <n v="192344619.44599563"/>
    <n v="949572353.18593085"/>
    <n v="0"/>
    <n v="79494855.999998406"/>
  </r>
  <r>
    <x v="148"/>
    <s v="東台南分行　　　　　"/>
    <s v="HB5031"/>
    <n v="95269459.287997797"/>
    <n v="472641868.07996762"/>
    <n v="0"/>
    <n v="11159999.999998201"/>
  </r>
  <r>
    <x v="148"/>
    <s v="東台南分行　　　　　"/>
    <s v="HB7295"/>
    <n v="118600970.74399441"/>
    <n v="500183964.58395958"/>
    <n v="0"/>
    <n v="11647035.479998801"/>
  </r>
  <r>
    <x v="149"/>
    <s v="西台南分行　　　　　"/>
    <s v="HB12752"/>
    <n v="100130910.51999602"/>
    <n v="242752755.2079618"/>
    <n v="2184894"/>
    <n v="26005515.9979968"/>
  </r>
  <r>
    <x v="149"/>
    <s v="西台南分行　　　　　"/>
    <s v="HB14471"/>
    <n v="187404028.71598619"/>
    <n v="677965535.71190453"/>
    <n v="3873870"/>
    <n v="26286400.999994397"/>
  </r>
  <r>
    <x v="149"/>
    <s v="西台南分行　　　　　"/>
    <s v="HB17243"/>
    <n v="32592242.287997998"/>
    <n v="313929008.23795736"/>
    <n v="0"/>
    <n v="57977118.519996606"/>
  </r>
  <r>
    <x v="150"/>
    <s v="北台南分行　　　　　"/>
    <s v="HB14336"/>
    <n v="141513684.21199441"/>
    <n v="387068630.52394623"/>
    <n v="4650120"/>
    <n v="137329603.19999281"/>
  </r>
  <r>
    <x v="150"/>
    <s v="北台南分行　　　　　"/>
    <s v="HB14726"/>
    <n v="106481310.16399381"/>
    <n v="442452014.59793043"/>
    <n v="8742780"/>
    <n v="71795401.639995605"/>
  </r>
  <r>
    <x v="150"/>
    <s v="北台南分行　　　　　"/>
    <s v="HB17420"/>
    <n v="23761448.129995201"/>
    <n v="69849729.507977992"/>
    <n v="0"/>
    <n v="311999.9999994"/>
  </r>
  <r>
    <x v="150"/>
    <s v="北台南分行　　　　　"/>
    <s v="HB18857"/>
    <n v="24418270.699997403"/>
    <n v="146026445.75595719"/>
    <n v="0"/>
    <n v="9070009.9999991991"/>
  </r>
  <r>
    <x v="151"/>
    <s v="南都分行　　　　　　"/>
    <s v="HB13600"/>
    <n v="44732404.4099994"/>
    <n v="813831751.56394267"/>
    <n v="3399999.9999984"/>
    <n v="101143391.59999621"/>
  </r>
  <r>
    <x v="151"/>
    <s v="南都分行　　　　　　"/>
    <s v="HB16290"/>
    <n v="52062045.876000002"/>
    <n v="262898248.40193239"/>
    <n v="900000"/>
    <n v="21203252.3999952"/>
  </r>
  <r>
    <x v="151"/>
    <s v="南都分行　　　　　　"/>
    <s v="HB17087"/>
    <n v="101200815.7499952"/>
    <n v="484495083.94995356"/>
    <n v="0"/>
    <n v="84943381.199999392"/>
  </r>
  <r>
    <x v="151"/>
    <s v="南都分行　　　　　　"/>
    <s v="HB18935"/>
    <n v="45473692.371998399"/>
    <n v="228126649.4459208"/>
    <n v="2797200"/>
    <n v="39971994.143999398"/>
  </r>
  <r>
    <x v="152"/>
    <s v="安南分行　　　　　　"/>
    <s v="HB10156"/>
    <n v="147698309.03199482"/>
    <n v="494602081.83395994"/>
    <n v="0"/>
    <n v="29888807.739996601"/>
  </r>
  <r>
    <x v="152"/>
    <s v="安南分行　　　　　　"/>
    <s v="HB15419"/>
    <n v="323856406.65199316"/>
    <n v="490943074.18790877"/>
    <n v="11301840"/>
    <n v="32116225.999998603"/>
  </r>
  <r>
    <x v="152"/>
    <s v="安南分行　　　　　　"/>
    <s v="HB7377"/>
    <n v="266780260.44199443"/>
    <n v="318911675.86994755"/>
    <n v="0"/>
    <n v="2972226.2999976003"/>
  </r>
  <r>
    <x v="153"/>
    <s v="仁德分行　　　　　　"/>
    <s v="HB13539"/>
    <n v="959935273.2659899"/>
    <n v="714805849.80188644"/>
    <n v="2059920"/>
    <n v="30445842.469996803"/>
  </r>
  <r>
    <x v="153"/>
    <s v="仁德分行　　　　　　"/>
    <s v="HB18012"/>
    <n v="560415866.67798841"/>
    <n v="1105133996.7758665"/>
    <n v="14053320"/>
    <n v="36172976.599996202"/>
  </r>
  <r>
    <x v="154"/>
    <s v="新市分行　　　　　　"/>
    <s v="HB11383"/>
    <n v="88515231.791994005"/>
    <n v="207112592.38595581"/>
    <n v="1263517.2000000002"/>
    <n v="47297807.389996201"/>
  </r>
  <r>
    <x v="154"/>
    <s v="新市分行　　　　　　"/>
    <s v="HB12814"/>
    <n v="49478081.607995398"/>
    <n v="106453310.34198061"/>
    <n v="2015919.999999"/>
    <n v="11943083.399997601"/>
  </r>
  <r>
    <x v="154"/>
    <s v="新市分行　　　　　　"/>
    <s v="HB16237"/>
    <n v="294265269.94799876"/>
    <n v="380712687.86196899"/>
    <n v="5650740"/>
    <n v="39624601.199995801"/>
  </r>
  <r>
    <x v="154"/>
    <s v="新市分行　　　　　　"/>
    <s v="HB18423"/>
    <n v="71196505.465996802"/>
    <n v="373375433.16791999"/>
    <n v="1800000"/>
    <n v="5746928.5999998003"/>
  </r>
  <r>
    <x v="155"/>
    <s v="金華分行　　　　　　"/>
    <s v="HB10547"/>
    <n v="220585428.56398863"/>
    <n v="850006750.40188205"/>
    <n v="1925640"/>
    <n v="10270160.999996401"/>
  </r>
  <r>
    <x v="155"/>
    <s v="金華分行　　　　　　"/>
    <s v="HB14133"/>
    <n v="213169185.17798582"/>
    <n v="615935386.6419313"/>
    <n v="0"/>
    <n v="30402229.9999968"/>
  </r>
  <r>
    <x v="155"/>
    <s v="金華分行　　　　　　"/>
    <s v="HB9110"/>
    <n v="122622089.65999562"/>
    <n v="379615425.96796024"/>
    <n v="0"/>
    <n v="1275726.9999978"/>
  </r>
  <r>
    <x v="156"/>
    <s v="高雄分行　　　　　　"/>
    <s v="HB13598"/>
    <n v="220213991.57799241"/>
    <n v="581208048.76994276"/>
    <n v="13310706.699999001"/>
    <n v="31838277.199998602"/>
  </r>
  <r>
    <x v="156"/>
    <s v="高雄分行　　　　　　"/>
    <s v="HB16156"/>
    <n v="38770994.211998403"/>
    <n v="308411113.49393034"/>
    <n v="3186000"/>
    <n v="22984415.577995397"/>
  </r>
  <r>
    <x v="156"/>
    <s v="高雄分行　　　　　　"/>
    <s v="HB16366"/>
    <n v="78344245.749997795"/>
    <n v="207152744.96596682"/>
    <n v="0"/>
    <n v="67788892.039998591"/>
  </r>
  <r>
    <x v="156"/>
    <s v="高雄分行　　　　　　"/>
    <s v="HB18016"/>
    <n v="39919628.319998398"/>
    <n v="229063565.92596841"/>
    <n v="2149092"/>
    <n v="28809769.5"/>
  </r>
  <r>
    <x v="157"/>
    <s v="東苓分行　　　　　　"/>
    <s v="HB10286"/>
    <n v="25884895.285999801"/>
    <n v="158891820.92194861"/>
    <n v="2226719.9999988"/>
    <n v="4523022"/>
  </r>
  <r>
    <x v="157"/>
    <s v="東苓分行　　　　　　"/>
    <s v="HB19168"/>
    <n v="33879099.683997005"/>
    <n v="152440641.3559356"/>
    <n v="0"/>
    <n v="4792516.6859981995"/>
  </r>
  <r>
    <x v="157"/>
    <s v="東苓分行　　　　　　"/>
    <s v="HB9923"/>
    <n v="208872277.70399821"/>
    <n v="730836597.00588667"/>
    <n v="4471139.9999988005"/>
    <n v="30264584.649996601"/>
  </r>
  <r>
    <x v="158"/>
    <s v="新興分行　　　　　　"/>
    <s v="HB16357"/>
    <n v="111633386.66999641"/>
    <n v="644902589.40191102"/>
    <n v="0"/>
    <n v="44434632.807997204"/>
  </r>
  <r>
    <x v="158"/>
    <s v="新興分行　　　　　　"/>
    <s v="HB16599"/>
    <n v="45884034.555996604"/>
    <n v="320066755.91990101"/>
    <n v="2108160"/>
    <n v="107626184.44399621"/>
  </r>
  <r>
    <x v="159"/>
    <s v="高雄三民分行　　　　"/>
    <s v="HB13599"/>
    <n v="85265547.8179968"/>
    <n v="476130810.92981219"/>
    <n v="7462980"/>
    <n v="34951331.455993801"/>
  </r>
  <r>
    <x v="159"/>
    <s v="高雄三民分行　　　　"/>
    <s v="HB14727"/>
    <n v="60041788.293997802"/>
    <n v="439507566.89593923"/>
    <n v="2800890"/>
    <n v="72119991.231997192"/>
  </r>
  <r>
    <x v="160"/>
    <s v="苓雅分行　　　　　　"/>
    <s v="HB16517"/>
    <n v="16138496.279997002"/>
    <n v="123704104.205934"/>
    <n v="0"/>
    <n v="20718509.999999404"/>
  </r>
  <r>
    <x v="160"/>
    <s v="苓雅分行　　　　　　"/>
    <s v="HB17247"/>
    <n v="64055752.975994393"/>
    <n v="315897382.53390777"/>
    <n v="0"/>
    <n v="147503843.99998921"/>
  </r>
  <r>
    <x v="160"/>
    <s v="苓雅分行　　　　　　"/>
    <s v="HB7798"/>
    <n v="71778159.041997597"/>
    <n v="354578613.91589701"/>
    <n v="4979839.9999985993"/>
    <n v="79544625.583996803"/>
  </r>
  <r>
    <x v="161"/>
    <s v="前鎮分行　　　　　　"/>
    <s v="HB10160"/>
    <n v="12689457.624"/>
    <n v="149954317.22195822"/>
    <n v="0"/>
    <n v="8377499.9999988005"/>
  </r>
  <r>
    <x v="161"/>
    <s v="前鎮分行　　　　　　"/>
    <s v="HB12523"/>
    <n v="55895243.597998202"/>
    <n v="222924196.8419508"/>
    <n v="0"/>
    <n v="3110435.9999981998"/>
  </r>
  <r>
    <x v="161"/>
    <s v="前鎮分行　　　　　　"/>
    <s v="HB17073"/>
    <n v="67518182.775997803"/>
    <n v="332447382.28392124"/>
    <n v="0"/>
    <n v="18586453.499998201"/>
  </r>
  <r>
    <x v="162"/>
    <s v="高雄博愛分行　　　　"/>
    <s v="HB13545"/>
    <n v="71504191.871998206"/>
    <n v="215880591.07195562"/>
    <n v="900000"/>
    <n v="24745073.799999602"/>
  </r>
  <r>
    <x v="162"/>
    <s v="高雄博愛分行　　　　"/>
    <s v="HB15990"/>
    <n v="139988323.71999538"/>
    <n v="664972296.14396167"/>
    <n v="4494798"/>
    <n v="34266075.511995003"/>
  </r>
  <r>
    <x v="162"/>
    <s v="高雄博愛分行　　　　"/>
    <s v="HB17439"/>
    <n v="96511709.897996411"/>
    <n v="256773623.91591424"/>
    <n v="1028520"/>
    <n v="15058137.799998"/>
  </r>
  <r>
    <x v="163"/>
    <s v="南高雄分行　　　　　"/>
    <s v="HB10662"/>
    <n v="68795014.379997611"/>
    <n v="242892809.74596602"/>
    <n v="3932598.6"/>
    <n v="72616641.967997998"/>
  </r>
  <r>
    <x v="163"/>
    <s v="南高雄分行　　　　　"/>
    <s v="HB14629"/>
    <n v="68384833.281997204"/>
    <n v="242971042.20993721"/>
    <n v="0"/>
    <n v="13817349.999999002"/>
  </r>
  <r>
    <x v="163"/>
    <s v="南高雄分行　　　　　"/>
    <s v="HB17403"/>
    <n v="70536324.709997997"/>
    <n v="119868843.5999766"/>
    <n v="3600000"/>
    <n v="8287920"/>
  </r>
  <r>
    <x v="164"/>
    <s v="東高雄分行　　　　　"/>
    <s v="HB11141"/>
    <n v="53960240.493997201"/>
    <n v="361582374.6499356"/>
    <n v="0"/>
    <n v="39301081.863996595"/>
  </r>
  <r>
    <x v="164"/>
    <s v="東高雄分行　　　　　"/>
    <s v="HB7716"/>
    <n v="169893009.46198982"/>
    <n v="516622131.0039258"/>
    <n v="12867005.9999988"/>
    <n v="94200283.421998203"/>
  </r>
  <r>
    <x v="165"/>
    <s v="大昌分行　　　　　　"/>
    <s v="HB10250"/>
    <n v="132592874.3639982"/>
    <n v="332347756.23595619"/>
    <n v="5973300"/>
    <n v="37086598.999999799"/>
  </r>
  <r>
    <x v="165"/>
    <s v="大昌分行　　　　　　"/>
    <s v="HB17139"/>
    <n v="68534870.763997793"/>
    <n v="134811709.99395299"/>
    <n v="0"/>
    <n v="10373400"/>
  </r>
  <r>
    <x v="165"/>
    <s v="大昌分行　　　　　　"/>
    <s v="HB17530"/>
    <n v="66735963.713996999"/>
    <n v="299152907.39195281"/>
    <n v="2700000"/>
    <n v="19116665.100000001"/>
  </r>
  <r>
    <x v="165"/>
    <s v="大昌分行　　　　　　"/>
    <s v="HB9873"/>
    <n v="51727624.517997004"/>
    <n v="144021314.379969"/>
    <n v="1809375.48"/>
    <n v="28242824.999995802"/>
  </r>
  <r>
    <x v="166"/>
    <s v="北高雄分行　　　　　"/>
    <s v="HB14175"/>
    <n v="13155509.16"/>
    <n v="275256527.01197761"/>
    <n v="0"/>
    <n v="24789661.089998402"/>
  </r>
  <r>
    <x v="166"/>
    <s v="北高雄分行　　　　　"/>
    <s v="HB14808"/>
    <n v="101193779.7219978"/>
    <n v="601166994.46794903"/>
    <n v="5400000"/>
    <n v="32285481.919997402"/>
  </r>
  <r>
    <x v="166"/>
    <s v="北高雄分行　　　　　"/>
    <s v="HB16401"/>
    <n v="155483888.09399462"/>
    <n v="1046206266.1919173"/>
    <n v="10785999.999999601"/>
    <n v="62999475.703993797"/>
  </r>
  <r>
    <x v="166"/>
    <s v="北高雄分行　　　　　"/>
    <s v="HB19966"/>
    <n v="30475588.035997804"/>
    <n v="141906363.33597481"/>
    <n v="2599999.9999992"/>
    <n v="5839279.9999973997"/>
  </r>
  <r>
    <x v="167"/>
    <s v="楠梓分行　　　　　　"/>
    <s v="HB14124"/>
    <n v="26942191.605997201"/>
    <n v="305880513.99993539"/>
    <n v="7356960"/>
    <n v="91857142.781992808"/>
  </r>
  <r>
    <x v="167"/>
    <s v="楠梓分行　　　　　　"/>
    <s v="HB14557"/>
    <n v="167215632.32399398"/>
    <n v="595268090.93385541"/>
    <n v="0"/>
    <n v="42551712.999993593"/>
  </r>
  <r>
    <x v="167"/>
    <s v="楠梓分行　　　　　　"/>
    <s v="HB19954"/>
    <n v="23656474.689994801"/>
    <n v="103536675.607968"/>
    <n v="0"/>
    <n v="5833713.9999995995"/>
  </r>
  <r>
    <x v="168"/>
    <s v="左營分行　　　　　　"/>
    <s v="HB14673"/>
    <n v="37592053.542000003"/>
    <n v="297460615.41995037"/>
    <n v="0"/>
    <n v="14064209.399998801"/>
  </r>
  <r>
    <x v="168"/>
    <s v="左營分行　　　　　　"/>
    <s v="HB14922"/>
    <n v="76320206.381998807"/>
    <n v="298848076.35789961"/>
    <n v="0"/>
    <n v="25055125.254000001"/>
  </r>
  <r>
    <x v="169"/>
    <s v="岡山分行　　　　　　"/>
    <s v="HB16246"/>
    <n v="182102832.6839982"/>
    <n v="346169176.95997083"/>
    <n v="1151748"/>
    <n v="23842433.9999988"/>
  </r>
  <r>
    <x v="169"/>
    <s v="岡山分行　　　　　　"/>
    <s v="HB17335"/>
    <n v="60505615.801998004"/>
    <n v="235545760.997973"/>
    <n v="900028.8"/>
    <n v="22271723.999998201"/>
  </r>
  <r>
    <x v="169"/>
    <s v="岡山分行　　　　　　"/>
    <s v="HB18064"/>
    <n v="142113876.5119932"/>
    <n v="1020674247.7039001"/>
    <n v="0"/>
    <n v="34160761.999994405"/>
  </r>
  <r>
    <x v="169"/>
    <s v="岡山分行　　　　　　"/>
    <s v="HB19499"/>
    <n v="28528401.803999402"/>
    <n v="205985068.03395721"/>
    <n v="0"/>
    <n v="25511803.999999203"/>
  </r>
  <r>
    <x v="170"/>
    <s v="鳳山分行　　　　　　"/>
    <s v="HB13544"/>
    <n v="127602225.85598999"/>
    <n v="258793294.36395419"/>
    <n v="0"/>
    <n v="3599559"/>
  </r>
  <r>
    <x v="170"/>
    <s v="鳳山分行　　　　　　"/>
    <s v="HB14735"/>
    <n v="134258178.87999541"/>
    <n v="528347503.94192278"/>
    <n v="1080000"/>
    <n v="30216955.999998603"/>
  </r>
  <r>
    <x v="170"/>
    <s v="鳳山分行　　　　　　"/>
    <s v="HB15410"/>
    <n v="50697370.119995996"/>
    <n v="448186576.6259532"/>
    <n v="1800000"/>
    <n v="17437245.399997201"/>
  </r>
  <r>
    <x v="170"/>
    <s v="鳳山分行　　　　　　"/>
    <s v="HB19978"/>
    <n v="47473937.637998402"/>
    <n v="109981552.6159758"/>
    <n v="0"/>
    <n v="7632720"/>
  </r>
  <r>
    <x v="171"/>
    <s v="路竹分行　　　　　　"/>
    <s v="HB15158"/>
    <n v="93923004.671999991"/>
    <n v="251602449.65996581"/>
    <n v="0"/>
    <n v="8343079.9999992"/>
  </r>
  <r>
    <x v="171"/>
    <s v="路竹分行　　　　　　"/>
    <s v="HB15595"/>
    <n v="145507420.73799539"/>
    <n v="326003243.99795997"/>
    <n v="0"/>
    <n v="50995743.999998406"/>
  </r>
  <r>
    <x v="171"/>
    <s v="路竹分行　　　　　　"/>
    <s v="HB19187"/>
    <n v="68576336.0359938"/>
    <n v="222307628.5719468"/>
    <n v="0"/>
    <n v="676861.59999960009"/>
  </r>
  <r>
    <x v="171"/>
    <s v="路竹分行　　　　　　"/>
    <s v="HB7062"/>
    <n v="228847182.12999362"/>
    <n v="586819831.36596119"/>
    <n v="2588130"/>
    <n v="21182277.600000001"/>
  </r>
  <r>
    <x v="172"/>
    <s v="仁武分行　　　　　　"/>
    <s v="HB10844"/>
    <n v="160772107.063995"/>
    <n v="414088079.40194046"/>
    <n v="20246199.999998398"/>
    <n v="33653251.199997"/>
  </r>
  <r>
    <x v="172"/>
    <s v="仁武分行　　　　　　"/>
    <s v="HB13029"/>
    <n v="40830120.905997604"/>
    <n v="400526275.45392901"/>
    <n v="0"/>
    <n v="43327871.999996401"/>
  </r>
  <r>
    <x v="172"/>
    <s v="仁武分行　　　　　　"/>
    <s v="HB13836"/>
    <n v="3101989.7599991998"/>
    <n v="132409931.2099596"/>
    <n v="199999.9999998"/>
    <n v="4221759.9999995995"/>
  </r>
  <r>
    <x v="173"/>
    <s v="籬仔內分行　　　　　"/>
    <s v="HB15876"/>
    <n v="186920316.2699964"/>
    <n v="394701350.88189423"/>
    <n v="0"/>
    <n v="10386419.9999994"/>
  </r>
  <r>
    <x v="173"/>
    <s v="籬仔內分行　　　　　"/>
    <s v="HB18944"/>
    <n v="199109815.2699948"/>
    <n v="531269638.35991555"/>
    <n v="0"/>
    <n v="18199863"/>
  </r>
  <r>
    <x v="174"/>
    <s v="五甲分行　　　　　　"/>
    <s v="HB15741"/>
    <n v="81940509.263998806"/>
    <n v="318629876.11396563"/>
    <n v="5216519.9999988005"/>
    <n v="35325599.999999404"/>
  </r>
  <r>
    <x v="174"/>
    <s v="五甲分行　　　　　　"/>
    <s v="HB17103"/>
    <n v="52857776.669997603"/>
    <n v="204942951.99796319"/>
    <n v="1088688.42"/>
    <n v="11392433.531996399"/>
  </r>
  <r>
    <x v="174"/>
    <s v="五甲分行　　　　　　"/>
    <s v="HB17652"/>
    <n v="82642868.185996801"/>
    <n v="448977010.6079514"/>
    <n v="0"/>
    <n v="58224555"/>
  </r>
  <r>
    <x v="174"/>
    <s v="五甲分行　　　　　　"/>
    <s v="HB18015"/>
    <n v="66826135.831994995"/>
    <n v="493273960.00194603"/>
    <n v="0"/>
    <n v="19942204.399997402"/>
  </r>
  <r>
    <x v="175"/>
    <s v="光華分行　　　　　　"/>
    <s v="HB16650"/>
    <n v="58478801.073996603"/>
    <n v="402614213.47395658"/>
    <n v="1800000"/>
    <n v="64209468.039994806"/>
  </r>
  <r>
    <x v="175"/>
    <s v="光華分行　　　　　　"/>
    <s v="HB17331"/>
    <n v="67808665.073997006"/>
    <n v="304224928.25792217"/>
    <n v="1080000"/>
    <n v="24165257.599996202"/>
  </r>
  <r>
    <x v="175"/>
    <s v="光華分行　　　　　　"/>
    <s v="HB19956"/>
    <n v="25780631.0619996"/>
    <n v="123097946.02396742"/>
    <n v="0"/>
    <n v="9835562.9999988005"/>
  </r>
  <r>
    <x v="176"/>
    <s v="小港分行　　　　　　"/>
    <s v="HB13569"/>
    <n v="432417151.46399403"/>
    <n v="422437126.07992864"/>
    <n v="6258636"/>
    <n v="23346758.199994199"/>
  </r>
  <r>
    <x v="176"/>
    <s v="小港分行　　　　　　"/>
    <s v="HB16402"/>
    <n v="525353874.47197562"/>
    <n v="522778269.2239368"/>
    <n v="2833560"/>
    <n v="15687668.999997001"/>
  </r>
  <r>
    <x v="176"/>
    <s v="小港分行　　　　　　"/>
    <s v="HB19006"/>
    <n v="115815064.401999"/>
    <n v="59622443.577961199"/>
    <n v="0"/>
    <n v="11839500"/>
  </r>
  <r>
    <x v="177"/>
    <s v="高雄桂林分行　　　　"/>
    <s v="HB17176"/>
    <n v="181177420.06199521"/>
    <n v="623639014.68586874"/>
    <n v="0"/>
    <n v="61139084.287998602"/>
  </r>
  <r>
    <x v="177"/>
    <s v="高雄桂林分行　　　　"/>
    <s v="HB17650"/>
    <n v="76123312.775996417"/>
    <n v="169859290.0499388"/>
    <n v="0"/>
    <n v="15293893.999998599"/>
  </r>
  <r>
    <x v="178"/>
    <s v="屏東分行　　　　　　"/>
    <s v="HB11016"/>
    <n v="83984040.95399639"/>
    <n v="442438576.32389581"/>
    <n v="2739843"/>
    <n v="35690657.0399964"/>
  </r>
  <r>
    <x v="178"/>
    <s v="屏東分行　　　　　　"/>
    <s v="HB13355"/>
    <n v="164442047.24399579"/>
    <n v="416959660.78191"/>
    <n v="4585860"/>
    <n v="44658540.0259974"/>
  </r>
  <r>
    <x v="178"/>
    <s v="屏東分行　　　　　　"/>
    <s v="HB20178"/>
    <n v="44944882.7299992"/>
    <n v="75007608.965967596"/>
    <n v="0"/>
    <n v="5658999.9999984"/>
  </r>
  <r>
    <x v="178"/>
    <s v="屏東分行　　　　　　"/>
    <s v="HB9011"/>
    <n v="88777408.657996804"/>
    <n v="308290437.24195778"/>
    <n v="3589380"/>
    <n v="51207702.039993599"/>
  </r>
  <r>
    <x v="179"/>
    <s v="內埔分行　　　　　　"/>
    <s v="HB14241"/>
    <n v="275512173.73799038"/>
    <n v="486452758.90995002"/>
    <n v="15640004.599999201"/>
    <n v="101902097.89599121"/>
  </r>
  <r>
    <x v="179"/>
    <s v="內埔分行　　　　　　"/>
    <s v="HB18494"/>
    <n v="238543684.85998619"/>
    <n v="627878271.39788699"/>
    <n v="3600000"/>
    <n v="85859462.721994191"/>
  </r>
  <r>
    <x v="179"/>
    <s v="內埔分行　　　　　　"/>
    <s v="HB9023"/>
    <n v="170009320.79599559"/>
    <n v="411849624.17394722"/>
    <n v="0"/>
    <n v="57796227.599997595"/>
  </r>
  <r>
    <x v="179"/>
    <s v="內埔分行　　　　　　"/>
    <s v="HB9545"/>
    <n v="44870723.655996606"/>
    <n v="134952526.285965"/>
    <n v="419999.9999994"/>
    <n v="45896232.481997401"/>
  </r>
  <r>
    <x v="180"/>
    <s v="潮州分行　　　　　　"/>
    <s v="HB10335"/>
    <n v="105790795.06599721"/>
    <n v="637193657.09390223"/>
    <n v="0"/>
    <n v="81351202.989992395"/>
  </r>
  <r>
    <x v="180"/>
    <s v="潮州分行　　　　　　"/>
    <s v="HB16245"/>
    <n v="154781013.301992"/>
    <n v="561037027.12191355"/>
    <n v="1435644"/>
    <n v="75616276.999998599"/>
  </r>
  <r>
    <x v="180"/>
    <s v="潮州分行　　　　　　"/>
    <s v="HB7667"/>
    <n v="99639555.255991817"/>
    <n v="573019253.17593837"/>
    <n v="5989109.9999994002"/>
    <n v="62283008.421997204"/>
  </r>
  <r>
    <x v="181"/>
    <s v="佳冬分行　　　　　　"/>
    <s v="HB14034"/>
    <n v="146794770.26599678"/>
    <n v="717041256.6778903"/>
    <n v="0"/>
    <n v="47640211.999999203"/>
  </r>
  <r>
    <x v="181"/>
    <s v="佳冬分行　　　　　　"/>
    <s v="HB16986"/>
    <n v="24464827.995998401"/>
    <n v="389949951.44991964"/>
    <n v="900000"/>
    <n v="25992117.999995403"/>
  </r>
  <r>
    <x v="182"/>
    <s v="花蓮分行　　　　　　"/>
    <s v="HB12176"/>
    <n v="62264798.859995998"/>
    <n v="295115470.02791822"/>
    <n v="0"/>
    <n v="15572025"/>
  </r>
  <r>
    <x v="182"/>
    <s v="花蓮分行　　　　　　"/>
    <s v="HB13601"/>
    <n v="169087102.04399401"/>
    <n v="376938396.44593382"/>
    <n v="0"/>
    <n v="109347030.39999601"/>
  </r>
  <r>
    <x v="182"/>
    <s v="花蓮分行　　　　　　"/>
    <s v="HB14223"/>
    <n v="17775217.311996598"/>
    <n v="105809526.14397842"/>
    <n v="6049919.9999988005"/>
    <n v="1411799.9999994"/>
  </r>
  <r>
    <x v="182"/>
    <s v="花蓮分行　　　　　　"/>
    <s v="HB15355"/>
    <n v="48096904.251997799"/>
    <n v="266991422.60392022"/>
    <n v="11353618.999998"/>
    <n v="21287098.051997401"/>
  </r>
  <r>
    <x v="183"/>
    <s v="台東分行　　　　　　"/>
    <s v="HB11118"/>
    <n v="100099071.06599879"/>
    <n v="282063736.49995804"/>
    <n v="1350000"/>
    <n v="51796883.199996002"/>
  </r>
  <r>
    <x v="183"/>
    <s v="台東分行　　　　　　"/>
    <s v="HB16856"/>
    <n v="14060144.531998802"/>
    <n v="160275424.93997037"/>
    <n v="0"/>
    <n v="30673675.199998803"/>
  </r>
  <r>
    <x v="183"/>
    <s v="台東分行　　　　　　"/>
    <s v="HB7809"/>
    <n v="129990570.50599742"/>
    <n v="365439197.55594063"/>
    <n v="2854800"/>
    <n v="95752423.599996611"/>
  </r>
  <r>
    <x v="184"/>
    <s v="營運總部分行　　　　"/>
    <s v="HB13274"/>
    <n v="29854882.481999405"/>
    <n v="216438138.56596321"/>
    <n v="0"/>
    <n v="22890287.9999988"/>
  </r>
  <r>
    <x v="184"/>
    <s v="營運總部分行　　　　"/>
    <s v="HB17454"/>
    <n v="32769244.007998202"/>
    <n v="124732282.72391821"/>
    <n v="0"/>
    <n v="23598821.4999983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3">
  <r>
    <x v="0"/>
    <s v="營業部　　　　　　　"/>
    <s v="HB14946"/>
    <n v="665468939.75987267"/>
  </r>
  <r>
    <x v="0"/>
    <s v="營業部　　　　　　　"/>
    <s v="HB15807"/>
    <n v="206412008.08728221"/>
  </r>
  <r>
    <x v="0"/>
    <s v="營業部　　　　　　　"/>
    <s v="HB15924"/>
    <n v="254655007.3385514"/>
  </r>
  <r>
    <x v="0"/>
    <s v="營業部　　　　　　　"/>
    <s v="HB18339"/>
    <n v="125043677.0443906"/>
  </r>
  <r>
    <x v="0"/>
    <s v="營業部　　　　　　　"/>
    <s v="HB18603"/>
    <n v="558560976.43879819"/>
  </r>
  <r>
    <x v="0"/>
    <s v="營業部　　　　　　　"/>
    <s v="HB19264"/>
    <n v="147008962.692159"/>
  </r>
  <r>
    <x v="0"/>
    <s v="營業部　　　　　　　"/>
    <s v="HB19306"/>
    <n v="83993704.320620999"/>
  </r>
  <r>
    <x v="1"/>
    <s v="儲蓄分行　　　　　　"/>
    <s v="HB17960"/>
    <n v="97082753.564156801"/>
  </r>
  <r>
    <x v="1"/>
    <s v="儲蓄分行　　　　　　"/>
    <s v="HB19099"/>
    <n v="144899567.9572688"/>
  </r>
  <r>
    <x v="1"/>
    <s v="儲蓄分行　　　　　　"/>
    <s v="HB20008"/>
    <n v="240367987.20971"/>
  </r>
  <r>
    <x v="2"/>
    <s v="城內分行　　　　　　"/>
    <s v="HB14729"/>
    <n v="232565062.640762"/>
  </r>
  <r>
    <x v="2"/>
    <s v="城內分行　　　　　　"/>
    <s v="HB16465"/>
    <n v="111940119.4650676"/>
  </r>
  <r>
    <x v="2"/>
    <s v="城內分行　　　　　　"/>
    <s v="HB16814"/>
    <n v="101198226.85328661"/>
  </r>
  <r>
    <x v="3"/>
    <s v="大稻埕分行　　　　　"/>
    <s v="HB15570"/>
    <n v="232953160.93285841"/>
  </r>
  <r>
    <x v="3"/>
    <s v="大稻埕分行　　　　　"/>
    <s v="HB16941"/>
    <n v="611245762.94432139"/>
  </r>
  <r>
    <x v="3"/>
    <s v="大稻埕分行　　　　　"/>
    <s v="HB9717"/>
    <n v="127211002.0148626"/>
  </r>
  <r>
    <x v="3"/>
    <s v="大稻埕分行　　　　　"/>
    <s v="HB9935"/>
    <n v="597325027.90456605"/>
  </r>
  <r>
    <x v="4"/>
    <s v="建成分行　　　　　　"/>
    <s v="HB14751"/>
    <n v="676495575.19318128"/>
  </r>
  <r>
    <x v="4"/>
    <s v="建成分行　　　　　　"/>
    <s v="HB15953"/>
    <n v="197854882.81146261"/>
  </r>
  <r>
    <x v="5"/>
    <s v="中山分行　　　　　　"/>
    <s v="HB11100"/>
    <n v="476738640.91879284"/>
  </r>
  <r>
    <x v="5"/>
    <s v="中山分行　　　　　　"/>
    <s v="HB14468"/>
    <n v="112178241.5026044"/>
  </r>
  <r>
    <x v="5"/>
    <s v="中山分行　　　　　　"/>
    <s v="HB14744"/>
    <n v="480949174.4576326"/>
  </r>
  <r>
    <x v="5"/>
    <s v="中山分行　　　　　　"/>
    <s v="HB9918"/>
    <n v="104199719.69841221"/>
  </r>
  <r>
    <x v="6"/>
    <s v="圓山分行　　　　　　"/>
    <s v="HB14209"/>
    <n v="159985840.81125939"/>
  </r>
  <r>
    <x v="6"/>
    <s v="圓山分行　　　　　　"/>
    <s v="HB15810"/>
    <n v="745092047.08677888"/>
  </r>
  <r>
    <x v="6"/>
    <s v="圓山分行　　　　　　"/>
    <s v="HB16973"/>
    <n v="290515755.99126184"/>
  </r>
  <r>
    <x v="6"/>
    <s v="圓山分行　　　　　　"/>
    <s v="HB18277"/>
    <n v="388216344.44518578"/>
  </r>
  <r>
    <x v="6"/>
    <s v="圓山分行　　　　　　"/>
    <s v="HB18718"/>
    <n v="322069390.44862437"/>
  </r>
  <r>
    <x v="6"/>
    <s v="圓山分行　　　　　　"/>
    <s v="HB18891"/>
    <n v="833550913.43193054"/>
  </r>
  <r>
    <x v="7"/>
    <s v="城東分行　　　　　　"/>
    <s v="HB15557"/>
    <n v="56179035.287524"/>
  </r>
  <r>
    <x v="7"/>
    <s v="城東分行　　　　　　"/>
    <s v="HB15973"/>
    <n v="60035677.126854397"/>
  </r>
  <r>
    <x v="7"/>
    <s v="城東分行　　　　　　"/>
    <s v="HB16100"/>
    <n v="229638922.08950263"/>
  </r>
  <r>
    <x v="7"/>
    <s v="城東分行　　　　　　"/>
    <s v="HB17926"/>
    <n v="448659224.11405838"/>
  </r>
  <r>
    <x v="7"/>
    <s v="城東分行　　　　　　"/>
    <s v="HB18181"/>
    <n v="109981314.8719438"/>
  </r>
  <r>
    <x v="7"/>
    <s v="城東分行　　　　　　"/>
    <s v="HB18556"/>
    <n v="440181541.19573557"/>
  </r>
  <r>
    <x v="7"/>
    <s v="城東分行　　　　　　"/>
    <s v="HB6906"/>
    <n v="165969849.24152079"/>
  </r>
  <r>
    <x v="8"/>
    <s v="西門分行　　　　　　"/>
    <s v="HB15434"/>
    <n v="148844636.023862"/>
  </r>
  <r>
    <x v="8"/>
    <s v="西門分行　　　　　　"/>
    <s v="HB9231"/>
    <n v="436656091.69856781"/>
  </r>
  <r>
    <x v="9"/>
    <s v="南松山分行　　　　　"/>
    <s v="HB15190"/>
    <n v="273285930.12884063"/>
  </r>
  <r>
    <x v="9"/>
    <s v="南松山分行　　　　　"/>
    <s v="HB17834"/>
    <n v="188153618.19145578"/>
  </r>
  <r>
    <x v="9"/>
    <s v="南松山分行　　　　　"/>
    <s v="HB18173"/>
    <n v="136912788.2879608"/>
  </r>
  <r>
    <x v="9"/>
    <s v="南松山分行　　　　　"/>
    <s v="HB18597"/>
    <n v="59412533.536851197"/>
  </r>
  <r>
    <x v="10"/>
    <s v="仁愛路分行　　　　　"/>
    <s v="HB12010"/>
    <n v="1761601730.8503456"/>
  </r>
  <r>
    <x v="10"/>
    <s v="仁愛路分行　　　　　"/>
    <s v="HB15906"/>
    <n v="240025869.07395181"/>
  </r>
  <r>
    <x v="10"/>
    <s v="仁愛路分行　　　　　"/>
    <s v="HB16734"/>
    <n v="395058244.73526239"/>
  </r>
  <r>
    <x v="10"/>
    <s v="仁愛路分行　　　　　"/>
    <s v="HB17525"/>
    <n v="462323666.89738464"/>
  </r>
  <r>
    <x v="11"/>
    <s v="南京東路分行　　　　"/>
    <s v="HB10600"/>
    <n v="705785690.29278421"/>
  </r>
  <r>
    <x v="11"/>
    <s v="南京東路分行　　　　"/>
    <s v="HB13562"/>
    <n v="380947015.72457802"/>
  </r>
  <r>
    <x v="11"/>
    <s v="南京東路分行　　　　"/>
    <s v="HB16420"/>
    <n v="258828818.72630438"/>
  </r>
  <r>
    <x v="11"/>
    <s v="南京東路分行　　　　"/>
    <s v="HB17534"/>
    <n v="162070913.40307999"/>
  </r>
  <r>
    <x v="11"/>
    <s v="南京東路分行　　　　"/>
    <s v="HB8121"/>
    <n v="43671943.7279782"/>
  </r>
  <r>
    <x v="12"/>
    <s v="新生分行　　　　　　"/>
    <s v="HB14013"/>
    <n v="255925040.9372842"/>
  </r>
  <r>
    <x v="12"/>
    <s v="新生分行　　　　　　"/>
    <s v="HB1581"/>
    <n v="662308238.57459557"/>
  </r>
  <r>
    <x v="12"/>
    <s v="新生分行　　　　　　"/>
    <s v="HB16448"/>
    <n v="69681729.348423004"/>
  </r>
  <r>
    <x v="12"/>
    <s v="新生分行　　　　　　"/>
    <s v="HB17624"/>
    <n v="208625698.1759094"/>
  </r>
  <r>
    <x v="12"/>
    <s v="新生分行　　　　　　"/>
    <s v="HB17681"/>
    <n v="221278924.0654718"/>
  </r>
  <r>
    <x v="12"/>
    <s v="新生分行　　　　　　"/>
    <s v="HB9162"/>
    <n v="426131357.00971419"/>
  </r>
  <r>
    <x v="13"/>
    <s v="大同分行　　　　　　"/>
    <s v="HB13549"/>
    <n v="720159956.48833966"/>
  </r>
  <r>
    <x v="13"/>
    <s v="大同分行　　　　　　"/>
    <s v="HB16106"/>
    <n v="587956832.00540829"/>
  </r>
  <r>
    <x v="13"/>
    <s v="大同分行　　　　　　"/>
    <s v="HB17641"/>
    <n v="94338188.228414595"/>
  </r>
  <r>
    <x v="14"/>
    <s v="松山分行　　　　　　"/>
    <s v="HB14721"/>
    <n v="285632767.08895338"/>
  </r>
  <r>
    <x v="14"/>
    <s v="松山分行　　　　　　"/>
    <s v="HB2092"/>
    <n v="208122011.6737442"/>
  </r>
  <r>
    <x v="15"/>
    <s v="中崙分行　　　　　　"/>
    <s v="HB13270"/>
    <n v="394469350.34679675"/>
  </r>
  <r>
    <x v="15"/>
    <s v="中崙分行　　　　　　"/>
    <s v="HB14522"/>
    <n v="195163638.4712956"/>
  </r>
  <r>
    <x v="15"/>
    <s v="中崙分行　　　　　　"/>
    <s v="HB15122"/>
    <n v="120895111.9550232"/>
  </r>
  <r>
    <x v="16"/>
    <s v="南門分行　　　　　　"/>
    <s v="HB14701"/>
    <n v="105503482.45795681"/>
  </r>
  <r>
    <x v="16"/>
    <s v="南門分行　　　　　　"/>
    <s v="HB14717"/>
    <n v="489519221.89593422"/>
  </r>
  <r>
    <x v="16"/>
    <s v="南門分行　　　　　　"/>
    <s v="HB16280"/>
    <n v="224981979.98189062"/>
  </r>
  <r>
    <x v="16"/>
    <s v="南門分行　　　　　　"/>
    <s v="HB16773"/>
    <n v="444016299.59790564"/>
  </r>
  <r>
    <x v="16"/>
    <s v="南門分行　　　　　　"/>
    <s v="HB18993"/>
    <n v="88886709.83839941"/>
  </r>
  <r>
    <x v="17"/>
    <s v="公館分行　　　　　　"/>
    <s v="HB13683"/>
    <n v="208904804.49974418"/>
  </r>
  <r>
    <x v="17"/>
    <s v="公館分行　　　　　　"/>
    <s v="HB15860"/>
    <n v="421259308.94572365"/>
  </r>
  <r>
    <x v="17"/>
    <s v="公館分行　　　　　　"/>
    <s v="HB17071"/>
    <n v="426983747.47296083"/>
  </r>
  <r>
    <x v="17"/>
    <s v="公館分行　　　　　　"/>
    <s v="HB17966"/>
    <n v="225226624.0972726"/>
  </r>
  <r>
    <x v="17"/>
    <s v="公館分行　　　　　　"/>
    <s v="HB20235"/>
    <n v="141946643.232849"/>
  </r>
  <r>
    <x v="18"/>
    <s v="信義分行　　　　　　"/>
    <s v="HB16899"/>
    <n v="504555274.62413085"/>
  </r>
  <r>
    <x v="18"/>
    <s v="信義分行　　　　　　"/>
    <s v="HB19905"/>
    <n v="99862730.643940195"/>
  </r>
  <r>
    <x v="18"/>
    <s v="信義分行　　　　　　"/>
    <s v="HB7873"/>
    <n v="209093101.9183906"/>
  </r>
  <r>
    <x v="19"/>
    <s v="忠孝東路分行　　　　"/>
    <s v="HB11953"/>
    <n v="237938956.79571101"/>
  </r>
  <r>
    <x v="19"/>
    <s v="忠孝東路分行　　　　"/>
    <s v="HB12081"/>
    <n v="232083289.010849"/>
  </r>
  <r>
    <x v="19"/>
    <s v="忠孝東路分行　　　　"/>
    <s v="HB12478"/>
    <n v="278363967.26107281"/>
  </r>
  <r>
    <x v="19"/>
    <s v="忠孝東路分行　　　　"/>
    <s v="HB15188"/>
    <n v="398151246.43082583"/>
  </r>
  <r>
    <x v="19"/>
    <s v="忠孝東路分行　　　　"/>
    <s v="HB15191"/>
    <n v="299911857.7212258"/>
  </r>
  <r>
    <x v="20"/>
    <s v="和平分行　　　　　　"/>
    <s v="HB13557"/>
    <n v="265527537.75613141"/>
  </r>
  <r>
    <x v="20"/>
    <s v="和平分行　　　　　　"/>
    <s v="HB15052"/>
    <n v="300733293.7132594"/>
  </r>
  <r>
    <x v="20"/>
    <s v="和平分行　　　　　　"/>
    <s v="HB19288"/>
    <n v="204236862.37771541"/>
  </r>
  <r>
    <x v="20"/>
    <s v="和平分行　　　　　　"/>
    <s v="HB8366"/>
    <n v="124515471.22241139"/>
  </r>
  <r>
    <x v="21"/>
    <s v="雙園分行　　　　　　"/>
    <s v="HB13339"/>
    <n v="464571300.61614478"/>
  </r>
  <r>
    <x v="21"/>
    <s v="雙園分行　　　　　　"/>
    <s v="HB13406"/>
    <n v="358357734.97160447"/>
  </r>
  <r>
    <x v="21"/>
    <s v="雙園分行　　　　　　"/>
    <s v="HB8833"/>
    <n v="366369338.44127661"/>
  </r>
  <r>
    <x v="22"/>
    <s v="士林分行　　　　　　"/>
    <s v="HB15470"/>
    <n v="296527633.1234616"/>
  </r>
  <r>
    <x v="22"/>
    <s v="士林分行　　　　　　"/>
    <s v="HB15827"/>
    <n v="412235561.09700823"/>
  </r>
  <r>
    <x v="22"/>
    <s v="士林分行　　　　　　"/>
    <s v="HB16455"/>
    <n v="335865605.22768486"/>
  </r>
  <r>
    <x v="22"/>
    <s v="士林分行　　　　　　"/>
    <s v="HB18238"/>
    <n v="69686891.645527393"/>
  </r>
  <r>
    <x v="23"/>
    <s v="東台北分行　　　　　"/>
    <s v="HB12606"/>
    <n v="455607186.32015121"/>
  </r>
  <r>
    <x v="23"/>
    <s v="東台北分行　　　　　"/>
    <s v="HB17072"/>
    <n v="204946201.55343318"/>
  </r>
  <r>
    <x v="23"/>
    <s v="東台北分行　　　　　"/>
    <s v="HB18337"/>
    <n v="152457854.05127901"/>
  </r>
  <r>
    <x v="24"/>
    <s v="大安分行　　　　　　"/>
    <s v="HB13932"/>
    <n v="550314622.2794137"/>
  </r>
  <r>
    <x v="24"/>
    <s v="大安分行　　　　　　"/>
    <s v="HB15834"/>
    <n v="920510994.83769369"/>
  </r>
  <r>
    <x v="24"/>
    <s v="大安分行　　　　　　"/>
    <s v="HB16192"/>
    <n v="142218123.5893012"/>
  </r>
  <r>
    <x v="24"/>
    <s v="大安分行　　　　　　"/>
    <s v="HB16426"/>
    <n v="85071726.684414208"/>
  </r>
  <r>
    <x v="25"/>
    <s v="民生分行　　　　　　"/>
    <s v="HB15237"/>
    <n v="416347684.1489954"/>
  </r>
  <r>
    <x v="25"/>
    <s v="民生分行　　　　　　"/>
    <s v="HB15648"/>
    <n v="226699788.42880362"/>
  </r>
  <r>
    <x v="25"/>
    <s v="民生分行　　　　　　"/>
    <s v="HB7487"/>
    <n v="90787472.087965205"/>
  </r>
  <r>
    <x v="25"/>
    <s v="民生分行　　　　　　"/>
    <s v="HB9105"/>
    <n v="419126203.588615"/>
  </r>
  <r>
    <x v="26"/>
    <s v="復興分行　　　　　　"/>
    <s v="HB13332"/>
    <n v="667121205.53869879"/>
  </r>
  <r>
    <x v="26"/>
    <s v="復興分行　　　　　　"/>
    <s v="HB8470"/>
    <n v="384943411.9441542"/>
  </r>
  <r>
    <x v="27"/>
    <s v="龍江分行　　　　　　"/>
    <s v="HB11974"/>
    <n v="304774430.72237897"/>
  </r>
  <r>
    <x v="27"/>
    <s v="龍江分行　　　　　　"/>
    <s v="HB14597"/>
    <n v="395977701.40363199"/>
  </r>
  <r>
    <x v="28"/>
    <s v="永吉分行　　　　　　"/>
    <s v="HB13464"/>
    <n v="753942777.76543069"/>
  </r>
  <r>
    <x v="28"/>
    <s v="永吉分行　　　　　　"/>
    <s v="HB19598"/>
    <n v="53128961.927526005"/>
  </r>
  <r>
    <x v="28"/>
    <s v="永吉分行　　　　　　"/>
    <s v="HB7822"/>
    <n v="329059344.87258542"/>
  </r>
  <r>
    <x v="28"/>
    <s v="永吉分行　　　　　　"/>
    <s v="HB8688"/>
    <n v="168832045.16952622"/>
  </r>
  <r>
    <x v="29"/>
    <s v="敦化分行　　　　　　"/>
    <s v="HB15968"/>
    <n v="491557096.53147262"/>
  </r>
  <r>
    <x v="29"/>
    <s v="敦化分行　　　　　　"/>
    <s v="HB16134"/>
    <n v="164510927.2061792"/>
  </r>
  <r>
    <x v="29"/>
    <s v="敦化分行　　　　　　"/>
    <s v="HB9299"/>
    <n v="102098439.5450702"/>
  </r>
  <r>
    <x v="30"/>
    <s v="大直分行　　　　　　"/>
    <s v="HB17372"/>
    <n v="537122357.46586168"/>
  </r>
  <r>
    <x v="31"/>
    <s v="敦和分行　　　　　　"/>
    <s v="HB14027"/>
    <n v="64197785.190395802"/>
  </r>
  <r>
    <x v="31"/>
    <s v="敦和分行　　　　　　"/>
    <s v="HB15436"/>
    <n v="313437219.70946586"/>
  </r>
  <r>
    <x v="31"/>
    <s v="敦和分行　　　　　　"/>
    <s v="HB16367"/>
    <n v="494724710.68701541"/>
  </r>
  <r>
    <x v="32"/>
    <s v="東湖分行　　　　　　"/>
    <s v="HB14911"/>
    <n v="338890411.63015079"/>
  </r>
  <r>
    <x v="32"/>
    <s v="東湖分行　　　　　　"/>
    <s v="HB18622"/>
    <n v="130814374.10674942"/>
  </r>
  <r>
    <x v="32"/>
    <s v="東湖分行　　　　　　"/>
    <s v="HB7758"/>
    <n v="276248025.38570464"/>
  </r>
  <r>
    <x v="33"/>
    <s v="東興分行　　　　　　"/>
    <s v="HB15602"/>
    <n v="230586728.92701861"/>
  </r>
  <r>
    <x v="33"/>
    <s v="東興分行　　　　　　"/>
    <s v="HB18610"/>
    <n v="135773596.78550521"/>
  </r>
  <r>
    <x v="33"/>
    <s v="東興分行　　　　　　"/>
    <s v="HB18903"/>
    <n v="35973760.146872401"/>
  </r>
  <r>
    <x v="34"/>
    <s v="北南港分行　　　　　"/>
    <s v="HB11657"/>
    <n v="732883675.99751306"/>
  </r>
  <r>
    <x v="35"/>
    <s v="南內湖分行　　　　　"/>
    <s v="HB16717"/>
    <n v="267168594.3290188"/>
  </r>
  <r>
    <x v="35"/>
    <s v="南內湖分行　　　　　"/>
    <s v="HB18826"/>
    <n v="280883597.49501497"/>
  </r>
  <r>
    <x v="36"/>
    <s v="長安分行　　　　　　"/>
    <s v="HB13572"/>
    <n v="467896461.31351781"/>
  </r>
  <r>
    <x v="36"/>
    <s v="長安分行　　　　　　"/>
    <s v="HB16929"/>
    <n v="280309513.04699564"/>
  </r>
  <r>
    <x v="37"/>
    <s v="懷生分行　　　　　　"/>
    <s v="HB13330"/>
    <n v="284024060.69012678"/>
  </r>
  <r>
    <x v="37"/>
    <s v="懷生分行　　　　　　"/>
    <s v="HB13583"/>
    <n v="331845532.08658826"/>
  </r>
  <r>
    <x v="37"/>
    <s v="懷生分行　　　　　　"/>
    <s v="HB19424"/>
    <n v="86097990.295076996"/>
  </r>
  <r>
    <x v="37"/>
    <s v="懷生分行　　　　　　"/>
    <s v="HB7924"/>
    <n v="366916145.03725648"/>
  </r>
  <r>
    <x v="38"/>
    <s v="中華路分行　　　　　"/>
    <s v="HB12577"/>
    <n v="214057495.59484321"/>
  </r>
  <r>
    <x v="38"/>
    <s v="中華路分行　　　　　"/>
    <s v="HB15481"/>
    <n v="151044067.49547961"/>
  </r>
  <r>
    <x v="38"/>
    <s v="中華路分行　　　　　"/>
    <s v="HB16376"/>
    <n v="224624822.94167483"/>
  </r>
  <r>
    <x v="39"/>
    <s v="信維分行　　　　　　"/>
    <s v="HB10758"/>
    <n v="472599374.62858003"/>
  </r>
  <r>
    <x v="39"/>
    <s v="信維分行　　　　　　"/>
    <s v="HB15069"/>
    <n v="132982894.80730501"/>
  </r>
  <r>
    <x v="39"/>
    <s v="信維分行　　　　　　"/>
    <s v="HB15869"/>
    <n v="225597128.63899982"/>
  </r>
  <r>
    <x v="39"/>
    <s v="信維分行　　　　　　"/>
    <s v="HB9721"/>
    <n v="41395233.273531199"/>
  </r>
  <r>
    <x v="40"/>
    <s v="埔墘分行　　　　　　"/>
    <s v="HB12398"/>
    <n v="237847320.19971979"/>
  </r>
  <r>
    <x v="40"/>
    <s v="埔墘分行　　　　　　"/>
    <s v="HB13297"/>
    <n v="347349505.67395842"/>
  </r>
  <r>
    <x v="40"/>
    <s v="埔墘分行　　　　　　"/>
    <s v="HB15872"/>
    <n v="130358898.1543842"/>
  </r>
  <r>
    <x v="40"/>
    <s v="埔墘分行　　　　　　"/>
    <s v="HB17897"/>
    <n v="108845155.38881619"/>
  </r>
  <r>
    <x v="40"/>
    <s v="埔墘分行　　　　　　"/>
    <s v="HB17932"/>
    <n v="470826824.6785686"/>
  </r>
  <r>
    <x v="41"/>
    <s v="石牌分行　　　　　　"/>
    <s v="HB11231"/>
    <n v="160241855.7086226"/>
  </r>
  <r>
    <x v="41"/>
    <s v="石牌分行　　　　　　"/>
    <s v="HB12924"/>
    <n v="363829830.37252259"/>
  </r>
  <r>
    <x v="41"/>
    <s v="石牌分行　　　　　　"/>
    <s v="HB15240"/>
    <n v="124748224.15263641"/>
  </r>
  <r>
    <x v="41"/>
    <s v="石牌分行　　　　　　"/>
    <s v="HB17078"/>
    <n v="579125545.85925519"/>
  </r>
  <r>
    <x v="41"/>
    <s v="石牌分行　　　　　　"/>
    <s v="HB9695"/>
    <n v="246881115.56395262"/>
  </r>
  <r>
    <x v="42"/>
    <s v="瑞祥分行　　　　　　"/>
    <s v="HB10040"/>
    <n v="47060897.1215306"/>
  </r>
  <r>
    <x v="42"/>
    <s v="瑞祥分行　　　　　　"/>
    <s v="HB13074"/>
    <n v="553650132.36169577"/>
  </r>
  <r>
    <x v="42"/>
    <s v="瑞祥分行　　　　　　"/>
    <s v="HB15040"/>
    <n v="139088416.72902042"/>
  </r>
  <r>
    <x v="42"/>
    <s v="瑞祥分行　　　　　　"/>
    <s v="HB17181"/>
    <n v="298997763.41859996"/>
  </r>
  <r>
    <x v="43"/>
    <s v="台大分行　　　　　　"/>
    <s v="HB8213"/>
    <n v="422649429.32603759"/>
  </r>
  <r>
    <x v="44"/>
    <s v="世貿分行　　　　　　"/>
    <s v="HB16200"/>
    <n v="148668931.55483979"/>
  </r>
  <r>
    <x v="44"/>
    <s v="世貿分行　　　　　　"/>
    <s v="HB17249"/>
    <n v="501305383.13879162"/>
  </r>
  <r>
    <x v="44"/>
    <s v="世貿分行　　　　　　"/>
    <s v="HB18063"/>
    <n v="327928915.58194143"/>
  </r>
  <r>
    <x v="45"/>
    <s v="萬華分行　　　　　　"/>
    <s v="HB14742"/>
    <n v="289388314.06189239"/>
  </r>
  <r>
    <x v="45"/>
    <s v="萬華分行　　　　　　"/>
    <s v="HB18575"/>
    <n v="47010352.1119546"/>
  </r>
  <r>
    <x v="45"/>
    <s v="萬華分行　　　　　　"/>
    <s v="HB9232"/>
    <n v="906237667.29878259"/>
  </r>
  <r>
    <x v="46"/>
    <s v="南港分行　　　　　　"/>
    <s v="HB10707"/>
    <n v="528537878.30726784"/>
  </r>
  <r>
    <x v="46"/>
    <s v="南港分行　　　　　　"/>
    <s v="HB14647"/>
    <n v="131099000.6258834"/>
  </r>
  <r>
    <x v="46"/>
    <s v="南港分行　　　　　　"/>
    <s v="HB17028"/>
    <n v="238545867.86408961"/>
  </r>
  <r>
    <x v="47"/>
    <s v="華江分行　　　　　　"/>
    <s v="HB11060"/>
    <n v="120815678.0888304"/>
  </r>
  <r>
    <x v="47"/>
    <s v="華江分行　　　　　　"/>
    <s v="HB12091"/>
    <n v="214349088.16772223"/>
  </r>
  <r>
    <x v="47"/>
    <s v="華江分行　　　　　　"/>
    <s v="HB14880"/>
    <n v="283437647.65793478"/>
  </r>
  <r>
    <x v="47"/>
    <s v="華江分行　　　　　　"/>
    <s v="HB16104"/>
    <n v="257028898.53528041"/>
  </r>
  <r>
    <x v="47"/>
    <s v="華江分行　　　　　　"/>
    <s v="HB16364"/>
    <n v="379505072.24856699"/>
  </r>
  <r>
    <x v="47"/>
    <s v="華江分行　　　　　　"/>
    <s v="HB19748"/>
    <n v="193195299.1810478"/>
  </r>
  <r>
    <x v="48"/>
    <s v="板橋分行　　　　　　"/>
    <s v="HB13335"/>
    <n v="510628545.124237"/>
  </r>
  <r>
    <x v="48"/>
    <s v="板橋分行　　　　　　"/>
    <s v="HB13362"/>
    <n v="298258291.51372862"/>
  </r>
  <r>
    <x v="48"/>
    <s v="板橋分行　　　　　　"/>
    <s v="HB17120"/>
    <n v="108554394.0463808"/>
  </r>
  <r>
    <x v="49"/>
    <s v="三重分行　　　　　　"/>
    <s v="HB15982"/>
    <n v="325795252.4216814"/>
  </r>
  <r>
    <x v="49"/>
    <s v="三重分行　　　　　　"/>
    <s v="HB8670"/>
    <n v="312947958.5667758"/>
  </r>
  <r>
    <x v="50"/>
    <s v="北三重分行　　　　　"/>
    <s v="HB11198"/>
    <n v="103683192.35619961"/>
  </r>
  <r>
    <x v="50"/>
    <s v="北三重分行　　　　　"/>
    <s v="HB15808"/>
    <n v="481679115.26369643"/>
  </r>
  <r>
    <x v="50"/>
    <s v="北三重分行　　　　　"/>
    <s v="HB16128"/>
    <n v="772762340.5541302"/>
  </r>
  <r>
    <x v="50"/>
    <s v="北三重分行　　　　　"/>
    <s v="HB16174"/>
    <n v="98293092.70082061"/>
  </r>
  <r>
    <x v="50"/>
    <s v="北三重分行　　　　　"/>
    <s v="HB16950"/>
    <n v="70393991.481941998"/>
  </r>
  <r>
    <x v="50"/>
    <s v="北三重分行　　　　　"/>
    <s v="HB17074"/>
    <n v="176461342.05840799"/>
  </r>
  <r>
    <x v="51"/>
    <s v="新莊分行　　　　　　"/>
    <s v="HB10632"/>
    <n v="58102869.262639001"/>
  </r>
  <r>
    <x v="51"/>
    <s v="新莊分行　　　　　　"/>
    <s v="HB12393"/>
    <n v="391057637.13319421"/>
  </r>
  <r>
    <x v="51"/>
    <s v="新莊分行　　　　　　"/>
    <s v="HB18866"/>
    <n v="93785710.020620793"/>
  </r>
  <r>
    <x v="51"/>
    <s v="新莊分行　　　　　　"/>
    <s v="HB9731"/>
    <n v="395021426.32946318"/>
  </r>
  <r>
    <x v="52"/>
    <s v="永和分行　　　　　　"/>
    <s v="HB14617"/>
    <n v="247618220.146606"/>
  </r>
  <r>
    <x v="52"/>
    <s v="永和分行　　　　　　"/>
    <s v="HB14763"/>
    <n v="451637988.00054359"/>
  </r>
  <r>
    <x v="52"/>
    <s v="永和分行　　　　　　"/>
    <s v="HB15622"/>
    <n v="162602175.59411001"/>
  </r>
  <r>
    <x v="53"/>
    <s v="中和分行　　　　　　"/>
    <s v="HB13559"/>
    <n v="146747200.33012259"/>
  </r>
  <r>
    <x v="53"/>
    <s v="中和分行　　　　　　"/>
    <s v="HB13588"/>
    <n v="953903910.79968691"/>
  </r>
  <r>
    <x v="53"/>
    <s v="中和分行　　　　　　"/>
    <s v="HB18583"/>
    <n v="236922091.62729061"/>
  </r>
  <r>
    <x v="53"/>
    <s v="中和分行　　　　　　"/>
    <s v="HB19332"/>
    <n v="79024091.521504998"/>
  </r>
  <r>
    <x v="54"/>
    <s v="新店分行　　　　　　"/>
    <s v="HB12229"/>
    <n v="224630273.08546001"/>
  </r>
  <r>
    <x v="54"/>
    <s v="新店分行　　　　　　"/>
    <s v="HB15187"/>
    <n v="423547015.38391101"/>
  </r>
  <r>
    <x v="54"/>
    <s v="新店分行　　　　　　"/>
    <s v="HB17748"/>
    <n v="102975088.608358"/>
  </r>
  <r>
    <x v="54"/>
    <s v="新店分行　　　　　　"/>
    <s v="HB7907"/>
    <n v="263333762.3556866"/>
  </r>
  <r>
    <x v="55"/>
    <s v="淡水分行　　　　　　"/>
    <s v="HB11500"/>
    <n v="578665997.2979244"/>
  </r>
  <r>
    <x v="55"/>
    <s v="淡水分行　　　　　　"/>
    <s v="HB14032"/>
    <n v="327836731.1458506"/>
  </r>
  <r>
    <x v="55"/>
    <s v="淡水分行　　　　　　"/>
    <s v="HB15858"/>
    <n v="90341672.432181805"/>
  </r>
  <r>
    <x v="55"/>
    <s v="淡水分行　　　　　　"/>
    <s v="HB20049"/>
    <n v="364613117.98633504"/>
  </r>
  <r>
    <x v="55"/>
    <s v="淡水分行　　　　　　"/>
    <s v="HB20263"/>
    <n v="126677285.06839281"/>
  </r>
  <r>
    <x v="56"/>
    <s v="汐止分行　　　　　　"/>
    <s v="HB16934"/>
    <n v="163326724.56304401"/>
  </r>
  <r>
    <x v="56"/>
    <s v="汐止分行　　　　　　"/>
    <s v="HB18287"/>
    <n v="149747233.11877859"/>
  </r>
  <r>
    <x v="56"/>
    <s v="汐止分行　　　　　　"/>
    <s v="HB18607"/>
    <n v="55946020.172842607"/>
  </r>
  <r>
    <x v="56"/>
    <s v="汐止分行　　　　　　"/>
    <s v="HB3667"/>
    <n v="446161499.19748563"/>
  </r>
  <r>
    <x v="56"/>
    <s v="汐止分行　　　　　　"/>
    <s v="HB7345"/>
    <n v="337388111.36793017"/>
  </r>
  <r>
    <x v="57"/>
    <s v="南永和分行　　　　　"/>
    <s v="HB10910"/>
    <n v="283122628.37546521"/>
  </r>
  <r>
    <x v="57"/>
    <s v="南永和分行　　　　　"/>
    <s v="HB11484"/>
    <n v="338582778.70167381"/>
  </r>
  <r>
    <x v="57"/>
    <s v="南永和分行　　　　　"/>
    <s v="HB19270"/>
    <n v="110217173.704402"/>
  </r>
  <r>
    <x v="57"/>
    <s v="南永和分行　　　　　"/>
    <s v="HB19324"/>
    <n v="146564350.72993922"/>
  </r>
  <r>
    <x v="57"/>
    <s v="南永和分行　　　　　"/>
    <s v="HB8017"/>
    <n v="381891920.10059357"/>
  </r>
  <r>
    <x v="58"/>
    <s v="西三重分行　　　　　"/>
    <s v="HB10071"/>
    <n v="245032921.4514944"/>
  </r>
  <r>
    <x v="58"/>
    <s v="西三重分行　　　　　"/>
    <s v="HB12215"/>
    <n v="242405194.78782502"/>
  </r>
  <r>
    <x v="58"/>
    <s v="西三重分行　　　　　"/>
    <s v="HB7775"/>
    <n v="252292540.28349921"/>
  </r>
  <r>
    <x v="59"/>
    <s v="南三重分行　　　　　"/>
    <s v="HB11922"/>
    <n v="588839108.93079972"/>
  </r>
  <r>
    <x v="59"/>
    <s v="南三重分行　　　　　"/>
    <s v="HB16031"/>
    <n v="83499022.700181395"/>
  </r>
  <r>
    <x v="59"/>
    <s v="南三重分行　　　　　"/>
    <s v="HB19101"/>
    <n v="130436951.81661642"/>
  </r>
  <r>
    <x v="59"/>
    <s v="南三重分行　　　　　"/>
    <s v="HB7213"/>
    <n v="114169029.2163832"/>
  </r>
  <r>
    <x v="60"/>
    <s v="雙和分行　　　　　　"/>
    <s v="HB15184"/>
    <n v="262475949.99191341"/>
  </r>
  <r>
    <x v="60"/>
    <s v="雙和分行　　　　　　"/>
    <s v="HB15697"/>
    <n v="424715484.79500639"/>
  </r>
  <r>
    <x v="60"/>
    <s v="雙和分行　　　　　　"/>
    <s v="HB20125"/>
    <n v="339321415.55304343"/>
  </r>
  <r>
    <x v="61"/>
    <s v="新泰分行　　　　　　"/>
    <s v="HB14839"/>
    <n v="57930756.226391003"/>
  </r>
  <r>
    <x v="61"/>
    <s v="新泰分行　　　　　　"/>
    <s v="HB16349"/>
    <n v="448339836.29412264"/>
  </r>
  <r>
    <x v="61"/>
    <s v="新泰分行　　　　　　"/>
    <s v="HB7919"/>
    <n v="428707006.79303265"/>
  </r>
  <r>
    <x v="61"/>
    <s v="新泰分行　　　　　　"/>
    <s v="HB9280"/>
    <n v="81994266.096841395"/>
  </r>
  <r>
    <x v="62"/>
    <s v="二重分行　　　　　　"/>
    <s v="HB0481"/>
    <n v="353586996.92034203"/>
  </r>
  <r>
    <x v="62"/>
    <s v="二重分行　　　　　　"/>
    <s v="HB16107"/>
    <n v="391030441.40481305"/>
  </r>
  <r>
    <x v="62"/>
    <s v="二重分行　　　　　　"/>
    <s v="HB8038"/>
    <n v="518171439.03104621"/>
  </r>
  <r>
    <x v="62"/>
    <s v="二重分行　　　　　　"/>
    <s v="HB8214"/>
    <n v="239365383.26325059"/>
  </r>
  <r>
    <x v="63"/>
    <s v="板新分行　　　　　　"/>
    <s v="HB12043"/>
    <n v="183132329.69436878"/>
  </r>
  <r>
    <x v="63"/>
    <s v="板新分行　　　　　　"/>
    <s v="HB15819"/>
    <n v="402245479.01474798"/>
  </r>
  <r>
    <x v="63"/>
    <s v="板新分行　　　　　　"/>
    <s v="HB16902"/>
    <n v="317755949.7734912"/>
  </r>
  <r>
    <x v="63"/>
    <s v="板新分行　　　　　　"/>
    <s v="HB19894"/>
    <n v="38542443.798414797"/>
  </r>
  <r>
    <x v="64"/>
    <s v="五股分行　　　　　　"/>
    <s v="HB15682"/>
    <n v="89950131.223713413"/>
  </r>
  <r>
    <x v="64"/>
    <s v="五股分行　　　　　　"/>
    <s v="HB16825"/>
    <n v="49027271.642416194"/>
  </r>
  <r>
    <x v="64"/>
    <s v="五股分行　　　　　　"/>
    <s v="HB17086"/>
    <n v="396055911.85367018"/>
  </r>
  <r>
    <x v="64"/>
    <s v="五股分行　　　　　　"/>
    <s v="HB8037"/>
    <n v="43345892.827080801"/>
  </r>
  <r>
    <x v="65"/>
    <s v="潭美分行　　　　　　"/>
    <s v="HB15561"/>
    <n v="112875655.137271"/>
  </r>
  <r>
    <x v="65"/>
    <s v="潭美分行　　　　　　"/>
    <s v="HB17225"/>
    <n v="41531336.774861597"/>
  </r>
  <r>
    <x v="66"/>
    <s v="北投分行　　　　　　"/>
    <s v="HB10163"/>
    <n v="434869690.36414456"/>
  </r>
  <r>
    <x v="66"/>
    <s v="北投分行　　　　　　"/>
    <s v="HB14909"/>
    <n v="1194471495.7122271"/>
  </r>
  <r>
    <x v="66"/>
    <s v="北投分行　　　　　　"/>
    <s v="HB19652"/>
    <n v="257883038.42989638"/>
  </r>
  <r>
    <x v="67"/>
    <s v="西湖分行　　　　　　"/>
    <s v="HB13282"/>
    <n v="298767692.44678319"/>
  </r>
  <r>
    <x v="67"/>
    <s v="西湖分行　　　　　　"/>
    <s v="HB15586"/>
    <n v="569190221.30875516"/>
  </r>
  <r>
    <x v="67"/>
    <s v="西湖分行　　　　　　"/>
    <s v="HB16774"/>
    <n v="600093480.5199132"/>
  </r>
  <r>
    <x v="67"/>
    <s v="西湖分行　　　　　　"/>
    <s v="HB19122"/>
    <n v="159270912.2463896"/>
  </r>
  <r>
    <x v="68"/>
    <s v="積穗分行　　　　　　"/>
    <s v="HB14019"/>
    <n v="317567275.77945304"/>
  </r>
  <r>
    <x v="68"/>
    <s v="積穗分行　　　　　　"/>
    <s v="HB14967"/>
    <n v="137138454.32415259"/>
  </r>
  <r>
    <x v="68"/>
    <s v="積穗分行　　　　　　"/>
    <s v="HB16971"/>
    <n v="170582045.3170518"/>
  </r>
  <r>
    <x v="68"/>
    <s v="積穗分行　　　　　　"/>
    <s v="HB19653"/>
    <n v="97727566.553729609"/>
  </r>
  <r>
    <x v="68"/>
    <s v="積穗分行　　　　　　"/>
    <s v="HB8060"/>
    <n v="584767731.72326469"/>
  </r>
  <r>
    <x v="69"/>
    <s v="福和分行　　　　　　"/>
    <s v="HB13585"/>
    <n v="423640625.55654579"/>
  </r>
  <r>
    <x v="69"/>
    <s v="福和分行　　　　　　"/>
    <s v="HB16711"/>
    <n v="120373778.9663696"/>
  </r>
  <r>
    <x v="70"/>
    <s v="南勢角分行　　　　　"/>
    <s v="HB16794"/>
    <n v="127646650.8861544"/>
  </r>
  <r>
    <x v="70"/>
    <s v="南勢角分行　　　　　"/>
    <s v="HB17411"/>
    <n v="160427703.5512394"/>
  </r>
  <r>
    <x v="70"/>
    <s v="南勢角分行　　　　　"/>
    <s v="HB7089"/>
    <n v="378445172.53972006"/>
  </r>
  <r>
    <x v="71"/>
    <s v="北蘆洲分行　　　　　"/>
    <s v="HB14773"/>
    <n v="181654939.63952339"/>
  </r>
  <r>
    <x v="71"/>
    <s v="北蘆洲分行　　　　　"/>
    <s v="HB17167"/>
    <n v="531545276.88879645"/>
  </r>
  <r>
    <x v="71"/>
    <s v="北蘆洲分行　　　　　"/>
    <s v="HB17631"/>
    <n v="139811523.48751122"/>
  </r>
  <r>
    <x v="72"/>
    <s v="蘆洲分行　　　　　　"/>
    <s v="HB12462"/>
    <n v="300459841.75060719"/>
  </r>
  <r>
    <x v="72"/>
    <s v="蘆洲分行　　　　　　"/>
    <s v="HB15874"/>
    <n v="421710803.54284203"/>
  </r>
  <r>
    <x v="72"/>
    <s v="蘆洲分行　　　　　　"/>
    <s v="HB16447"/>
    <n v="498271748.4823314"/>
  </r>
  <r>
    <x v="72"/>
    <s v="蘆洲分行　　　　　　"/>
    <s v="HB9466"/>
    <n v="648683478.13499463"/>
  </r>
  <r>
    <x v="73"/>
    <s v="土城分行　　　　　　"/>
    <s v="HB15859"/>
    <n v="330467602.05280423"/>
  </r>
  <r>
    <x v="73"/>
    <s v="土城分行　　　　　　"/>
    <s v="HB18999"/>
    <n v="203940052.4380264"/>
  </r>
  <r>
    <x v="73"/>
    <s v="土城分行　　　　　　"/>
    <s v="HB9728"/>
    <n v="348703208.7236762"/>
  </r>
  <r>
    <x v="74"/>
    <s v="北新分行　　　　　　"/>
    <s v="HB13445"/>
    <n v="129401434.15193939"/>
  </r>
  <r>
    <x v="74"/>
    <s v="北新分行　　　　　　"/>
    <s v="HB15888"/>
    <n v="104198669.8635294"/>
  </r>
  <r>
    <x v="74"/>
    <s v="北新分行　　　　　　"/>
    <s v="HB16937"/>
    <n v="251244755.03168821"/>
  </r>
  <r>
    <x v="74"/>
    <s v="北新分行　　　　　　"/>
    <s v="HB17395"/>
    <n v="150973888.49927139"/>
  </r>
  <r>
    <x v="74"/>
    <s v="北新分行　　　　　　"/>
    <s v="HB8056"/>
    <n v="336470447.08304298"/>
  </r>
  <r>
    <x v="75"/>
    <s v="天母分行　　　　　　"/>
    <s v="HB15855"/>
    <n v="233565746.35056162"/>
  </r>
  <r>
    <x v="75"/>
    <s v="天母分行　　　　　　"/>
    <s v="HB15930"/>
    <n v="932572531.78260684"/>
  </r>
  <r>
    <x v="75"/>
    <s v="天母分行　　　　　　"/>
    <s v="HB17152"/>
    <n v="187648097.62326443"/>
  </r>
  <r>
    <x v="75"/>
    <s v="天母分行　　　　　　"/>
    <s v="HB19459"/>
    <n v="228082178.87705243"/>
  </r>
  <r>
    <x v="76"/>
    <s v="內湖分行　　　　　　"/>
    <s v="HB14881"/>
    <n v="178568733.0883384"/>
  </r>
  <r>
    <x v="76"/>
    <s v="內湖分行　　　　　　"/>
    <s v="HB16102"/>
    <n v="492535921.75767601"/>
  </r>
  <r>
    <x v="76"/>
    <s v="內湖分行　　　　　　"/>
    <s v="HB18615"/>
    <n v="169165589.96060321"/>
  </r>
  <r>
    <x v="77"/>
    <s v="樹林分行　　　　　　"/>
    <s v="HB15217"/>
    <n v="183363755.173722"/>
  </r>
  <r>
    <x v="77"/>
    <s v="樹林分行　　　　　　"/>
    <s v="HB16724"/>
    <n v="428719627.38699436"/>
  </r>
  <r>
    <x v="77"/>
    <s v="樹林分行　　　　　　"/>
    <s v="HB17486"/>
    <n v="264038306.02150321"/>
  </r>
  <r>
    <x v="77"/>
    <s v="樹林分行　　　　　　"/>
    <s v="HB17723"/>
    <n v="207261083.2092438"/>
  </r>
  <r>
    <x v="78"/>
    <s v="樟樹灣分行　　　　　"/>
    <s v="HB15485"/>
    <n v="159976781.92233682"/>
  </r>
  <r>
    <x v="78"/>
    <s v="樟樹灣分行　　　　　"/>
    <s v="HB16145"/>
    <n v="336652204.70169324"/>
  </r>
  <r>
    <x v="78"/>
    <s v="樟樹灣分行　　　　　"/>
    <s v="HB17950"/>
    <n v="103532949.18039861"/>
  </r>
  <r>
    <x v="78"/>
    <s v="樟樹灣分行　　　　　"/>
    <s v="HB19620"/>
    <n v="131589047.7461714"/>
  </r>
  <r>
    <x v="79"/>
    <s v="泰山分行　　　　　　"/>
    <s v="HB14480"/>
    <n v="173518493.3256838"/>
  </r>
  <r>
    <x v="79"/>
    <s v="泰山分行　　　　　　"/>
    <s v="HB14963"/>
    <n v="507416495.73459101"/>
  </r>
  <r>
    <x v="79"/>
    <s v="泰山分行　　　　　　"/>
    <s v="HB16443"/>
    <n v="203792112.8505626"/>
  </r>
  <r>
    <x v="79"/>
    <s v="泰山分行　　　　　　"/>
    <s v="HB19431"/>
    <n v="88432997.811685607"/>
  </r>
  <r>
    <x v="80"/>
    <s v="三峽分行　　　　　　"/>
    <s v="HB14790"/>
    <n v="341439929.02118498"/>
  </r>
  <r>
    <x v="80"/>
    <s v="三峽分行　　　　　　"/>
    <s v="HB14801"/>
    <n v="105471413.12218359"/>
  </r>
  <r>
    <x v="80"/>
    <s v="三峽分行　　　　　　"/>
    <s v="HB15816"/>
    <n v="356964560.43900681"/>
  </r>
  <r>
    <x v="81"/>
    <s v="文山分行　　　　　　"/>
    <s v="HB11106"/>
    <n v="345070031.4523192"/>
  </r>
  <r>
    <x v="81"/>
    <s v="文山分行　　　　　　"/>
    <s v="HB13587"/>
    <n v="396174921.14656878"/>
  </r>
  <r>
    <x v="81"/>
    <s v="文山分行　　　　　　"/>
    <s v="HB7298"/>
    <n v="177418058.49482641"/>
  </r>
  <r>
    <x v="82"/>
    <s v="鶯歌分行　　　　　　"/>
    <s v="HB17230"/>
    <n v="78417244.553950205"/>
  </r>
  <r>
    <x v="82"/>
    <s v="鶯歌分行　　　　　　"/>
    <s v="HB17948"/>
    <n v="160622591.8083322"/>
  </r>
  <r>
    <x v="82"/>
    <s v="鶯歌分行　　　　　　"/>
    <s v="HB20250"/>
    <n v="236280452.57148659"/>
  </r>
  <r>
    <x v="82"/>
    <s v="鶯歌分行　　　　　　"/>
    <s v="HB9448"/>
    <n v="321919220.18432939"/>
  </r>
  <r>
    <x v="83"/>
    <s v="北新莊分行　　　　　"/>
    <s v="HB13007"/>
    <n v="156571649.95903939"/>
  </r>
  <r>
    <x v="83"/>
    <s v="北新莊分行　　　　　"/>
    <s v="HB15399"/>
    <n v="482725543.99013519"/>
  </r>
  <r>
    <x v="84"/>
    <s v="林口站前分行　　　　"/>
    <s v="HB14184"/>
    <n v="264820251.83659917"/>
  </r>
  <r>
    <x v="84"/>
    <s v="林口站前分行　　　　"/>
    <s v="HB15606"/>
    <n v="189857401.8799428"/>
  </r>
  <r>
    <x v="84"/>
    <s v="林口站前分行　　　　"/>
    <s v="HB16137"/>
    <n v="175534887.45881778"/>
  </r>
  <r>
    <x v="85"/>
    <s v="基隆分行　　　　　　"/>
    <s v="HB11983"/>
    <n v="188774789.2501334"/>
  </r>
  <r>
    <x v="85"/>
    <s v="基隆分行　　　　　　"/>
    <s v="HB16285"/>
    <n v="119076247.03641281"/>
  </r>
  <r>
    <x v="85"/>
    <s v="基隆分行　　　　　　"/>
    <s v="HB19009"/>
    <n v="166321988.25059462"/>
  </r>
  <r>
    <x v="85"/>
    <s v="基隆分行　　　　　　"/>
    <s v="HB19126"/>
    <n v="148324267.37549579"/>
  </r>
  <r>
    <x v="86"/>
    <s v="基隆港口分行　　　　"/>
    <s v="HB12561"/>
    <n v="335726060.77212536"/>
  </r>
  <r>
    <x v="86"/>
    <s v="基隆港口分行　　　　"/>
    <s v="HB13765"/>
    <n v="163552139.32103881"/>
  </r>
  <r>
    <x v="86"/>
    <s v="基隆港口分行　　　　"/>
    <s v="HB16206"/>
    <n v="75343376.0921994"/>
  </r>
  <r>
    <x v="86"/>
    <s v="基隆港口分行　　　　"/>
    <s v="HB18668"/>
    <n v="86083782.0145818"/>
  </r>
  <r>
    <x v="87"/>
    <s v="七堵分行　　　　　　"/>
    <s v="HB13507"/>
    <n v="276100219.80393398"/>
  </r>
  <r>
    <x v="87"/>
    <s v="七堵分行　　　　　　"/>
    <s v="HB17457"/>
    <n v="250991462.2456494"/>
  </r>
  <r>
    <x v="87"/>
    <s v="七堵分行　　　　　　"/>
    <s v="HB7129"/>
    <n v="337147211.53171539"/>
  </r>
  <r>
    <x v="87"/>
    <s v="七堵分行　　　　　　"/>
    <s v="HB8063"/>
    <n v="68036178.871727407"/>
  </r>
  <r>
    <x v="88"/>
    <s v="羅東分行　　　　　　"/>
    <s v="HB16949"/>
    <n v="46559425.608416602"/>
  </r>
  <r>
    <x v="88"/>
    <s v="羅東分行　　　　　　"/>
    <s v="HB16999"/>
    <n v="167952396.6141184"/>
  </r>
  <r>
    <x v="88"/>
    <s v="羅東分行　　　　　　"/>
    <s v="HB17168"/>
    <n v="266336270.15724081"/>
  </r>
  <r>
    <x v="89"/>
    <s v="宜蘭分行　　　　　　"/>
    <s v="HB10610"/>
    <n v="102774836.742854"/>
  </r>
  <r>
    <x v="89"/>
    <s v="宜蘭分行　　　　　　"/>
    <s v="HB14552"/>
    <n v="283022281.31301916"/>
  </r>
  <r>
    <x v="89"/>
    <s v="宜蘭分行　　　　　　"/>
    <s v="HB14715"/>
    <n v="109034565.8170508"/>
  </r>
  <r>
    <x v="89"/>
    <s v="宜蘭分行　　　　　　"/>
    <s v="HB20065"/>
    <n v="63836266.167735003"/>
  </r>
  <r>
    <x v="90"/>
    <s v="桃園分行　　　　　　"/>
    <s v="HB16034"/>
    <n v="256110850.19460222"/>
  </r>
  <r>
    <x v="90"/>
    <s v="桃園分行　　　　　　"/>
    <s v="HB16152"/>
    <n v="497074739.07072723"/>
  </r>
  <r>
    <x v="90"/>
    <s v="桃園分行　　　　　　"/>
    <s v="HB18493"/>
    <n v="389913979.85992199"/>
  </r>
  <r>
    <x v="90"/>
    <s v="桃園分行　　　　　　"/>
    <s v="HB18724"/>
    <n v="186914873.23992401"/>
  </r>
  <r>
    <x v="91"/>
    <s v="中壢分行　　　　　　"/>
    <s v="HB14479"/>
    <n v="306493476.82679224"/>
  </r>
  <r>
    <x v="91"/>
    <s v="中壢分行　　　　　　"/>
    <s v="HB14554"/>
    <n v="543756098.56325245"/>
  </r>
  <r>
    <x v="91"/>
    <s v="中壢分行　　　　　　"/>
    <s v="HB14964"/>
    <n v="321857756.51546019"/>
  </r>
  <r>
    <x v="91"/>
    <s v="中壢分行　　　　　　"/>
    <s v="HB15136"/>
    <n v="137783070.31036559"/>
  </r>
  <r>
    <x v="91"/>
    <s v="中壢分行　　　　　　"/>
    <s v="HB19128"/>
    <n v="95756639.086161807"/>
  </r>
  <r>
    <x v="92"/>
    <s v="楊梅分行　　　　　　"/>
    <s v="HB12154"/>
    <n v="168323379.02613282"/>
  </r>
  <r>
    <x v="92"/>
    <s v="楊梅分行　　　　　　"/>
    <s v="HB13913"/>
    <n v="696169534.54427242"/>
  </r>
  <r>
    <x v="92"/>
    <s v="楊梅分行　　　　　　"/>
    <s v="HB16120"/>
    <n v="460119742.28055465"/>
  </r>
  <r>
    <x v="92"/>
    <s v="楊梅分行　　　　　　"/>
    <s v="HB16900"/>
    <n v="211952540.00484443"/>
  </r>
  <r>
    <x v="93"/>
    <s v="壢昌分行　　　　　　"/>
    <s v="HB10670"/>
    <n v="330909254.09235018"/>
  </r>
  <r>
    <x v="93"/>
    <s v="壢昌分行　　　　　　"/>
    <s v="HB14129"/>
    <n v="446996181.08227021"/>
  </r>
  <r>
    <x v="93"/>
    <s v="壢昌分行　　　　　　"/>
    <s v="HB14731"/>
    <n v="397684172.23834562"/>
  </r>
  <r>
    <x v="94"/>
    <s v="北桃園分行　　　　　"/>
    <s v="HB13584"/>
    <n v="458918563.71633184"/>
  </r>
  <r>
    <x v="94"/>
    <s v="北桃園分行　　　　　"/>
    <s v="HB14117"/>
    <n v="326844806.06389797"/>
  </r>
  <r>
    <x v="94"/>
    <s v="北桃園分行　　　　　"/>
    <s v="HB17655"/>
    <n v="730202932.50850117"/>
  </r>
  <r>
    <x v="95"/>
    <s v="南崁分行　　　　　　"/>
    <s v="HB12678"/>
    <n v="173440624.69146341"/>
  </r>
  <r>
    <x v="95"/>
    <s v="南崁分行　　　　　　"/>
    <s v="HB16033"/>
    <n v="302503087.53745502"/>
  </r>
  <r>
    <x v="95"/>
    <s v="南崁分行　　　　　　"/>
    <s v="HB16833"/>
    <n v="148882338.2683748"/>
  </r>
  <r>
    <x v="96"/>
    <s v="平鎮分行　　　　　　"/>
    <s v="HB12265"/>
    <n v="192835289.76525"/>
  </r>
  <r>
    <x v="96"/>
    <s v="平鎮分行　　　　　　"/>
    <s v="HB14730"/>
    <n v="400530360.3717134"/>
  </r>
  <r>
    <x v="96"/>
    <s v="平鎮分行　　　　　　"/>
    <s v="HB14923"/>
    <n v="262687569.06855559"/>
  </r>
  <r>
    <x v="96"/>
    <s v="平鎮分行　　　　　　"/>
    <s v="HB19277"/>
    <n v="196202953.68059021"/>
  </r>
  <r>
    <x v="97"/>
    <s v="八德分行　　　　　　"/>
    <s v="HB11963"/>
    <n v="136268260.6225872"/>
  </r>
  <r>
    <x v="97"/>
    <s v="八德分行　　　　　　"/>
    <s v="HB12078"/>
    <n v="113925068.9699426"/>
  </r>
  <r>
    <x v="97"/>
    <s v="八德分行　　　　　　"/>
    <s v="HB14128"/>
    <n v="406400478.85390282"/>
  </r>
  <r>
    <x v="97"/>
    <s v="八德分行　　　　　　"/>
    <s v="HB14843"/>
    <n v="293772019.35611844"/>
  </r>
  <r>
    <x v="98"/>
    <s v="龜山分行　　　　　　"/>
    <s v="HB15072"/>
    <n v="159829199.5692718"/>
  </r>
  <r>
    <x v="98"/>
    <s v="龜山分行　　　　　　"/>
    <s v="HB15830"/>
    <n v="308932229.15215743"/>
  </r>
  <r>
    <x v="98"/>
    <s v="龜山分行　　　　　　"/>
    <s v="HB16470"/>
    <n v="232739826.709405"/>
  </r>
  <r>
    <x v="99"/>
    <s v="龍潭分行　　　　　　"/>
    <s v="HB14130"/>
    <n v="320567477.70725161"/>
  </r>
  <r>
    <x v="99"/>
    <s v="龍潭分行　　　　　　"/>
    <s v="HB9673"/>
    <n v="246305466.165425"/>
  </r>
  <r>
    <x v="99"/>
    <s v="龍潭分行　　　　　　"/>
    <s v="HB9967"/>
    <n v="164834053.94373739"/>
  </r>
  <r>
    <x v="100"/>
    <s v="大溪分行　　　　　　"/>
    <s v="HB15150"/>
    <n v="101198829.781516"/>
  </r>
  <r>
    <x v="100"/>
    <s v="大溪分行　　　　　　"/>
    <s v="HB9532"/>
    <n v="237156240.30097622"/>
  </r>
  <r>
    <x v="101"/>
    <s v="內壢分行　　　　　　"/>
    <s v="HB13730"/>
    <n v="122875260.42722481"/>
  </r>
  <r>
    <x v="101"/>
    <s v="內壢分行　　　　　　"/>
    <s v="HB14358"/>
    <n v="70479705.132863805"/>
  </r>
  <r>
    <x v="101"/>
    <s v="內壢分行　　　　　　"/>
    <s v="HB14962"/>
    <n v="218865129.94037801"/>
  </r>
  <r>
    <x v="102"/>
    <s v="林口分行　　　　　　"/>
    <s v="HB11271"/>
    <n v="69058913.448201403"/>
  </r>
  <r>
    <x v="102"/>
    <s v="林口分行　　　　　　"/>
    <s v="HB14607"/>
    <n v="167375245.16678181"/>
  </r>
  <r>
    <x v="102"/>
    <s v="林口分行　　　　　　"/>
    <s v="HB15216"/>
    <n v="74574659.791970998"/>
  </r>
  <r>
    <x v="102"/>
    <s v="林口分行　　　　　　"/>
    <s v="HB8217"/>
    <n v="238009445.6765916"/>
  </r>
  <r>
    <x v="102"/>
    <s v="林口分行　　　　　　"/>
    <s v="HB9252"/>
    <n v="214349646.03147599"/>
  </r>
  <r>
    <x v="103"/>
    <s v="觀音分行　　　　　　"/>
    <s v="HB11482"/>
    <n v="387586403.54723364"/>
  </r>
  <r>
    <x v="103"/>
    <s v="觀音分行　　　　　　"/>
    <s v="HB14594"/>
    <n v="74725203.992837995"/>
  </r>
  <r>
    <x v="103"/>
    <s v="觀音分行　　　　　　"/>
    <s v="HB15246"/>
    <n v="100028987.861269"/>
  </r>
  <r>
    <x v="103"/>
    <s v="觀音分行　　　　　　"/>
    <s v="HB16830"/>
    <n v="177035693.88192779"/>
  </r>
  <r>
    <x v="103"/>
    <s v="觀音分行　　　　　　"/>
    <s v="HB9467"/>
    <n v="318155778.14994144"/>
  </r>
  <r>
    <x v="104"/>
    <s v="大園分行　　　　　　"/>
    <s v="HB16654"/>
    <n v="258260503.8814218"/>
  </r>
  <r>
    <x v="104"/>
    <s v="大園分行　　　　　　"/>
    <s v="HB17835"/>
    <n v="604481575.57030702"/>
  </r>
  <r>
    <x v="105"/>
    <s v="青埔分行　　　　　　"/>
    <s v="HB13591"/>
    <n v="500959388.9345904"/>
  </r>
  <r>
    <x v="105"/>
    <s v="青埔分行　　　　　　"/>
    <s v="HB19337"/>
    <n v="3640585.2410932002"/>
  </r>
  <r>
    <x v="106"/>
    <s v="新竹分行　　　　　　"/>
    <s v="HB13348"/>
    <n v="404054690.81948"/>
  </r>
  <r>
    <x v="106"/>
    <s v="新竹分行　　　　　　"/>
    <s v="HB16838"/>
    <n v="236045720.8139506"/>
  </r>
  <r>
    <x v="106"/>
    <s v="新竹分行　　　　　　"/>
    <s v="HB16865"/>
    <n v="68074595.101953998"/>
  </r>
  <r>
    <x v="106"/>
    <s v="新竹分行　　　　　　"/>
    <s v="HB16898"/>
    <n v="270788233.93363905"/>
  </r>
  <r>
    <x v="107"/>
    <s v="竹東分行　　　　　　"/>
    <s v="HB10384"/>
    <n v="140935785.3275162"/>
  </r>
  <r>
    <x v="107"/>
    <s v="竹東分行　　　　　　"/>
    <s v="HB15182"/>
    <n v="583699568.35449719"/>
  </r>
  <r>
    <x v="107"/>
    <s v="竹東分行　　　　　　"/>
    <s v="HB20378"/>
    <n v="167843333.3315036"/>
  </r>
  <r>
    <x v="108"/>
    <s v="竹科分行　　　　　　"/>
    <s v="HB12681"/>
    <n v="485805623.5990054"/>
  </r>
  <r>
    <x v="108"/>
    <s v="竹科分行　　　　　　"/>
    <s v="HB17572"/>
    <n v="217822266.8516804"/>
  </r>
  <r>
    <x v="108"/>
    <s v="竹科分行　　　　　　"/>
    <s v="HB19666"/>
    <n v="178246420.27168941"/>
  </r>
  <r>
    <x v="109"/>
    <s v="新豐分行　　　　　　"/>
    <s v="HB10241"/>
    <n v="425640183.75250578"/>
  </r>
  <r>
    <x v="109"/>
    <s v="新豐分行　　　　　　"/>
    <s v="HB14723"/>
    <n v="413588032.16984802"/>
  </r>
  <r>
    <x v="110"/>
    <s v="六家分行　　　　　　"/>
    <s v="HB17066"/>
    <n v="99423122.48441121"/>
  </r>
  <r>
    <x v="110"/>
    <s v="六家分行　　　　　　"/>
    <s v="HB18852"/>
    <n v="424063555.751445"/>
  </r>
  <r>
    <x v="111"/>
    <s v="竹南分行　　　　　　"/>
    <s v="HB10734"/>
    <n v="214570701.8745662"/>
  </r>
  <r>
    <x v="111"/>
    <s v="竹南分行　　　　　　"/>
    <s v="HB14749"/>
    <n v="1156088819.5357904"/>
  </r>
  <r>
    <x v="112"/>
    <s v="頭份分行　　　　　　"/>
    <s v="HB15423"/>
    <n v="513276856.96702456"/>
  </r>
  <r>
    <x v="112"/>
    <s v="頭份分行　　　　　　"/>
    <s v="HB19343"/>
    <n v="201049455.76787421"/>
  </r>
  <r>
    <x v="112"/>
    <s v="頭份分行　　　　　　"/>
    <s v="HB19671"/>
    <n v="178537083.503887"/>
  </r>
  <r>
    <x v="113"/>
    <s v="苗栗分行　　　　　　"/>
    <s v="HB16661"/>
    <n v="267899996.99479342"/>
  </r>
  <r>
    <x v="113"/>
    <s v="苗栗分行　　　　　　"/>
    <s v="HB17913"/>
    <n v="167509266.00772241"/>
  </r>
  <r>
    <x v="113"/>
    <s v="苗栗分行　　　　　　"/>
    <s v="HB4026"/>
    <n v="430687084.03924501"/>
  </r>
  <r>
    <x v="114"/>
    <s v="竹北分行　　　　　　"/>
    <s v="HB13083"/>
    <n v="291455591.00610757"/>
  </r>
  <r>
    <x v="114"/>
    <s v="竹北分行　　　　　　"/>
    <s v="HB16656"/>
    <n v="84406118.971495196"/>
  </r>
  <r>
    <x v="114"/>
    <s v="竹北分行　　　　　　"/>
    <s v="HB19667"/>
    <n v="123869233.9004034"/>
  </r>
  <r>
    <x v="115"/>
    <s v="大眾分行　　　　　　"/>
    <s v="HB14555"/>
    <n v="315904013.56700957"/>
  </r>
  <r>
    <x v="115"/>
    <s v="大眾分行　　　　　　"/>
    <s v="HB8539"/>
    <n v="370369963.34631979"/>
  </r>
  <r>
    <x v="116"/>
    <s v="豐原分行　　　　　　"/>
    <s v="HB13873"/>
    <n v="280097271.0998022"/>
  </r>
  <r>
    <x v="116"/>
    <s v="豐原分行　　　　　　"/>
    <s v="HB15831"/>
    <n v="177972936.704779"/>
  </r>
  <r>
    <x v="116"/>
    <s v="豐原分行　　　　　　"/>
    <s v="HB16097"/>
    <n v="241887885.30971539"/>
  </r>
  <r>
    <x v="116"/>
    <s v="豐原分行　　　　　　"/>
    <s v="HB16879"/>
    <n v="528017680.81081563"/>
  </r>
  <r>
    <x v="117"/>
    <s v="東勢分行　　　　　　"/>
    <s v="HB16483"/>
    <n v="70024873.99285841"/>
  </r>
  <r>
    <x v="117"/>
    <s v="東勢分行　　　　　　"/>
    <s v="HB17527"/>
    <n v="253666153.65167302"/>
  </r>
  <r>
    <x v="117"/>
    <s v="東勢分行　　　　　　"/>
    <s v="HB19938"/>
    <n v="132348938.118147"/>
  </r>
  <r>
    <x v="117"/>
    <s v="東勢分行　　　　　　"/>
    <s v="HB7652"/>
    <n v="787413860.75204754"/>
  </r>
  <r>
    <x v="118"/>
    <s v="清水分行　　　　　　"/>
    <s v="HB10527"/>
    <n v="237368529.8750222"/>
  </r>
  <r>
    <x v="118"/>
    <s v="清水分行　　　　　　"/>
    <s v="HB12329"/>
    <n v="389660544.39700162"/>
  </r>
  <r>
    <x v="118"/>
    <s v="清水分行　　　　　　"/>
    <s v="HB12932"/>
    <n v="82153450.373517007"/>
  </r>
  <r>
    <x v="118"/>
    <s v="清水分行　　　　　　"/>
    <s v="HB17205"/>
    <n v="107674332.24440099"/>
  </r>
  <r>
    <x v="118"/>
    <s v="清水分行　　　　　　"/>
    <s v="HB19003"/>
    <n v="63842800.0325756"/>
  </r>
  <r>
    <x v="118"/>
    <s v="清水分行　　　　　　"/>
    <s v="HB20150"/>
    <n v="34507557.394650199"/>
  </r>
  <r>
    <x v="119"/>
    <s v="西豐原分行　　　　　"/>
    <s v="HB15820"/>
    <n v="345124505.5494644"/>
  </r>
  <r>
    <x v="119"/>
    <s v="西豐原分行　　　　　"/>
    <s v="HB16215"/>
    <n v="302063755.5181452"/>
  </r>
  <r>
    <x v="119"/>
    <s v="西豐原分行　　　　　"/>
    <s v="HB16840"/>
    <n v="155094632.8839398"/>
  </r>
  <r>
    <x v="119"/>
    <s v="西豐原分行　　　　　"/>
    <s v="HB8196"/>
    <n v="281408552.67125881"/>
  </r>
  <r>
    <x v="120"/>
    <s v="台中分行　　　　　　"/>
    <s v="HB13199"/>
    <n v="120782308.67463021"/>
  </r>
  <r>
    <x v="120"/>
    <s v="台中分行　　　　　　"/>
    <s v="HB15430"/>
    <n v="795304586.88788867"/>
  </r>
  <r>
    <x v="120"/>
    <s v="台中分行　　　　　　"/>
    <s v="HB17076"/>
    <n v="387295344.8476454"/>
  </r>
  <r>
    <x v="120"/>
    <s v="台中分行　　　　　　"/>
    <s v="HB17656"/>
    <n v="534698983.68768144"/>
  </r>
  <r>
    <x v="120"/>
    <s v="台中分行　　　　　　"/>
    <s v="HB7645"/>
    <n v="133026813.48662239"/>
  </r>
  <r>
    <x v="120"/>
    <s v="台中分行　　　　　　"/>
    <s v="HB9795"/>
    <n v="463189803.31812799"/>
  </r>
  <r>
    <x v="121"/>
    <s v="南台中分行　　　　　"/>
    <s v="HB15249"/>
    <n v="1314184128.9488235"/>
  </r>
  <r>
    <x v="121"/>
    <s v="南台中分行　　　　　"/>
    <s v="HB15508"/>
    <n v="55830814.376646601"/>
  </r>
  <r>
    <x v="121"/>
    <s v="南台中分行　　　　　"/>
    <s v="HB16150"/>
    <n v="159989936.250099"/>
  </r>
  <r>
    <x v="121"/>
    <s v="南台中分行　　　　　"/>
    <s v="HB9219"/>
    <n v="89334537.50262019"/>
  </r>
  <r>
    <x v="121"/>
    <s v="南台中分行　　　　　"/>
    <s v="HB9337"/>
    <n v="397205377.04371077"/>
  </r>
  <r>
    <x v="122"/>
    <s v="北台中分行　　　　　"/>
    <s v="HB14100"/>
    <n v="144568219.68550318"/>
  </r>
  <r>
    <x v="122"/>
    <s v="北台中分行　　　　　"/>
    <s v="HB14750"/>
    <n v="333065151.83211601"/>
  </r>
  <r>
    <x v="122"/>
    <s v="北台中分行　　　　　"/>
    <s v="HB16149"/>
    <n v="460923400.17276818"/>
  </r>
  <r>
    <x v="122"/>
    <s v="北台中分行　　　　　"/>
    <s v="HB9199"/>
    <n v="70114737.730627403"/>
  </r>
  <r>
    <x v="123"/>
    <s v="台中港路分行　　　　"/>
    <s v="HB15028"/>
    <n v="826569556.69542539"/>
  </r>
  <r>
    <x v="123"/>
    <s v="台中港路分行　　　　"/>
    <s v="HB16101"/>
    <n v="286635523.93971759"/>
  </r>
  <r>
    <x v="123"/>
    <s v="台中港路分行　　　　"/>
    <s v="HB17106"/>
    <n v="510902045.24583322"/>
  </r>
  <r>
    <x v="123"/>
    <s v="台中港路分行　　　　"/>
    <s v="HB19218"/>
    <n v="231723552.7599318"/>
  </r>
  <r>
    <x v="123"/>
    <s v="台中港路分行　　　　"/>
    <s v="HB20264"/>
    <n v="100784409.84505419"/>
  </r>
  <r>
    <x v="124"/>
    <s v="大里分行　　　　　　"/>
    <s v="HB12897"/>
    <n v="537614876.6732583"/>
  </r>
  <r>
    <x v="124"/>
    <s v="大里分行　　　　　　"/>
    <s v="HB13886"/>
    <n v="206779374.57128918"/>
  </r>
  <r>
    <x v="124"/>
    <s v="大里分行　　　　　　"/>
    <s v="HB13907"/>
    <n v="71498332.300430804"/>
  </r>
  <r>
    <x v="124"/>
    <s v="大里分行　　　　　　"/>
    <s v="HB16390"/>
    <n v="258035392.40858141"/>
  </r>
  <r>
    <x v="124"/>
    <s v="大里分行　　　　　　"/>
    <s v="HB18883"/>
    <n v="331388516.53382999"/>
  </r>
  <r>
    <x v="125"/>
    <s v="水湳分行　　　　　　"/>
    <s v="HB11389"/>
    <n v="192672088.3201288"/>
  </r>
  <r>
    <x v="125"/>
    <s v="水湳分行　　　　　　"/>
    <s v="HB17024"/>
    <n v="512109306.75323039"/>
  </r>
  <r>
    <x v="125"/>
    <s v="水湳分行　　　　　　"/>
    <s v="HB18174"/>
    <n v="242881275.07456303"/>
  </r>
  <r>
    <x v="126"/>
    <s v="五權分行　　　　　　"/>
    <s v="HB10410"/>
    <n v="470961490.6826148"/>
  </r>
  <r>
    <x v="126"/>
    <s v="五權分行　　　　　　"/>
    <s v="HB10612"/>
    <n v="85922824.168839991"/>
  </r>
  <r>
    <x v="126"/>
    <s v="五權分行　　　　　　"/>
    <s v="HB13349"/>
    <n v="342270206.68836099"/>
  </r>
  <r>
    <x v="126"/>
    <s v="五權分行　　　　　　"/>
    <s v="HB16908"/>
    <n v="258044965.75473419"/>
  </r>
  <r>
    <x v="127"/>
    <s v="大甲分行　　　　　　"/>
    <s v="HB16000"/>
    <n v="387778012.71480381"/>
  </r>
  <r>
    <x v="127"/>
    <s v="大甲分行　　　　　　"/>
    <s v="HB18397"/>
    <n v="91242770.043963403"/>
  </r>
  <r>
    <x v="127"/>
    <s v="大甲分行　　　　　　"/>
    <s v="HB19674"/>
    <n v="165775356.19521943"/>
  </r>
  <r>
    <x v="128"/>
    <s v="太平分行　　　　　　"/>
    <s v="HB12362"/>
    <n v="178512821.70862699"/>
  </r>
  <r>
    <x v="128"/>
    <s v="太平分行　　　　　　"/>
    <s v="HB16355"/>
    <n v="490223499.60161281"/>
  </r>
  <r>
    <x v="129"/>
    <s v="中科分行　　　　　　"/>
    <s v="HB17182"/>
    <n v="239067777.84654683"/>
  </r>
  <r>
    <x v="129"/>
    <s v="中科分行　　　　　　"/>
    <s v="HB8560"/>
    <n v="175691767.11637801"/>
  </r>
  <r>
    <x v="130"/>
    <s v="沙鹿分行　　　　　　"/>
    <s v="HB10689"/>
    <n v="289828717.84680879"/>
  </r>
  <r>
    <x v="130"/>
    <s v="沙鹿分行　　　　　　"/>
    <s v="HB16121"/>
    <n v="133816317.47035539"/>
  </r>
  <r>
    <x v="130"/>
    <s v="沙鹿分行　　　　　　"/>
    <s v="HB16957"/>
    <n v="119785001.551745"/>
  </r>
  <r>
    <x v="130"/>
    <s v="沙鹿分行　　　　　　"/>
    <s v="HB18917"/>
    <n v="87526216.297305405"/>
  </r>
  <r>
    <x v="131"/>
    <s v="草屯分行　　　　　　"/>
    <s v="HB10017"/>
    <n v="528518388.44297957"/>
  </r>
  <r>
    <x v="131"/>
    <s v="草屯分行　　　　　　"/>
    <s v="HB11509"/>
    <n v="152669432.90883619"/>
  </r>
  <r>
    <x v="131"/>
    <s v="草屯分行　　　　　　"/>
    <s v="HB14384"/>
    <n v="521624781.63544142"/>
  </r>
  <r>
    <x v="132"/>
    <s v="南投分行　　　　　　"/>
    <s v="HB10939"/>
    <n v="54085753.371309601"/>
  </r>
  <r>
    <x v="132"/>
    <s v="南投分行　　　　　　"/>
    <s v="HB7241"/>
    <n v="278364869.42034501"/>
  </r>
  <r>
    <x v="132"/>
    <s v="南投分行　　　　　　"/>
    <s v="HB7647"/>
    <n v="204846589.10855299"/>
  </r>
  <r>
    <x v="132"/>
    <s v="南投分行　　　　　　"/>
    <s v="HB9803"/>
    <n v="381065489.33300221"/>
  </r>
  <r>
    <x v="133"/>
    <s v="彰化分行　　　　　　"/>
    <s v="HB10994"/>
    <n v="296098747.41681617"/>
  </r>
  <r>
    <x v="133"/>
    <s v="彰化分行　　　　　　"/>
    <s v="HB11017"/>
    <n v="270861283.81482738"/>
  </r>
  <r>
    <x v="133"/>
    <s v="彰化分行　　　　　　"/>
    <s v="HB12553"/>
    <n v="274569713.67316222"/>
  </r>
  <r>
    <x v="133"/>
    <s v="彰化分行　　　　　　"/>
    <s v="HB13252"/>
    <n v="88734250.834397599"/>
  </r>
  <r>
    <x v="133"/>
    <s v="彰化分行　　　　　　"/>
    <s v="HB20165"/>
    <n v="64087482.061517194"/>
  </r>
  <r>
    <x v="134"/>
    <s v="和美分行　　　　　　"/>
    <s v="HB18924"/>
    <n v="280615040.86713278"/>
  </r>
  <r>
    <x v="134"/>
    <s v="和美分行　　　　　　"/>
    <s v="HB4566"/>
    <n v="331811445.25592041"/>
  </r>
  <r>
    <x v="134"/>
    <s v="和美分行　　　　　　"/>
    <s v="HB6323"/>
    <n v="2524020400.859602"/>
  </r>
  <r>
    <x v="134"/>
    <s v="和美分行　　　　　　"/>
    <s v="HB8583"/>
    <n v="350125043.59945381"/>
  </r>
  <r>
    <x v="135"/>
    <s v="員林分行　　　　　　"/>
    <s v="HB14242"/>
    <n v="289160429.56878942"/>
  </r>
  <r>
    <x v="135"/>
    <s v="員林分行　　　　　　"/>
    <s v="HB16486"/>
    <n v="565017198.67927659"/>
  </r>
  <r>
    <x v="135"/>
    <s v="員林分行　　　　　　"/>
    <s v="HB17430"/>
    <n v="124457051.17188579"/>
  </r>
  <r>
    <x v="135"/>
    <s v="員林分行　　　　　　"/>
    <s v="HB4642"/>
    <n v="400333949.57345122"/>
  </r>
  <r>
    <x v="135"/>
    <s v="員林分行　　　　　　"/>
    <s v="HB8526"/>
    <n v="271206414.98992562"/>
  </r>
  <r>
    <x v="135"/>
    <s v="員林分行　　　　　　"/>
    <s v="HB9794"/>
    <n v="334419283.59236103"/>
  </r>
  <r>
    <x v="136"/>
    <s v="鹿港分行　　　　　　"/>
    <s v="HB10203"/>
    <n v="700311591.06287336"/>
  </r>
  <r>
    <x v="136"/>
    <s v="鹿港分行　　　　　　"/>
    <s v="HB10820"/>
    <n v="223550460.72120899"/>
  </r>
  <r>
    <x v="137"/>
    <s v="溪湖分行　　　　　　"/>
    <s v="HB10229"/>
    <n v="126521185.4854732"/>
  </r>
  <r>
    <x v="137"/>
    <s v="溪湖分行　　　　　　"/>
    <s v="HB11050"/>
    <n v="349523000.88281059"/>
  </r>
  <r>
    <x v="137"/>
    <s v="溪湖分行　　　　　　"/>
    <s v="HB11704"/>
    <n v="325104831.38589698"/>
  </r>
  <r>
    <x v="138"/>
    <s v="斗六分行　　　　　　"/>
    <s v="HB10740"/>
    <n v="164747518.49944198"/>
  </r>
  <r>
    <x v="138"/>
    <s v="斗六分行　　　　　　"/>
    <s v="HB7933"/>
    <n v="239258316.4205628"/>
  </r>
  <r>
    <x v="138"/>
    <s v="斗六分行　　　　　　"/>
    <s v="HB8331"/>
    <n v="118290092.95707799"/>
  </r>
  <r>
    <x v="139"/>
    <s v="虎尾分行　　　　　　"/>
    <s v="HB11032"/>
    <n v="89011685.6233062"/>
  </r>
  <r>
    <x v="139"/>
    <s v="虎尾分行　　　　　　"/>
    <s v="HB12568"/>
    <n v="137412369.47706622"/>
  </r>
  <r>
    <x v="139"/>
    <s v="虎尾分行　　　　　　"/>
    <s v="HB13450"/>
    <n v="209932842.10388699"/>
  </r>
  <r>
    <x v="139"/>
    <s v="虎尾分行　　　　　　"/>
    <s v="HB16910"/>
    <n v="319268670.3762908"/>
  </r>
  <r>
    <x v="139"/>
    <s v="虎尾分行　　　　　　"/>
    <s v="HB9657"/>
    <n v="82449677.013294607"/>
  </r>
  <r>
    <x v="140"/>
    <s v="西螺分行　　　　　　"/>
    <s v="HB13296"/>
    <n v="82712192.131746799"/>
  </r>
  <r>
    <x v="140"/>
    <s v="西螺分行　　　　　　"/>
    <s v="HB14132"/>
    <n v="318202007.83414"/>
  </r>
  <r>
    <x v="140"/>
    <s v="西螺分行　　　　　　"/>
    <s v="HB19353"/>
    <n v="129549681.602072"/>
  </r>
  <r>
    <x v="141"/>
    <s v="嘉義分行　　　　　　"/>
    <s v="HB12750"/>
    <n v="591815845.38260865"/>
  </r>
  <r>
    <x v="141"/>
    <s v="嘉義分行　　　　　　"/>
    <s v="HB12997"/>
    <n v="214972112.59016401"/>
  </r>
  <r>
    <x v="141"/>
    <s v="嘉義分行　　　　　　"/>
    <s v="HB16098"/>
    <n v="292300664.40518844"/>
  </r>
  <r>
    <x v="141"/>
    <s v="嘉義分行　　　　　　"/>
    <s v="HB16491"/>
    <n v="116968430.7645852"/>
  </r>
  <r>
    <x v="141"/>
    <s v="嘉義分行　　　　　　"/>
    <s v="HB9651"/>
    <n v="201427719.47417322"/>
  </r>
  <r>
    <x v="142"/>
    <s v="嘉南分行　　　　　　"/>
    <s v="HB10239"/>
    <n v="647048667.00680947"/>
  </r>
  <r>
    <x v="142"/>
    <s v="嘉南分行　　　　　　"/>
    <s v="HB11806"/>
    <n v="92884308.966860801"/>
  </r>
  <r>
    <x v="142"/>
    <s v="嘉南分行　　　　　　"/>
    <s v="HB14624"/>
    <n v="343260902.36167264"/>
  </r>
  <r>
    <x v="142"/>
    <s v="嘉南分行　　　　　　"/>
    <s v="HB16122"/>
    <n v="373471165.4033882"/>
  </r>
  <r>
    <x v="143"/>
    <s v="朴子分行　　　　　　"/>
    <s v="HB14121"/>
    <n v="298110872.43771201"/>
  </r>
  <r>
    <x v="143"/>
    <s v="朴子分行　　　　　　"/>
    <s v="HB17528"/>
    <n v="399583910.18074179"/>
  </r>
  <r>
    <x v="143"/>
    <s v="朴子分行　　　　　　"/>
    <s v="HB18022"/>
    <n v="58457629.776629597"/>
  </r>
  <r>
    <x v="144"/>
    <s v="新營分行　　　　　　"/>
    <s v="HB11249"/>
    <n v="282361962.20169383"/>
  </r>
  <r>
    <x v="144"/>
    <s v="新營分行　　　　　　"/>
    <s v="HB13248"/>
    <n v="180370840.57793599"/>
  </r>
  <r>
    <x v="144"/>
    <s v="新營分行　　　　　　"/>
    <s v="HB14884"/>
    <n v="129235807.50127921"/>
  </r>
  <r>
    <x v="144"/>
    <s v="新營分行　　　　　　"/>
    <s v="HB18144"/>
    <n v="211343645.641891"/>
  </r>
  <r>
    <x v="144"/>
    <s v="新營分行　　　　　　"/>
    <s v="HB18154"/>
    <n v="301576281.18148637"/>
  </r>
  <r>
    <x v="145"/>
    <s v="麻豆分行　　　　　　"/>
    <s v="HB10087"/>
    <n v="436559100.52589142"/>
  </r>
  <r>
    <x v="145"/>
    <s v="麻豆分行　　　　　　"/>
    <s v="HB16605"/>
    <n v="546115775.37451541"/>
  </r>
  <r>
    <x v="145"/>
    <s v="麻豆分行　　　　　　"/>
    <s v="HB18931"/>
    <n v="312312668.96385181"/>
  </r>
  <r>
    <x v="146"/>
    <s v="永康分行　　　　　　"/>
    <s v="HB10310"/>
    <n v="593492473.98028946"/>
  </r>
  <r>
    <x v="146"/>
    <s v="永康分行　　　　　　"/>
    <s v="HB11033"/>
    <n v="85677560.205058604"/>
  </r>
  <r>
    <x v="146"/>
    <s v="永康分行　　　　　　"/>
    <s v="HB11656"/>
    <n v="28898687.773749202"/>
  </r>
  <r>
    <x v="146"/>
    <s v="永康分行　　　　　　"/>
    <s v="HB16232"/>
    <n v="314873476.10988241"/>
  </r>
  <r>
    <x v="147"/>
    <s v="台南分行　　　　　　"/>
    <s v="HB11052"/>
    <n v="63506763.825978003"/>
  </r>
  <r>
    <x v="147"/>
    <s v="台南分行　　　　　　"/>
    <s v="HB13084"/>
    <n v="316365359.8095054"/>
  </r>
  <r>
    <x v="147"/>
    <s v="台南分行　　　　　　"/>
    <s v="HB14949"/>
    <n v="388395883.25073624"/>
  </r>
  <r>
    <x v="147"/>
    <s v="台南分行　　　　　　"/>
    <s v="HB14966"/>
    <n v="438667769.76236236"/>
  </r>
  <r>
    <x v="147"/>
    <s v="台南分行　　　　　　"/>
    <s v="HB16852"/>
    <n v="393989818.52591938"/>
  </r>
  <r>
    <x v="147"/>
    <s v="台南分行　　　　　　"/>
    <s v="HB18155"/>
    <n v="191348599.4797172"/>
  </r>
  <r>
    <x v="148"/>
    <s v="東台南分行　　　　　"/>
    <s v="HB15523"/>
    <n v="317973539.52851582"/>
  </r>
  <r>
    <x v="148"/>
    <s v="東台南分行　　　　　"/>
    <s v="HB16881"/>
    <n v="343391264.72833961"/>
  </r>
  <r>
    <x v="148"/>
    <s v="東台南分行　　　　　"/>
    <s v="HB5031"/>
    <n v="318209675.38947743"/>
  </r>
  <r>
    <x v="148"/>
    <s v="東台南分行　　　　　"/>
    <s v="HB7295"/>
    <n v="326715541.86794776"/>
  </r>
  <r>
    <x v="149"/>
    <s v="西台南分行　　　　　"/>
    <s v="HB12752"/>
    <n v="156492276.94683081"/>
  </r>
  <r>
    <x v="149"/>
    <s v="西台南分行　　　　　"/>
    <s v="HB14471"/>
    <n v="530953574.38827503"/>
  </r>
  <r>
    <x v="149"/>
    <s v="西台南分行　　　　　"/>
    <s v="HB17243"/>
    <n v="65423020.252837196"/>
  </r>
  <r>
    <x v="150"/>
    <s v="北台南分行　　　　　"/>
    <s v="HB14336"/>
    <n v="698616255.7058599"/>
  </r>
  <r>
    <x v="150"/>
    <s v="北台南分行　　　　　"/>
    <s v="HB14726"/>
    <n v="247399259.045468"/>
  </r>
  <r>
    <x v="150"/>
    <s v="北台南分行　　　　　"/>
    <s v="HB17420"/>
    <n v="26937318.023077399"/>
  </r>
  <r>
    <x v="150"/>
    <s v="北台南分行　　　　　"/>
    <s v="HB18857"/>
    <n v="59135026.354622796"/>
  </r>
  <r>
    <x v="151"/>
    <s v="南都分行　　　　　　"/>
    <s v="HB13600"/>
    <n v="424552796.92902839"/>
  </r>
  <r>
    <x v="151"/>
    <s v="南都分行　　　　　　"/>
    <s v="HB16290"/>
    <n v="164182739.15968761"/>
  </r>
  <r>
    <x v="151"/>
    <s v="南都分行　　　　　　"/>
    <s v="HB17087"/>
    <n v="376420327.01327419"/>
  </r>
  <r>
    <x v="151"/>
    <s v="南都分行　　　　　　"/>
    <s v="HB18935"/>
    <n v="136964340.62434819"/>
  </r>
  <r>
    <x v="152"/>
    <s v="安南分行　　　　　　"/>
    <s v="HB10156"/>
    <n v="261004494.0057134"/>
  </r>
  <r>
    <x v="152"/>
    <s v="安南分行　　　　　　"/>
    <s v="HB15419"/>
    <n v="499208279.96403575"/>
  </r>
  <r>
    <x v="152"/>
    <s v="安南分行　　　　　　"/>
    <s v="HB7377"/>
    <n v="119755449.50662281"/>
  </r>
  <r>
    <x v="153"/>
    <s v="仁德分行　　　　　　"/>
    <s v="HB13539"/>
    <n v="599212272.71577966"/>
  </r>
  <r>
    <x v="153"/>
    <s v="仁德分行　　　　　　"/>
    <s v="HB18012"/>
    <n v="378924436.79968721"/>
  </r>
  <r>
    <x v="154"/>
    <s v="新市分行　　　　　　"/>
    <s v="HB11383"/>
    <n v="259628745.672618"/>
  </r>
  <r>
    <x v="154"/>
    <s v="新市分行　　　　　　"/>
    <s v="HB12814"/>
    <n v="82565979.030861616"/>
  </r>
  <r>
    <x v="154"/>
    <s v="新市分行　　　　　　"/>
    <s v="HB16237"/>
    <n v="534161772.5742982"/>
  </r>
  <r>
    <x v="154"/>
    <s v="新市分行　　　　　　"/>
    <s v="HB18423"/>
    <n v="301434456.37631941"/>
  </r>
  <r>
    <x v="155"/>
    <s v="金華分行　　　　　　"/>
    <s v="HB10547"/>
    <n v="247168675.7123298"/>
  </r>
  <r>
    <x v="155"/>
    <s v="金華分行　　　　　　"/>
    <s v="HB14133"/>
    <n v="392079617.15899181"/>
  </r>
  <r>
    <x v="155"/>
    <s v="金華分行　　　　　　"/>
    <s v="HB9110"/>
    <n v="137160878.3681792"/>
  </r>
  <r>
    <x v="156"/>
    <s v="高雄分行　　　　　　"/>
    <s v="HB13598"/>
    <n v="405505404.20770264"/>
  </r>
  <r>
    <x v="156"/>
    <s v="高雄分行　　　　　　"/>
    <s v="HB16156"/>
    <n v="760062589.67475843"/>
  </r>
  <r>
    <x v="156"/>
    <s v="高雄分行　　　　　　"/>
    <s v="HB16366"/>
    <n v="436969593.70524538"/>
  </r>
  <r>
    <x v="156"/>
    <s v="高雄分行　　　　　　"/>
    <s v="HB18016"/>
    <n v="96722004.689741001"/>
  </r>
  <r>
    <x v="157"/>
    <s v="東苓分行　　　　　　"/>
    <s v="HB10286"/>
    <n v="77286349.131718203"/>
  </r>
  <r>
    <x v="157"/>
    <s v="東苓分行　　　　　　"/>
    <s v="HB19168"/>
    <n v="109464455.507723"/>
  </r>
  <r>
    <x v="157"/>
    <s v="東苓分行　　　　　　"/>
    <s v="HB9923"/>
    <n v="528890841.33872461"/>
  </r>
  <r>
    <x v="158"/>
    <s v="新興分行　　　　　　"/>
    <s v="HB16357"/>
    <n v="303962724.50368601"/>
  </r>
  <r>
    <x v="158"/>
    <s v="新興分行　　　　　　"/>
    <s v="HB16599"/>
    <n v="304662010.79632622"/>
  </r>
  <r>
    <x v="159"/>
    <s v="高雄三民分行　　　　"/>
    <s v="HB13599"/>
    <n v="221339595.41053939"/>
  </r>
  <r>
    <x v="159"/>
    <s v="高雄三民分行　　　　"/>
    <s v="HB14727"/>
    <n v="326547708.35325146"/>
  </r>
  <r>
    <x v="160"/>
    <s v="苓雅分行　　　　　　"/>
    <s v="HB16517"/>
    <n v="76131913.397264808"/>
  </r>
  <r>
    <x v="160"/>
    <s v="苓雅分行　　　　　　"/>
    <s v="HB17247"/>
    <n v="326859061.25853962"/>
  </r>
  <r>
    <x v="160"/>
    <s v="苓雅分行　　　　　　"/>
    <s v="HB7798"/>
    <n v="247423761.85946161"/>
  </r>
  <r>
    <x v="161"/>
    <s v="前鎮分行　　　　　　"/>
    <s v="HB10160"/>
    <n v="69179301.7468514"/>
  </r>
  <r>
    <x v="161"/>
    <s v="前鎮分行　　　　　　"/>
    <s v="HB12523"/>
    <n v="158583128.65750802"/>
  </r>
  <r>
    <x v="161"/>
    <s v="前鎮分行　　　　　　"/>
    <s v="HB17073"/>
    <n v="732770514.07807493"/>
  </r>
  <r>
    <x v="162"/>
    <s v="高雄博愛分行　　　　"/>
    <s v="HB13545"/>
    <n v="157398368.8205784"/>
  </r>
  <r>
    <x v="162"/>
    <s v="高雄博愛分行　　　　"/>
    <s v="HB15990"/>
    <n v="432540880.40901864"/>
  </r>
  <r>
    <x v="162"/>
    <s v="高雄博愛分行　　　　"/>
    <s v="HB17439"/>
    <n v="136852640.65743959"/>
  </r>
  <r>
    <x v="163"/>
    <s v="南高雄分行　　　　　"/>
    <s v="HB10662"/>
    <n v="293956650.13906503"/>
  </r>
  <r>
    <x v="163"/>
    <s v="南高雄分行　　　　　"/>
    <s v="HB14629"/>
    <n v="157281493.06344879"/>
  </r>
  <r>
    <x v="163"/>
    <s v="南高雄分行　　　　　"/>
    <s v="HB17403"/>
    <n v="60876781.650408"/>
  </r>
  <r>
    <x v="164"/>
    <s v="東高雄分行　　　　　"/>
    <s v="HB11141"/>
    <n v="247727229.44458982"/>
  </r>
  <r>
    <x v="164"/>
    <s v="東高雄分行　　　　　"/>
    <s v="HB7716"/>
    <n v="298327273.16585737"/>
  </r>
  <r>
    <x v="165"/>
    <s v="大昌分行　　　　　　"/>
    <s v="HB10250"/>
    <n v="318510503.06283182"/>
  </r>
  <r>
    <x v="165"/>
    <s v="大昌分行　　　　　　"/>
    <s v="HB17139"/>
    <n v="89831481.615269199"/>
  </r>
  <r>
    <x v="165"/>
    <s v="大昌分行　　　　　　"/>
    <s v="HB17530"/>
    <n v="385621430.07505"/>
  </r>
  <r>
    <x v="165"/>
    <s v="大昌分行　　　　　　"/>
    <s v="HB9873"/>
    <n v="112247677.56991419"/>
  </r>
  <r>
    <x v="166"/>
    <s v="北高雄分行　　　　　"/>
    <s v="HB14175"/>
    <n v="153102985.73371959"/>
  </r>
  <r>
    <x v="166"/>
    <s v="北高雄分行　　　　　"/>
    <s v="HB14808"/>
    <n v="332484437.40880102"/>
  </r>
  <r>
    <x v="166"/>
    <s v="北高雄分行　　　　　"/>
    <s v="HB16401"/>
    <n v="304684842.1620416"/>
  </r>
  <r>
    <x v="166"/>
    <s v="北高雄分行　　　　　"/>
    <s v="HB19966"/>
    <n v="88172005.257945403"/>
  </r>
  <r>
    <x v="167"/>
    <s v="楠梓分行　　　　　　"/>
    <s v="HB14124"/>
    <n v="427190121.9899022"/>
  </r>
  <r>
    <x v="167"/>
    <s v="楠梓分行　　　　　　"/>
    <s v="HB14557"/>
    <n v="450163556.41180581"/>
  </r>
  <r>
    <x v="167"/>
    <s v="楠梓分行　　　　　　"/>
    <s v="HB19954"/>
    <n v="116740325.9566116"/>
  </r>
  <r>
    <x v="168"/>
    <s v="左營分行　　　　　　"/>
    <s v="HB14673"/>
    <n v="125238639.2506168"/>
  </r>
  <r>
    <x v="168"/>
    <s v="左營分行　　　　　　"/>
    <s v="HB14922"/>
    <n v="140578914.228986"/>
  </r>
  <r>
    <x v="169"/>
    <s v="岡山分行　　　　　　"/>
    <s v="HB16246"/>
    <n v="522700105.9759376"/>
  </r>
  <r>
    <x v="169"/>
    <s v="岡山分行　　　　　　"/>
    <s v="HB17335"/>
    <n v="195560436.438627"/>
  </r>
  <r>
    <x v="169"/>
    <s v="岡山分行　　　　　　"/>
    <s v="HB18064"/>
    <n v="294688509.86958778"/>
  </r>
  <r>
    <x v="169"/>
    <s v="岡山分行　　　　　　"/>
    <s v="HB19499"/>
    <n v="207941215.72747141"/>
  </r>
  <r>
    <x v="170"/>
    <s v="鳳山分行　　　　　　"/>
    <s v="HB13544"/>
    <n v="420998783.37099141"/>
  </r>
  <r>
    <x v="170"/>
    <s v="鳳山分行　　　　　　"/>
    <s v="HB14735"/>
    <n v="455494558.34673458"/>
  </r>
  <r>
    <x v="170"/>
    <s v="鳳山分行　　　　　　"/>
    <s v="HB15410"/>
    <n v="852715090.25144005"/>
  </r>
  <r>
    <x v="170"/>
    <s v="鳳山分行　　　　　　"/>
    <s v="HB19978"/>
    <n v="105028684.8723862"/>
  </r>
  <r>
    <x v="171"/>
    <s v="路竹分行　　　　　　"/>
    <s v="HB15158"/>
    <n v="174342252.05196261"/>
  </r>
  <r>
    <x v="171"/>
    <s v="路竹分行　　　　　　"/>
    <s v="HB15595"/>
    <n v="316934989.93608236"/>
  </r>
  <r>
    <x v="171"/>
    <s v="路竹分行　　　　　　"/>
    <s v="HB19187"/>
    <n v="125999763.80617081"/>
  </r>
  <r>
    <x v="171"/>
    <s v="路竹分行　　　　　　"/>
    <s v="HB7062"/>
    <n v="664827674.632128"/>
  </r>
  <r>
    <x v="172"/>
    <s v="仁武分行　　　　　　"/>
    <s v="HB10844"/>
    <n v="227997493.3403976"/>
  </r>
  <r>
    <x v="172"/>
    <s v="仁武分行　　　　　　"/>
    <s v="HB13029"/>
    <n v="158599156.5945726"/>
  </r>
  <r>
    <x v="172"/>
    <s v="仁武分行　　　　　　"/>
    <s v="HB13836"/>
    <n v="36062507.248840407"/>
  </r>
  <r>
    <x v="173"/>
    <s v="籬仔內分行　　　　　"/>
    <s v="HB15876"/>
    <n v="210168782.7998786"/>
  </r>
  <r>
    <x v="173"/>
    <s v="籬仔內分行　　　　　"/>
    <s v="HB18944"/>
    <n v="201544690.50786462"/>
  </r>
  <r>
    <x v="174"/>
    <s v="五甲分行　　　　　　"/>
    <s v="HB15741"/>
    <n v="298971402.50124741"/>
  </r>
  <r>
    <x v="174"/>
    <s v="五甲分行　　　　　　"/>
    <s v="HB17103"/>
    <n v="105062142.2794984"/>
  </r>
  <r>
    <x v="174"/>
    <s v="五甲分行　　　　　　"/>
    <s v="HB17652"/>
    <n v="237592768.94771442"/>
  </r>
  <r>
    <x v="174"/>
    <s v="五甲分行　　　　　　"/>
    <s v="HB18015"/>
    <n v="278860601.52879119"/>
  </r>
  <r>
    <x v="175"/>
    <s v="光華分行　　　　　　"/>
    <s v="HB16650"/>
    <n v="580498827.01075423"/>
  </r>
  <r>
    <x v="175"/>
    <s v="光華分行　　　　　　"/>
    <s v="HB17331"/>
    <n v="112063416.7037074"/>
  </r>
  <r>
    <x v="175"/>
    <s v="光華分行　　　　　　"/>
    <s v="HB19956"/>
    <n v="77869175.616631001"/>
  </r>
  <r>
    <x v="176"/>
    <s v="小港分行　　　　　　"/>
    <s v="HB13569"/>
    <n v="252895156.34790277"/>
  </r>
  <r>
    <x v="176"/>
    <s v="小港分行　　　　　　"/>
    <s v="HB16402"/>
    <n v="187742545.90766221"/>
  </r>
  <r>
    <x v="176"/>
    <s v="小港分行　　　　　　"/>
    <s v="HB19006"/>
    <n v="46282681.118406199"/>
  </r>
  <r>
    <x v="177"/>
    <s v="高雄桂林分行　　　　"/>
    <s v="HB17176"/>
    <n v="474319275.15497017"/>
  </r>
  <r>
    <x v="177"/>
    <s v="高雄桂林分行　　　　"/>
    <s v="HB17650"/>
    <n v="153525531.58459181"/>
  </r>
  <r>
    <x v="178"/>
    <s v="屏東分行　　　　　　"/>
    <s v="HB11016"/>
    <n v="417373043.71587861"/>
  </r>
  <r>
    <x v="178"/>
    <s v="屏東分行　　　　　　"/>
    <s v="HB13355"/>
    <n v="420890788.72874463"/>
  </r>
  <r>
    <x v="178"/>
    <s v="屏東分行　　　　　　"/>
    <s v="HB20178"/>
    <n v="59662960.044200204"/>
  </r>
  <r>
    <x v="178"/>
    <s v="屏東分行　　　　　　"/>
    <s v="HB9011"/>
    <n v="238359138.61750382"/>
  </r>
  <r>
    <x v="179"/>
    <s v="內埔分行　　　　　　"/>
    <s v="HB14241"/>
    <n v="381320149.26058"/>
  </r>
  <r>
    <x v="179"/>
    <s v="內埔分行　　　　　　"/>
    <s v="HB18494"/>
    <n v="303993988.38738823"/>
  </r>
  <r>
    <x v="179"/>
    <s v="內埔分行　　　　　　"/>
    <s v="HB9023"/>
    <n v="682425909.68391287"/>
  </r>
  <r>
    <x v="179"/>
    <s v="內埔分行　　　　　　"/>
    <s v="HB9545"/>
    <n v="106148871.8621536"/>
  </r>
  <r>
    <x v="180"/>
    <s v="潮州分行　　　　　　"/>
    <s v="HB10335"/>
    <n v="418882623.00563514"/>
  </r>
  <r>
    <x v="180"/>
    <s v="潮州分行　　　　　　"/>
    <s v="HB16245"/>
    <n v="214720083.43945721"/>
  </r>
  <r>
    <x v="180"/>
    <s v="潮州分行　　　　　　"/>
    <s v="HB7667"/>
    <n v="288924529.84257919"/>
  </r>
  <r>
    <x v="181"/>
    <s v="佳冬分行　　　　　　"/>
    <s v="HB14034"/>
    <n v="204434060.72031841"/>
  </r>
  <r>
    <x v="181"/>
    <s v="佳冬分行　　　　　　"/>
    <s v="HB16986"/>
    <n v="189191055.3316758"/>
  </r>
  <r>
    <x v="182"/>
    <s v="花蓮分行　　　　　　"/>
    <s v="HB12176"/>
    <n v="185862602.387422"/>
  </r>
  <r>
    <x v="182"/>
    <s v="花蓮分行　　　　　　"/>
    <s v="HB13601"/>
    <n v="410824445.59940821"/>
  </r>
  <r>
    <x v="182"/>
    <s v="花蓮分行　　　　　　"/>
    <s v="HB14223"/>
    <n v="47095346.210187599"/>
  </r>
  <r>
    <x v="182"/>
    <s v="花蓮分行　　　　　　"/>
    <s v="HB15355"/>
    <n v="331327307.74384642"/>
  </r>
  <r>
    <x v="183"/>
    <s v="台東分行　　　　　　"/>
    <s v="HB11118"/>
    <n v="240541472.61188099"/>
  </r>
  <r>
    <x v="183"/>
    <s v="台東分行　　　　　　"/>
    <s v="HB16856"/>
    <n v="121945202.33233701"/>
  </r>
  <r>
    <x v="183"/>
    <s v="台東分行　　　　　　"/>
    <s v="HB7809"/>
    <n v="302585091.57320559"/>
  </r>
  <r>
    <x v="184"/>
    <s v="營運總部分行　　　　"/>
    <s v="HB13274"/>
    <n v="346135613.345227"/>
  </r>
  <r>
    <x v="184"/>
    <s v="營運總部分行　　　　"/>
    <s v="HB17454"/>
    <n v="189048485.1175707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x v="0"/>
    <n v="100"/>
    <s v="營業部"/>
    <n v="11660000"/>
  </r>
  <r>
    <x v="0"/>
    <n v="101"/>
    <s v="儲蓄分行"/>
    <n v="4740000"/>
  </r>
  <r>
    <x v="0"/>
    <n v="103"/>
    <s v="城內分行"/>
    <n v="4780000"/>
  </r>
  <r>
    <x v="0"/>
    <n v="104"/>
    <s v="大稻埕分行"/>
    <n v="7910000"/>
  </r>
  <r>
    <x v="0"/>
    <n v="105"/>
    <s v="建成分行"/>
    <n v="6610000"/>
  </r>
  <r>
    <x v="0"/>
    <n v="106"/>
    <s v="中山分行"/>
    <n v="9960000"/>
  </r>
  <r>
    <x v="0"/>
    <n v="107"/>
    <s v="圓山分行"/>
    <n v="12910000"/>
  </r>
  <r>
    <x v="0"/>
    <n v="108"/>
    <s v="城東分行"/>
    <n v="12270000"/>
  </r>
  <r>
    <x v="0"/>
    <n v="109"/>
    <s v="西門分行"/>
    <n v="4780000"/>
  </r>
  <r>
    <x v="0"/>
    <n v="110"/>
    <s v="南松山分行"/>
    <n v="5950000"/>
  </r>
  <r>
    <x v="0"/>
    <n v="111"/>
    <s v="仁愛路分行"/>
    <n v="10050000"/>
  </r>
  <r>
    <x v="0"/>
    <n v="112"/>
    <s v="南京東路分行"/>
    <n v="9650000"/>
  </r>
  <r>
    <x v="0"/>
    <n v="113"/>
    <s v="新生分行"/>
    <n v="8770000"/>
  </r>
  <r>
    <x v="0"/>
    <n v="114"/>
    <s v="大同分行"/>
    <n v="8350000"/>
  </r>
  <r>
    <x v="0"/>
    <n v="115"/>
    <s v="松山分行"/>
    <n v="5890000"/>
  </r>
  <r>
    <x v="0"/>
    <n v="116"/>
    <s v="中崙分行"/>
    <n v="5850000"/>
  </r>
  <r>
    <x v="0"/>
    <n v="117"/>
    <s v="台北南門分行"/>
    <n v="8160000"/>
  </r>
  <r>
    <x v="0"/>
    <n v="118"/>
    <s v="公館分行"/>
    <n v="7210000"/>
  </r>
  <r>
    <x v="0"/>
    <n v="119"/>
    <s v="信義分行"/>
    <n v="4990000"/>
  </r>
  <r>
    <x v="0"/>
    <n v="120"/>
    <s v="忠孝東路分行"/>
    <n v="9690000"/>
  </r>
  <r>
    <x v="0"/>
    <n v="121"/>
    <s v="和平分行"/>
    <n v="7400000"/>
  </r>
  <r>
    <x v="0"/>
    <n v="122"/>
    <s v="雙園分行"/>
    <n v="8400000"/>
  </r>
  <r>
    <x v="0"/>
    <n v="123"/>
    <s v="士林分行"/>
    <n v="8990000"/>
  </r>
  <r>
    <x v="0"/>
    <n v="124"/>
    <s v="東台北分行"/>
    <n v="5730000"/>
  </r>
  <r>
    <x v="0"/>
    <n v="125"/>
    <s v="大安分行"/>
    <n v="7620000"/>
  </r>
  <r>
    <x v="0"/>
    <n v="126"/>
    <s v="民生分行"/>
    <n v="9750000"/>
  </r>
  <r>
    <x v="0"/>
    <n v="127"/>
    <s v="復興分行"/>
    <n v="7680000"/>
  </r>
  <r>
    <x v="0"/>
    <n v="128"/>
    <s v="龍江分行"/>
    <n v="5490000"/>
  </r>
  <r>
    <x v="0"/>
    <n v="129"/>
    <s v="永吉分行"/>
    <n v="6180000"/>
  </r>
  <r>
    <x v="0"/>
    <n v="130"/>
    <s v="敦化分行"/>
    <n v="6170000"/>
  </r>
  <r>
    <x v="0"/>
    <n v="132"/>
    <s v="大直分行"/>
    <n v="3160000"/>
  </r>
  <r>
    <x v="0"/>
    <n v="133"/>
    <s v="敦和分行"/>
    <n v="5230000"/>
  </r>
  <r>
    <x v="1"/>
    <n v="134"/>
    <s v="東湖分行"/>
    <n v="7340000"/>
  </r>
  <r>
    <x v="0"/>
    <n v="136"/>
    <s v="東興分行"/>
    <n v="3340000"/>
  </r>
  <r>
    <x v="1"/>
    <n v="137"/>
    <s v="北南港分行"/>
    <n v="5010000"/>
  </r>
  <r>
    <x v="1"/>
    <n v="143"/>
    <s v="南內湖分行"/>
    <n v="4220000"/>
  </r>
  <r>
    <x v="0"/>
    <n v="145"/>
    <s v="長安分行"/>
    <n v="4010000"/>
  </r>
  <r>
    <x v="0"/>
    <n v="147"/>
    <s v="懷生分行"/>
    <n v="7570000"/>
  </r>
  <r>
    <x v="0"/>
    <n v="148"/>
    <s v="中華路分行"/>
    <n v="4540000"/>
  </r>
  <r>
    <x v="0"/>
    <n v="149"/>
    <s v="信維分行"/>
    <n v="6280000"/>
  </r>
  <r>
    <x v="1"/>
    <n v="151"/>
    <s v="埔墘分行"/>
    <n v="7980000"/>
  </r>
  <r>
    <x v="0"/>
    <n v="152"/>
    <s v="石牌分行"/>
    <n v="8180000"/>
  </r>
  <r>
    <x v="0"/>
    <n v="153"/>
    <s v="瑞祥分行"/>
    <n v="7090000"/>
  </r>
  <r>
    <x v="0"/>
    <n v="154"/>
    <s v="台大分行"/>
    <n v="4460000"/>
  </r>
  <r>
    <x v="0"/>
    <n v="156"/>
    <s v="世貿分行"/>
    <n v="5570000"/>
  </r>
  <r>
    <x v="0"/>
    <n v="157"/>
    <s v="萬華分行"/>
    <n v="5160000"/>
  </r>
  <r>
    <x v="1"/>
    <n v="158"/>
    <s v="南港分行"/>
    <n v="7210000"/>
  </r>
  <r>
    <x v="1"/>
    <n v="159"/>
    <s v="華江分行"/>
    <n v="11320000"/>
  </r>
  <r>
    <x v="1"/>
    <n v="160"/>
    <s v="板橋分行"/>
    <n v="7450000"/>
  </r>
  <r>
    <x v="1"/>
    <n v="161"/>
    <s v="三重分行"/>
    <n v="5220000"/>
  </r>
  <r>
    <x v="1"/>
    <n v="162"/>
    <s v="北三重分行"/>
    <n v="10720000"/>
  </r>
  <r>
    <x v="2"/>
    <n v="163"/>
    <s v="新莊分行"/>
    <n v="6170000"/>
  </r>
  <r>
    <x v="1"/>
    <n v="164"/>
    <s v="永和分行"/>
    <n v="6980000"/>
  </r>
  <r>
    <x v="1"/>
    <n v="165"/>
    <s v="中和分行"/>
    <n v="8600000"/>
  </r>
  <r>
    <x v="1"/>
    <n v="166"/>
    <s v="新店分行"/>
    <n v="7740000"/>
  </r>
  <r>
    <x v="1"/>
    <n v="167"/>
    <s v="淡水分行"/>
    <n v="9630000"/>
  </r>
  <r>
    <x v="1"/>
    <n v="168"/>
    <s v="汐止分行"/>
    <n v="9050000"/>
  </r>
  <r>
    <x v="1"/>
    <n v="169"/>
    <s v="南永和分行"/>
    <n v="7530000"/>
  </r>
  <r>
    <x v="1"/>
    <n v="170"/>
    <s v="西三重分行"/>
    <n v="6820000"/>
  </r>
  <r>
    <x v="1"/>
    <n v="171"/>
    <s v="南三重分行"/>
    <n v="6470000"/>
  </r>
  <r>
    <x v="1"/>
    <n v="172"/>
    <s v="雙和分行"/>
    <n v="5100000"/>
  </r>
  <r>
    <x v="2"/>
    <n v="173"/>
    <s v="新泰分行"/>
    <n v="5530000"/>
  </r>
  <r>
    <x v="1"/>
    <n v="174"/>
    <s v="二重分行"/>
    <n v="10380000"/>
  </r>
  <r>
    <x v="1"/>
    <n v="175"/>
    <s v="板新分行"/>
    <n v="7270000"/>
  </r>
  <r>
    <x v="2"/>
    <n v="176"/>
    <s v="五股分行"/>
    <n v="5130000"/>
  </r>
  <r>
    <x v="0"/>
    <n v="177"/>
    <s v="潭美分行"/>
    <n v="1600000"/>
  </r>
  <r>
    <x v="0"/>
    <n v="178"/>
    <s v="北投分行"/>
    <n v="7840000"/>
  </r>
  <r>
    <x v="1"/>
    <n v="179"/>
    <s v="西湖分行"/>
    <n v="7820000"/>
  </r>
  <r>
    <x v="1"/>
    <n v="180"/>
    <s v="積穗分行"/>
    <n v="8110000"/>
  </r>
  <r>
    <x v="1"/>
    <n v="182"/>
    <s v="福和分行"/>
    <n v="4360000"/>
  </r>
  <r>
    <x v="1"/>
    <n v="183"/>
    <s v="南勢角分行"/>
    <n v="4720000"/>
  </r>
  <r>
    <x v="1"/>
    <n v="184"/>
    <s v="北蘆洲分行"/>
    <n v="5520000"/>
  </r>
  <r>
    <x v="1"/>
    <n v="185"/>
    <s v="蘆洲分行"/>
    <n v="8280000"/>
  </r>
  <r>
    <x v="2"/>
    <n v="186"/>
    <s v="土城分行"/>
    <n v="7500000"/>
  </r>
  <r>
    <x v="1"/>
    <n v="187"/>
    <s v="北新分行"/>
    <n v="5790000"/>
  </r>
  <r>
    <x v="0"/>
    <n v="189"/>
    <s v="天母分行"/>
    <n v="7640000"/>
  </r>
  <r>
    <x v="1"/>
    <n v="190"/>
    <s v="內湖分行"/>
    <n v="6350000"/>
  </r>
  <r>
    <x v="2"/>
    <n v="191"/>
    <s v="樹林分行"/>
    <n v="7800000"/>
  </r>
  <r>
    <x v="1"/>
    <n v="192"/>
    <s v="樟樹灣分行"/>
    <n v="7540000"/>
  </r>
  <r>
    <x v="2"/>
    <n v="193"/>
    <s v="泰山分行"/>
    <n v="7150000"/>
  </r>
  <r>
    <x v="2"/>
    <n v="194"/>
    <s v="三峽分行"/>
    <n v="5880000"/>
  </r>
  <r>
    <x v="1"/>
    <n v="195"/>
    <s v="文山分行"/>
    <n v="4590000"/>
  </r>
  <r>
    <x v="2"/>
    <n v="196"/>
    <s v="鶯歌分行"/>
    <n v="5710000"/>
  </r>
  <r>
    <x v="2"/>
    <n v="197"/>
    <s v="北新莊分行"/>
    <n v="3510000"/>
  </r>
  <r>
    <x v="2"/>
    <n v="199"/>
    <s v="林口站前分行"/>
    <n v="4680000"/>
  </r>
  <r>
    <x v="1"/>
    <n v="200"/>
    <s v="基隆分行"/>
    <n v="4920000"/>
  </r>
  <r>
    <x v="1"/>
    <n v="201"/>
    <s v="基隆港口分行"/>
    <n v="5270000"/>
  </r>
  <r>
    <x v="1"/>
    <n v="211"/>
    <s v="七堵分行"/>
    <n v="5640000"/>
  </r>
  <r>
    <x v="1"/>
    <n v="220"/>
    <s v="羅東分行"/>
    <n v="4680000"/>
  </r>
  <r>
    <x v="1"/>
    <n v="221"/>
    <s v="宜蘭分行"/>
    <n v="4460000"/>
  </r>
  <r>
    <x v="2"/>
    <n v="240"/>
    <s v="桃園分行"/>
    <n v="8900000"/>
  </r>
  <r>
    <x v="2"/>
    <n v="241"/>
    <s v="中壢分行"/>
    <n v="9260000"/>
  </r>
  <r>
    <x v="2"/>
    <n v="242"/>
    <s v="楊梅分行"/>
    <n v="9080000"/>
  </r>
  <r>
    <x v="2"/>
    <n v="243"/>
    <s v="壢昌分行"/>
    <n v="6460000"/>
  </r>
  <r>
    <x v="2"/>
    <n v="244"/>
    <s v="北桃園分行"/>
    <n v="8080000"/>
  </r>
  <r>
    <x v="2"/>
    <n v="245"/>
    <s v="南崁分行"/>
    <n v="5930000"/>
  </r>
  <r>
    <x v="2"/>
    <n v="246"/>
    <s v="平鎮分行"/>
    <n v="6190000"/>
  </r>
  <r>
    <x v="2"/>
    <n v="247"/>
    <s v="八德分行"/>
    <n v="6750000"/>
  </r>
  <r>
    <x v="2"/>
    <n v="248"/>
    <s v="龜山分行"/>
    <n v="6350000"/>
  </r>
  <r>
    <x v="2"/>
    <n v="249"/>
    <s v="龍潭分行"/>
    <n v="4540000"/>
  </r>
  <r>
    <x v="2"/>
    <n v="250"/>
    <s v="大溪分行"/>
    <n v="3980000"/>
  </r>
  <r>
    <x v="2"/>
    <n v="251"/>
    <s v="內壢分行"/>
    <n v="4710000"/>
  </r>
  <r>
    <x v="2"/>
    <n v="252"/>
    <s v="林口分行"/>
    <n v="6800000"/>
  </r>
  <r>
    <x v="2"/>
    <n v="260"/>
    <s v="觀音分行"/>
    <n v="7910000"/>
  </r>
  <r>
    <x v="2"/>
    <n v="262"/>
    <s v="大園分行"/>
    <n v="6050000"/>
  </r>
  <r>
    <x v="2"/>
    <n v="268"/>
    <s v="青埔分行"/>
    <n v="1870000"/>
  </r>
  <r>
    <x v="2"/>
    <n v="300"/>
    <s v="新竹分行"/>
    <n v="7930000"/>
  </r>
  <r>
    <x v="2"/>
    <n v="301"/>
    <s v="竹東分行"/>
    <n v="5870000"/>
  </r>
  <r>
    <x v="2"/>
    <n v="302"/>
    <s v="竹科分行"/>
    <n v="5150000"/>
  </r>
  <r>
    <x v="2"/>
    <n v="310"/>
    <s v="新豐分行"/>
    <n v="5740000"/>
  </r>
  <r>
    <x v="2"/>
    <n v="313"/>
    <s v="六家分行"/>
    <n v="3430000"/>
  </r>
  <r>
    <x v="3"/>
    <n v="320"/>
    <s v="竹南分行"/>
    <n v="6670000"/>
  </r>
  <r>
    <x v="3"/>
    <n v="321"/>
    <s v="頭份分行"/>
    <n v="6670000"/>
  </r>
  <r>
    <x v="3"/>
    <n v="322"/>
    <s v="苗栗分行"/>
    <n v="4720000"/>
  </r>
  <r>
    <x v="2"/>
    <n v="323"/>
    <s v="竹北分行"/>
    <n v="5250000"/>
  </r>
  <r>
    <x v="2"/>
    <n v="351"/>
    <s v="大眾分行"/>
    <n v="4690000"/>
  </r>
  <r>
    <x v="3"/>
    <n v="400"/>
    <s v="豐原分行"/>
    <n v="9540000"/>
  </r>
  <r>
    <x v="3"/>
    <n v="401"/>
    <s v="東勢分行"/>
    <n v="6360000"/>
  </r>
  <r>
    <x v="3"/>
    <n v="402"/>
    <s v="清水分行"/>
    <n v="7450000"/>
  </r>
  <r>
    <x v="3"/>
    <n v="403"/>
    <s v="西豐原分行"/>
    <n v="6910000"/>
  </r>
  <r>
    <x v="3"/>
    <n v="420"/>
    <s v="台中分行"/>
    <n v="12910000"/>
  </r>
  <r>
    <x v="3"/>
    <n v="422"/>
    <s v="南台中分行"/>
    <n v="7210000"/>
  </r>
  <r>
    <x v="3"/>
    <n v="423"/>
    <s v="北台中分行"/>
    <n v="6420000"/>
  </r>
  <r>
    <x v="3"/>
    <n v="424"/>
    <s v="台中港路分行"/>
    <n v="9850000"/>
  </r>
  <r>
    <x v="3"/>
    <n v="425"/>
    <s v="大里分行"/>
    <n v="8130000"/>
  </r>
  <r>
    <x v="3"/>
    <n v="426"/>
    <s v="水湳分行"/>
    <n v="6590000"/>
  </r>
  <r>
    <x v="3"/>
    <n v="427"/>
    <s v="五權分行"/>
    <n v="7080000"/>
  </r>
  <r>
    <x v="3"/>
    <n v="429"/>
    <s v="大甲分行"/>
    <n v="5120000"/>
  </r>
  <r>
    <x v="3"/>
    <n v="430"/>
    <s v="太平分行"/>
    <n v="4960000"/>
  </r>
  <r>
    <x v="3"/>
    <n v="431"/>
    <s v="中科分行"/>
    <n v="3860000"/>
  </r>
  <r>
    <x v="3"/>
    <n v="451"/>
    <s v="沙鹿分行"/>
    <n v="5260000"/>
  </r>
  <r>
    <x v="3"/>
    <n v="500"/>
    <s v="草屯分行"/>
    <n v="6230000"/>
  </r>
  <r>
    <x v="3"/>
    <n v="501"/>
    <s v="南投分行"/>
    <n v="5630000"/>
  </r>
  <r>
    <x v="3"/>
    <n v="520"/>
    <s v="彰化分行"/>
    <n v="8270000"/>
  </r>
  <r>
    <x v="3"/>
    <n v="521"/>
    <s v="和美分行"/>
    <n v="13250000"/>
  </r>
  <r>
    <x v="3"/>
    <n v="522"/>
    <s v="員林分行"/>
    <n v="12200000"/>
  </r>
  <r>
    <x v="3"/>
    <n v="523"/>
    <s v="鹿港分行"/>
    <n v="7380000"/>
  </r>
  <r>
    <x v="3"/>
    <n v="524"/>
    <s v="溪湖分行"/>
    <n v="6080000"/>
  </r>
  <r>
    <x v="3"/>
    <n v="540"/>
    <s v="斗六分行"/>
    <n v="5240000"/>
  </r>
  <r>
    <x v="3"/>
    <n v="541"/>
    <s v="虎尾分行"/>
    <n v="7500000"/>
  </r>
  <r>
    <x v="3"/>
    <n v="542"/>
    <s v="西螺分行"/>
    <n v="4950000"/>
  </r>
  <r>
    <x v="3"/>
    <n v="600"/>
    <s v="嘉義分行"/>
    <n v="7480000"/>
  </r>
  <r>
    <x v="3"/>
    <n v="601"/>
    <s v="嘉南分行"/>
    <n v="7280000"/>
  </r>
  <r>
    <x v="3"/>
    <n v="602"/>
    <s v="朴子分行"/>
    <n v="4890000"/>
  </r>
  <r>
    <x v="4"/>
    <n v="620"/>
    <s v="新營分行"/>
    <n v="6980000"/>
  </r>
  <r>
    <x v="4"/>
    <n v="621"/>
    <s v="麻豆分行"/>
    <n v="9030000"/>
  </r>
  <r>
    <x v="4"/>
    <n v="622"/>
    <s v="永康分行"/>
    <n v="7020000"/>
  </r>
  <r>
    <x v="4"/>
    <n v="640"/>
    <s v="台南分行"/>
    <n v="10620000"/>
  </r>
  <r>
    <x v="4"/>
    <n v="642"/>
    <s v="東台南分行"/>
    <n v="9200000"/>
  </r>
  <r>
    <x v="4"/>
    <n v="643"/>
    <s v="西台南分行"/>
    <n v="5360000"/>
  </r>
  <r>
    <x v="4"/>
    <n v="644"/>
    <s v="北台南分行"/>
    <n v="6910000"/>
  </r>
  <r>
    <x v="4"/>
    <n v="645"/>
    <s v="南都分行"/>
    <n v="7750000"/>
  </r>
  <r>
    <x v="4"/>
    <n v="646"/>
    <s v="安南分行"/>
    <n v="5490000"/>
  </r>
  <r>
    <x v="4"/>
    <n v="647"/>
    <s v="仁德分行"/>
    <n v="7480000"/>
  </r>
  <r>
    <x v="4"/>
    <n v="648"/>
    <s v="新市分行"/>
    <n v="5530000"/>
  </r>
  <r>
    <x v="4"/>
    <n v="681"/>
    <s v="金華分行"/>
    <n v="6590000"/>
  </r>
  <r>
    <x v="4"/>
    <n v="700"/>
    <s v="高雄分行"/>
    <n v="8960000"/>
  </r>
  <r>
    <x v="4"/>
    <n v="701"/>
    <s v="東苓分行"/>
    <n v="5300000"/>
  </r>
  <r>
    <x v="4"/>
    <n v="702"/>
    <s v="新興分行"/>
    <n v="4770000"/>
  </r>
  <r>
    <x v="4"/>
    <n v="703"/>
    <s v="高雄三民分行"/>
    <n v="4440000"/>
  </r>
  <r>
    <x v="4"/>
    <n v="704"/>
    <s v="苓雅分行"/>
    <n v="4610000"/>
  </r>
  <r>
    <x v="4"/>
    <n v="705"/>
    <s v="前鎮分行"/>
    <n v="4430000"/>
  </r>
  <r>
    <x v="4"/>
    <n v="706"/>
    <s v="高雄博愛分行"/>
    <n v="6190000"/>
  </r>
  <r>
    <x v="4"/>
    <n v="707"/>
    <s v="南高雄分行"/>
    <n v="3820000"/>
  </r>
  <r>
    <x v="4"/>
    <n v="708"/>
    <s v="東高雄分行"/>
    <n v="5090000"/>
  </r>
  <r>
    <x v="4"/>
    <n v="709"/>
    <s v="大昌分行"/>
    <n v="5940000"/>
  </r>
  <r>
    <x v="4"/>
    <n v="710"/>
    <s v="北高雄分行"/>
    <n v="7270000"/>
  </r>
  <r>
    <x v="4"/>
    <n v="711"/>
    <s v="楠梓分行"/>
    <n v="5780000"/>
  </r>
  <r>
    <x v="4"/>
    <n v="712"/>
    <s v="左營分行"/>
    <n v="2730000"/>
  </r>
  <r>
    <x v="4"/>
    <n v="719"/>
    <s v="岡山分行"/>
    <n v="7810000"/>
  </r>
  <r>
    <x v="4"/>
    <n v="720"/>
    <s v="鳳山分行"/>
    <n v="6750000"/>
  </r>
  <r>
    <x v="4"/>
    <n v="721"/>
    <s v="路竹分行"/>
    <n v="6270000"/>
  </r>
  <r>
    <x v="4"/>
    <n v="722"/>
    <s v="仁武分行"/>
    <n v="3990000"/>
  </r>
  <r>
    <x v="4"/>
    <n v="751"/>
    <s v="籬仔內分行"/>
    <n v="4720000"/>
  </r>
  <r>
    <x v="4"/>
    <n v="752"/>
    <s v="五甲分行"/>
    <n v="6320000"/>
  </r>
  <r>
    <x v="4"/>
    <n v="753"/>
    <s v="光華分行"/>
    <n v="4730000"/>
  </r>
  <r>
    <x v="4"/>
    <n v="760"/>
    <s v="小港分行"/>
    <n v="8470000"/>
  </r>
  <r>
    <x v="4"/>
    <n v="765"/>
    <s v="高雄桂林分行"/>
    <e v="#N/A"/>
  </r>
  <r>
    <x v="4"/>
    <n v="800"/>
    <s v="屏東分行"/>
    <n v="6200000"/>
  </r>
  <r>
    <x v="4"/>
    <n v="801"/>
    <s v="內埔分行"/>
    <n v="8390000"/>
  </r>
  <r>
    <x v="4"/>
    <n v="802"/>
    <s v="潮州分行"/>
    <n v="9130000"/>
  </r>
  <r>
    <x v="4"/>
    <n v="813"/>
    <s v="佳冬分行"/>
    <e v="#N/A"/>
  </r>
  <r>
    <x v="1"/>
    <n v="820"/>
    <s v="花蓮分行"/>
    <n v="5270000"/>
  </r>
  <r>
    <x v="4"/>
    <n v="830"/>
    <s v="台東分行"/>
    <n v="4880000"/>
  </r>
  <r>
    <x v="0"/>
    <n v="888"/>
    <s v="營運總部分行"/>
    <n v="2970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n v="1"/>
    <s v="北一區"/>
    <n v="100"/>
    <s v="營業部"/>
    <n v="1"/>
    <n v="151815331"/>
    <n v="74374340.25999999"/>
    <n v="103860000"/>
    <n v="1.46"/>
    <n v="1.17"/>
    <s v="130%以上、未達150%"/>
    <s v="預估實績*90%"/>
    <n v="136630000"/>
    <s v="120%以上"/>
    <s v="分行目標*120%*101%"/>
    <n v="125880000"/>
    <n v="-10750000"/>
    <n v="772798"/>
    <n v="1187744"/>
    <n v="847588"/>
    <n v="1154551"/>
    <n v="190000"/>
    <m/>
    <n v="4150000"/>
    <n v="130030000"/>
    <n v="-0.1434988868153243"/>
    <n v="0.2519738108992875"/>
  </r>
  <r>
    <x v="1"/>
    <n v="2"/>
    <s v="北一區"/>
    <n v="101"/>
    <s v="儲蓄分行"/>
    <n v="3"/>
    <n v="24773020"/>
    <n v="16897911.670000002"/>
    <n v="36030000"/>
    <n v="0.69"/>
    <n v="0.68"/>
    <s v="未達75%"/>
    <s v="分行目標115%"/>
    <n v="41430000"/>
    <s v="未達80%"/>
    <s v="分行目標*80%*120%"/>
    <n v="34590000"/>
    <n v="-6840000"/>
    <n v="200971"/>
    <n v="494536"/>
    <n v="265249"/>
    <n v="577276"/>
    <n v="150000"/>
    <m/>
    <n v="1690000"/>
    <n v="36280000"/>
    <n v="0.46449645622536129"/>
    <n v="6.9386622259228758E-3"/>
  </r>
  <r>
    <x v="2"/>
    <n v="3"/>
    <s v="北一區"/>
    <n v="103"/>
    <s v="城內分行"/>
    <n v="3"/>
    <n v="43030534"/>
    <n v="30352974.274999999"/>
    <n v="44220000"/>
    <n v="0.97"/>
    <n v="0.94"/>
    <s v="90%以上、未達100%"/>
    <s v="分行目標105%"/>
    <n v="46430000"/>
    <s v="80%以上，未達100%"/>
    <s v="預估實績*105%"/>
    <n v="44320000"/>
    <n v="-2110000"/>
    <n v="356853"/>
    <n v="373499"/>
    <n v="264648"/>
    <n v="557370"/>
    <n v="150000"/>
    <m/>
    <n v="1700000"/>
    <n v="46020000"/>
    <n v="6.9473132729424236E-2"/>
    <n v="4.0705563093622832E-2"/>
  </r>
  <r>
    <x v="0"/>
    <n v="4"/>
    <s v="北一區"/>
    <n v="104"/>
    <s v="大稻埕分行"/>
    <n v="2"/>
    <n v="100530724"/>
    <n v="55965332.630000003"/>
    <n v="75640000"/>
    <n v="1.33"/>
    <n v="1.06"/>
    <s v="130%以上、未達150%"/>
    <s v="預估實績*90%"/>
    <n v="90480000"/>
    <s v="120%以上"/>
    <s v="分行目標*120%*101%"/>
    <n v="91680000"/>
    <n v="1200000"/>
    <n v="593231"/>
    <n v="802456"/>
    <n v="655029"/>
    <n v="597182"/>
    <n v="170000"/>
    <m/>
    <n v="2820000"/>
    <n v="94500000"/>
    <n v="-5.9988864697721689E-2"/>
    <n v="0.24933897408778427"/>
  </r>
  <r>
    <x v="1"/>
    <n v="5"/>
    <s v="北一區"/>
    <n v="105"/>
    <s v="建成分行"/>
    <n v="1"/>
    <n v="29760269"/>
    <n v="34286984.344999999"/>
    <n v="57000000"/>
    <n v="0.52"/>
    <n v="0.52"/>
    <s v="未達75%"/>
    <s v="分行目標115%"/>
    <n v="65550000"/>
    <s v="未達80%"/>
    <s v="分行目標*80%*120%"/>
    <n v="54720000"/>
    <n v="-10830000"/>
    <n v="392914"/>
    <n v="557316"/>
    <n v="492021"/>
    <n v="716618"/>
    <n v="190000"/>
    <m/>
    <n v="2350000"/>
    <n v="57070000"/>
    <n v="0.91765739751881936"/>
    <n v="1.2280701754385781E-3"/>
  </r>
  <r>
    <x v="2"/>
    <n v="6"/>
    <s v="北一區"/>
    <n v="106"/>
    <s v="中山分行"/>
    <n v="1"/>
    <n v="91410089"/>
    <n v="63329002.924999997"/>
    <n v="99340000"/>
    <n v="0.92"/>
    <n v="0.94"/>
    <s v="90%以上、未達100%"/>
    <s v="分行目標105%"/>
    <n v="104310000"/>
    <s v="80%以上，未達100%"/>
    <s v="預估實績*105%"/>
    <n v="94150000"/>
    <n v="-10160000"/>
    <n v="708835"/>
    <n v="853019"/>
    <n v="956135"/>
    <n v="836054"/>
    <n v="190000"/>
    <m/>
    <n v="3540000"/>
    <n v="97690000"/>
    <n v="6.8700414458627179E-2"/>
    <n v="-1.6609623515200345E-2"/>
  </r>
  <r>
    <x v="0"/>
    <n v="7"/>
    <s v="北一區"/>
    <n v="107"/>
    <s v="圓山分行"/>
    <n v="1"/>
    <n v="142594489"/>
    <n v="98548011.200000003"/>
    <n v="118090000"/>
    <n v="1.21"/>
    <n v="0.97"/>
    <s v="120%以上、未達130%"/>
    <s v="預估實績*101%"/>
    <n v="144020000"/>
    <s v="120%以上"/>
    <s v="分行目標*120%*101%"/>
    <n v="143130000"/>
    <n v="-890000"/>
    <n v="987496"/>
    <n v="1053092"/>
    <n v="1312004"/>
    <n v="1055021"/>
    <n v="190000"/>
    <m/>
    <n v="4600000"/>
    <n v="147730000"/>
    <n v="3.6014792970014531E-2"/>
    <n v="0.25099500381065298"/>
  </r>
  <r>
    <x v="0"/>
    <n v="8"/>
    <s v="北一區"/>
    <n v="108"/>
    <s v="城東分行"/>
    <n v="1"/>
    <n v="181181359"/>
    <n v="69824217.194999993"/>
    <n v="129150000"/>
    <n v="1.4"/>
    <n v="1.1299999999999999"/>
    <s v="130%以上、未達150%"/>
    <s v="預估實績*90%"/>
    <n v="163060000"/>
    <s v="120%以上"/>
    <s v="分行目標*120%*101%"/>
    <n v="156530000"/>
    <n v="-6530000"/>
    <n v="830437"/>
    <n v="1043239"/>
    <n v="853573"/>
    <n v="1453142"/>
    <n v="190000"/>
    <m/>
    <n v="4370000"/>
    <n v="160900000"/>
    <n v="-0.11193954561296782"/>
    <n v="0.24583817266744101"/>
  </r>
  <r>
    <x v="1"/>
    <n v="9"/>
    <s v="北一區"/>
    <n v="109"/>
    <s v="西門分行"/>
    <n v="4"/>
    <n v="29449723"/>
    <n v="18087475.66"/>
    <n v="37980000"/>
    <n v="0.78"/>
    <n v="0.77"/>
    <s v="75%以上、未達90%"/>
    <s v="分行目標110%"/>
    <n v="41780000"/>
    <s v="未達80%"/>
    <s v="分行目標*80%*120%"/>
    <n v="36460000"/>
    <n v="-5320000"/>
    <n v="215119"/>
    <n v="455146"/>
    <n v="268842"/>
    <n v="636994"/>
    <n v="130000"/>
    <m/>
    <n v="1710000"/>
    <n v="38170000"/>
    <n v="0.29610726729076542"/>
    <n v="5.0026329647183676E-3"/>
  </r>
  <r>
    <x v="1"/>
    <n v="10"/>
    <s v="北一區"/>
    <n v="110"/>
    <s v="南松山分行"/>
    <n v="5"/>
    <n v="44041600"/>
    <n v="35418780.695"/>
    <n v="59470000"/>
    <n v="0.74"/>
    <n v="0.74"/>
    <s v="未達75%"/>
    <s v="分行目標115%"/>
    <n v="68390000"/>
    <s v="未達80%"/>
    <s v="分行目標*80%*120%"/>
    <n v="57090000"/>
    <n v="-11300000"/>
    <n v="400597"/>
    <n v="563631"/>
    <n v="454107"/>
    <n v="597182"/>
    <n v="100000"/>
    <m/>
    <n v="2120000"/>
    <n v="59210000"/>
    <n v="0.34441073893773155"/>
    <n v="-4.3719522448293358E-3"/>
  </r>
  <r>
    <x v="0"/>
    <n v="11"/>
    <s v="北一區"/>
    <n v="111"/>
    <s v="仁愛路分行"/>
    <n v="1"/>
    <n v="156079156"/>
    <n v="60633304.240000002"/>
    <n v="101770000"/>
    <n v="1.53"/>
    <n v="1.23"/>
    <s v="150%以上、未達200%"/>
    <s v="預估實績*80%"/>
    <n v="124860000"/>
    <s v="120%以上"/>
    <s v="分行目標*120%*101%"/>
    <n v="123350000"/>
    <n v="-1510000"/>
    <n v="693476"/>
    <n v="885076"/>
    <n v="992876"/>
    <n v="816148"/>
    <n v="190000"/>
    <m/>
    <n v="3580000"/>
    <n v="126930000"/>
    <n v="-0.18675880077157769"/>
    <n v="0.24722413284858002"/>
  </r>
  <r>
    <x v="3"/>
    <n v="12"/>
    <s v="北一區"/>
    <n v="112"/>
    <s v="南京東路分行"/>
    <n v="1"/>
    <n v="81157545"/>
    <n v="39137481.230000004"/>
    <n v="68030000"/>
    <n v="1.19"/>
    <n v="0.95"/>
    <s v="110%以上、未達120%"/>
    <s v="預估實績*103%"/>
    <n v="83590000"/>
    <s v="100%以上，未達120%"/>
    <s v="預估實績*103%"/>
    <n v="81970000"/>
    <n v="-1620000"/>
    <n v="465472"/>
    <n v="1129918"/>
    <n v="634693"/>
    <n v="1015209"/>
    <n v="190000"/>
    <m/>
    <n v="3440000"/>
    <n v="85410000"/>
    <n v="5.2397531246170637E-2"/>
    <n v="0.25547552550345443"/>
  </r>
  <r>
    <x v="3"/>
    <n v="13"/>
    <s v="北一區"/>
    <n v="113"/>
    <s v="新生分行"/>
    <n v="2"/>
    <n v="98528137"/>
    <n v="72976111.930000007"/>
    <n v="91250000"/>
    <n v="1.08"/>
    <n v="0.96"/>
    <s v="100%以上、未達110%"/>
    <s v="預估實績105%"/>
    <n v="103450000"/>
    <s v="100%以上，未達120%"/>
    <s v="預估實績*103%"/>
    <n v="99510000"/>
    <n v="-3940000"/>
    <n v="669629"/>
    <n v="769719"/>
    <n v="700714"/>
    <n v="816148"/>
    <n v="170000"/>
    <m/>
    <n v="3130000"/>
    <n v="102640000"/>
    <n v="4.1732880831797381E-2"/>
    <n v="0.12482191780821927"/>
  </r>
  <r>
    <x v="1"/>
    <n v="14"/>
    <s v="北一區"/>
    <n v="114"/>
    <s v="大同分行"/>
    <n v="3"/>
    <n v="61542910"/>
    <n v="54643322.269999996"/>
    <n v="83440000"/>
    <n v="0.74"/>
    <n v="0.74"/>
    <s v="未達75%"/>
    <s v="分行目標115%"/>
    <n v="95960000"/>
    <s v="未達80%"/>
    <s v="分行目標*80%*120%"/>
    <n v="80100000"/>
    <n v="-15860000"/>
    <n v="610484"/>
    <n v="809352"/>
    <n v="831260"/>
    <n v="577276"/>
    <n v="150000"/>
    <m/>
    <n v="2980000"/>
    <n v="83080000"/>
    <n v="0.34995241531477794"/>
    <n v="-4.3144774688398391E-3"/>
  </r>
  <r>
    <x v="2"/>
    <n v="15"/>
    <s v="北一區"/>
    <n v="115"/>
    <s v="松山分行"/>
    <n v="3"/>
    <n v="51207175"/>
    <n v="61287282.144999996"/>
    <n v="59930000"/>
    <n v="0.85"/>
    <n v="0.93"/>
    <s v="75%以上、未達90%"/>
    <s v="分行目標110%"/>
    <n v="65920000"/>
    <s v="80%以上，未達100%"/>
    <s v="預估實績*105%"/>
    <n v="52740000"/>
    <n v="-13180000"/>
    <n v="532758"/>
    <n v="455812"/>
    <n v="363573"/>
    <n v="597182"/>
    <n v="150000"/>
    <m/>
    <n v="2100000"/>
    <n v="54840000"/>
    <n v="7.094367146791436E-2"/>
    <n v="-8.493242115801769E-2"/>
  </r>
  <r>
    <x v="1"/>
    <n v="16"/>
    <s v="北一區"/>
    <n v="116"/>
    <s v="中崙分行"/>
    <n v="2"/>
    <n v="38986009"/>
    <n v="31251448.009999998"/>
    <n v="50090000"/>
    <n v="0.78"/>
    <n v="0.78"/>
    <s v="75%以上、未達90%"/>
    <s v="分行目標110%"/>
    <n v="55100000"/>
    <s v="未達80%"/>
    <s v="分行目標*80%*120%"/>
    <n v="48090000"/>
    <n v="-7010000"/>
    <n v="371681"/>
    <n v="532191"/>
    <n v="412084"/>
    <n v="597182"/>
    <n v="170000"/>
    <m/>
    <n v="2080000"/>
    <n v="50170000"/>
    <n v="0.28687191346003127"/>
    <n v="1.5971251746855764E-3"/>
  </r>
  <r>
    <x v="3"/>
    <n v="17"/>
    <s v="北一區"/>
    <n v="117"/>
    <s v="台北南門分行"/>
    <n v="1"/>
    <n v="84357174"/>
    <n v="54503620.075000003"/>
    <n v="76020000"/>
    <n v="1.1100000000000001"/>
    <n v="0.96"/>
    <s v="110%以上、未達120%"/>
    <s v="預估實績*103%"/>
    <n v="86890000"/>
    <s v="100%以上，未達120%"/>
    <s v="預估實績*103%"/>
    <n v="85200000"/>
    <n v="-1690000"/>
    <n v="608696"/>
    <n v="745394"/>
    <n v="641684"/>
    <n v="716618"/>
    <n v="190000"/>
    <m/>
    <n v="2900000"/>
    <n v="88100000"/>
    <n v="4.4368793103476856E-2"/>
    <n v="0.15890555117074445"/>
  </r>
  <r>
    <x v="2"/>
    <n v="18"/>
    <s v="北一區"/>
    <n v="118"/>
    <s v="公館分行"/>
    <n v="2"/>
    <n v="67010394"/>
    <n v="45662891.174999997"/>
    <n v="73660000"/>
    <n v="0.91"/>
    <n v="0.94"/>
    <s v="90%以上、未達100%"/>
    <s v="分行目標105%"/>
    <n v="77340000"/>
    <s v="80%以上，未達100%"/>
    <s v="預估實績*105%"/>
    <n v="69020000"/>
    <n v="-8320000"/>
    <n v="543080"/>
    <n v="697089"/>
    <n v="582492"/>
    <n v="577276"/>
    <n v="170000"/>
    <m/>
    <n v="2570000"/>
    <n v="71590000"/>
    <n v="6.8341726210414455E-2"/>
    <n v="-2.8102090686940029E-2"/>
  </r>
  <r>
    <x v="2"/>
    <n v="19"/>
    <s v="北一區"/>
    <n v="119"/>
    <s v="信義分行"/>
    <n v="5"/>
    <n v="49779745"/>
    <n v="32981790.575000003"/>
    <n v="50390000"/>
    <n v="0.99"/>
    <n v="0.94"/>
    <s v="90%以上、未達100%"/>
    <s v="分行目標105%"/>
    <n v="52910000"/>
    <s v="80%以上，未達100%"/>
    <s v="預估實績*105%"/>
    <n v="51270000"/>
    <n v="-1640000"/>
    <n v="374147"/>
    <n v="426505"/>
    <n v="395432"/>
    <n v="477745"/>
    <n v="100000"/>
    <m/>
    <n v="1770000"/>
    <n v="53040000"/>
    <n v="6.5493605883276462E-2"/>
    <n v="5.2589799563405482E-2"/>
  </r>
  <r>
    <x v="3"/>
    <n v="20"/>
    <s v="北一區"/>
    <n v="120"/>
    <s v="忠孝東路分行"/>
    <n v="1"/>
    <n v="100696952"/>
    <n v="81235410.044999987"/>
    <n v="89830000"/>
    <n v="1.1200000000000001"/>
    <n v="0.96"/>
    <s v="110%以上、未達120%"/>
    <s v="預估實績*103%"/>
    <n v="103720000"/>
    <s v="100%以上，未達120%"/>
    <s v="預估實績*103%"/>
    <n v="101700000"/>
    <n v="-2020000"/>
    <n v="774726"/>
    <n v="895205"/>
    <n v="691924"/>
    <n v="895773"/>
    <n v="190000"/>
    <m/>
    <n v="3450000"/>
    <n v="105150000"/>
    <n v="4.4222271990913775E-2"/>
    <n v="0.17054436157185804"/>
  </r>
  <r>
    <x v="2"/>
    <n v="21"/>
    <s v="北一區"/>
    <n v="121"/>
    <s v="和平分行"/>
    <n v="3"/>
    <n v="69530860"/>
    <n v="47497966.799999997"/>
    <n v="72590000"/>
    <n v="0.96"/>
    <n v="0.94"/>
    <s v="90%以上、未達100%"/>
    <s v="分行目標105%"/>
    <n v="76220000"/>
    <s v="80%以上，未達100%"/>
    <s v="預估實績*105%"/>
    <n v="71620000"/>
    <n v="-4600000"/>
    <n v="560220"/>
    <n v="827421"/>
    <n v="543503"/>
    <n v="557370"/>
    <n v="150000"/>
    <m/>
    <n v="2640000"/>
    <n v="74260000"/>
    <n v="6.8014979248063323E-2"/>
    <n v="2.3005923680947893E-2"/>
  </r>
  <r>
    <x v="3"/>
    <n v="22"/>
    <s v="北一區"/>
    <n v="122"/>
    <s v="雙園分行"/>
    <n v="3"/>
    <n v="84497964"/>
    <n v="53055218.020000003"/>
    <n v="80720000"/>
    <n v="1.05"/>
    <n v="0.96"/>
    <s v="100%以上、未達110%"/>
    <s v="預估實績105%"/>
    <n v="88720000"/>
    <s v="100%以上，未達120%"/>
    <s v="預估實績*103%"/>
    <n v="85340000"/>
    <n v="-3380000"/>
    <n v="615936"/>
    <n v="819735"/>
    <n v="793251"/>
    <n v="617088"/>
    <n v="150000"/>
    <m/>
    <n v="3000000"/>
    <n v="88340000"/>
    <n v="4.5468977217013151E-2"/>
    <n v="9.4400396432110956E-2"/>
  </r>
  <r>
    <x v="3"/>
    <n v="23"/>
    <s v="北一區"/>
    <n v="123"/>
    <s v="士林分行"/>
    <n v="1"/>
    <n v="98773192"/>
    <n v="53856476.834999993"/>
    <n v="93950000"/>
    <n v="1.05"/>
    <n v="0.96"/>
    <s v="100%以上、未達110%"/>
    <s v="預估實績105%"/>
    <n v="103710000"/>
    <s v="100%以上，未達120%"/>
    <s v="預估實績*103%"/>
    <n v="99760000"/>
    <n v="-3950000"/>
    <n v="640528"/>
    <n v="994736"/>
    <n v="717923"/>
    <n v="656900"/>
    <n v="190000"/>
    <m/>
    <n v="3200000"/>
    <n v="102960000"/>
    <n v="4.2388100609323187E-2"/>
    <n v="9.5902075572112722E-2"/>
  </r>
  <r>
    <x v="3"/>
    <n v="24"/>
    <s v="北一區"/>
    <n v="124"/>
    <s v="東台北分行"/>
    <n v="4"/>
    <n v="43108651"/>
    <n v="28223900.280000001"/>
    <n v="42510000"/>
    <n v="1.01"/>
    <n v="0.95"/>
    <s v="100%以上、未達110%"/>
    <s v="預估實績105%"/>
    <n v="45260000"/>
    <s v="100%以上，未達120%"/>
    <s v="預估實績*103%"/>
    <n v="43540000"/>
    <n v="-1720000"/>
    <n v="335674"/>
    <n v="584658"/>
    <n v="419474"/>
    <n v="577276"/>
    <n v="130000"/>
    <m/>
    <n v="2050000"/>
    <n v="45590000"/>
    <n v="5.7560349081672735E-2"/>
    <n v="7.245354034344853E-2"/>
  </r>
  <r>
    <x v="1"/>
    <n v="25"/>
    <s v="北一區"/>
    <n v="125"/>
    <s v="大安分行"/>
    <n v="2"/>
    <n v="63203960"/>
    <n v="43280966.890000001"/>
    <n v="84440000"/>
    <n v="0.75"/>
    <n v="0.75"/>
    <s v="75%以上、未達90%"/>
    <s v="分行目標110%"/>
    <n v="92880000"/>
    <s v="未達80%"/>
    <s v="分行目標*80%*120%"/>
    <n v="81060000"/>
    <n v="-11820000"/>
    <n v="514751"/>
    <n v="672573"/>
    <n v="682037"/>
    <n v="676806"/>
    <n v="170000"/>
    <m/>
    <n v="2720000"/>
    <n v="83780000"/>
    <n v="0.3255498547875797"/>
    <n v="-7.8162008526764248E-3"/>
  </r>
  <r>
    <x v="0"/>
    <n v="26"/>
    <s v="北一區"/>
    <n v="126"/>
    <s v="民生分行"/>
    <n v="1"/>
    <n v="109982593"/>
    <n v="68636956.805000007"/>
    <n v="89400000"/>
    <n v="1.23"/>
    <n v="0.98"/>
    <s v="120%以上、未達130%"/>
    <s v="預估實績*101%"/>
    <n v="111080000"/>
    <s v="120%以上"/>
    <s v="分行目標*120%*101%"/>
    <n v="108350000"/>
    <n v="-2730000"/>
    <n v="750226"/>
    <n v="958062"/>
    <n v="516368"/>
    <n v="1055021"/>
    <n v="190000"/>
    <m/>
    <n v="3470000"/>
    <n v="111820000"/>
    <n v="1.6706343702953097E-2"/>
    <n v="0.2507829977628635"/>
  </r>
  <r>
    <x v="2"/>
    <n v="27"/>
    <s v="北一區"/>
    <n v="127"/>
    <s v="復興分行"/>
    <n v="1"/>
    <n v="67142368"/>
    <n v="48333315.305"/>
    <n v="68820000"/>
    <n v="0.98"/>
    <n v="0.93"/>
    <s v="90%以上、未達100%"/>
    <s v="分行目標105%"/>
    <n v="72260000"/>
    <s v="80%以上，未達100%"/>
    <s v="預估實績*105%"/>
    <n v="69160000"/>
    <n v="-3100000"/>
    <n v="554578"/>
    <n v="680401"/>
    <n v="550299"/>
    <n v="756430"/>
    <n v="190000"/>
    <m/>
    <n v="2730000"/>
    <n v="71890000"/>
    <n v="7.0709927895304503E-2"/>
    <n v="4.4609125254286619E-2"/>
  </r>
  <r>
    <x v="2"/>
    <n v="28"/>
    <s v="北一區"/>
    <n v="128"/>
    <s v="龍江分行"/>
    <n v="5"/>
    <n v="40121914"/>
    <n v="33549318.455000002"/>
    <n v="47250000"/>
    <n v="0.85"/>
    <n v="0.93"/>
    <s v="75%以上、未達90%"/>
    <s v="分行目標110%"/>
    <n v="51980000"/>
    <s v="80%以上，未達100%"/>
    <s v="預估實績*105%"/>
    <n v="41330000"/>
    <n v="-10650000"/>
    <n v="393718"/>
    <n v="458902"/>
    <n v="441002"/>
    <n v="557370"/>
    <n v="100000"/>
    <m/>
    <n v="1950000"/>
    <n v="43280000"/>
    <n v="7.8712246878351877E-2"/>
    <n v="-8.4021164021163997E-2"/>
  </r>
  <r>
    <x v="2"/>
    <n v="29"/>
    <s v="北一區"/>
    <n v="129"/>
    <s v="永吉分行"/>
    <n v="6"/>
    <n v="52270476"/>
    <n v="43999040.909999996"/>
    <n v="59980000"/>
    <n v="0.87"/>
    <n v="0.93"/>
    <s v="75%以上、未達90%"/>
    <s v="分行目標110%"/>
    <n v="65980000"/>
    <s v="80%以上，未達100%"/>
    <s v="預估實績*105%"/>
    <n v="53840000"/>
    <n v="-12140000"/>
    <n v="487634"/>
    <n v="551313"/>
    <n v="528410"/>
    <n v="557370"/>
    <n v="80000"/>
    <m/>
    <n v="2200000"/>
    <n v="56040000"/>
    <n v="7.2115738911579852E-2"/>
    <n v="-6.5688562854284815E-2"/>
  </r>
  <r>
    <x v="1"/>
    <n v="30"/>
    <s v="北一區"/>
    <n v="130"/>
    <s v="敦化分行"/>
    <n v="1"/>
    <n v="35284802"/>
    <n v="23660677.690000001"/>
    <n v="47410000"/>
    <n v="0.74"/>
    <n v="0.74"/>
    <s v="未達75%"/>
    <s v="分行目標115%"/>
    <n v="54520000"/>
    <s v="未達80%"/>
    <s v="分行目標*80%*120%"/>
    <n v="45510000"/>
    <n v="-9010000"/>
    <n v="281402"/>
    <n v="549509"/>
    <n v="313636"/>
    <n v="855960"/>
    <n v="190000"/>
    <m/>
    <n v="2190000"/>
    <n v="47700000"/>
    <n v="0.35185681359356935"/>
    <n v="6.1168529846022945E-3"/>
  </r>
  <r>
    <x v="2"/>
    <n v="31"/>
    <s v="北一區"/>
    <n v="132"/>
    <s v="大直分行"/>
    <n v="8"/>
    <n v="24377025"/>
    <n v="17979455.43"/>
    <n v="24640000"/>
    <n v="0.99"/>
    <n v="0.93"/>
    <s v="90%以上、未達100%"/>
    <s v="分行目標105%"/>
    <n v="25870000"/>
    <s v="80%以上，未達100%"/>
    <s v="預估實績*105%"/>
    <n v="25110000"/>
    <n v="-760000"/>
    <n v="211190"/>
    <n v="226994"/>
    <n v="276384"/>
    <n v="378215"/>
    <n v="40000"/>
    <m/>
    <n v="1130000"/>
    <n v="26240000"/>
    <n v="7.6423394569271608E-2"/>
    <n v="6.4935064935064846E-2"/>
  </r>
  <r>
    <x v="1"/>
    <n v="32"/>
    <s v="北一區"/>
    <n v="133"/>
    <s v="敦和分行"/>
    <n v="1"/>
    <n v="36160101"/>
    <n v="25681366.494999997"/>
    <n v="50840000"/>
    <n v="0.71"/>
    <n v="0.71"/>
    <s v="未達75%"/>
    <s v="分行目標115%"/>
    <n v="58470000"/>
    <s v="未達80%"/>
    <s v="分行目標*80%*120%"/>
    <n v="48810000"/>
    <n v="-9660000"/>
    <n v="282319"/>
    <n v="416347"/>
    <n v="370306"/>
    <n v="597182"/>
    <n v="190000"/>
    <m/>
    <n v="1860000"/>
    <n v="50670000"/>
    <n v="0.40126820995328516"/>
    <n v="-3.3438237608182098E-3"/>
  </r>
  <r>
    <x v="2"/>
    <n v="33"/>
    <s v="北二區"/>
    <n v="134"/>
    <s v="東湖分行"/>
    <n v="4"/>
    <n v="61784257"/>
    <n v="38304987.5"/>
    <n v="75830000"/>
    <n v="0.81"/>
    <n v="0.93"/>
    <s v="75%以上、未達90%"/>
    <s v="分行目標110%"/>
    <n v="83410000"/>
    <s v="80%以上，未達100%"/>
    <s v="預估實績*105%"/>
    <n v="63640000"/>
    <n v="-19770000"/>
    <n v="455571"/>
    <n v="794156"/>
    <n v="665784"/>
    <n v="577276"/>
    <n v="130000"/>
    <m/>
    <n v="2620000"/>
    <n v="66260000"/>
    <n v="7.2441479712218593E-2"/>
    <n v="-0.12620334959778456"/>
  </r>
  <r>
    <x v="0"/>
    <n v="34"/>
    <s v="北一區"/>
    <n v="136"/>
    <s v="東興分行"/>
    <n v="7"/>
    <n v="49654913"/>
    <n v="26879718"/>
    <n v="34730000"/>
    <n v="1.43"/>
    <n v="1.1499999999999999"/>
    <s v="130%以上、未達150%"/>
    <s v="預估實績*90%"/>
    <n v="44690000"/>
    <s v="120%以上"/>
    <s v="分行目標*120%*101%"/>
    <n v="42090000"/>
    <n v="-2600000"/>
    <n v="233583"/>
    <n v="227175"/>
    <n v="192599"/>
    <n v="477745"/>
    <n v="60000"/>
    <m/>
    <n v="1190000"/>
    <n v="43280000"/>
    <n v="-0.12838433530232951"/>
    <n v="0.24618485459257133"/>
  </r>
  <r>
    <x v="0"/>
    <n v="35"/>
    <s v="北二區"/>
    <n v="137"/>
    <s v="北南港分行"/>
    <n v="3"/>
    <n v="61003844"/>
    <n v="31727557.84"/>
    <n v="47080000"/>
    <n v="1.3"/>
    <n v="1.04"/>
    <s v="130%以上、未達150%"/>
    <s v="預估實績*90%"/>
    <n v="54900000"/>
    <s v="120%以上"/>
    <s v="分行目標*120%*101%"/>
    <n v="57060000"/>
    <n v="2160000"/>
    <n v="355250"/>
    <n v="333215"/>
    <n v="408319"/>
    <n v="537464"/>
    <n v="150000"/>
    <m/>
    <n v="1780000"/>
    <n v="58840000"/>
    <n v="-3.5470617228645418E-2"/>
    <n v="0.24978759558198815"/>
  </r>
  <r>
    <x v="3"/>
    <n v="36"/>
    <s v="北二區"/>
    <n v="143"/>
    <s v="南內湖分行"/>
    <n v="5"/>
    <n v="44219159"/>
    <n v="39382063.394999996"/>
    <n v="41160000"/>
    <n v="1.07"/>
    <n v="0.96"/>
    <s v="100%以上、未達110%"/>
    <s v="預估實績105%"/>
    <n v="46430000"/>
    <s v="100%以上，未達120%"/>
    <s v="預估實績*103%"/>
    <n v="44660000"/>
    <n v="-1770000"/>
    <n v="334914"/>
    <n v="290205"/>
    <n v="297799"/>
    <n v="477745"/>
    <n v="100000"/>
    <m/>
    <n v="1500000"/>
    <n v="46160000"/>
    <n v="4.3891404628477959E-2"/>
    <n v="0.12147716229348893"/>
  </r>
  <r>
    <x v="0"/>
    <n v="37"/>
    <s v="北一區"/>
    <n v="145"/>
    <s v="長安分行"/>
    <n v="6"/>
    <n v="43235636"/>
    <n v="16928328.380000003"/>
    <n v="31970000"/>
    <n v="1.35"/>
    <n v="1.08"/>
    <s v="130%以上、未達150%"/>
    <s v="預估實績*90%"/>
    <n v="38910000"/>
    <s v="120%以上"/>
    <s v="分行目標*120%*101%"/>
    <n v="38750000"/>
    <n v="-160000"/>
    <n v="201333"/>
    <n v="267206"/>
    <n v="362416"/>
    <n v="517557"/>
    <n v="80000"/>
    <m/>
    <n v="1430000"/>
    <n v="40180000"/>
    <n v="-7.0674015296085857E-2"/>
    <n v="0.25680325304973417"/>
  </r>
  <r>
    <x v="3"/>
    <n v="38"/>
    <s v="北一區"/>
    <n v="147"/>
    <s v="懷生分行"/>
    <n v="2"/>
    <n v="77955723"/>
    <n v="40220526.100000001"/>
    <n v="66300000"/>
    <n v="1.18"/>
    <n v="0.96"/>
    <s v="110%以上、未達120%"/>
    <s v="預估實績*103%"/>
    <n v="80290000"/>
    <s v="100%以上，未達120%"/>
    <s v="預估實績*103%"/>
    <n v="78740000"/>
    <n v="-1550000"/>
    <n v="478353"/>
    <n v="922104"/>
    <n v="509923"/>
    <n v="617088"/>
    <n v="170000"/>
    <m/>
    <n v="2700000"/>
    <n v="81440000"/>
    <n v="4.4695589572044669E-2"/>
    <n v="0.22835595776772255"/>
  </r>
  <r>
    <x v="2"/>
    <n v="39"/>
    <s v="北一區"/>
    <n v="148"/>
    <s v="中華路分行"/>
    <n v="6"/>
    <n v="37388217"/>
    <n v="26707870.899999999"/>
    <n v="44260000"/>
    <n v="0.84"/>
    <n v="0.93"/>
    <s v="75%以上、未達90%"/>
    <s v="分行目標110%"/>
    <n v="48690000"/>
    <s v="80%以上，未達100%"/>
    <s v="預估實績*105%"/>
    <n v="38510000"/>
    <n v="-10180000"/>
    <n v="317643"/>
    <n v="399578"/>
    <n v="341620"/>
    <n v="477745"/>
    <n v="80000"/>
    <m/>
    <n v="1620000"/>
    <n v="40130000"/>
    <n v="7.3332809638929852E-2"/>
    <n v="-9.3312245820153628E-2"/>
  </r>
  <r>
    <x v="3"/>
    <n v="40"/>
    <s v="北一區"/>
    <n v="149"/>
    <s v="信維分行"/>
    <n v="2"/>
    <n v="62694255"/>
    <n v="34290859.170000002"/>
    <n v="61940000"/>
    <n v="1.01"/>
    <n v="0.96"/>
    <s v="100%以上、未達110%"/>
    <s v="預估實績105%"/>
    <n v="65830000"/>
    <s v="100%以上，未達120%"/>
    <s v="預估實績*103%"/>
    <n v="63320000"/>
    <n v="-2510000"/>
    <n v="407830"/>
    <n v="597309"/>
    <n v="365596"/>
    <n v="696712"/>
    <n v="170000"/>
    <m/>
    <n v="2240000"/>
    <n v="65560000"/>
    <n v="4.5709850129010965E-2"/>
    <n v="5.8443655150145268E-2"/>
  </r>
  <r>
    <x v="3"/>
    <n v="41"/>
    <s v="北二區"/>
    <n v="151"/>
    <s v="埔墘分行"/>
    <n v="3"/>
    <n v="94209278"/>
    <n v="58853113.950000003"/>
    <n v="82620000"/>
    <n v="1.1399999999999999"/>
    <n v="0.96"/>
    <s v="110%以上、未達120%"/>
    <s v="預估實績*103%"/>
    <n v="97040000"/>
    <s v="100%以上，未達120%"/>
    <s v="預估實績*103%"/>
    <n v="95150000"/>
    <n v="-1890000"/>
    <n v="593850"/>
    <n v="741206"/>
    <n v="743385"/>
    <n v="617088"/>
    <n v="150000"/>
    <m/>
    <n v="2850000"/>
    <n v="98000000"/>
    <n v="4.0237247121244213E-2"/>
    <n v="0.1861534737351731"/>
  </r>
  <r>
    <x v="2"/>
    <n v="42"/>
    <s v="北一區"/>
    <n v="152"/>
    <s v="石牌分行"/>
    <n v="4"/>
    <n v="61112664"/>
    <n v="46374430.799999997"/>
    <n v="76730000"/>
    <n v="0.8"/>
    <n v="0.93"/>
    <s v="75%以上、未達90%"/>
    <s v="分行目標110%"/>
    <n v="84400000"/>
    <s v="80%以上，未達100%"/>
    <s v="預估實績*105%"/>
    <n v="62950000"/>
    <n v="-21450000"/>
    <n v="551543"/>
    <n v="938618"/>
    <n v="702144"/>
    <n v="597182"/>
    <n v="130000"/>
    <m/>
    <n v="2920000"/>
    <n v="65870000"/>
    <n v="7.7845338242823026E-2"/>
    <n v="-0.14153525348625051"/>
  </r>
  <r>
    <x v="0"/>
    <n v="43"/>
    <s v="北一區"/>
    <n v="153"/>
    <s v="瑞祥分行"/>
    <n v="3"/>
    <n v="91287215"/>
    <n v="50648899.149999999"/>
    <n v="70340000"/>
    <n v="1.3"/>
    <n v="1.04"/>
    <s v="130%以上、未達150%"/>
    <s v="預估實績*90%"/>
    <n v="82160000"/>
    <s v="120%以上"/>
    <s v="分行目標*120%*101%"/>
    <n v="85250000"/>
    <n v="3090000"/>
    <n v="569487"/>
    <n v="627362"/>
    <n v="601929"/>
    <n v="577276"/>
    <n v="150000"/>
    <m/>
    <n v="2530000"/>
    <n v="87780000"/>
    <n v="-3.8419564010140905E-2"/>
    <n v="0.24793858402047197"/>
  </r>
  <r>
    <x v="0"/>
    <n v="44"/>
    <s v="北一區"/>
    <n v="154"/>
    <s v="台大分行"/>
    <n v="7"/>
    <n v="49686844"/>
    <n v="23360917.98"/>
    <n v="38300000"/>
    <n v="1.3"/>
    <n v="1.03"/>
    <s v="130%以上、未達150%"/>
    <s v="預估實績*90%"/>
    <n v="44720000"/>
    <s v="120%以上"/>
    <s v="分行目標*120%*101%"/>
    <n v="46420000"/>
    <n v="1700000"/>
    <n v="245284"/>
    <n v="603351"/>
    <n v="342925"/>
    <n v="338403"/>
    <n v="60000"/>
    <m/>
    <n v="1590000"/>
    <n v="48010000"/>
    <n v="-3.3748249335377345E-2"/>
    <n v="0.25352480417754575"/>
  </r>
  <r>
    <x v="2"/>
    <n v="45"/>
    <s v="北一區"/>
    <n v="156"/>
    <s v="世貿分行"/>
    <n v="3"/>
    <n v="48887128"/>
    <n v="30241809.82"/>
    <n v="50930000"/>
    <n v="0.96"/>
    <n v="0.93"/>
    <s v="90%以上、未達100%"/>
    <s v="分行目標105%"/>
    <n v="53480000"/>
    <s v="80%以上，未達100%"/>
    <s v="預估實績*105%"/>
    <n v="50350000"/>
    <n v="-3130000"/>
    <n v="359673"/>
    <n v="420864"/>
    <n v="436838"/>
    <n v="617088"/>
    <n v="150000"/>
    <m/>
    <n v="1980000"/>
    <n v="52330000"/>
    <n v="7.0424918395697089E-2"/>
    <n v="2.7488709994109461E-2"/>
  </r>
  <r>
    <x v="3"/>
    <n v="46"/>
    <s v="北一區"/>
    <n v="157"/>
    <s v="萬華分行"/>
    <n v="6"/>
    <n v="37642448"/>
    <n v="22675891.210000001"/>
    <n v="37520000"/>
    <n v="1"/>
    <n v="0.94"/>
    <s v="100%以上、未達110%"/>
    <s v="預估實績105%"/>
    <n v="39520000"/>
    <s v="100%以上，未達120%"/>
    <s v="預估實績*103%"/>
    <n v="38020000"/>
    <n v="-1500000"/>
    <n v="269690"/>
    <n v="415778"/>
    <n v="477827"/>
    <n v="597182"/>
    <n v="80000"/>
    <m/>
    <n v="1840000"/>
    <n v="39860000"/>
    <n v="5.8910940117390842E-2"/>
    <n v="6.2366737739872002E-2"/>
  </r>
  <r>
    <x v="3"/>
    <n v="47"/>
    <s v="北二區"/>
    <n v="158"/>
    <s v="南港分行"/>
    <n v="2"/>
    <n v="76700670"/>
    <n v="56212341.299999997"/>
    <n v="66080000"/>
    <n v="1.1599999999999999"/>
    <n v="0.96"/>
    <s v="110%以上、未達120%"/>
    <s v="預估實績*103%"/>
    <n v="79000000"/>
    <s v="100%以上，未達120%"/>
    <s v="預估實績*103%"/>
    <n v="77470000"/>
    <n v="-1530000"/>
    <n v="557940"/>
    <n v="579451"/>
    <n v="664119"/>
    <n v="597182"/>
    <n v="170000"/>
    <m/>
    <n v="2570000"/>
    <n v="80040000"/>
    <n v="4.3537168580144003E-2"/>
    <n v="0.21125907990314774"/>
  </r>
  <r>
    <x v="0"/>
    <n v="48"/>
    <s v="北二區"/>
    <n v="159"/>
    <s v="華江分行"/>
    <n v="1"/>
    <n v="145784243"/>
    <n v="105747669.64500001"/>
    <n v="118930000"/>
    <n v="1.23"/>
    <n v="0.98"/>
    <s v="120%以上、未達130%"/>
    <s v="預估實績*101%"/>
    <n v="147240000"/>
    <s v="120%以上"/>
    <s v="分行目標*120%*101%"/>
    <n v="144140000"/>
    <n v="-3100000"/>
    <n v="879208"/>
    <n v="1300192"/>
    <n v="904113"/>
    <n v="756430"/>
    <n v="190000"/>
    <m/>
    <n v="4030000"/>
    <n v="148170000"/>
    <n v="1.636498534344355E-2"/>
    <n v="0.24585890860169846"/>
  </r>
  <r>
    <x v="0"/>
    <n v="49"/>
    <s v="北二區"/>
    <n v="160"/>
    <s v="板橋分行"/>
    <n v="2"/>
    <n v="104246307"/>
    <n v="54912149.664999999"/>
    <n v="79980000"/>
    <n v="1.3"/>
    <n v="1.05"/>
    <s v="130%以上、未達150%"/>
    <s v="預估實績*90%"/>
    <n v="93820000"/>
    <s v="120%以上"/>
    <s v="分行目標*120%*101%"/>
    <n v="96940000"/>
    <n v="3120000"/>
    <n v="572363"/>
    <n v="757823"/>
    <n v="576767"/>
    <n v="577276"/>
    <n v="170000"/>
    <m/>
    <n v="2650000"/>
    <n v="99590000"/>
    <n v="-4.4666397630757304E-2"/>
    <n v="0.24518629657414359"/>
  </r>
  <r>
    <x v="2"/>
    <n v="50"/>
    <s v="北二區"/>
    <n v="161"/>
    <s v="三重分行"/>
    <n v="8"/>
    <n v="42318931"/>
    <n v="35184971.030000001"/>
    <n v="51780000"/>
    <n v="0.82"/>
    <n v="0.93"/>
    <s v="75%以上、未達90%"/>
    <s v="分行目標110%"/>
    <n v="56960000"/>
    <s v="80%以上，未達100%"/>
    <s v="預估實績*105%"/>
    <n v="43590000"/>
    <n v="-13370000"/>
    <n v="403769"/>
    <n v="465821"/>
    <n v="460792"/>
    <n v="497651"/>
    <n v="40000"/>
    <m/>
    <n v="1870000"/>
    <n v="45460000"/>
    <n v="7.4223732163744893E-2"/>
    <n v="-0.12205484743144068"/>
  </r>
  <r>
    <x v="0"/>
    <n v="51"/>
    <s v="北二區"/>
    <n v="162"/>
    <s v="北三重分行"/>
    <n v="1"/>
    <n v="178110527"/>
    <n v="112686689.935"/>
    <n v="111250000"/>
    <n v="1.6"/>
    <n v="1.28"/>
    <s v="150%以上、未達200%"/>
    <s v="預估實績*80%"/>
    <n v="142490000"/>
    <s v="120%以上"/>
    <s v="分行目標*120%*101%"/>
    <n v="134840000"/>
    <n v="-7650000"/>
    <n v="907039"/>
    <n v="967037"/>
    <n v="1016714"/>
    <n v="736524"/>
    <n v="190000"/>
    <m/>
    <n v="3820000"/>
    <n v="138660000"/>
    <n v="-0.2214946396739369"/>
    <n v="0.24638202247191021"/>
  </r>
  <r>
    <x v="2"/>
    <n v="52"/>
    <s v="北三區"/>
    <n v="163"/>
    <s v="新莊分行"/>
    <n v="5"/>
    <n v="47384123"/>
    <n v="27888864.055"/>
    <n v="57760000"/>
    <n v="0.82"/>
    <n v="0.93"/>
    <s v="75%以上、未達90%"/>
    <s v="分行目標110%"/>
    <n v="63540000"/>
    <s v="80%以上，未達100%"/>
    <s v="預估實績*105%"/>
    <n v="48810000"/>
    <n v="-14730000"/>
    <n v="331689"/>
    <n v="667233"/>
    <n v="479119"/>
    <n v="617088"/>
    <n v="100000"/>
    <m/>
    <n v="2200000"/>
    <n v="51010000"/>
    <n v="7.6520926640343268E-2"/>
    <n v="-0.1168628808864266"/>
  </r>
  <r>
    <x v="1"/>
    <n v="53"/>
    <s v="北二區"/>
    <n v="164"/>
    <s v="永和分行"/>
    <n v="4"/>
    <n v="54719513"/>
    <n v="40997842.019999996"/>
    <n v="71460000"/>
    <n v="0.77"/>
    <n v="0.77"/>
    <s v="75%以上、未達90%"/>
    <s v="分行目標110%"/>
    <n v="78610000"/>
    <s v="未達80%"/>
    <s v="分行目標*80%*120%"/>
    <n v="68600000"/>
    <n v="-10010000"/>
    <n v="487598"/>
    <n v="743804"/>
    <n v="532638"/>
    <n v="597182"/>
    <n v="130000"/>
    <m/>
    <n v="2490000"/>
    <n v="71090000"/>
    <n v="0.29917091915638938"/>
    <n v="-5.1777218024069427E-3"/>
  </r>
  <r>
    <x v="0"/>
    <n v="54"/>
    <s v="北二區"/>
    <n v="165"/>
    <s v="中和分行"/>
    <n v="3"/>
    <n v="132567789"/>
    <n v="60001985.505000003"/>
    <n v="85530000"/>
    <n v="1.55"/>
    <n v="1.24"/>
    <s v="150%以上、未達200%"/>
    <s v="預估實績*80%"/>
    <n v="106050000"/>
    <s v="120%以上"/>
    <s v="分行目標*120%*101%"/>
    <n v="103660000"/>
    <n v="-2390000"/>
    <n v="694655"/>
    <n v="727586"/>
    <n v="817254"/>
    <n v="676806"/>
    <n v="150000"/>
    <m/>
    <n v="3070000"/>
    <n v="106730000"/>
    <n v="-0.19490246608850059"/>
    <n v="0.24786624576172112"/>
  </r>
  <r>
    <x v="2"/>
    <n v="55"/>
    <s v="北二區"/>
    <n v="166"/>
    <s v="新店分行"/>
    <n v="3"/>
    <n v="58273963"/>
    <n v="32099615.780000001"/>
    <n v="64930000"/>
    <n v="0.9"/>
    <n v="0.93"/>
    <s v="90%以上、未達100%"/>
    <s v="分行目標105%"/>
    <n v="68180000"/>
    <s v="80%以上，未達100%"/>
    <s v="預估實績*105%"/>
    <n v="60020000"/>
    <n v="-8160000"/>
    <n v="381769"/>
    <n v="881016"/>
    <n v="708909"/>
    <n v="636994"/>
    <n v="150000"/>
    <m/>
    <n v="2760000"/>
    <n v="62780000"/>
    <n v="7.7325048238095606E-2"/>
    <n v="-3.3112582781456901E-2"/>
  </r>
  <r>
    <x v="2"/>
    <n v="56"/>
    <s v="北二區"/>
    <n v="167"/>
    <s v="淡水分行"/>
    <n v="2"/>
    <n v="87988931"/>
    <n v="55604626.469999999"/>
    <n v="100880000"/>
    <n v="0.87"/>
    <n v="0.94"/>
    <s v="75%以上、未達90%"/>
    <s v="分行目標110%"/>
    <n v="110970000"/>
    <s v="80%以上，未達100%"/>
    <s v="預估實績*105%"/>
    <n v="90630000"/>
    <n v="-20340000"/>
    <n v="635527"/>
    <n v="1188284"/>
    <n v="741542"/>
    <n v="696712"/>
    <n v="170000"/>
    <m/>
    <n v="3430000"/>
    <n v="94060000"/>
    <n v="6.8998099317742589E-2"/>
    <n v="-6.7605075337034082E-2"/>
  </r>
  <r>
    <x v="3"/>
    <n v="57"/>
    <s v="北二區"/>
    <n v="168"/>
    <s v="汐止分行"/>
    <n v="3"/>
    <n v="99414533"/>
    <n v="57681683.359999999"/>
    <n v="93940000"/>
    <n v="1.06"/>
    <n v="0.96"/>
    <s v="100%以上、未達110%"/>
    <s v="預估實績105%"/>
    <n v="104390000"/>
    <s v="100%以上，未達120%"/>
    <s v="預估實績*103%"/>
    <n v="100410000"/>
    <n v="-3980000"/>
    <n v="652579"/>
    <n v="899394"/>
    <n v="849264"/>
    <n v="676806"/>
    <n v="150000"/>
    <m/>
    <n v="3230000"/>
    <n v="103640000"/>
    <n v="4.2503514048594981E-2"/>
    <n v="0.10325739833936565"/>
  </r>
  <r>
    <x v="2"/>
    <n v="58"/>
    <s v="北二區"/>
    <n v="169"/>
    <s v="南永和分行"/>
    <n v="4"/>
    <n v="71520993"/>
    <n v="42936707.210000001"/>
    <n v="75130000"/>
    <n v="0.95"/>
    <n v="0.94"/>
    <s v="90%以上、未達100%"/>
    <s v="分行目標105%"/>
    <n v="78890000"/>
    <s v="80%以上，未達100%"/>
    <s v="預估實績*105%"/>
    <n v="73670000"/>
    <n v="-5220000"/>
    <n v="510657"/>
    <n v="826132"/>
    <n v="643930"/>
    <n v="577276"/>
    <n v="130000"/>
    <m/>
    <n v="2690000"/>
    <n v="76360000"/>
    <n v="6.7658554461065723E-2"/>
    <n v="1.637162252096358E-2"/>
  </r>
  <r>
    <x v="0"/>
    <n v="59"/>
    <s v="北二區"/>
    <n v="170"/>
    <s v="西三重分行"/>
    <n v="3"/>
    <n v="76868205"/>
    <n v="38899779.174999997"/>
    <n v="64280000"/>
    <n v="1.2"/>
    <n v="0.96"/>
    <s v="120%以上、未達130%"/>
    <s v="預估實績*101%"/>
    <n v="77640000"/>
    <s v="120%以上"/>
    <s v="分行目標*120%*101%"/>
    <n v="77910000"/>
    <n v="270000"/>
    <n v="462645"/>
    <n v="707823"/>
    <n v="571733"/>
    <n v="537464"/>
    <n v="150000"/>
    <m/>
    <n v="2430000"/>
    <n v="80340000"/>
    <n v="4.5165553169870476E-2"/>
    <n v="0.24984443061605477"/>
  </r>
  <r>
    <x v="0"/>
    <n v="60"/>
    <s v="北二區"/>
    <n v="171"/>
    <s v="南三重分行"/>
    <n v="6"/>
    <n v="89702081"/>
    <n v="45396757.150000006"/>
    <n v="61230000"/>
    <n v="1.47"/>
    <n v="1.17"/>
    <s v="130%以上、未達150%"/>
    <s v="預估實績*90%"/>
    <n v="80730000"/>
    <s v="120%以上"/>
    <s v="分行目標*120%*101%"/>
    <n v="74210000"/>
    <n v="-6520000"/>
    <n v="502073"/>
    <n v="544214"/>
    <n v="662089"/>
    <n v="517557"/>
    <n v="80000"/>
    <m/>
    <n v="2310000"/>
    <n v="76520000"/>
    <n v="-0.14695401548153608"/>
    <n v="0.24971419238935155"/>
  </r>
  <r>
    <x v="0"/>
    <n v="61"/>
    <s v="北二區"/>
    <n v="172"/>
    <s v="雙和分行"/>
    <n v="8"/>
    <n v="52796873"/>
    <n v="21958266.784999996"/>
    <n v="38160000"/>
    <n v="1.38"/>
    <n v="1.1000000000000001"/>
    <s v="130%以上、未達150%"/>
    <s v="預估實績*90%"/>
    <n v="47520000"/>
    <s v="120%以上"/>
    <s v="分行目標*120%*101%"/>
    <n v="46250000"/>
    <n v="-1270000"/>
    <n v="261155"/>
    <n v="608128"/>
    <n v="436348"/>
    <n v="477745"/>
    <n v="40000"/>
    <m/>
    <n v="1820000"/>
    <n v="48070000"/>
    <n v="-8.9529412092265392E-2"/>
    <n v="0.25969601677148857"/>
  </r>
  <r>
    <x v="1"/>
    <n v="62"/>
    <s v="北三區"/>
    <n v="173"/>
    <s v="新泰分行"/>
    <n v="5"/>
    <n v="36336774"/>
    <n v="27310033.32"/>
    <n v="51200000"/>
    <n v="0.71"/>
    <n v="0.71"/>
    <s v="未達75%"/>
    <s v="分行目標115%"/>
    <n v="58880000"/>
    <s v="未達80%"/>
    <s v="分行目標*80%*120%"/>
    <n v="49150000"/>
    <n v="-9730000"/>
    <n v="324805"/>
    <n v="498851"/>
    <n v="467154"/>
    <n v="577276"/>
    <n v="100000"/>
    <m/>
    <n v="1970000"/>
    <n v="51120000"/>
    <n v="0.4068392532589713"/>
    <n v="-1.5625000000000222E-3"/>
  </r>
  <r>
    <x v="3"/>
    <n v="63"/>
    <s v="北二區"/>
    <n v="174"/>
    <s v="二重分行"/>
    <n v="1"/>
    <n v="124307550"/>
    <n v="90409861.969999999"/>
    <n v="104860000"/>
    <n v="1.19"/>
    <n v="0.96"/>
    <s v="110%以上、未達120%"/>
    <s v="預估實績*103%"/>
    <n v="128040000"/>
    <s v="100%以上，未達120%"/>
    <s v="預估實績*103%"/>
    <n v="125550000"/>
    <n v="-2490000"/>
    <n v="813795"/>
    <n v="937369"/>
    <n v="1037809"/>
    <n v="716618"/>
    <n v="190000"/>
    <m/>
    <n v="3700000"/>
    <n v="129250000"/>
    <n v="3.9759853685475965E-2"/>
    <n v="0.23259584207514772"/>
  </r>
  <r>
    <x v="2"/>
    <n v="64"/>
    <s v="北二區"/>
    <n v="175"/>
    <s v="板新分行"/>
    <n v="2"/>
    <n v="63605529"/>
    <n v="45397325.625"/>
    <n v="71300000"/>
    <n v="0.89"/>
    <n v="0.93"/>
    <s v="75%以上、未達90%"/>
    <s v="分行目標110%"/>
    <n v="78430000"/>
    <s v="80%以上，未達100%"/>
    <s v="預估實績*105%"/>
    <n v="65510000"/>
    <n v="-12920000"/>
    <n v="517030"/>
    <n v="688817"/>
    <n v="577039"/>
    <n v="636994"/>
    <n v="170000"/>
    <m/>
    <n v="2590000"/>
    <n v="68100000"/>
    <n v="7.0661640122511971E-2"/>
    <n v="-4.4880785413744739E-2"/>
  </r>
  <r>
    <x v="2"/>
    <n v="65"/>
    <s v="北三區"/>
    <n v="176"/>
    <s v="五股分行"/>
    <n v="5"/>
    <n v="37796451"/>
    <n v="31030771.669999998"/>
    <n v="42340000"/>
    <n v="0.89"/>
    <n v="0.93"/>
    <s v="75%以上、未達90%"/>
    <s v="分行目標110%"/>
    <n v="46570000"/>
    <s v="80%以上，未達100%"/>
    <s v="預估實績*105%"/>
    <n v="38930000"/>
    <n v="-7640000"/>
    <n v="352729"/>
    <n v="463558"/>
    <n v="351852"/>
    <n v="557370"/>
    <n v="100000"/>
    <m/>
    <n v="1830000"/>
    <n v="40760000"/>
    <n v="7.8408128847864633E-2"/>
    <n v="-3.7316957959376507E-2"/>
  </r>
  <r>
    <x v="2"/>
    <n v="66"/>
    <s v="北一區"/>
    <n v="177"/>
    <s v="潭美分行"/>
    <n v="8"/>
    <n v="13618622"/>
    <n v="10851340.370000001"/>
    <n v="15750000"/>
    <n v="0.86"/>
    <n v="0.93"/>
    <s v="75%以上、未達90%"/>
    <s v="分行目標110%"/>
    <n v="17330000"/>
    <s v="80%以上，未達100%"/>
    <s v="預估實績*105%"/>
    <n v="14030000"/>
    <n v="-3300000"/>
    <n v="72073"/>
    <n v="43149"/>
    <n v="81883"/>
    <n v="338403"/>
    <n v="40000"/>
    <m/>
    <n v="580000"/>
    <n v="14610000"/>
    <n v="7.2795764505395599E-2"/>
    <n v="-7.2380952380952435E-2"/>
  </r>
  <r>
    <x v="0"/>
    <n v="67"/>
    <s v="北一區"/>
    <n v="178"/>
    <s v="北投分行"/>
    <n v="4"/>
    <n v="131519728"/>
    <n v="56778983.924999997"/>
    <n v="68840000"/>
    <n v="1.91"/>
    <n v="1.53"/>
    <s v="150%以上、未達200%"/>
    <s v="預估實績*80%"/>
    <n v="105220000"/>
    <s v="120%以上"/>
    <s v="分行目標*120%*101%"/>
    <n v="83430000"/>
    <n v="-21790000"/>
    <n v="504987"/>
    <n v="789298"/>
    <n v="818017"/>
    <n v="557370"/>
    <n v="130000"/>
    <m/>
    <n v="2800000"/>
    <n v="86230000"/>
    <n v="-0.34435691655323375"/>
    <n v="0.25261475886112716"/>
  </r>
  <r>
    <x v="2"/>
    <n v="68"/>
    <s v="北二區"/>
    <n v="179"/>
    <s v="西湖分行"/>
    <n v="2"/>
    <n v="75456428"/>
    <n v="42422593.305"/>
    <n v="77460000"/>
    <n v="0.97"/>
    <n v="0.94"/>
    <s v="90%以上、未達100%"/>
    <s v="分行目標105%"/>
    <n v="81330000"/>
    <s v="80%以上，未達100%"/>
    <s v="預估實績*105%"/>
    <n v="77720000"/>
    <n v="-3610000"/>
    <n v="489451"/>
    <n v="632052"/>
    <n v="797987"/>
    <n v="696712"/>
    <n v="170000"/>
    <m/>
    <n v="2790000"/>
    <n v="80510000"/>
    <n v="6.6973379656932508E-2"/>
    <n v="3.9375161373612189E-2"/>
  </r>
  <r>
    <x v="0"/>
    <n v="69"/>
    <s v="北二區"/>
    <n v="180"/>
    <s v="積穗分行"/>
    <n v="3"/>
    <n v="104611803"/>
    <n v="50556221.190000005"/>
    <n v="82960000"/>
    <n v="1.26"/>
    <n v="1.01"/>
    <s v="120%以上、未達130%"/>
    <s v="預估實績*101%"/>
    <n v="105660000"/>
    <s v="120%以上"/>
    <s v="分行目標*120%*101%"/>
    <n v="100550000"/>
    <n v="-5110000"/>
    <n v="569454"/>
    <n v="791106"/>
    <n v="784043"/>
    <n v="597182"/>
    <n v="150000"/>
    <m/>
    <n v="2890000"/>
    <n v="103440000"/>
    <n v="-1.1201441581118687E-2"/>
    <n v="0.24686595949855361"/>
  </r>
  <r>
    <x v="3"/>
    <n v="70"/>
    <s v="北二區"/>
    <n v="182"/>
    <s v="福和分行"/>
    <n v="8"/>
    <n v="49976757"/>
    <n v="21477356.305"/>
    <n v="43610000"/>
    <n v="1.1499999999999999"/>
    <n v="0.96"/>
    <s v="110%以上、未達120%"/>
    <s v="預估實績*103%"/>
    <n v="51480000"/>
    <s v="100%以上，未達120%"/>
    <s v="預估實績*103%"/>
    <n v="50480000"/>
    <n v="-1000000"/>
    <n v="255436"/>
    <n v="472422"/>
    <n v="353604"/>
    <n v="437933"/>
    <n v="40000"/>
    <m/>
    <n v="1560000"/>
    <n v="52040000"/>
    <n v="4.1284051304089298E-2"/>
    <n v="0.19330428800733768"/>
  </r>
  <r>
    <x v="2"/>
    <n v="71"/>
    <s v="北二區"/>
    <n v="183"/>
    <s v="南勢角分行"/>
    <n v="8"/>
    <n v="31648331"/>
    <n v="22469698.265000001"/>
    <n v="38790000"/>
    <n v="0.82"/>
    <n v="0.92"/>
    <s v="75%以上、未達90%"/>
    <s v="分行目標110%"/>
    <n v="42670000"/>
    <s v="80%以上，未達100%"/>
    <s v="預估實績*105%"/>
    <n v="32600000"/>
    <n v="-10070000"/>
    <n v="267238"/>
    <n v="582264"/>
    <n v="320378"/>
    <n v="477745"/>
    <n v="40000"/>
    <m/>
    <n v="1690000"/>
    <n v="34290000"/>
    <n v="8.3469456888579652E-2"/>
    <n v="-0.11600928074245942"/>
  </r>
  <r>
    <x v="3"/>
    <n v="72"/>
    <s v="北二區"/>
    <n v="184"/>
    <s v="北蘆洲分行"/>
    <n v="7"/>
    <n v="64996126"/>
    <n v="45537135.914999999"/>
    <n v="57280000"/>
    <n v="1.1299999999999999"/>
    <n v="0.96"/>
    <s v="110%以上、未達120%"/>
    <s v="預估實績*103%"/>
    <n v="66950000"/>
    <s v="100%以上，未達120%"/>
    <s v="預估實績*103%"/>
    <n v="65650000"/>
    <n v="-1300000"/>
    <n v="435412"/>
    <n v="448371"/>
    <n v="587626"/>
    <n v="437933"/>
    <n v="60000"/>
    <m/>
    <n v="1970000"/>
    <n v="67620000"/>
    <n v="4.0369698341713445E-2"/>
    <n v="0.18051675977653625"/>
  </r>
  <r>
    <x v="2"/>
    <n v="73"/>
    <s v="北二區"/>
    <n v="185"/>
    <s v="蘆洲分行"/>
    <n v="5"/>
    <n v="80510390"/>
    <n v="58230722.449999996"/>
    <n v="82120000"/>
    <n v="0.98"/>
    <n v="0.94"/>
    <s v="90%以上、未達100%"/>
    <s v="分行目標105%"/>
    <n v="86230000"/>
    <s v="80%以上，未達100%"/>
    <s v="預估實績*105%"/>
    <n v="82930000"/>
    <n v="-3300000"/>
    <n v="662097"/>
    <n v="661922"/>
    <n v="927224"/>
    <n v="597182"/>
    <n v="100000"/>
    <m/>
    <n v="2950000"/>
    <n v="85880000"/>
    <n v="6.6694621650696284E-2"/>
    <n v="4.5786653677545086E-2"/>
  </r>
  <r>
    <x v="1"/>
    <n v="74"/>
    <s v="北三區"/>
    <n v="186"/>
    <s v="土城分行"/>
    <n v="5"/>
    <n v="50585750"/>
    <n v="32187903.215000004"/>
    <n v="77150000"/>
    <n v="0.66"/>
    <n v="0.66"/>
    <s v="未達75%"/>
    <s v="分行目標115%"/>
    <n v="88720000"/>
    <s v="未達80%"/>
    <s v="分行目標*80%*120%"/>
    <n v="74060000"/>
    <n v="-14660000"/>
    <n v="382378"/>
    <n v="934344"/>
    <n v="596119"/>
    <n v="656900"/>
    <n v="100000"/>
    <m/>
    <n v="2670000"/>
    <n v="76730000"/>
    <n v="0.5168303326529704"/>
    <n v="-5.443940375891132E-3"/>
  </r>
  <r>
    <x v="0"/>
    <n v="75"/>
    <s v="北二區"/>
    <n v="187"/>
    <s v="北新分行"/>
    <n v="4"/>
    <n v="76406208"/>
    <n v="43476684.460000001"/>
    <n v="57290000"/>
    <n v="1.33"/>
    <n v="1.07"/>
    <s v="130%以上、未達150%"/>
    <s v="預估實績*90%"/>
    <n v="68770000"/>
    <s v="120%以上"/>
    <s v="分行目標*120%*101%"/>
    <n v="69440000"/>
    <n v="670000"/>
    <n v="449149"/>
    <n v="497583"/>
    <n v="454911"/>
    <n v="537464"/>
    <n v="130000"/>
    <m/>
    <n v="2070000"/>
    <n v="71510000"/>
    <n v="-6.4081285122800535E-2"/>
    <n v="0.24821085704311407"/>
  </r>
  <r>
    <x v="3"/>
    <n v="76"/>
    <s v="北一區"/>
    <n v="189"/>
    <s v="天母分行"/>
    <n v="3"/>
    <n v="90735057"/>
    <n v="64347112.890000001"/>
    <n v="80500000"/>
    <n v="1.1299999999999999"/>
    <n v="0.96"/>
    <s v="110%以上、未達120%"/>
    <s v="預估實績*103%"/>
    <n v="93460000"/>
    <s v="100%以上，未達120%"/>
    <s v="預估實績*103%"/>
    <n v="91640000"/>
    <n v="-1820000"/>
    <n v="595911"/>
    <n v="638082"/>
    <n v="680970"/>
    <n v="656900"/>
    <n v="150000"/>
    <m/>
    <n v="2720000"/>
    <n v="94360000"/>
    <n v="3.9950853835910349E-2"/>
    <n v="0.17217391304347829"/>
  </r>
  <r>
    <x v="0"/>
    <n v="77"/>
    <s v="北二區"/>
    <n v="190"/>
    <s v="內湖分行"/>
    <n v="4"/>
    <n v="81004243"/>
    <n v="39060881.799999997"/>
    <n v="59460000"/>
    <n v="1.36"/>
    <n v="1.0900000000000001"/>
    <s v="130%以上、未達150%"/>
    <s v="預估實績*90%"/>
    <n v="72900000"/>
    <s v="120%以上"/>
    <s v="分行目標*120%*101%"/>
    <n v="72070000"/>
    <n v="-830000"/>
    <n v="464561"/>
    <n v="618009"/>
    <n v="478563"/>
    <n v="577276"/>
    <n v="130000"/>
    <m/>
    <n v="2270000"/>
    <n v="74340000"/>
    <n v="-8.2270295396748572E-2"/>
    <n v="0.25025227043390519"/>
  </r>
  <r>
    <x v="3"/>
    <n v="78"/>
    <s v="北三區"/>
    <n v="191"/>
    <s v="樹林分行"/>
    <n v="4"/>
    <n v="82833914"/>
    <n v="61639614.055"/>
    <n v="75690000"/>
    <n v="1.0900000000000001"/>
    <n v="0.96"/>
    <s v="100%以上、未達110%"/>
    <s v="預估實績105%"/>
    <n v="86980000"/>
    <s v="100%以上，未達120%"/>
    <s v="預估實績*103%"/>
    <n v="83660000"/>
    <n v="-3320000"/>
    <n v="633156"/>
    <n v="682225"/>
    <n v="724395"/>
    <n v="617088"/>
    <n v="130000"/>
    <m/>
    <n v="2790000"/>
    <n v="86450000"/>
    <n v="4.3654655748851745E-2"/>
    <n v="0.14215880565464389"/>
  </r>
  <r>
    <x v="0"/>
    <n v="79"/>
    <s v="北二區"/>
    <n v="192"/>
    <s v="樟樹灣分行"/>
    <n v="2"/>
    <n v="95382733"/>
    <n v="46999118.489999995"/>
    <n v="77470000"/>
    <n v="1.23"/>
    <n v="0.99"/>
    <s v="120%以上、未達130%"/>
    <s v="預估實績*101%"/>
    <n v="96340000"/>
    <s v="120%以上"/>
    <s v="分行目標*120%*101%"/>
    <n v="93890000"/>
    <n v="-2450000"/>
    <n v="558972"/>
    <n v="693238"/>
    <n v="585859"/>
    <n v="676806"/>
    <n v="170000"/>
    <m/>
    <n v="2680000"/>
    <n v="96570000"/>
    <n v="1.2447399677675497E-2"/>
    <n v="0.24654705047115022"/>
  </r>
  <r>
    <x v="1"/>
    <n v="80"/>
    <s v="北三區"/>
    <n v="193"/>
    <s v="泰山分行"/>
    <n v="4"/>
    <n v="40700836"/>
    <n v="34848415.869999997"/>
    <n v="56200000"/>
    <n v="0.72"/>
    <n v="0.72"/>
    <s v="未達75%"/>
    <s v="分行目標115%"/>
    <n v="64630000"/>
    <s v="未達80%"/>
    <s v="分行目標*80%*120%"/>
    <n v="53950000"/>
    <n v="-10680000"/>
    <n v="414461"/>
    <n v="779163"/>
    <n v="612135"/>
    <n v="617088"/>
    <n v="130000"/>
    <m/>
    <n v="2550000"/>
    <n v="56500000"/>
    <n v="0.38817787428248396"/>
    <n v="5.3380782918148739E-3"/>
  </r>
  <r>
    <x v="1"/>
    <n v="81"/>
    <s v="北三區"/>
    <n v="194"/>
    <s v="三峽分行"/>
    <n v="6"/>
    <n v="36561726"/>
    <n v="25499020.899999999"/>
    <n v="49050000"/>
    <n v="0.75"/>
    <n v="0.74"/>
    <s v="75%以上、未達90%"/>
    <s v="分行目標110%"/>
    <n v="53960000"/>
    <s v="未達80%"/>
    <s v="分行目標*80%*120%"/>
    <n v="47090000"/>
    <n v="-6870000"/>
    <n v="303266"/>
    <n v="737636"/>
    <n v="476229"/>
    <n v="497651"/>
    <n v="80000"/>
    <m/>
    <n v="2090000"/>
    <n v="49180000"/>
    <n v="0.34512249230246961"/>
    <n v="2.6503567787972138E-3"/>
  </r>
  <r>
    <x v="2"/>
    <n v="82"/>
    <s v="北二區"/>
    <n v="195"/>
    <s v="文山分行"/>
    <n v="8"/>
    <n v="44181883"/>
    <n v="27754888.18"/>
    <n v="47320000"/>
    <n v="0.93"/>
    <n v="0.94"/>
    <s v="90%以上、未達100%"/>
    <s v="分行目標105%"/>
    <n v="49690000"/>
    <s v="80%以上，未達100%"/>
    <s v="預估實績*105%"/>
    <n v="45510000"/>
    <n v="-4180000"/>
    <n v="330096"/>
    <n v="403165"/>
    <n v="410260"/>
    <n v="457839"/>
    <n v="40000"/>
    <m/>
    <n v="1640000"/>
    <n v="47150000"/>
    <n v="6.7179504323072958E-2"/>
    <n v="-3.5925612848689559E-3"/>
  </r>
  <r>
    <x v="2"/>
    <n v="83"/>
    <s v="北三區"/>
    <n v="196"/>
    <s v="鶯歌分行"/>
    <n v="5"/>
    <n v="52883916"/>
    <n v="27360297.575000003"/>
    <n v="53910000"/>
    <n v="0.98"/>
    <n v="0.94"/>
    <s v="90%以上、未達100%"/>
    <s v="分行目標105%"/>
    <n v="56610000"/>
    <s v="80%以上，未達100%"/>
    <s v="預估實績*105%"/>
    <n v="54470000"/>
    <n v="-2140000"/>
    <n v="325403"/>
    <n v="602099"/>
    <n v="526057"/>
    <n v="477745"/>
    <n v="100000"/>
    <m/>
    <n v="2030000"/>
    <n v="56500000"/>
    <n v="6.837776536820761E-2"/>
    <n v="4.8043034687442088E-2"/>
  </r>
  <r>
    <x v="2"/>
    <n v="84"/>
    <s v="北三區"/>
    <n v="197"/>
    <s v="北新莊分行"/>
    <n v="8"/>
    <n v="27985794"/>
    <n v="23895945.18"/>
    <n v="33530000"/>
    <n v="0.83"/>
    <n v="0.93"/>
    <s v="75%以上、未達90%"/>
    <s v="分行目標110%"/>
    <n v="36880000"/>
    <s v="80%以上，未達100%"/>
    <s v="預估實績*105%"/>
    <n v="28830000"/>
    <n v="-8050000"/>
    <n v="227042"/>
    <n v="246594"/>
    <n v="307198"/>
    <n v="437933"/>
    <n v="40000"/>
    <m/>
    <n v="1260000"/>
    <n v="30090000"/>
    <n v="7.5188361638051093E-2"/>
    <n v="-0.10259469132120491"/>
  </r>
  <r>
    <x v="0"/>
    <n v="85"/>
    <s v="北三區"/>
    <n v="199"/>
    <s v="林口站前分行"/>
    <n v="6"/>
    <n v="58292427"/>
    <n v="29737860.619999997"/>
    <n v="42110000"/>
    <n v="1.38"/>
    <n v="1.1100000000000001"/>
    <s v="130%以上、未達150%"/>
    <s v="預估實績*90%"/>
    <n v="52460000"/>
    <s v="120%以上"/>
    <s v="分行目標*120%*101%"/>
    <n v="51040000"/>
    <n v="-1420000"/>
    <n v="318025"/>
    <n v="374703"/>
    <n v="356860"/>
    <n v="537464"/>
    <n v="80000"/>
    <m/>
    <n v="1670000"/>
    <n v="52710000"/>
    <n v="-9.576590454880185E-2"/>
    <n v="0.25172168131085249"/>
  </r>
  <r>
    <x v="2"/>
    <n v="86"/>
    <s v="北二區"/>
    <n v="200"/>
    <s v="基隆分行"/>
    <n v="6"/>
    <n v="38909027"/>
    <n v="25528606.634999998"/>
    <n v="46120000"/>
    <n v="0.84"/>
    <n v="0.93"/>
    <s v="75%以上、未達90%"/>
    <s v="分行目標110%"/>
    <n v="50730000"/>
    <s v="80%以上，未達100%"/>
    <s v="預估實績*105%"/>
    <n v="40080000"/>
    <n v="-10650000"/>
    <n v="303618"/>
    <n v="475238"/>
    <n v="418811"/>
    <n v="477745"/>
    <n v="80000"/>
    <m/>
    <n v="1760000"/>
    <n v="41840000"/>
    <n v="7.5328869056530356E-2"/>
    <n v="-9.2801387684301795E-2"/>
  </r>
  <r>
    <x v="2"/>
    <n v="87"/>
    <s v="北二區"/>
    <n v="201"/>
    <s v="基隆港口分行"/>
    <n v="6"/>
    <n v="50826486"/>
    <n v="33737569.060000002"/>
    <n v="51890000"/>
    <n v="0.98"/>
    <n v="0.94"/>
    <s v="90%以上、未達100%"/>
    <s v="分行目標105%"/>
    <n v="54480000"/>
    <s v="80%以上，未達100%"/>
    <s v="預估實績*105%"/>
    <n v="52350000"/>
    <n v="-2130000"/>
    <n v="385977"/>
    <n v="466575"/>
    <n v="448649"/>
    <n v="497651"/>
    <n v="80000"/>
    <m/>
    <n v="1880000"/>
    <n v="54230000"/>
    <n v="6.6963393849419406E-2"/>
    <n v="4.5095394102909969E-2"/>
  </r>
  <r>
    <x v="0"/>
    <n v="88"/>
    <s v="北二區"/>
    <n v="211"/>
    <s v="七堵分行"/>
    <n v="6"/>
    <n v="79114408"/>
    <n v="43075835.385000005"/>
    <n v="53780000"/>
    <n v="1.47"/>
    <n v="1.18"/>
    <s v="130%以上、未達150%"/>
    <s v="預估實績*90%"/>
    <n v="71200000"/>
    <s v="120%以上"/>
    <s v="分行目標*120%*101%"/>
    <n v="65180000"/>
    <n v="-6020000"/>
    <n v="397413"/>
    <n v="445987"/>
    <n v="529148"/>
    <n v="557370"/>
    <n v="80000"/>
    <m/>
    <n v="2010000"/>
    <n v="67190000"/>
    <n v="-0.15072359512568179"/>
    <n v="0.24934920044626252"/>
  </r>
  <r>
    <x v="0"/>
    <n v="89"/>
    <s v="北二區"/>
    <n v="220"/>
    <s v="羅東分行"/>
    <n v="8"/>
    <n v="52028367"/>
    <n v="26592180.100000001"/>
    <n v="42760000"/>
    <n v="1.22"/>
    <n v="0.97"/>
    <s v="120%以上、未達130%"/>
    <s v="預估實績*101%"/>
    <n v="52550000"/>
    <s v="120%以上"/>
    <s v="分行目標*120%*101%"/>
    <n v="51830000"/>
    <n v="-720000"/>
    <n v="313659"/>
    <n v="443590"/>
    <n v="358686"/>
    <n v="517557"/>
    <n v="40000"/>
    <m/>
    <n v="1670000"/>
    <n v="53500000"/>
    <n v="2.8285204492387805E-2"/>
    <n v="0.25116931711880253"/>
  </r>
  <r>
    <x v="3"/>
    <n v="90"/>
    <s v="北二區"/>
    <n v="221"/>
    <s v="宜蘭分行"/>
    <n v="8"/>
    <n v="46798736"/>
    <n v="31204422.07"/>
    <n v="42840000"/>
    <n v="1.0900000000000001"/>
    <n v="0.96"/>
    <s v="100%以上、未達110%"/>
    <s v="預估實績105%"/>
    <n v="49140000"/>
    <s v="100%以上，未達120%"/>
    <s v="預估實績*103%"/>
    <n v="47270000"/>
    <n v="-1870000"/>
    <n v="335272"/>
    <n v="378708"/>
    <n v="364343"/>
    <n v="477745"/>
    <n v="40000"/>
    <m/>
    <n v="1600000"/>
    <n v="48870000"/>
    <n v="4.4258973148334713E-2"/>
    <n v="0.14075630252100835"/>
  </r>
  <r>
    <x v="0"/>
    <n v="91"/>
    <s v="北三區"/>
    <n v="240"/>
    <s v="桃園分行"/>
    <n v="2"/>
    <n v="107901864"/>
    <n v="61714416.664999999"/>
    <n v="88890000"/>
    <n v="1.21"/>
    <n v="0.97"/>
    <s v="120%以上、未達130%"/>
    <s v="預估實績*101%"/>
    <n v="108980000"/>
    <s v="120%以上"/>
    <s v="分行目標*120%*101%"/>
    <n v="107730000"/>
    <n v="-1250000"/>
    <n v="719712"/>
    <n v="762585"/>
    <n v="821703"/>
    <n v="697165"/>
    <n v="170000"/>
    <m/>
    <n v="3170000"/>
    <n v="110900000"/>
    <n v="2.7785766518361621E-2"/>
    <n v="0.24760940488243888"/>
  </r>
  <r>
    <x v="3"/>
    <n v="92"/>
    <s v="北三區"/>
    <n v="241"/>
    <s v="中壢分行"/>
    <n v="2"/>
    <n v="106580847"/>
    <n v="60535472.799999997"/>
    <n v="95850000"/>
    <n v="1.1100000000000001"/>
    <n v="0.96"/>
    <s v="110%以上、未達120%"/>
    <s v="預估實績*103%"/>
    <n v="109780000"/>
    <s v="100%以上，未達120%"/>
    <s v="預估實績*103%"/>
    <n v="107650000"/>
    <n v="-2130000"/>
    <n v="671945"/>
    <n v="886082"/>
    <n v="875197"/>
    <n v="697165"/>
    <n v="170000"/>
    <m/>
    <n v="3300000"/>
    <n v="110950000"/>
    <n v="4.0993791314118511E-2"/>
    <n v="0.1575378195096504"/>
  </r>
  <r>
    <x v="3"/>
    <n v="93"/>
    <s v="北三區"/>
    <n v="242"/>
    <s v="楊梅分行"/>
    <n v="3"/>
    <n v="91803483"/>
    <n v="53198183.774999999"/>
    <n v="90750000"/>
    <n v="1.01"/>
    <n v="0.96"/>
    <s v="100%以上、未達110%"/>
    <s v="預估實績105%"/>
    <n v="96390000"/>
    <s v="100%以上，未達120%"/>
    <s v="預估實績*103%"/>
    <n v="92720000"/>
    <n v="-3670000"/>
    <n v="632699"/>
    <n v="778011"/>
    <n v="1080279"/>
    <n v="597182"/>
    <n v="150000"/>
    <m/>
    <n v="3240000"/>
    <n v="95960000"/>
    <n v="4.527624512895656E-2"/>
    <n v="5.7410468319559316E-2"/>
  </r>
  <r>
    <x v="2"/>
    <n v="94"/>
    <s v="北三區"/>
    <n v="243"/>
    <s v="壢昌分行"/>
    <n v="7"/>
    <n v="55810563"/>
    <n v="44638430.730000004"/>
    <n v="66240000"/>
    <n v="0.84"/>
    <n v="0.93"/>
    <s v="75%以上、未達90%"/>
    <s v="分行目標110%"/>
    <n v="72860000"/>
    <s v="80%以上，未達100%"/>
    <s v="預估實績*105%"/>
    <n v="57480000"/>
    <n v="-15380000"/>
    <n v="517175"/>
    <n v="499449"/>
    <n v="729503"/>
    <n v="497651"/>
    <n v="60000"/>
    <m/>
    <n v="2300000"/>
    <n v="59780000"/>
    <n v="7.1123400063174413E-2"/>
    <n v="-9.7524154589372025E-2"/>
  </r>
  <r>
    <x v="3"/>
    <n v="95"/>
    <s v="北三區"/>
    <n v="244"/>
    <s v="北桃園分行"/>
    <n v="4"/>
    <n v="101727026"/>
    <n v="63808957.390000001"/>
    <n v="86720000"/>
    <n v="1.17"/>
    <n v="0.96"/>
    <s v="110%以上、未達120%"/>
    <s v="預估實績*103%"/>
    <n v="104780000"/>
    <s v="100%以上，未達120%"/>
    <s v="預估實績*103%"/>
    <n v="102740000"/>
    <n v="-2040000"/>
    <n v="641284"/>
    <n v="691361"/>
    <n v="804114"/>
    <n v="617088"/>
    <n v="130000"/>
    <m/>
    <n v="2880000"/>
    <n v="105620000"/>
    <n v="3.8268827400891547E-2"/>
    <n v="0.21794280442804426"/>
  </r>
  <r>
    <x v="0"/>
    <n v="96"/>
    <s v="北三區"/>
    <n v="245"/>
    <s v="南崁分行"/>
    <n v="4"/>
    <n v="69926506"/>
    <n v="38797475.385000005"/>
    <n v="53800000"/>
    <n v="1.3"/>
    <n v="1.04"/>
    <s v="130%以上、未達150%"/>
    <s v="預估實績*90%"/>
    <n v="62930000"/>
    <s v="120%以上"/>
    <s v="分行目標*120%*101%"/>
    <n v="65210000"/>
    <n v="2280000"/>
    <n v="449868"/>
    <n v="545379"/>
    <n v="435104"/>
    <n v="557370"/>
    <n v="130000"/>
    <m/>
    <n v="2120000"/>
    <n v="67330000"/>
    <n v="-3.7131928199015118E-2"/>
    <n v="0.25148698884758369"/>
  </r>
  <r>
    <x v="2"/>
    <n v="97"/>
    <s v="北三區"/>
    <n v="246"/>
    <s v="平鎮分行"/>
    <n v="5"/>
    <n v="57385143"/>
    <n v="47326484.885000005"/>
    <n v="58750000"/>
    <n v="0.98"/>
    <n v="0.94"/>
    <s v="90%以上、未達100%"/>
    <s v="分行目標105%"/>
    <n v="61690000"/>
    <s v="80%以上，未達100%"/>
    <s v="預估實績*105%"/>
    <n v="59110000"/>
    <n v="-2580000"/>
    <n v="463713"/>
    <n v="497391"/>
    <n v="623839"/>
    <n v="517557"/>
    <n v="100000"/>
    <m/>
    <n v="2200000"/>
    <n v="61310000"/>
    <n v="6.8395002518334858E-2"/>
    <n v="4.3574468085106455E-2"/>
  </r>
  <r>
    <x v="0"/>
    <n v="98"/>
    <s v="北三區"/>
    <n v="247"/>
    <s v="八德分行"/>
    <n v="5"/>
    <n v="81347580"/>
    <n v="47571388.230000004"/>
    <n v="59780000"/>
    <n v="1.36"/>
    <n v="1.0900000000000001"/>
    <s v="130%以上、未達150%"/>
    <s v="預估實績*90%"/>
    <n v="73210000"/>
    <s v="120%以上"/>
    <s v="分行目標*120%*101%"/>
    <n v="72450000"/>
    <n v="-760000"/>
    <n v="505523"/>
    <n v="526352"/>
    <n v="754171"/>
    <n v="517557"/>
    <n v="100000"/>
    <m/>
    <n v="2400000"/>
    <n v="74850000"/>
    <n v="-7.9874287594050131E-2"/>
    <n v="0.25209100033456"/>
  </r>
  <r>
    <x v="0"/>
    <n v="99"/>
    <s v="北三區"/>
    <n v="248"/>
    <s v="龜山分行"/>
    <n v="4"/>
    <n v="75643659"/>
    <n v="43280726.129999995"/>
    <n v="62590000"/>
    <n v="1.21"/>
    <n v="0.97"/>
    <s v="120%以上、未達130%"/>
    <s v="預估實績*101%"/>
    <n v="76400000"/>
    <s v="120%以上"/>
    <s v="分行目標*120%*101%"/>
    <n v="75860000"/>
    <n v="-540000"/>
    <n v="443625"/>
    <n v="460413"/>
    <n v="518195"/>
    <n v="716618"/>
    <n v="130000"/>
    <m/>
    <n v="2270000"/>
    <n v="78130000"/>
    <n v="3.2869126545028715E-2"/>
    <n v="0.24828247323853647"/>
  </r>
  <r>
    <x v="0"/>
    <n v="100"/>
    <s v="北三區"/>
    <n v="249"/>
    <s v="龍潭分行"/>
    <n v="7"/>
    <n v="63209896"/>
    <n v="42000632.370000005"/>
    <n v="48750000"/>
    <n v="1.3"/>
    <n v="1.04"/>
    <s v="130%以上、未達150%"/>
    <s v="預估實績*90%"/>
    <n v="56890000"/>
    <s v="120%以上"/>
    <s v="分行目標*120%*101%"/>
    <n v="59090000"/>
    <n v="2200000"/>
    <n v="345677"/>
    <n v="322555"/>
    <n v="412647"/>
    <n v="477745"/>
    <n v="60000"/>
    <m/>
    <n v="1620000"/>
    <n v="60710000"/>
    <n v="-3.9549123763785388E-2"/>
    <n v="0.2453333333333334"/>
  </r>
  <r>
    <x v="0"/>
    <n v="101"/>
    <s v="北三區"/>
    <n v="250"/>
    <s v="大溪分行"/>
    <n v="8"/>
    <n v="44525345"/>
    <n v="26966819.734999999"/>
    <n v="36600000"/>
    <n v="1.22"/>
    <n v="0.97"/>
    <s v="120%以上、未達130%"/>
    <s v="預估實績*101%"/>
    <n v="44970000"/>
    <s v="120%以上"/>
    <s v="分行目標*120%*101%"/>
    <n v="44360000"/>
    <n v="-610000"/>
    <n v="292455"/>
    <n v="332810"/>
    <n v="322702"/>
    <n v="437933"/>
    <n v="40000"/>
    <m/>
    <n v="1430000"/>
    <n v="45790000"/>
    <n v="2.8403036517740565E-2"/>
    <n v="0.2510928961748633"/>
  </r>
  <r>
    <x v="3"/>
    <n v="102"/>
    <s v="北三區"/>
    <n v="251"/>
    <s v="內壢分行"/>
    <n v="7"/>
    <n v="46850859"/>
    <n v="26930037.484999999"/>
    <n v="40520000"/>
    <n v="1.1599999999999999"/>
    <n v="0.96"/>
    <s v="110%以上、未達120%"/>
    <s v="預估實績*103%"/>
    <n v="48260000"/>
    <s v="100%以上，未達120%"/>
    <s v="預估實績*103%"/>
    <n v="47320000"/>
    <n v="-940000"/>
    <n v="308347"/>
    <n v="467855"/>
    <n v="307346"/>
    <n v="537464"/>
    <n v="60000"/>
    <m/>
    <n v="1680000"/>
    <n v="49000000"/>
    <n v="4.5871965762676936E-2"/>
    <n v="0.20927936821322812"/>
  </r>
  <r>
    <x v="2"/>
    <n v="103"/>
    <s v="北三區"/>
    <n v="252"/>
    <s v="林口分行"/>
    <n v="2"/>
    <n v="55431786"/>
    <n v="32096894.82"/>
    <n v="61310000"/>
    <n v="0.9"/>
    <n v="0.93"/>
    <s v="90%以上、未達100%"/>
    <s v="分行目標105%"/>
    <n v="64380000"/>
    <s v="80%以上，未達100%"/>
    <s v="預估實績*105%"/>
    <n v="57090000"/>
    <n v="-7290000"/>
    <n v="381736"/>
    <n v="549240"/>
    <n v="545048"/>
    <n v="776336"/>
    <n v="170000"/>
    <m/>
    <n v="2420000"/>
    <n v="59510000"/>
    <n v="7.3571758990410352E-2"/>
    <n v="-2.9358995269939681E-2"/>
  </r>
  <r>
    <x v="3"/>
    <n v="104"/>
    <s v="北三區"/>
    <n v="260"/>
    <s v="觀音分行"/>
    <n v="3"/>
    <n v="88959282"/>
    <n v="58721958.480000004"/>
    <n v="77470000"/>
    <n v="1.1499999999999999"/>
    <n v="0.96"/>
    <s v="110%以上、未達120%"/>
    <s v="預估實績*103%"/>
    <n v="91630000"/>
    <s v="100%以上，未達120%"/>
    <s v="預估實績*103%"/>
    <n v="89850000"/>
    <n v="-1780000"/>
    <n v="603047"/>
    <n v="722219"/>
    <n v="725732"/>
    <n v="617088"/>
    <n v="150000"/>
    <m/>
    <n v="2820000"/>
    <n v="92670000"/>
    <n v="4.1712544397559226E-2"/>
    <n v="0.19620498257389962"/>
  </r>
  <r>
    <x v="2"/>
    <n v="105"/>
    <s v="北三區"/>
    <n v="262"/>
    <s v="大園分行"/>
    <n v="5"/>
    <n v="55046028"/>
    <n v="41457226.365000002"/>
    <n v="59520000"/>
    <n v="0.92"/>
    <n v="0.94"/>
    <s v="90%以上、未達100%"/>
    <s v="分行目標105%"/>
    <n v="62500000"/>
    <s v="80%以上，未達100%"/>
    <s v="預估實績*105%"/>
    <n v="56700000"/>
    <n v="-5800000"/>
    <n v="450932"/>
    <n v="541875"/>
    <n v="542876"/>
    <n v="517557"/>
    <n v="100000"/>
    <m/>
    <n v="2150000"/>
    <n v="58850000"/>
    <n v="6.9105294936085082E-2"/>
    <n v="-1.1256720430107503E-2"/>
  </r>
  <r>
    <x v="0"/>
    <n v="106"/>
    <s v="北三區"/>
    <n v="268"/>
    <s v="青埔分行"/>
    <n v="8"/>
    <n v="38092596"/>
    <n v="18908553.869999997"/>
    <n v="20980000"/>
    <n v="1.82"/>
    <n v="1.46"/>
    <s v="150%以上、未達200%"/>
    <s v="預估實績*80%"/>
    <n v="30470000"/>
    <s v="120%以上"/>
    <s v="分行目標*120%*101%"/>
    <n v="25430000"/>
    <n v="-5040000"/>
    <n v="90943"/>
    <n v="30199"/>
    <n v="172571"/>
    <n v="338403"/>
    <n v="40000"/>
    <m/>
    <n v="670000"/>
    <n v="26100000"/>
    <n v="-0.3148274798598657"/>
    <n v="0.24404194470924701"/>
  </r>
  <r>
    <x v="2"/>
    <n v="107"/>
    <s v="北三區"/>
    <n v="300"/>
    <s v="新竹分行"/>
    <n v="1"/>
    <n v="68426864"/>
    <n v="48594292.905000001"/>
    <n v="76050000"/>
    <n v="0.9"/>
    <n v="0.93"/>
    <s v="90%以上、未達100%"/>
    <s v="分行目標105%"/>
    <n v="79850000"/>
    <s v="80%以上，未達100%"/>
    <s v="預估實績*105%"/>
    <n v="70480000"/>
    <n v="-9370000"/>
    <n v="577944"/>
    <n v="705350"/>
    <n v="724129"/>
    <n v="621796"/>
    <n v="190000"/>
    <m/>
    <n v="2820000"/>
    <n v="73300000"/>
    <n v="7.1216708104582915E-2"/>
    <n v="-3.6160420775805391E-2"/>
  </r>
  <r>
    <x v="2"/>
    <n v="108"/>
    <s v="北三區"/>
    <n v="301"/>
    <s v="竹東分行"/>
    <n v="5"/>
    <n v="58000944"/>
    <n v="46807852.019999996"/>
    <n v="62570000"/>
    <n v="0.93"/>
    <n v="0.94"/>
    <s v="90%以上、未達100%"/>
    <s v="分行目標105%"/>
    <n v="65700000"/>
    <s v="80%以上，未達100%"/>
    <s v="預估實績*105%"/>
    <n v="59740000"/>
    <n v="-5960000"/>
    <n v="499279"/>
    <n v="435093"/>
    <n v="616360"/>
    <n v="437933"/>
    <n v="100000"/>
    <m/>
    <n v="2090000"/>
    <n v="61830000"/>
    <n v="6.6017132410810309E-2"/>
    <n v="-1.182675403548028E-2"/>
  </r>
  <r>
    <x v="1"/>
    <n v="109"/>
    <s v="北三區"/>
    <n v="302"/>
    <s v="竹科分行"/>
    <n v="3"/>
    <n v="36906824"/>
    <n v="28190002.950000003"/>
    <n v="50010000"/>
    <n v="0.74"/>
    <n v="0.74"/>
    <s v="未達75%"/>
    <s v="分行目標115%"/>
    <n v="57510000"/>
    <s v="未達80%"/>
    <s v="分行目標*80%*120%"/>
    <n v="48010000"/>
    <n v="-9500000"/>
    <n v="310148"/>
    <n v="425962"/>
    <n v="390489"/>
    <n v="557370"/>
    <n v="150000"/>
    <m/>
    <n v="1830000"/>
    <n v="49840000"/>
    <n v="0.35042776913017493"/>
    <n v="-3.3993201359727721E-3"/>
  </r>
  <r>
    <x v="3"/>
    <n v="110"/>
    <s v="北三區"/>
    <n v="310"/>
    <s v="新豐分行"/>
    <n v="7"/>
    <n v="58910176"/>
    <n v="39755100.295000002"/>
    <n v="56840000"/>
    <n v="1.04"/>
    <n v="0.96"/>
    <s v="100%以上、未達110%"/>
    <s v="預估實績105%"/>
    <n v="61860000"/>
    <s v="100%以上，未達120%"/>
    <s v="預估實績*103%"/>
    <n v="59500000"/>
    <n v="-2360000"/>
    <n v="435478"/>
    <n v="477838"/>
    <n v="615699"/>
    <n v="457839"/>
    <n v="60000"/>
    <m/>
    <n v="2050000"/>
    <n v="61550000"/>
    <n v="4.4811001752905977E-2"/>
    <n v="8.2864180154820444E-2"/>
  </r>
  <r>
    <x v="3"/>
    <n v="111"/>
    <s v="北三區"/>
    <n v="313"/>
    <s v="六家分行"/>
    <n v="7"/>
    <n v="35869459"/>
    <n v="19635760.574999999"/>
    <n v="30620000"/>
    <n v="1.17"/>
    <n v="0.96"/>
    <s v="110%以上、未達120%"/>
    <s v="預估實績*103%"/>
    <n v="36950000"/>
    <s v="100%以上，未達120%"/>
    <s v="預估實績*103%"/>
    <n v="36230000"/>
    <n v="-720000"/>
    <n v="227466"/>
    <n v="193466"/>
    <n v="303504"/>
    <n v="437933"/>
    <n v="60000"/>
    <m/>
    <n v="1220000"/>
    <n v="37450000"/>
    <n v="4.4063697754683107E-2"/>
    <n v="0.22305682560418028"/>
  </r>
  <r>
    <x v="3"/>
    <n v="112"/>
    <s v="中區"/>
    <n v="320"/>
    <s v="竹南分行"/>
    <n v="5"/>
    <n v="74912574"/>
    <n v="44958093"/>
    <n v="64080000"/>
    <n v="1.17"/>
    <n v="0.96"/>
    <s v="110%以上、未達120%"/>
    <s v="預估實績*103%"/>
    <n v="77160000"/>
    <s v="100%以上，未達120%"/>
    <s v="預估實績*103%"/>
    <n v="75660000"/>
    <n v="-1500000"/>
    <n v="502668"/>
    <n v="490857"/>
    <n v="782757"/>
    <n v="497651"/>
    <n v="100000"/>
    <m/>
    <n v="2370000"/>
    <n v="78030000"/>
    <n v="4.1614188827632681E-2"/>
    <n v="0.21769662921348321"/>
  </r>
  <r>
    <x v="1"/>
    <n v="113"/>
    <s v="中區"/>
    <n v="321"/>
    <s v="頭份分行"/>
    <n v="2"/>
    <n v="48196053"/>
    <n v="39364285.195"/>
    <n v="74460000"/>
    <n v="0.65"/>
    <n v="0.65"/>
    <s v="未達75%"/>
    <s v="分行目標115%"/>
    <n v="85630000"/>
    <s v="未達80%"/>
    <s v="分行目標*80%*120%"/>
    <n v="71480000"/>
    <n v="-14150000"/>
    <n v="456288"/>
    <n v="576422"/>
    <n v="616844"/>
    <n v="557370"/>
    <n v="170000"/>
    <m/>
    <n v="2380000"/>
    <n v="73860000"/>
    <n v="0.53249063777069039"/>
    <n v="-8.058017727639033E-3"/>
  </r>
  <r>
    <x v="2"/>
    <n v="114"/>
    <s v="中區"/>
    <n v="322"/>
    <s v="苗栗分行"/>
    <n v="6"/>
    <n v="41210713"/>
    <n v="31867916.029999997"/>
    <n v="45430000"/>
    <n v="0.91"/>
    <n v="0.93"/>
    <s v="90%以上、未達100%"/>
    <s v="分行目標105%"/>
    <n v="47700000"/>
    <s v="80%以上，未達100%"/>
    <s v="預估實績*105%"/>
    <n v="42450000"/>
    <n v="-5250000"/>
    <n v="361917"/>
    <n v="331054"/>
    <n v="453321"/>
    <n v="457839"/>
    <n v="80000"/>
    <m/>
    <n v="1680000"/>
    <n v="44130000"/>
    <n v="7.0838060967302274E-2"/>
    <n v="-2.8615452344265879E-2"/>
  </r>
  <r>
    <x v="3"/>
    <n v="115"/>
    <s v="北三區"/>
    <n v="323"/>
    <s v="竹北分行"/>
    <n v="4"/>
    <n v="49260989"/>
    <n v="30464713.899999999"/>
    <n v="47540000"/>
    <n v="1.04"/>
    <n v="0.95"/>
    <s v="100%以上、未達110%"/>
    <s v="預估實績105%"/>
    <n v="51720000"/>
    <s v="100%以上，未達120%"/>
    <s v="預估實績*103%"/>
    <n v="49750000"/>
    <n v="-1970000"/>
    <n v="324862"/>
    <n v="452287"/>
    <n v="391618"/>
    <n v="577276"/>
    <n v="130000"/>
    <m/>
    <n v="1880000"/>
    <n v="51630000"/>
    <n v="4.8091015793450653E-2"/>
    <n v="8.6032814472023489E-2"/>
  </r>
  <r>
    <x v="3"/>
    <n v="116"/>
    <s v="北三區"/>
    <n v="351"/>
    <s v="大眾分行"/>
    <n v="8"/>
    <n v="53651005"/>
    <n v="35127250.579999998"/>
    <n v="47590000"/>
    <n v="1.1299999999999999"/>
    <n v="0.96"/>
    <s v="110%以上、未達120%"/>
    <s v="預估實績*103%"/>
    <n v="55260000"/>
    <s v="100%以上，未達120%"/>
    <s v="預估實績*103%"/>
    <n v="54190000"/>
    <n v="-1070000"/>
    <n v="350375"/>
    <n v="411797"/>
    <n v="436692"/>
    <n v="437933"/>
    <n v="40000"/>
    <m/>
    <n v="1680000"/>
    <n v="55870000"/>
    <n v="4.1359803045627919E-2"/>
    <n v="0.17398613154023956"/>
  </r>
  <r>
    <x v="2"/>
    <n v="117"/>
    <s v="中區"/>
    <n v="400"/>
    <s v="豐原分行"/>
    <n v="2"/>
    <n v="96687862"/>
    <n v="77700590.180000007"/>
    <n v="101620000"/>
    <n v="0.95"/>
    <n v="0.94"/>
    <s v="90%以上、未達100%"/>
    <s v="分行目標105%"/>
    <n v="106700000"/>
    <s v="80%以上，未達100%"/>
    <s v="預估實績*105%"/>
    <n v="99590000"/>
    <n v="-7110000"/>
    <n v="793101"/>
    <n v="745537"/>
    <n v="900304"/>
    <n v="791377"/>
    <n v="170000"/>
    <m/>
    <n v="3400000"/>
    <n v="102990000"/>
    <n v="6.5180239480318702E-2"/>
    <n v="1.3481598110608228E-2"/>
  </r>
  <r>
    <x v="2"/>
    <n v="118"/>
    <s v="中區"/>
    <n v="401"/>
    <s v="東勢分行"/>
    <n v="7"/>
    <n v="55405247"/>
    <n v="46345589.935000002"/>
    <n v="61510000"/>
    <n v="0.9"/>
    <n v="0.93"/>
    <s v="90%以上、未達100%"/>
    <s v="分行目標105%"/>
    <n v="64590000"/>
    <s v="80%以上，未達100%"/>
    <s v="預估實績*105%"/>
    <n v="57070000"/>
    <n v="-7520000"/>
    <n v="510661"/>
    <n v="534891"/>
    <n v="585195"/>
    <n v="577276"/>
    <n v="60000"/>
    <m/>
    <n v="2270000"/>
    <n v="59340000"/>
    <n v="7.1017696212057224E-2"/>
    <n v="-3.527881645260933E-2"/>
  </r>
  <r>
    <x v="0"/>
    <n v="119"/>
    <s v="中區"/>
    <n v="402"/>
    <s v="清水分行"/>
    <n v="4"/>
    <n v="94901026"/>
    <n v="57701700.959999993"/>
    <n v="76980000"/>
    <n v="1.23"/>
    <n v="0.99"/>
    <s v="120%以上、未達130%"/>
    <s v="預估實績*101%"/>
    <n v="95850000"/>
    <s v="120%以上"/>
    <s v="分行目標*120%*101%"/>
    <n v="93300000"/>
    <n v="-2550000"/>
    <n v="580866"/>
    <n v="706800"/>
    <n v="604986"/>
    <n v="636994"/>
    <n v="130000"/>
    <m/>
    <n v="2660000"/>
    <n v="95960000"/>
    <n v="1.1158720243972908E-2"/>
    <n v="0.24655754741491287"/>
  </r>
  <r>
    <x v="2"/>
    <n v="120"/>
    <s v="中區"/>
    <n v="403"/>
    <s v="西豐原分行"/>
    <n v="4"/>
    <n v="68713873"/>
    <n v="59140472.805"/>
    <n v="71900000"/>
    <n v="0.96"/>
    <n v="0.94"/>
    <s v="90%以上、未達100%"/>
    <s v="分行目標105%"/>
    <n v="75500000"/>
    <s v="80%以上，未達100%"/>
    <s v="預估實績*105%"/>
    <n v="70780000"/>
    <n v="-4720000"/>
    <n v="567011"/>
    <n v="475817"/>
    <n v="677538"/>
    <n v="617088"/>
    <n v="130000"/>
    <m/>
    <n v="2470000"/>
    <n v="73250000"/>
    <n v="6.6014718745369017E-2"/>
    <n v="1.8776077885952702E-2"/>
  </r>
  <r>
    <x v="3"/>
    <n v="121"/>
    <s v="中區"/>
    <n v="420"/>
    <s v="台中分行"/>
    <n v="1"/>
    <n v="136975246"/>
    <n v="86068938.935000002"/>
    <n v="121170000"/>
    <n v="1.1299999999999999"/>
    <n v="0.96"/>
    <s v="110%以上、未達120%"/>
    <s v="預估實績*103%"/>
    <n v="141080000"/>
    <s v="100%以上，未達120%"/>
    <s v="預估實績*103%"/>
    <n v="138340000"/>
    <n v="-2740000"/>
    <n v="997606"/>
    <n v="1320988"/>
    <n v="1242423"/>
    <n v="847904"/>
    <n v="190000"/>
    <m/>
    <n v="4600000"/>
    <n v="142940000"/>
    <n v="4.354621856273222E-2"/>
    <n v="0.1796649335644136"/>
  </r>
  <r>
    <x v="0"/>
    <n v="122"/>
    <s v="中區"/>
    <n v="422"/>
    <s v="南台中分行"/>
    <n v="6"/>
    <n v="133722552"/>
    <n v="69564606.460000008"/>
    <n v="81890000"/>
    <n v="1.63"/>
    <n v="1.31"/>
    <s v="150%以上、未達200%"/>
    <s v="預估實績*80%"/>
    <n v="106980000"/>
    <s v="120%以上"/>
    <s v="分行目標*120%*101%"/>
    <n v="99250000"/>
    <n v="-7730000"/>
    <n v="617081"/>
    <n v="381609"/>
    <n v="915349"/>
    <n v="577276"/>
    <n v="80000"/>
    <m/>
    <n v="2570000"/>
    <n v="101820000"/>
    <n v="-0.23857271285100812"/>
    <n v="0.24337525949444383"/>
  </r>
  <r>
    <x v="3"/>
    <n v="123"/>
    <s v="中區"/>
    <n v="423"/>
    <s v="北台中分行"/>
    <n v="5"/>
    <n v="62577903"/>
    <n v="44527039.129999995"/>
    <n v="60720000"/>
    <n v="1.03"/>
    <n v="0.96"/>
    <s v="100%以上、未達110%"/>
    <s v="預估實績105%"/>
    <n v="65710000"/>
    <s v="100%以上，未達120%"/>
    <s v="預估實績*103%"/>
    <n v="63200000"/>
    <n v="-2510000"/>
    <n v="473768"/>
    <n v="531365"/>
    <n v="600611"/>
    <n v="577276"/>
    <n v="100000"/>
    <m/>
    <n v="2280000"/>
    <n v="65480000"/>
    <n v="4.6375747042849857E-2"/>
    <n v="7.8392621870882806E-2"/>
  </r>
  <r>
    <x v="3"/>
    <n v="124"/>
    <s v="中區"/>
    <n v="424"/>
    <s v="台中港路分行"/>
    <n v="1"/>
    <n v="124347153"/>
    <n v="88316215.729999989"/>
    <n v="108710000"/>
    <n v="1.1399999999999999"/>
    <n v="0.96"/>
    <s v="110%以上、未達120%"/>
    <s v="預估實績*103%"/>
    <n v="128080000"/>
    <s v="100%以上，未達120%"/>
    <s v="預估實績*103%"/>
    <n v="125590000"/>
    <n v="-2490000"/>
    <n v="757778"/>
    <n v="759081"/>
    <n v="1040678"/>
    <n v="756430"/>
    <n v="190000"/>
    <m/>
    <n v="3500000"/>
    <n v="129090000"/>
    <n v="3.8141983033580296E-2"/>
    <n v="0.18747125379449914"/>
  </r>
  <r>
    <x v="2"/>
    <n v="125"/>
    <s v="中區"/>
    <n v="425"/>
    <s v="大里分行"/>
    <n v="4"/>
    <n v="65420728"/>
    <n v="65086902.435000002"/>
    <n v="81570000"/>
    <n v="0.8"/>
    <n v="0.93"/>
    <s v="75%以上、未達90%"/>
    <s v="分行目標110%"/>
    <n v="89730000"/>
    <s v="80%以上，未達100%"/>
    <s v="預估實績*105%"/>
    <n v="67380000"/>
    <n v="-22350000"/>
    <n v="598206"/>
    <n v="644003"/>
    <n v="895697"/>
    <n v="636994"/>
    <n v="130000"/>
    <m/>
    <n v="2900000"/>
    <n v="70280000"/>
    <n v="7.4277253533467258E-2"/>
    <n v="-0.13840872869927667"/>
  </r>
  <r>
    <x v="2"/>
    <n v="126"/>
    <s v="中區"/>
    <n v="426"/>
    <s v="水湳分行"/>
    <n v="6"/>
    <n v="52489399"/>
    <n v="44882847.474999994"/>
    <n v="60460000"/>
    <n v="0.87"/>
    <n v="0.93"/>
    <s v="75%以上、未達90%"/>
    <s v="分行目標110%"/>
    <n v="66510000"/>
    <s v="80%以上，未達100%"/>
    <s v="預估實績*105%"/>
    <n v="54060000"/>
    <n v="-12450000"/>
    <n v="493466"/>
    <n v="574250"/>
    <n v="605600"/>
    <n v="597182"/>
    <n v="80000"/>
    <m/>
    <n v="2350000"/>
    <n v="56410000"/>
    <n v="7.4693196620521318E-2"/>
    <n v="-6.6986437313926617E-2"/>
  </r>
  <r>
    <x v="2"/>
    <n v="127"/>
    <s v="中區"/>
    <n v="427"/>
    <s v="五權分行"/>
    <n v="6"/>
    <n v="65975791"/>
    <n v="47861272.055"/>
    <n v="68020000"/>
    <n v="0.97"/>
    <n v="0.94"/>
    <s v="90%以上、未達100%"/>
    <s v="分行目標105%"/>
    <n v="71420000"/>
    <s v="80%以上，未達100%"/>
    <s v="預估實績*105%"/>
    <n v="67960000"/>
    <n v="-3460000"/>
    <n v="535729"/>
    <n v="668843"/>
    <n v="644479"/>
    <n v="597182"/>
    <n v="80000"/>
    <m/>
    <n v="2530000"/>
    <n v="70490000"/>
    <n v="6.8422203532201742E-2"/>
    <n v="3.6312849162011274E-2"/>
  </r>
  <r>
    <x v="0"/>
    <n v="128"/>
    <s v="中區"/>
    <n v="429"/>
    <s v="大甲分行"/>
    <n v="7"/>
    <n v="68618259"/>
    <n v="40871823.164999999"/>
    <n v="53410000"/>
    <n v="1.28"/>
    <n v="1.03"/>
    <s v="120%以上、未達130%"/>
    <s v="預估實績*101%"/>
    <n v="69300000"/>
    <s v="120%以上"/>
    <s v="分行目標*120%*101%"/>
    <n v="64730000"/>
    <n v="-4570000"/>
    <n v="400802"/>
    <n v="383377"/>
    <n v="483297"/>
    <n v="497651"/>
    <n v="60000"/>
    <m/>
    <n v="1830000"/>
    <n v="66560000"/>
    <n v="-2.999579164490318E-2"/>
    <n v="0.24620857517318862"/>
  </r>
  <r>
    <x v="1"/>
    <n v="129"/>
    <s v="中區"/>
    <n v="430"/>
    <s v="太平分行"/>
    <n v="8"/>
    <n v="33136455"/>
    <n v="34014938.625"/>
    <n v="45280000"/>
    <n v="0.73"/>
    <n v="0.73"/>
    <s v="未達75%"/>
    <s v="分行目標115%"/>
    <n v="52070000"/>
    <s v="未達80%"/>
    <s v="分行目標*80%*120%"/>
    <n v="43470000"/>
    <n v="-8600000"/>
    <n v="365443"/>
    <n v="330639"/>
    <n v="462252"/>
    <n v="577276"/>
    <n v="40000"/>
    <m/>
    <n v="1780000"/>
    <n v="45250000"/>
    <n v="0.36556550783721442"/>
    <n v="-6.6254416961131213E-4"/>
  </r>
  <r>
    <x v="3"/>
    <n v="130"/>
    <s v="中區"/>
    <n v="431"/>
    <s v="中科分行"/>
    <n v="6"/>
    <n v="43223962"/>
    <n v="29772219.850000001"/>
    <n v="37760000"/>
    <n v="1.1399999999999999"/>
    <n v="0.96"/>
    <s v="110%以上、未達120%"/>
    <s v="預估實績*103%"/>
    <n v="44520000"/>
    <s v="100%以上，未達120%"/>
    <s v="預估實績*103%"/>
    <n v="43660000"/>
    <n v="-860000"/>
    <n v="275329"/>
    <n v="204638"/>
    <n v="277472"/>
    <n v="537464"/>
    <n v="80000"/>
    <m/>
    <n v="1370000"/>
    <n v="45030000"/>
    <n v="4.1783259017301511E-2"/>
    <n v="0.19253177966101687"/>
  </r>
  <r>
    <x v="1"/>
    <n v="131"/>
    <s v="中區"/>
    <n v="451"/>
    <s v="沙鹿分行"/>
    <n v="8"/>
    <n v="40782598"/>
    <n v="35783114.049999997"/>
    <n v="56240000"/>
    <n v="0.73"/>
    <n v="0.73"/>
    <s v="未達75%"/>
    <s v="分行目標115%"/>
    <n v="64680000"/>
    <s v="未達80%"/>
    <s v="分行目標*80%*120%"/>
    <n v="53990000"/>
    <n v="-10690000"/>
    <n v="387657"/>
    <n v="454693"/>
    <n v="462979"/>
    <n v="537464"/>
    <n v="40000"/>
    <m/>
    <n v="1880000"/>
    <n v="55870000"/>
    <n v="0.36994705437843867"/>
    <n v="-6.5789473684210176E-3"/>
  </r>
  <r>
    <x v="3"/>
    <n v="132"/>
    <s v="中區"/>
    <n v="500"/>
    <s v="草屯分行"/>
    <n v="7"/>
    <n v="72594689"/>
    <n v="52652646.774999999"/>
    <n v="62690000"/>
    <n v="1.1599999999999999"/>
    <n v="0.96"/>
    <s v="110%以上、未達120%"/>
    <s v="預估實績*103%"/>
    <n v="74770000"/>
    <s v="100%以上，未達120%"/>
    <s v="預估實績*103%"/>
    <n v="73320000"/>
    <n v="-1450000"/>
    <n v="457414"/>
    <n v="526155"/>
    <n v="623572"/>
    <n v="557370"/>
    <n v="60000"/>
    <m/>
    <n v="2220000"/>
    <n v="75540000"/>
    <n v="4.0571990052881146E-2"/>
    <n v="0.20497687031424472"/>
  </r>
  <r>
    <x v="1"/>
    <n v="133"/>
    <s v="中區"/>
    <n v="501"/>
    <s v="南投分行"/>
    <n v="7"/>
    <n v="41345490"/>
    <n v="38303040.085000001"/>
    <n v="54190000"/>
    <n v="0.76"/>
    <n v="0.77"/>
    <s v="75%以上、未達90%"/>
    <s v="分行目標110%"/>
    <n v="59610000"/>
    <s v="未達80%"/>
    <s v="分行目標*80%*120%"/>
    <n v="52020000"/>
    <n v="-7590000"/>
    <n v="450635"/>
    <n v="468547"/>
    <n v="533537"/>
    <n v="497651"/>
    <n v="60000"/>
    <m/>
    <n v="2010000"/>
    <n v="54030000"/>
    <n v="0.30679307464973804"/>
    <n v="-2.9525742756966178E-3"/>
  </r>
  <r>
    <x v="3"/>
    <n v="134"/>
    <s v="中區"/>
    <n v="520"/>
    <s v="彰化分行"/>
    <n v="2"/>
    <n v="92073151"/>
    <n v="64636150.129999995"/>
    <n v="91670000"/>
    <n v="1"/>
    <n v="0.96"/>
    <s v="100%以上、未達110%"/>
    <s v="預估實績105%"/>
    <n v="96680000"/>
    <s v="100%以上，未達120%"/>
    <s v="預估實績*103%"/>
    <n v="92990000"/>
    <n v="-3690000"/>
    <n v="605463"/>
    <n v="751268"/>
    <n v="804665"/>
    <n v="617088"/>
    <n v="170000"/>
    <m/>
    <n v="2950000"/>
    <n v="95940000"/>
    <n v="4.1997574298288098E-2"/>
    <n v="4.6580124359114183E-2"/>
  </r>
  <r>
    <x v="0"/>
    <n v="135"/>
    <s v="中區"/>
    <n v="521"/>
    <s v="和美分行"/>
    <n v="2"/>
    <n v="155168611"/>
    <n v="80957108.444999993"/>
    <n v="118020000"/>
    <n v="1.31"/>
    <n v="1.05"/>
    <s v="130%以上、未達150%"/>
    <s v="預估實績*90%"/>
    <n v="139650000"/>
    <s v="120%以上"/>
    <s v="分行目標*120%*101%"/>
    <n v="143040000"/>
    <n v="3390000"/>
    <n v="935854"/>
    <n v="1290820"/>
    <n v="1650624"/>
    <n v="676806"/>
    <n v="170000"/>
    <m/>
    <n v="4720000"/>
    <n v="147760000"/>
    <n v="-4.7745552094940136E-2"/>
    <n v="0.25199118793424846"/>
  </r>
  <r>
    <x v="3"/>
    <n v="136"/>
    <s v="中區"/>
    <n v="522"/>
    <s v="員林分行"/>
    <n v="1"/>
    <n v="137092574"/>
    <n v="95804388.854999989"/>
    <n v="116310000"/>
    <n v="1.18"/>
    <n v="0.96"/>
    <s v="110%以上、未達120%"/>
    <s v="預估實績*103%"/>
    <n v="141210000"/>
    <s v="100%以上，未達120%"/>
    <s v="預估實績*103%"/>
    <n v="138460000"/>
    <n v="-2750000"/>
    <n v="968765"/>
    <n v="1160136"/>
    <n v="1209658"/>
    <n v="816148"/>
    <n v="190000"/>
    <m/>
    <n v="4340000"/>
    <n v="142800000"/>
    <n v="4.163191217053086E-2"/>
    <n v="0.22775341759092083"/>
  </r>
  <r>
    <x v="2"/>
    <n v="137"/>
    <s v="中區"/>
    <n v="523"/>
    <s v="鹿港分行"/>
    <n v="6"/>
    <n v="60052954"/>
    <n v="51922548.655000001"/>
    <n v="69370000"/>
    <n v="0.87"/>
    <n v="0.93"/>
    <s v="75%以上、未達90%"/>
    <s v="分行目標110%"/>
    <n v="76310000"/>
    <s v="80%以上，未達100%"/>
    <s v="預估實績*105%"/>
    <n v="61850000"/>
    <n v="-14460000"/>
    <n v="551668"/>
    <n v="589937"/>
    <n v="932657"/>
    <n v="477745"/>
    <n v="80000"/>
    <m/>
    <n v="2630000"/>
    <n v="64480000"/>
    <n v="7.3719038034332218E-2"/>
    <n v="-7.0491566959780871E-2"/>
  </r>
  <r>
    <x v="2"/>
    <n v="138"/>
    <s v="中區"/>
    <n v="524"/>
    <s v="溪湖分行"/>
    <n v="7"/>
    <n v="50759587"/>
    <n v="41151094.224999994"/>
    <n v="56950000"/>
    <n v="0.89"/>
    <n v="0.93"/>
    <s v="75%以上、未達90%"/>
    <s v="分行目標110%"/>
    <n v="62650000"/>
    <s v="80%以上，未達100%"/>
    <s v="預估實績*105%"/>
    <n v="52280000"/>
    <n v="-10370000"/>
    <n v="454153"/>
    <n v="486082"/>
    <n v="673201"/>
    <n v="497651"/>
    <n v="60000"/>
    <m/>
    <n v="2170000"/>
    <n v="54450000"/>
    <n v="7.2703763330462134E-2"/>
    <n v="-4.3898156277436318E-2"/>
  </r>
  <r>
    <x v="1"/>
    <n v="139"/>
    <s v="中區"/>
    <n v="540"/>
    <s v="斗六分行"/>
    <n v="7"/>
    <n v="35583535"/>
    <n v="28734275.609999999"/>
    <n v="44770000"/>
    <n v="0.79"/>
    <n v="0.79"/>
    <s v="75%以上、未達90%"/>
    <s v="分行目標110%"/>
    <n v="49250000"/>
    <s v="未達80%"/>
    <s v="分行目標*80%*120%"/>
    <n v="42980000"/>
    <n v="-6270000"/>
    <n v="341744"/>
    <n v="518227"/>
    <n v="451662"/>
    <n v="497651"/>
    <n v="60000"/>
    <m/>
    <n v="1870000"/>
    <n v="44850000"/>
    <n v="0.26041440233523727"/>
    <n v="1.7869108778199028E-3"/>
  </r>
  <r>
    <x v="3"/>
    <n v="140"/>
    <s v="中區"/>
    <n v="541"/>
    <s v="虎尾分行"/>
    <n v="5"/>
    <n v="70664558"/>
    <n v="52469353.150000006"/>
    <n v="69680000"/>
    <n v="1.01"/>
    <n v="0.95"/>
    <s v="100%以上、未達110%"/>
    <s v="預估實績105%"/>
    <n v="74200000"/>
    <s v="100%以上，未達120%"/>
    <s v="預估實績*103%"/>
    <n v="71370000"/>
    <n v="-2830000"/>
    <n v="557555"/>
    <n v="645573"/>
    <n v="771059"/>
    <n v="597182"/>
    <n v="100000"/>
    <m/>
    <n v="2670000"/>
    <n v="74040000"/>
    <n v="4.7767114031902702E-2"/>
    <n v="6.2571756601607298E-2"/>
  </r>
  <r>
    <x v="1"/>
    <n v="141"/>
    <s v="中區"/>
    <n v="542"/>
    <s v="西螺分行"/>
    <n v="8"/>
    <n v="36285614"/>
    <n v="29237858.549999997"/>
    <n v="47050000"/>
    <n v="0.77"/>
    <n v="0.77"/>
    <s v="75%以上、未達90%"/>
    <s v="分行目標110%"/>
    <n v="51760000"/>
    <s v="未達80%"/>
    <s v="分行目標*80%*120%"/>
    <n v="45170000"/>
    <n v="-6590000"/>
    <n v="347733"/>
    <n v="428075"/>
    <n v="497679"/>
    <n v="457839"/>
    <n v="40000"/>
    <m/>
    <n v="1770000"/>
    <n v="46940000"/>
    <n v="0.29362562254010638"/>
    <n v="-2.3379383634430928E-3"/>
  </r>
  <r>
    <x v="3"/>
    <n v="142"/>
    <s v="中區"/>
    <n v="600"/>
    <s v="嘉義分行"/>
    <n v="4"/>
    <n v="79745143"/>
    <n v="57455846.420000002"/>
    <n v="75270000"/>
    <n v="1.06"/>
    <n v="0.96"/>
    <s v="100%以上、未達110%"/>
    <s v="預估實績105%"/>
    <n v="83730000"/>
    <s v="100%以上，未達120%"/>
    <s v="預估實績*103%"/>
    <n v="80540000"/>
    <n v="-3190000"/>
    <n v="564394"/>
    <n v="633424"/>
    <n v="685281"/>
    <n v="659481"/>
    <n v="130000"/>
    <m/>
    <n v="2670000"/>
    <n v="83210000"/>
    <n v="4.3449128933156445E-2"/>
    <n v="0.10548691377706931"/>
  </r>
  <r>
    <x v="3"/>
    <n v="143"/>
    <s v="中區"/>
    <n v="601"/>
    <s v="嘉南分行"/>
    <n v="5"/>
    <n v="72465355"/>
    <n v="50171954.825000003"/>
    <n v="70850000"/>
    <n v="1.02"/>
    <n v="0.96"/>
    <s v="100%以上、未達110%"/>
    <s v="預估實績105%"/>
    <n v="76090000"/>
    <s v="100%以上，未達120%"/>
    <s v="預估實績*103%"/>
    <n v="73190000"/>
    <n v="-2900000"/>
    <n v="557912"/>
    <n v="597145"/>
    <n v="718131"/>
    <n v="617088"/>
    <n v="100000"/>
    <m/>
    <n v="2590000"/>
    <n v="75780000"/>
    <n v="4.5741099315666167E-2"/>
    <n v="6.9583627381792468E-2"/>
  </r>
  <r>
    <x v="2"/>
    <n v="144"/>
    <s v="中區"/>
    <n v="602"/>
    <s v="朴子分行"/>
    <n v="8"/>
    <n v="45508119"/>
    <n v="38424992.200000003"/>
    <n v="48500000"/>
    <n v="0.94"/>
    <n v="0.94"/>
    <s v="90%以上、未達100%"/>
    <s v="分行目標105%"/>
    <n v="50930000"/>
    <s v="80%以上，未達100%"/>
    <s v="預估實績*105%"/>
    <n v="46870000"/>
    <n v="-4060000"/>
    <n v="360306"/>
    <n v="341215"/>
    <n v="511836"/>
    <n v="497651"/>
    <n v="40000"/>
    <m/>
    <n v="1750000"/>
    <n v="48620000"/>
    <n v="6.8380787173383251E-2"/>
    <n v="2.4742268041237914E-3"/>
  </r>
  <r>
    <x v="0"/>
    <n v="145"/>
    <s v="南區"/>
    <n v="620"/>
    <s v="新營分行"/>
    <n v="4"/>
    <n v="76512317"/>
    <n v="44371249.305"/>
    <n v="61950000"/>
    <n v="1.24"/>
    <n v="0.99"/>
    <s v="120%以上、未達130%"/>
    <s v="預估實績*101%"/>
    <n v="77280000"/>
    <s v="120%以上"/>
    <s v="分行目標*120%*101%"/>
    <n v="75080000"/>
    <n v="-2200000"/>
    <n v="486313"/>
    <n v="536894"/>
    <n v="704093"/>
    <n v="636994"/>
    <n v="130000"/>
    <m/>
    <n v="2490000"/>
    <n v="77570000"/>
    <n v="1.3823695863242502E-2"/>
    <n v="0.25213882163034707"/>
  </r>
  <r>
    <x v="1"/>
    <n v="146"/>
    <s v="南區"/>
    <n v="621"/>
    <s v="麻豆分行"/>
    <n v="3"/>
    <n v="60267983"/>
    <n v="60401679.784999996"/>
    <n v="85180000"/>
    <n v="0.71"/>
    <n v="0.71"/>
    <s v="未達75%"/>
    <s v="分行目標115%"/>
    <n v="97960000"/>
    <s v="未達80%"/>
    <s v="分行目標*80%*120%"/>
    <n v="81770000"/>
    <n v="-16190000"/>
    <n v="711490"/>
    <n v="865829"/>
    <n v="874670"/>
    <n v="617088"/>
    <n v="150000"/>
    <m/>
    <n v="3220000"/>
    <n v="84990000"/>
    <n v="0.41020149952587603"/>
    <n v="-2.2305705564686917E-3"/>
  </r>
  <r>
    <x v="2"/>
    <n v="147"/>
    <s v="南區"/>
    <n v="622"/>
    <s v="永康分行"/>
    <n v="5"/>
    <n v="74977980"/>
    <n v="51708436.134999998"/>
    <n v="75450000"/>
    <n v="0.99"/>
    <n v="0.94"/>
    <s v="90%以上、未達100%"/>
    <s v="分行目標105%"/>
    <n v="79220000"/>
    <s v="80%以上，未達100%"/>
    <s v="預估實績*105%"/>
    <n v="77230000"/>
    <n v="-1990000"/>
    <n v="534637"/>
    <n v="606877"/>
    <n v="679101"/>
    <n v="577276"/>
    <n v="100000"/>
    <m/>
    <n v="2500000"/>
    <n v="79730000"/>
    <n v="6.3378874704279831E-2"/>
    <n v="5.6726308813783932E-2"/>
  </r>
  <r>
    <x v="0"/>
    <n v="148"/>
    <s v="南區"/>
    <n v="640"/>
    <s v="台南分行"/>
    <n v="1"/>
    <n v="121347283"/>
    <n v="91772316.879999995"/>
    <n v="101430000"/>
    <n v="1.2"/>
    <n v="0.96"/>
    <s v="120%以上、未達130%"/>
    <s v="預估實績*101%"/>
    <n v="122560000"/>
    <s v="120%以上"/>
    <s v="分行目標*120%*101%"/>
    <n v="122930000"/>
    <n v="370000"/>
    <n v="820872"/>
    <n v="855307"/>
    <n v="1026976"/>
    <n v="885588"/>
    <n v="190000"/>
    <m/>
    <n v="3780000"/>
    <n v="126710000"/>
    <n v="4.4193136157815838E-2"/>
    <n v="0.24923592625455981"/>
  </r>
  <r>
    <x v="1"/>
    <n v="149"/>
    <s v="南區"/>
    <n v="642"/>
    <s v="東台南分行"/>
    <n v="2"/>
    <n v="74163500"/>
    <n v="75567132.810000002"/>
    <n v="95940000"/>
    <n v="0.77"/>
    <n v="0.78"/>
    <s v="75%以上、未達90%"/>
    <s v="分行目標110%"/>
    <n v="105530000"/>
    <s v="未達80%"/>
    <s v="分行目標*80%*120%"/>
    <n v="92100000"/>
    <n v="-13430000"/>
    <n v="774607"/>
    <n v="842315"/>
    <n v="914195"/>
    <n v="577276"/>
    <n v="170000"/>
    <m/>
    <n v="3280000"/>
    <n v="95380000"/>
    <n v="0.28607738307927755"/>
    <n v="-5.8369814467374992E-3"/>
  </r>
  <r>
    <x v="3"/>
    <n v="150"/>
    <s v="南區"/>
    <n v="643"/>
    <s v="西台南分行"/>
    <n v="6"/>
    <n v="55674017"/>
    <n v="33211261.244999997"/>
    <n v="50950000"/>
    <n v="1.0900000000000001"/>
    <n v="0.96"/>
    <s v="100%以上、未達110%"/>
    <s v="預估實績105%"/>
    <n v="58460000"/>
    <s v="100%以上，未達120%"/>
    <s v="預估實績*103%"/>
    <n v="56230000"/>
    <n v="-2230000"/>
    <n v="376183"/>
    <n v="405076"/>
    <n v="533603"/>
    <n v="517557"/>
    <n v="80000"/>
    <m/>
    <n v="1910000"/>
    <n v="58140000"/>
    <n v="4.4293247243143874E-2"/>
    <n v="0.14111874386653578"/>
  </r>
  <r>
    <x v="1"/>
    <n v="151"/>
    <s v="南區"/>
    <n v="644"/>
    <s v="北台南分行"/>
    <n v="5"/>
    <n v="47154352"/>
    <n v="40869254.890000001"/>
    <n v="71900000"/>
    <n v="0.66"/>
    <n v="0.66"/>
    <s v="未達75%"/>
    <s v="分行目標115%"/>
    <n v="82690000"/>
    <s v="未達80%"/>
    <s v="分行目標*80%*120%"/>
    <n v="69020000"/>
    <n v="-13670000"/>
    <n v="482396"/>
    <n v="623557"/>
    <n v="674484"/>
    <n v="577276"/>
    <n v="100000"/>
    <m/>
    <n v="2460000"/>
    <n v="71480000"/>
    <n v="0.51587280851616835"/>
    <n v="-5.8414464534075616E-3"/>
  </r>
  <r>
    <x v="3"/>
    <n v="152"/>
    <s v="南區"/>
    <n v="645"/>
    <s v="南都分行"/>
    <n v="2"/>
    <n v="72888784"/>
    <n v="48292287.655000001"/>
    <n v="71530000"/>
    <n v="1.02"/>
    <n v="0.95"/>
    <s v="100%以上、未達110%"/>
    <s v="預估實績105%"/>
    <n v="76530000"/>
    <s v="100%以上，未達120%"/>
    <s v="預估實績*103%"/>
    <n v="73620000"/>
    <n v="-2910000"/>
    <n v="529760"/>
    <n v="716377"/>
    <n v="687238"/>
    <n v="656900"/>
    <n v="170000"/>
    <m/>
    <n v="2760000"/>
    <n v="76380000"/>
    <n v="4.7897849413978344E-2"/>
    <n v="6.7803718719418482E-2"/>
  </r>
  <r>
    <x v="1"/>
    <n v="153"/>
    <s v="南區"/>
    <n v="646"/>
    <s v="安南分行"/>
    <n v="7"/>
    <n v="37655999"/>
    <n v="30942321.085000001"/>
    <n v="48300000"/>
    <n v="0.78"/>
    <n v="0.78"/>
    <s v="75%以上、未達90%"/>
    <s v="分行目標110%"/>
    <n v="53130000"/>
    <s v="未達80%"/>
    <s v="分行目標*80%*120%"/>
    <n v="46370000"/>
    <n v="-6760000"/>
    <n v="364738"/>
    <n v="437244"/>
    <n v="599709"/>
    <n v="497651"/>
    <n v="60000"/>
    <m/>
    <n v="1960000"/>
    <n v="48330000"/>
    <n v="0.2834608371431071"/>
    <n v="6.211180124222615E-4"/>
  </r>
  <r>
    <x v="3"/>
    <n v="154"/>
    <s v="南區"/>
    <n v="647"/>
    <s v="仁德分行"/>
    <n v="5"/>
    <n v="64370511"/>
    <n v="45774161.530000001"/>
    <n v="63960000"/>
    <n v="1.01"/>
    <n v="0.95"/>
    <s v="100%以上、未達110%"/>
    <s v="預估實績105%"/>
    <n v="67590000"/>
    <s v="100%以上，未達120%"/>
    <s v="預估實績*103%"/>
    <n v="65010000"/>
    <n v="-2580000"/>
    <n v="516734"/>
    <n v="601331"/>
    <n v="867500"/>
    <n v="577276"/>
    <n v="100000"/>
    <m/>
    <n v="2660000"/>
    <n v="67670000"/>
    <n v="5.125777236722584E-2"/>
    <n v="5.8005003126954335E-2"/>
  </r>
  <r>
    <x v="0"/>
    <n v="155"/>
    <s v="南區"/>
    <n v="648"/>
    <s v="新市分行"/>
    <n v="7"/>
    <n v="66452314"/>
    <n v="34665776.159999996"/>
    <n v="49760000"/>
    <n v="1.34"/>
    <n v="1.07"/>
    <s v="130%以上、未達150%"/>
    <s v="預估實績*90%"/>
    <n v="59810000"/>
    <s v="120%以上"/>
    <s v="分行目標*120%*101%"/>
    <n v="60310000"/>
    <n v="500000"/>
    <n v="405924"/>
    <n v="387848"/>
    <n v="580298"/>
    <n v="537464"/>
    <n v="60000"/>
    <m/>
    <n v="1970000"/>
    <n v="62280000"/>
    <n v="-6.2786587085590373E-2"/>
    <n v="0.25160771704180074"/>
  </r>
  <r>
    <x v="1"/>
    <n v="156"/>
    <s v="南區"/>
    <n v="681"/>
    <s v="金華分行"/>
    <n v="5"/>
    <n v="38567689"/>
    <n v="31399863.754999999"/>
    <n v="55770000"/>
    <n v="0.69"/>
    <n v="0.69"/>
    <s v="未達75%"/>
    <s v="分行目標115%"/>
    <n v="64140000"/>
    <s v="未達80%"/>
    <s v="分行目標*80%*120%"/>
    <n v="53540000"/>
    <n v="-10600000"/>
    <n v="373446"/>
    <n v="679545"/>
    <n v="635737"/>
    <n v="557370"/>
    <n v="100000"/>
    <m/>
    <n v="2350000"/>
    <n v="55890000"/>
    <n v="0.44914049685476365"/>
    <n v="2.1516944593866771E-3"/>
  </r>
  <r>
    <x v="0"/>
    <n v="157"/>
    <s v="南區"/>
    <n v="700"/>
    <s v="高雄分行"/>
    <n v="1"/>
    <n v="109846893"/>
    <n v="70513401.995000005"/>
    <n v="90010000"/>
    <n v="1.22"/>
    <n v="0.98"/>
    <s v="120%以上、未達130%"/>
    <s v="預估實績*101%"/>
    <n v="110950000"/>
    <s v="120%以上"/>
    <s v="分行目標*120%*101%"/>
    <n v="109090000"/>
    <n v="-1860000"/>
    <n v="689273"/>
    <n v="722130"/>
    <n v="758647"/>
    <n v="829061"/>
    <n v="190000"/>
    <m/>
    <n v="3190000"/>
    <n v="112280000"/>
    <n v="2.2149984706440362E-2"/>
    <n v="0.24741695367181427"/>
  </r>
  <r>
    <x v="0"/>
    <n v="158"/>
    <s v="南區"/>
    <n v="701"/>
    <s v="東苓分行"/>
    <n v="3"/>
    <n v="57485302"/>
    <n v="34206269.275000006"/>
    <n v="46630000"/>
    <n v="1.23"/>
    <n v="0.98"/>
    <s v="120%以上、未達130%"/>
    <s v="預估實績*101%"/>
    <n v="58060000"/>
    <s v="120%以上"/>
    <s v="分行目標*120%*101%"/>
    <n v="56520000"/>
    <n v="-1540000"/>
    <n v="368873"/>
    <n v="461959"/>
    <n v="429424"/>
    <n v="477745"/>
    <n v="150000"/>
    <m/>
    <n v="1890000"/>
    <n v="58410000"/>
    <n v="1.6085816162190403E-2"/>
    <n v="0.25262706412181002"/>
  </r>
  <r>
    <x v="0"/>
    <n v="159"/>
    <s v="南區"/>
    <n v="702"/>
    <s v="新興分行"/>
    <n v="3"/>
    <n v="146683171"/>
    <n v="60388227.564999998"/>
    <n v="68390000"/>
    <n v="2.14"/>
    <n v="1.73"/>
    <s v="200%以上"/>
    <s v="預估實績*70%"/>
    <n v="102680000"/>
    <s v="120%以上"/>
    <s v="分行目標*120%*101%"/>
    <n v="82890000"/>
    <n v="-19790000"/>
    <n v="352159"/>
    <n v="238151"/>
    <n v="402679"/>
    <n v="557370"/>
    <n v="150000"/>
    <m/>
    <n v="1700000"/>
    <n v="84590000"/>
    <n v="-0.42331489411283585"/>
    <n v="0.23687673636496553"/>
  </r>
  <r>
    <x v="1"/>
    <n v="160"/>
    <s v="南區"/>
    <n v="703"/>
    <s v="高雄三民分行"/>
    <n v="6"/>
    <n v="31343682"/>
    <n v="28950113.515000001"/>
    <n v="48810000"/>
    <n v="0.64"/>
    <n v="0.65"/>
    <s v="未達75%"/>
    <s v="分行目標115%"/>
    <n v="56130000"/>
    <s v="未達80%"/>
    <s v="分行目標*80%*120%"/>
    <n v="46860000"/>
    <n v="-9270000"/>
    <n v="308800"/>
    <n v="291343"/>
    <n v="346387"/>
    <n v="557370"/>
    <n v="80000"/>
    <m/>
    <n v="1580000"/>
    <n v="48440000"/>
    <n v="0.54544702182723781"/>
    <n v="-7.5804138496209372E-3"/>
  </r>
  <r>
    <x v="3"/>
    <n v="161"/>
    <s v="南區"/>
    <n v="704"/>
    <s v="苓雅分行"/>
    <n v="6"/>
    <n v="51467046"/>
    <n v="33463646.969999999"/>
    <n v="46050000"/>
    <n v="1.1200000000000001"/>
    <n v="0.96"/>
    <s v="110%以上、未達120%"/>
    <s v="預估實績*103%"/>
    <n v="53010000"/>
    <s v="100%以上，未達120%"/>
    <s v="預估實績*103%"/>
    <n v="51980000"/>
    <n v="-1030000"/>
    <n v="346926"/>
    <n v="301446"/>
    <n v="379150"/>
    <n v="537464"/>
    <n v="80000"/>
    <m/>
    <n v="1640000"/>
    <n v="53620000"/>
    <n v="4.1831699452888671E-2"/>
    <n v="0.16438653637350709"/>
  </r>
  <r>
    <x v="3"/>
    <n v="162"/>
    <s v="南區"/>
    <n v="705"/>
    <s v="前鎮分行"/>
    <n v="8"/>
    <n v="42513645"/>
    <n v="28772062.015000001"/>
    <n v="40520000"/>
    <n v="1.05"/>
    <n v="0.95"/>
    <s v="100%以上、未達110%"/>
    <s v="預估實績105%"/>
    <n v="44640000"/>
    <s v="100%以上，未達120%"/>
    <s v="預估實績*103%"/>
    <n v="42940000"/>
    <n v="-1700000"/>
    <n v="317682"/>
    <n v="390132"/>
    <n v="399441"/>
    <n v="437933"/>
    <n v="40000"/>
    <m/>
    <n v="1590000"/>
    <n v="44530000"/>
    <n v="4.7428419746178063E-2"/>
    <n v="9.8963474827245879E-2"/>
  </r>
  <r>
    <x v="2"/>
    <n v="163"/>
    <s v="南區"/>
    <n v="706"/>
    <s v="高雄博愛分行"/>
    <n v="4"/>
    <n v="50941852"/>
    <n v="42456587.864999995"/>
    <n v="63540000"/>
    <n v="0.8"/>
    <n v="0.93"/>
    <s v="75%以上、未達90%"/>
    <s v="分行目標110%"/>
    <n v="69890000"/>
    <s v="80%以上，未達100%"/>
    <s v="預估實績*105%"/>
    <n v="52470000"/>
    <n v="-17420000"/>
    <n v="463368"/>
    <n v="515595"/>
    <n v="464898"/>
    <n v="636994"/>
    <n v="130000"/>
    <m/>
    <n v="2210000"/>
    <n v="54680000"/>
    <n v="7.3380685099552423E-2"/>
    <n v="-0.1394397230091281"/>
  </r>
  <r>
    <x v="2"/>
    <n v="164"/>
    <s v="南區"/>
    <n v="707"/>
    <s v="南高雄分行"/>
    <n v="8"/>
    <n v="32597177"/>
    <n v="30369602.425000001"/>
    <n v="37970000"/>
    <n v="0.86"/>
    <n v="0.93"/>
    <s v="75%以上、未達90%"/>
    <s v="分行目標110%"/>
    <n v="41770000"/>
    <s v="80%以上，未達100%"/>
    <s v="預估實績*105%"/>
    <n v="33580000"/>
    <n v="-8190000"/>
    <n v="280759"/>
    <n v="290600"/>
    <n v="317930"/>
    <n v="437933"/>
    <n v="40000"/>
    <m/>
    <n v="1370000"/>
    <n v="34950000"/>
    <n v="7.2178734986775073E-2"/>
    <n v="-7.9536476165393721E-2"/>
  </r>
  <r>
    <x v="1"/>
    <n v="165"/>
    <s v="南區"/>
    <n v="708"/>
    <s v="東高雄分行"/>
    <n v="5"/>
    <n v="33281232"/>
    <n v="31466006.064999998"/>
    <n v="53240000"/>
    <n v="0.63"/>
    <n v="0.63"/>
    <s v="未達75%"/>
    <s v="分行目標115%"/>
    <n v="61230000"/>
    <s v="未達80%"/>
    <s v="分行目標*80%*120%"/>
    <n v="51110000"/>
    <n v="-10120000"/>
    <n v="362780"/>
    <n v="390685"/>
    <n v="372390"/>
    <n v="584111"/>
    <n v="100000"/>
    <m/>
    <n v="1810000"/>
    <n v="52920000"/>
    <n v="0.59008536703208581"/>
    <n v="-6.0105184072126727E-3"/>
  </r>
  <r>
    <x v="3"/>
    <n v="166"/>
    <s v="南區"/>
    <n v="709"/>
    <s v="大昌分行"/>
    <n v="7"/>
    <n v="69568535"/>
    <n v="56621887.739999995"/>
    <n v="59170000"/>
    <n v="1.18"/>
    <n v="0.96"/>
    <s v="110%以上、未達120%"/>
    <s v="預估實績*103%"/>
    <n v="71660000"/>
    <s v="100%以上，未達120%"/>
    <s v="預估實績*103%"/>
    <n v="70260000"/>
    <n v="-1400000"/>
    <n v="437017"/>
    <n v="544670"/>
    <n v="499417"/>
    <n v="577276"/>
    <n v="60000"/>
    <m/>
    <n v="2120000"/>
    <n v="72380000"/>
    <n v="4.0412882059396527E-2"/>
    <n v="0.22325502788575302"/>
  </r>
  <r>
    <x v="0"/>
    <n v="167"/>
    <s v="南區"/>
    <n v="710"/>
    <s v="北高雄分行"/>
    <n v="3"/>
    <n v="92895749"/>
    <n v="49365412.295000002"/>
    <n v="68300000"/>
    <n v="1.36"/>
    <n v="1.0900000000000001"/>
    <s v="130%以上、未達150%"/>
    <s v="預估實績*90%"/>
    <n v="83610000"/>
    <s v="120%以上"/>
    <s v="分行目標*120%*101%"/>
    <n v="82780000"/>
    <n v="-830000"/>
    <n v="533344"/>
    <n v="601760"/>
    <n v="668873"/>
    <n v="636994"/>
    <n v="150000"/>
    <m/>
    <n v="2590000"/>
    <n v="85370000"/>
    <n v="-8.1012845916124787E-2"/>
    <n v="0.24992679355783309"/>
  </r>
  <r>
    <x v="3"/>
    <n v="168"/>
    <s v="南區"/>
    <n v="711"/>
    <s v="楠梓分行　"/>
    <n v="4"/>
    <n v="52915593"/>
    <n v="40851533.034999996"/>
    <n v="52650000"/>
    <n v="1.01"/>
    <n v="0.95"/>
    <s v="100%以上、未達110%"/>
    <s v="預估實績105%"/>
    <n v="55560000"/>
    <s v="100%以上，未達120%"/>
    <s v="預估實績*103%"/>
    <n v="53440000"/>
    <n v="-2120000"/>
    <n v="438111"/>
    <n v="453730"/>
    <n v="483723"/>
    <n v="557370"/>
    <n v="130000"/>
    <m/>
    <n v="2060000"/>
    <n v="55500000"/>
    <n v="4.8840178357256514E-2"/>
    <n v="5.4131054131054235E-2"/>
  </r>
  <r>
    <x v="2"/>
    <n v="169"/>
    <s v="南區"/>
    <n v="712"/>
    <s v="左營分行　"/>
    <n v="8"/>
    <n v="19857528"/>
    <n v="16051152.254999999"/>
    <n v="22360000"/>
    <n v="0.89"/>
    <n v="0.93"/>
    <s v="75%以上、未達90%"/>
    <s v="分行目標110%"/>
    <n v="24600000"/>
    <s v="80%以上，未達100%"/>
    <s v="預估實績*105%"/>
    <n v="20450000"/>
    <n v="-4150000"/>
    <n v="180004"/>
    <n v="161369"/>
    <n v="200915"/>
    <n v="398121"/>
    <n v="40000"/>
    <m/>
    <n v="980000"/>
    <n v="21430000"/>
    <n v="7.9187701510480046E-2"/>
    <n v="-4.159212880143115E-2"/>
  </r>
  <r>
    <x v="3"/>
    <n v="170"/>
    <s v="南區"/>
    <n v="719"/>
    <s v="岡山分行"/>
    <n v="2"/>
    <n v="83251115"/>
    <n v="53441350.714999996"/>
    <n v="76510000"/>
    <n v="1.0900000000000001"/>
    <n v="0.96"/>
    <s v="100%以上、未達110%"/>
    <s v="預估實績105%"/>
    <n v="87410000"/>
    <s v="100%以上，未達120%"/>
    <s v="預估實績*103%"/>
    <n v="84080000"/>
    <n v="-3330000"/>
    <n v="591630"/>
    <n v="578656"/>
    <n v="745690"/>
    <n v="696712"/>
    <n v="170000"/>
    <m/>
    <n v="2780000"/>
    <n v="86860000"/>
    <n v="4.3349389374544689E-2"/>
    <n v="0.13527643445301263"/>
  </r>
  <r>
    <x v="3"/>
    <n v="171"/>
    <s v="南區"/>
    <n v="720"/>
    <s v="鳳山分行"/>
    <n v="6"/>
    <n v="69404412"/>
    <n v="46121167.484999999"/>
    <n v="65890000"/>
    <n v="1.05"/>
    <n v="0.96"/>
    <s v="100%以上、未達110%"/>
    <s v="預估實績105%"/>
    <n v="72870000"/>
    <s v="100%以上，未達120%"/>
    <s v="預估實績*103%"/>
    <n v="70100000"/>
    <n v="-2770000"/>
    <n v="501598"/>
    <n v="524657"/>
    <n v="762921"/>
    <n v="537464"/>
    <n v="80000"/>
    <m/>
    <n v="2410000"/>
    <n v="72510000"/>
    <n v="4.4746261952338218E-2"/>
    <n v="0.10047048110487178"/>
  </r>
  <r>
    <x v="1"/>
    <n v="172"/>
    <s v="南區"/>
    <n v="721"/>
    <s v="路竹分行"/>
    <n v="6"/>
    <n v="43329357"/>
    <n v="36201816.725000001"/>
    <n v="54870000"/>
    <n v="0.79"/>
    <n v="0.79"/>
    <s v="75%以上、未達90%"/>
    <s v="分行目標110%"/>
    <n v="60360000"/>
    <s v="未達80%"/>
    <s v="分行目標*80%*120%"/>
    <n v="52680000"/>
    <n v="-7680000"/>
    <n v="420517"/>
    <n v="505468"/>
    <n v="672733"/>
    <n v="557370"/>
    <n v="80000"/>
    <m/>
    <n v="2240000"/>
    <n v="54920000"/>
    <n v="0.2675009232193315"/>
    <n v="9.1124476034254442E-4"/>
  </r>
  <r>
    <x v="2"/>
    <n v="173"/>
    <s v="南區"/>
    <n v="722"/>
    <s v="仁武分行"/>
    <n v="7"/>
    <n v="32593644"/>
    <n v="19886761.850000001"/>
    <n v="33480000"/>
    <n v="0.97"/>
    <n v="0.93"/>
    <s v="90%以上、未達100%"/>
    <s v="分行目標105%"/>
    <n v="35150000"/>
    <s v="80%以上，未達100%"/>
    <s v="預估實績*105%"/>
    <n v="33570000"/>
    <n v="-1580000"/>
    <n v="236518"/>
    <n v="256445"/>
    <n v="351875"/>
    <n v="517557"/>
    <n v="60000"/>
    <m/>
    <n v="1420000"/>
    <n v="34990000"/>
    <n v="7.3522187331984012E-2"/>
    <n v="4.510155316606923E-2"/>
  </r>
  <r>
    <x v="2"/>
    <n v="174"/>
    <s v="南區"/>
    <n v="751"/>
    <s v="籬仔內分行"/>
    <n v="7"/>
    <n v="39118611"/>
    <n v="27121261.965"/>
    <n v="43230000"/>
    <n v="0.9"/>
    <n v="0.93"/>
    <s v="90%以上、未達100%"/>
    <s v="分行目標105%"/>
    <n v="45390000"/>
    <s v="80%以上，未達100%"/>
    <s v="預估實績*105%"/>
    <n v="40290000"/>
    <n v="-5100000"/>
    <n v="322560"/>
    <n v="504030"/>
    <n v="340689"/>
    <n v="457839"/>
    <n v="60000"/>
    <m/>
    <n v="1690000"/>
    <n v="41980000"/>
    <n v="7.3146487742113298E-2"/>
    <n v="-2.8915105250983064E-2"/>
  </r>
  <r>
    <x v="3"/>
    <n v="175"/>
    <s v="南區"/>
    <n v="752"/>
    <s v="五甲分行"/>
    <n v="6"/>
    <n v="68646329"/>
    <n v="44731733.340000004"/>
    <n v="60470000"/>
    <n v="1.1399999999999999"/>
    <n v="0.96"/>
    <s v="110%以上、未達120%"/>
    <s v="預估實績*103%"/>
    <n v="70710000"/>
    <s v="100%以上，未達120%"/>
    <s v="預估實績*103%"/>
    <n v="69330000"/>
    <n v="-1380000"/>
    <n v="475968"/>
    <n v="587675"/>
    <n v="553111"/>
    <n v="557370"/>
    <n v="80000"/>
    <m/>
    <n v="2250000"/>
    <n v="71580000"/>
    <n v="4.2736021615955577E-2"/>
    <n v="0.1837274681660328"/>
  </r>
  <r>
    <x v="0"/>
    <n v="176"/>
    <s v="南區"/>
    <n v="753"/>
    <s v="光華分行"/>
    <n v="7"/>
    <n v="62337850"/>
    <n v="33285696.289999999"/>
    <n v="42620000"/>
    <n v="1.46"/>
    <n v="1.17"/>
    <s v="130%以上、未達150%"/>
    <s v="預估實績*90%"/>
    <n v="56100000"/>
    <s v="120%以上"/>
    <s v="分行目標*120%*101%"/>
    <n v="51660000"/>
    <n v="-4440000"/>
    <n v="359711"/>
    <n v="397280"/>
    <n v="373608"/>
    <n v="497651"/>
    <n v="60000"/>
    <m/>
    <n v="1690000"/>
    <n v="53350000"/>
    <n v="-0.14417965970914937"/>
    <n v="0.25175973721257616"/>
  </r>
  <r>
    <x v="2"/>
    <n v="177"/>
    <s v="南區"/>
    <n v="760"/>
    <s v="小港分行"/>
    <n v="6"/>
    <n v="73417344"/>
    <n v="54334611.335000001"/>
    <n v="88420000"/>
    <n v="0.83"/>
    <n v="0.93"/>
    <s v="75%以上、未達90%"/>
    <s v="分行目標110%"/>
    <n v="97260000"/>
    <s v="80%以上，未達100%"/>
    <s v="預估實績*105%"/>
    <n v="75620000"/>
    <n v="-21640000"/>
    <n v="609738"/>
    <n v="930403"/>
    <n v="844306"/>
    <n v="557370"/>
    <n v="80000"/>
    <m/>
    <n v="3020000"/>
    <n v="78640000"/>
    <n v="7.1136542340730857E-2"/>
    <n v="-0.11060845962451937"/>
  </r>
  <r>
    <x v="3"/>
    <n v="178"/>
    <s v="南區"/>
    <n v="800"/>
    <s v="屏東分行"/>
    <n v="7"/>
    <n v="68532195"/>
    <n v="43443640.505000003"/>
    <n v="61600000"/>
    <n v="1.1100000000000001"/>
    <n v="0.96"/>
    <s v="110%以上、未達120%"/>
    <s v="預估實績*103%"/>
    <n v="70590000"/>
    <s v="100%以上，未達120%"/>
    <s v="預估實績*103%"/>
    <n v="69220000"/>
    <n v="-1370000"/>
    <n v="489113"/>
    <n v="493920"/>
    <n v="610254"/>
    <n v="557370"/>
    <n v="60000"/>
    <m/>
    <n v="2210000"/>
    <n v="71430000"/>
    <n v="4.2283849218604397E-2"/>
    <n v="0.1595779220779221"/>
  </r>
  <r>
    <x v="3"/>
    <n v="179"/>
    <s v="南區"/>
    <n v="801"/>
    <s v="內埔分行"/>
    <n v="4"/>
    <n v="104230093"/>
    <n v="67698725.24000001"/>
    <n v="90250000"/>
    <n v="1.1499999999999999"/>
    <n v="0.96"/>
    <s v="110%以上、未達120%"/>
    <s v="預估實績*103%"/>
    <n v="107360000"/>
    <s v="100%以上，未達120%"/>
    <s v="預估實績*103%"/>
    <n v="105270000"/>
    <n v="-2090000"/>
    <n v="699085"/>
    <n v="722995"/>
    <n v="827309"/>
    <n v="617088"/>
    <n v="130000"/>
    <m/>
    <n v="3000000"/>
    <n v="108270000"/>
    <n v="3.875950681536855E-2"/>
    <n v="0.19966759002770074"/>
  </r>
  <r>
    <x v="1"/>
    <n v="180"/>
    <s v="南區"/>
    <n v="802"/>
    <s v="潮州分行"/>
    <n v="8"/>
    <n v="75058617"/>
    <n v="69258211.569999993"/>
    <n v="96520000"/>
    <n v="0.78"/>
    <n v="0.78"/>
    <s v="75%以上、未達90%"/>
    <s v="分行目標110%"/>
    <n v="106170000"/>
    <s v="未達80%"/>
    <s v="分行目標*80%*120%"/>
    <n v="92660000"/>
    <n v="-13510000"/>
    <n v="785042"/>
    <n v="823368"/>
    <n v="1058078"/>
    <n v="557370"/>
    <n v="40000"/>
    <m/>
    <n v="3260000"/>
    <n v="95920000"/>
    <n v="0.27793455080580554"/>
    <n v="-6.2163282221301408E-3"/>
  </r>
  <r>
    <x v="0"/>
    <n v="181"/>
    <s v="北二區"/>
    <n v="820"/>
    <s v="花蓮分行"/>
    <n v="7"/>
    <n v="69628302"/>
    <n v="44966119.715000004"/>
    <n v="57880000"/>
    <n v="1.2"/>
    <n v="0.97"/>
    <s v="120%以上、未達130%"/>
    <s v="預估實績*101%"/>
    <n v="70320000"/>
    <s v="120%以上"/>
    <s v="分行目標*120%*101%"/>
    <n v="70150000"/>
    <n v="-170000"/>
    <n v="450278"/>
    <n v="330607"/>
    <n v="501724"/>
    <n v="537464"/>
    <n v="60000"/>
    <m/>
    <n v="1880000"/>
    <n v="72030000"/>
    <n v="3.4493128957819419E-2"/>
    <n v="0.24447131997235649"/>
  </r>
  <r>
    <x v="1"/>
    <n v="182"/>
    <s v="南區"/>
    <n v="830"/>
    <s v="台東分行"/>
    <n v="7"/>
    <n v="22284373"/>
    <n v="18976317.32"/>
    <n v="38100000"/>
    <n v="0.57999999999999996"/>
    <n v="0.57999999999999996"/>
    <s v="未達75%"/>
    <s v="分行目標115%"/>
    <n v="43820000"/>
    <s v="未達80%"/>
    <s v="分行目標*80%*120%"/>
    <n v="36580000"/>
    <n v="-7240000"/>
    <n v="225690"/>
    <n v="508306"/>
    <n v="410883"/>
    <n v="537464"/>
    <n v="60000"/>
    <m/>
    <n v="1740000"/>
    <n v="38320000"/>
    <n v="0.71959067459515236"/>
    <n v="5.7742782152230276E-3"/>
  </r>
  <r>
    <x v="0"/>
    <n v="183"/>
    <s v="北一區"/>
    <n v="888"/>
    <s v="營運總部分行"/>
    <n v="8"/>
    <n v="23269991"/>
    <n v="9588777.0850000009"/>
    <n v="17160000"/>
    <n v="1.36"/>
    <n v="1.06"/>
    <s v="130%以上、未達150%"/>
    <s v="預估實績*90%"/>
    <n v="20940000"/>
    <s v="120%以上"/>
    <s v="分行目標*120%*101%"/>
    <n v="20800000"/>
    <n v="-140000"/>
    <n v="114042"/>
    <n v="258610"/>
    <n v="213702"/>
    <n v="437933"/>
    <n v="40000"/>
    <m/>
    <n v="1060000"/>
    <n v="21860000"/>
    <n v="-6.0592674917665401E-2"/>
    <n v="0.273892773892773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樞紐分析表2" cacheId="1534"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location ref="H3:I9" firstHeaderRow="1" firstDataRow="1" firstDataCol="1"/>
  <pivotFields count="4">
    <pivotField axis="axisRow" showAll="0">
      <items count="6">
        <item x="0"/>
        <item x="1"/>
        <item x="2"/>
        <item x="3"/>
        <item x="4"/>
        <item t="default"/>
      </items>
    </pivotField>
    <pivotField dataField="1" numFmtId="180" showAll="0"/>
    <pivotField showAll="0"/>
    <pivotField numFmtId="176" showAll="0"/>
  </pivotFields>
  <rowFields count="1">
    <field x="0"/>
  </rowFields>
  <rowItems count="6">
    <i>
      <x/>
    </i>
    <i>
      <x v="1"/>
    </i>
    <i>
      <x v="2"/>
    </i>
    <i>
      <x v="3"/>
    </i>
    <i>
      <x v="4"/>
    </i>
    <i t="grand">
      <x/>
    </i>
  </rowItems>
  <colItems count="1">
    <i/>
  </colItems>
  <dataFields count="1">
    <dataField name="計數 - 單位代號"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樞紐分析表2" cacheId="1534"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location ref="G3:H9" firstHeaderRow="1" firstDataRow="1" firstDataCol="1"/>
  <pivotFields count="4">
    <pivotField axis="axisRow" showAll="0">
      <items count="6">
        <item x="0"/>
        <item x="1"/>
        <item x="2"/>
        <item x="3"/>
        <item x="4"/>
        <item t="default"/>
      </items>
    </pivotField>
    <pivotField dataField="1" numFmtId="180" showAll="0"/>
    <pivotField showAll="0"/>
    <pivotField numFmtId="176" showAll="0"/>
  </pivotFields>
  <rowFields count="1">
    <field x="0"/>
  </rowFields>
  <rowItems count="6">
    <i>
      <x/>
    </i>
    <i>
      <x v="1"/>
    </i>
    <i>
      <x v="2"/>
    </i>
    <i>
      <x v="3"/>
    </i>
    <i>
      <x v="4"/>
    </i>
    <i t="grand">
      <x/>
    </i>
  </rowItems>
  <colItems count="1">
    <i/>
  </colItems>
  <dataFields count="1">
    <dataField name="計數 - 單位代號"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樞紐分析表1" cacheId="153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O2:P11" firstHeaderRow="1" firstDataRow="1" firstDataCol="1"/>
  <pivotFields count="5">
    <pivotField dataField="1" showAll="0"/>
    <pivotField showAll="0"/>
    <pivotField showAll="0"/>
    <pivotField axis="axisRow" showAll="0">
      <items count="9">
        <item x="0"/>
        <item x="2"/>
        <item x="1"/>
        <item x="3"/>
        <item x="4"/>
        <item x="5"/>
        <item x="7"/>
        <item x="6"/>
        <item t="default"/>
      </items>
    </pivotField>
    <pivotField showAll="0"/>
  </pivotFields>
  <rowFields count="1">
    <field x="3"/>
  </rowFields>
  <rowItems count="9">
    <i>
      <x/>
    </i>
    <i>
      <x v="1"/>
    </i>
    <i>
      <x v="2"/>
    </i>
    <i>
      <x v="3"/>
    </i>
    <i>
      <x v="4"/>
    </i>
    <i>
      <x v="5"/>
    </i>
    <i>
      <x v="6"/>
    </i>
    <i>
      <x v="7"/>
    </i>
    <i t="grand">
      <x/>
    </i>
  </rowItems>
  <colItems count="1">
    <i/>
  </colItems>
  <dataFields count="1">
    <dataField name="計數 - 分行代號" fld="0" subtotal="count" baseField="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83ACD2-50EB-4F26-B875-0FC7CB0118BC}" name="樞紐分析表27" cacheId="1619"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M2:Q7" firstHeaderRow="0" firstDataRow="1" firstDataCol="1"/>
  <pivotFields count="28">
    <pivotField axis="axisRow" showAll="0">
      <items count="5">
        <item x="0"/>
        <item x="3"/>
        <item x="2"/>
        <item x="1"/>
        <item t="default"/>
      </items>
    </pivotField>
    <pivotField numFmtId="180" showAll="0"/>
    <pivotField showAll="0"/>
    <pivotField dataField="1" numFmtId="180" showAll="0"/>
    <pivotField showAll="0"/>
    <pivotField numFmtId="180" showAll="0"/>
    <pivotField numFmtId="176" showAll="0"/>
    <pivotField numFmtId="176" showAll="0"/>
    <pivotField numFmtId="176" showAll="0"/>
    <pivotField numFmtId="9" showAll="0"/>
    <pivotField numFmtId="9" showAll="0"/>
    <pivotField showAll="0"/>
    <pivotField showAll="0"/>
    <pivotField numFmtId="176" showAll="0"/>
    <pivotField showAll="0"/>
    <pivotField showAll="0"/>
    <pivotField dataField="1" numFmtId="176" showAll="0"/>
    <pivotField numFmtId="186" showAll="0"/>
    <pivotField numFmtId="176" showAll="0"/>
    <pivotField numFmtId="176" showAll="0"/>
    <pivotField numFmtId="176" showAll="0"/>
    <pivotField numFmtId="176" showAll="0"/>
    <pivotField numFmtId="176" showAll="0"/>
    <pivotField showAll="0"/>
    <pivotField dataField="1" numFmtId="176" showAll="0"/>
    <pivotField dataField="1" numFmtId="185" showAll="0"/>
    <pivotField numFmtId="178" showAll="0"/>
    <pivotField numFmtId="178" showAll="0"/>
  </pivotFields>
  <rowFields count="1">
    <field x="0"/>
  </rowFields>
  <rowItems count="5">
    <i>
      <x/>
    </i>
    <i>
      <x v="1"/>
    </i>
    <i>
      <x v="2"/>
    </i>
    <i>
      <x v="3"/>
    </i>
    <i t="grand">
      <x/>
    </i>
  </rowItems>
  <colFields count="1">
    <field x="-2"/>
  </colFields>
  <colItems count="4">
    <i>
      <x/>
    </i>
    <i i="1">
      <x v="1"/>
    </i>
    <i i="2">
      <x v="2"/>
    </i>
    <i i="3">
      <x v="3"/>
    </i>
  </colItems>
  <dataFields count="4">
    <dataField name="計數 - 單位" fld="3" subtotal="count" baseField="0" baseItem="0"/>
    <dataField name="加總 - 116年成長目標_x000a_調整規則_x000a_計算目標數" fld="16" baseField="0" baseItem="0" numFmtId="176"/>
    <dataField name="加總 - 116年綜合指標_x000a_目標數合計_x000a_(以萬元為單位)" fld="24" baseField="0" baseItem="0" numFmtId="176"/>
    <dataField name="加總 - 116年目標合計_x000a_(以萬元為單位)" fld="25" baseField="0" baseItem="0" numFmtId="185"/>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4">
            <x v="0"/>
            <x v="1"/>
            <x v="2"/>
            <x v="3"/>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500-000001000000}" name="樞紐分析表2" cacheId="1532"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location ref="P3:T189" firstHeaderRow="0" firstDataRow="1" firstDataCol="1"/>
  <pivotFields count="7">
    <pivotField axis="axisRow" showAll="0" sortType="ascending">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185"/>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showAll="0"/>
    <pivotField showAll="0"/>
    <pivotField dataField="1" numFmtId="4" showAll="0"/>
    <pivotField dataField="1" numFmtId="4" showAll="0"/>
    <pivotField dataField="1" showAll="0"/>
    <pivotField dataField="1" numFmtId="4" showAll="0"/>
  </pivotFields>
  <rowFields count="1">
    <field x="0"/>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Fields count="1">
    <field x="-2"/>
  </colFields>
  <colItems count="4">
    <i>
      <x/>
    </i>
    <i i="1">
      <x v="1"/>
    </i>
    <i i="2">
      <x v="2"/>
    </i>
    <i i="3">
      <x v="3"/>
    </i>
  </colItems>
  <dataFields count="4">
    <dataField name="加總 - 傳統型保險躉繳" fld="3" baseField="0" baseItem="0"/>
    <dataField name="加總 - 傳統型分期繳" fld="4" baseField="0" baseItem="0"/>
    <dataField name="加總 - 投資型躉繳" fld="5" baseField="0" baseItem="0"/>
    <dataField name="加總 - 投資型分期繳"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500-000000000000}" name="樞紐分析表1" cacheId="1533"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location ref="L3:M189" firstHeaderRow="1" firstDataRow="1" firstDataCol="1"/>
  <pivotFields count="4">
    <pivotField axis="axisRow" showAll="0" sortType="ascending">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185"/>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showAll="0"/>
    <pivotField showAll="0"/>
    <pivotField dataField="1" numFmtId="4" showAll="0"/>
  </pivotFields>
  <rowFields count="1">
    <field x="0"/>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加總 - 基金餘額"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500-000002000000}" name="樞紐分析表3" cacheId="1531"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location ref="X3:Y189" firstHeaderRow="1" firstDataRow="1" firstDataCol="1"/>
  <pivotFields count="4">
    <pivotField axis="axisRow" showAll="0">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185"/>
        <item x="84"/>
        <item x="85"/>
        <item x="86"/>
        <item x="87"/>
        <item x="88"/>
        <item x="89"/>
        <item x="90"/>
        <item x="91"/>
        <item x="92"/>
        <item x="93"/>
        <item x="94"/>
        <item x="95"/>
        <item x="96"/>
        <item x="97"/>
        <item x="98"/>
        <item x="99"/>
        <item x="100"/>
        <item x="101"/>
        <item x="102"/>
        <item x="103"/>
        <item x="104"/>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05"/>
        <item t="default"/>
      </items>
    </pivotField>
    <pivotField showAll="0"/>
    <pivotField showAll="0"/>
    <pivotField dataField="1" numFmtId="4" showAll="0"/>
  </pivotFields>
  <rowFields count="1">
    <field x="0"/>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加總 - 外國債券餘額"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77F9-78CE-42DB-8A59-4692F64B742E}">
  <dimension ref="A1:I10"/>
  <sheetViews>
    <sheetView zoomScale="145" zoomScaleNormal="145" workbookViewId="0">
      <selection activeCell="C6" sqref="C6"/>
    </sheetView>
  </sheetViews>
  <sheetFormatPr defaultRowHeight="16.5"/>
  <cols>
    <col min="1" max="1" width="9" style="439"/>
    <col min="2" max="2" width="26.625" style="439" bestFit="1" customWidth="1"/>
    <col min="3" max="3" width="28.625" style="439" bestFit="1" customWidth="1"/>
    <col min="4" max="4" width="25.625" style="439" bestFit="1" customWidth="1"/>
    <col min="5" max="5" width="19.25" style="439" customWidth="1"/>
    <col min="6" max="7" width="13.25" style="439" customWidth="1"/>
    <col min="8" max="16384" width="9" style="442"/>
  </cols>
  <sheetData>
    <row r="1" spans="1:9" ht="19.5" thickBot="1">
      <c r="B1" s="440" t="s">
        <v>2004</v>
      </c>
      <c r="C1" s="441" t="s">
        <v>2005</v>
      </c>
      <c r="D1" s="441" t="s">
        <v>2006</v>
      </c>
      <c r="E1" s="440" t="s">
        <v>2004</v>
      </c>
      <c r="F1" s="439" t="s">
        <v>2007</v>
      </c>
      <c r="G1" s="439" t="s">
        <v>2008</v>
      </c>
    </row>
    <row r="2" spans="1:9" ht="19.5" thickBot="1">
      <c r="A2" s="439" t="str">
        <f>_xlfn.CONCAT("TYPE_", I2)</f>
        <v>TYPE_9</v>
      </c>
      <c r="B2" s="443" t="s">
        <v>2009</v>
      </c>
      <c r="C2" s="444" t="s">
        <v>2010</v>
      </c>
      <c r="D2" s="444" t="s">
        <v>2028</v>
      </c>
      <c r="E2" s="439">
        <v>0</v>
      </c>
      <c r="F2" s="439">
        <v>1</v>
      </c>
      <c r="G2" s="439">
        <v>1.1499999999999999</v>
      </c>
      <c r="H2" s="442">
        <v>1</v>
      </c>
      <c r="I2" s="442">
        <v>9</v>
      </c>
    </row>
    <row r="3" spans="1:9" ht="19.5" thickBot="1">
      <c r="A3" s="439" t="str">
        <f t="shared" ref="A3:A10" si="0">_xlfn.CONCAT("TYPE_", I3)</f>
        <v>TYPE_8</v>
      </c>
      <c r="B3" s="443" t="s">
        <v>2011</v>
      </c>
      <c r="C3" s="444" t="s">
        <v>2012</v>
      </c>
      <c r="D3" s="444" t="s">
        <v>2029</v>
      </c>
      <c r="E3" s="439">
        <v>0.75</v>
      </c>
      <c r="F3" s="439">
        <v>1</v>
      </c>
      <c r="G3" s="439">
        <v>1.1000000000000001</v>
      </c>
      <c r="H3" s="442">
        <v>2</v>
      </c>
      <c r="I3" s="442">
        <v>8</v>
      </c>
    </row>
    <row r="4" spans="1:9" ht="19.5" thickBot="1">
      <c r="A4" s="439" t="str">
        <f t="shared" si="0"/>
        <v>TYPE_7</v>
      </c>
      <c r="B4" s="443" t="s">
        <v>2013</v>
      </c>
      <c r="C4" s="444" t="s">
        <v>2014</v>
      </c>
      <c r="D4" s="444" t="s">
        <v>2030</v>
      </c>
      <c r="E4" s="439">
        <v>0.9</v>
      </c>
      <c r="F4" s="439">
        <v>1</v>
      </c>
      <c r="G4" s="439">
        <v>1.05</v>
      </c>
      <c r="H4" s="442">
        <v>3</v>
      </c>
      <c r="I4" s="442">
        <v>7</v>
      </c>
    </row>
    <row r="5" spans="1:9" ht="19.5" thickBot="1">
      <c r="A5" s="439" t="str">
        <f t="shared" si="0"/>
        <v>TYPE_6</v>
      </c>
      <c r="B5" s="443" t="s">
        <v>2015</v>
      </c>
      <c r="C5" s="444" t="s">
        <v>2016</v>
      </c>
      <c r="D5" s="444" t="s">
        <v>2031</v>
      </c>
      <c r="E5" s="439">
        <v>1</v>
      </c>
      <c r="F5" s="439">
        <v>1.05</v>
      </c>
      <c r="G5" s="439">
        <v>1</v>
      </c>
      <c r="H5" s="442">
        <v>4</v>
      </c>
      <c r="I5" s="442">
        <v>6</v>
      </c>
    </row>
    <row r="6" spans="1:9" ht="19.5" thickBot="1">
      <c r="A6" s="439" t="str">
        <f t="shared" si="0"/>
        <v>TYPE_5</v>
      </c>
      <c r="B6" s="443" t="s">
        <v>2017</v>
      </c>
      <c r="C6" s="444" t="s">
        <v>2018</v>
      </c>
      <c r="D6" s="444" t="s">
        <v>2032</v>
      </c>
      <c r="E6" s="439">
        <v>1.1000000000000001</v>
      </c>
      <c r="F6" s="439">
        <v>1.03</v>
      </c>
      <c r="G6" s="439">
        <v>1</v>
      </c>
      <c r="H6" s="442">
        <v>5</v>
      </c>
      <c r="I6" s="442">
        <v>5</v>
      </c>
    </row>
    <row r="7" spans="1:9" ht="19.5" thickBot="1">
      <c r="A7" s="439" t="str">
        <f t="shared" si="0"/>
        <v>TYPE_4</v>
      </c>
      <c r="B7" s="443" t="s">
        <v>2019</v>
      </c>
      <c r="C7" s="444" t="s">
        <v>2020</v>
      </c>
      <c r="D7" s="444" t="s">
        <v>2033</v>
      </c>
      <c r="E7" s="439">
        <v>1.2</v>
      </c>
      <c r="F7" s="439">
        <v>1.01</v>
      </c>
      <c r="G7" s="439">
        <v>1</v>
      </c>
      <c r="H7" s="442">
        <v>6</v>
      </c>
      <c r="I7" s="442">
        <v>4</v>
      </c>
    </row>
    <row r="8" spans="1:9" ht="19.5" thickBot="1">
      <c r="A8" s="439" t="str">
        <f t="shared" si="0"/>
        <v>TYPE_3</v>
      </c>
      <c r="B8" s="443" t="s">
        <v>2021</v>
      </c>
      <c r="C8" s="444" t="s">
        <v>2022</v>
      </c>
      <c r="D8" s="444" t="s">
        <v>2034</v>
      </c>
      <c r="E8" s="439">
        <v>1.3</v>
      </c>
      <c r="F8" s="439">
        <v>0.9</v>
      </c>
      <c r="G8" s="439">
        <v>1</v>
      </c>
      <c r="H8" s="442">
        <v>7</v>
      </c>
      <c r="I8" s="442">
        <v>3</v>
      </c>
    </row>
    <row r="9" spans="1:9" ht="19.5" thickBot="1">
      <c r="A9" s="439" t="str">
        <f t="shared" si="0"/>
        <v>TYPE_2</v>
      </c>
      <c r="B9" s="443" t="s">
        <v>2023</v>
      </c>
      <c r="C9" s="444" t="s">
        <v>2024</v>
      </c>
      <c r="D9" s="444" t="s">
        <v>2035</v>
      </c>
      <c r="E9" s="439">
        <v>1.5</v>
      </c>
      <c r="F9" s="439">
        <v>0.8</v>
      </c>
      <c r="G9" s="439">
        <v>1</v>
      </c>
      <c r="H9" s="442">
        <v>8</v>
      </c>
      <c r="I9" s="442">
        <v>2</v>
      </c>
    </row>
    <row r="10" spans="1:9" ht="19.5" thickBot="1">
      <c r="A10" s="439" t="str">
        <f t="shared" si="0"/>
        <v>TYPE_1</v>
      </c>
      <c r="B10" s="443" t="s">
        <v>2025</v>
      </c>
      <c r="C10" s="444" t="s">
        <v>2026</v>
      </c>
      <c r="D10" s="444" t="s">
        <v>2036</v>
      </c>
      <c r="E10" s="439">
        <v>2</v>
      </c>
      <c r="F10" s="439">
        <v>0.7</v>
      </c>
      <c r="G10" s="439">
        <v>1</v>
      </c>
      <c r="H10" s="442">
        <v>9</v>
      </c>
      <c r="I10" s="442">
        <v>1</v>
      </c>
    </row>
  </sheetData>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189"/>
  <sheetViews>
    <sheetView view="pageBreakPreview" zoomScaleNormal="100" zoomScaleSheetLayoutView="100" workbookViewId="0">
      <selection activeCell="H5" sqref="H5"/>
    </sheetView>
  </sheetViews>
  <sheetFormatPr defaultColWidth="9" defaultRowHeight="16.5"/>
  <cols>
    <col min="1" max="1" width="6.875" style="45" bestFit="1" customWidth="1"/>
    <col min="2" max="2" width="11.875" style="45" bestFit="1" customWidth="1"/>
    <col min="3" max="3" width="12" style="45" bestFit="1" customWidth="1"/>
    <col min="4" max="4" width="20.25" style="45" bestFit="1" customWidth="1"/>
    <col min="5" max="6" width="23" style="45" bestFit="1" customWidth="1"/>
    <col min="7" max="7" width="19" style="45" customWidth="1"/>
    <col min="8" max="8" width="28.5" style="45" bestFit="1" customWidth="1"/>
    <col min="9" max="9" width="21.625" style="45" bestFit="1" customWidth="1"/>
    <col min="10" max="10" width="25.25" style="45" bestFit="1" customWidth="1"/>
    <col min="11" max="11" width="25.25" style="45" customWidth="1"/>
    <col min="12" max="12" width="26" style="45" bestFit="1" customWidth="1"/>
    <col min="13" max="13" width="25.25" style="45" bestFit="1" customWidth="1"/>
    <col min="14" max="14" width="21.625" style="45" customWidth="1"/>
    <col min="15" max="15" width="25.25" style="46" bestFit="1" customWidth="1"/>
    <col min="16" max="17" width="21.625" style="45" customWidth="1"/>
    <col min="18" max="18" width="16.375" style="293" customWidth="1"/>
    <col min="19" max="20" width="16.375" style="358" customWidth="1"/>
    <col min="21" max="21" width="21.75" style="45" bestFit="1" customWidth="1"/>
    <col min="22" max="22" width="25.25" style="45" bestFit="1" customWidth="1"/>
    <col min="23" max="23" width="20.125" style="45" customWidth="1"/>
    <col min="24" max="16384" width="9" style="45"/>
  </cols>
  <sheetData>
    <row r="1" spans="1:24" ht="25.5" customHeight="1">
      <c r="A1" s="519" t="s">
        <v>1896</v>
      </c>
      <c r="B1" s="519"/>
      <c r="C1" s="519"/>
      <c r="D1" s="519"/>
      <c r="E1" s="519"/>
      <c r="F1" s="519"/>
      <c r="G1" s="519"/>
      <c r="H1" s="519"/>
      <c r="I1" s="519"/>
      <c r="J1" s="519"/>
      <c r="K1" s="519"/>
      <c r="L1" s="519"/>
      <c r="M1" s="519"/>
      <c r="N1" s="519"/>
      <c r="O1" s="519"/>
      <c r="P1" s="519"/>
      <c r="Q1" s="519"/>
      <c r="R1" s="519"/>
      <c r="S1" s="519"/>
      <c r="T1" s="519"/>
      <c r="U1" s="519"/>
      <c r="V1" s="352"/>
    </row>
    <row r="2" spans="1:24" ht="29.25" customHeight="1">
      <c r="O2" s="118"/>
      <c r="T2" s="118" t="s">
        <v>404</v>
      </c>
    </row>
    <row r="3" spans="1:24" ht="58.5">
      <c r="A3" s="520" t="s">
        <v>1846</v>
      </c>
      <c r="B3" s="520" t="s">
        <v>414</v>
      </c>
      <c r="C3" s="522" t="s">
        <v>421</v>
      </c>
      <c r="D3" s="524" t="s">
        <v>129</v>
      </c>
      <c r="E3" s="53" t="s">
        <v>2038</v>
      </c>
      <c r="F3" s="53" t="s">
        <v>1851</v>
      </c>
      <c r="G3" s="53" t="s">
        <v>2002</v>
      </c>
      <c r="H3" s="53" t="s">
        <v>2003</v>
      </c>
      <c r="I3" s="53" t="s">
        <v>2027</v>
      </c>
      <c r="J3" s="53" t="s">
        <v>2037</v>
      </c>
      <c r="K3" s="53" t="s">
        <v>2003</v>
      </c>
      <c r="L3" s="53" t="s">
        <v>2039</v>
      </c>
      <c r="M3" s="53" t="s">
        <v>1866</v>
      </c>
      <c r="N3" s="53" t="s">
        <v>1867</v>
      </c>
      <c r="O3" s="361" t="s">
        <v>1851</v>
      </c>
      <c r="P3" s="54" t="s">
        <v>1852</v>
      </c>
      <c r="Q3" s="54" t="s">
        <v>1855</v>
      </c>
      <c r="R3" s="360" t="s">
        <v>1856</v>
      </c>
      <c r="S3" s="353" t="s">
        <v>1853</v>
      </c>
      <c r="T3" s="353" t="s">
        <v>1854</v>
      </c>
      <c r="U3" s="353" t="s">
        <v>1858</v>
      </c>
      <c r="V3" s="361" t="s">
        <v>1874</v>
      </c>
      <c r="W3" s="393" t="s">
        <v>1873</v>
      </c>
    </row>
    <row r="4" spans="1:24" ht="24.75" customHeight="1">
      <c r="A4" s="521"/>
      <c r="B4" s="521"/>
      <c r="C4" s="523"/>
      <c r="D4" s="525"/>
      <c r="E4" s="53" t="s">
        <v>397</v>
      </c>
      <c r="F4" s="53" t="s">
        <v>398</v>
      </c>
      <c r="G4" s="53" t="s">
        <v>407</v>
      </c>
      <c r="H4" s="53" t="s">
        <v>438</v>
      </c>
      <c r="I4" s="53" t="s">
        <v>442</v>
      </c>
      <c r="J4" s="53" t="s">
        <v>630</v>
      </c>
      <c r="K4" s="53" t="s">
        <v>438</v>
      </c>
      <c r="L4" s="53" t="s">
        <v>407</v>
      </c>
      <c r="M4" s="53" t="s">
        <v>438</v>
      </c>
      <c r="N4" s="53" t="s">
        <v>442</v>
      </c>
      <c r="O4" s="361" t="s">
        <v>1868</v>
      </c>
      <c r="P4" s="54" t="s">
        <v>631</v>
      </c>
      <c r="Q4" s="54" t="s">
        <v>632</v>
      </c>
      <c r="R4" s="360" t="s">
        <v>633</v>
      </c>
      <c r="S4" s="353" t="s">
        <v>1869</v>
      </c>
      <c r="T4" s="353" t="s">
        <v>1870</v>
      </c>
      <c r="U4" s="353" t="s">
        <v>1872</v>
      </c>
      <c r="V4" s="361" t="s">
        <v>1875</v>
      </c>
      <c r="W4" s="353" t="s">
        <v>1876</v>
      </c>
    </row>
    <row r="5" spans="1:24" ht="18.75" customHeight="1">
      <c r="A5" s="56">
        <v>1</v>
      </c>
      <c r="B5" s="55" t="s">
        <v>0</v>
      </c>
      <c r="C5" s="56">
        <v>100</v>
      </c>
      <c r="D5" s="55" t="s">
        <v>131</v>
      </c>
      <c r="E5" s="55">
        <f>VLOOKUP(C5,'115_分行業績'!A:J,8,0)</f>
        <v>151815331</v>
      </c>
      <c r="F5" s="55">
        <f>VLOOKUP(C5,'115_分行業績'!A:J,9,0)</f>
        <v>103860000</v>
      </c>
      <c r="G5" s="427">
        <f>VLOOKUP(C5, '115_分行業績'!A:G,7,0)</f>
        <v>1.4617305140204044</v>
      </c>
      <c r="H5" s="55" t="str">
        <f>VLOOKUP(X5,原始參數_115!A:D,2,0)</f>
        <v>130%以上，未達150%</v>
      </c>
      <c r="I5" s="55" t="str">
        <f>VLOOKUP(X5,原始參數_115!A:D,4,0)</f>
        <v>預估實績*90%</v>
      </c>
      <c r="J5" s="55">
        <f>VLOOKUP(C5,'115_分行業績'!A:N,14,0)</f>
        <v>136630000</v>
      </c>
      <c r="K5" s="55"/>
      <c r="L5" s="396">
        <f>IF(J5 = M5, "-", M5)</f>
        <v>2995449</v>
      </c>
      <c r="M5" s="55">
        <f>O5-N5</f>
        <v>2995449</v>
      </c>
      <c r="N5" s="55">
        <f>VLOOKUP(C5,'116目標底稿ver1'!D:AC, 19,0)</f>
        <v>1154551</v>
      </c>
      <c r="O5" s="362">
        <f>VLOOKUP(C5,'116目標底稿ver1'!D:AC, 22, 0)</f>
        <v>4150000</v>
      </c>
      <c r="P5" s="115">
        <v>78160000</v>
      </c>
      <c r="Q5" s="115">
        <v>96927210</v>
      </c>
      <c r="R5" s="375">
        <f>ROUND(Q5/P5, 2)</f>
        <v>1.24</v>
      </c>
      <c r="S5" s="356">
        <f>O5/P5-1</f>
        <v>-0.94690378710337764</v>
      </c>
      <c r="T5" s="356">
        <f>O5/Q5-1</f>
        <v>-0.9571843654635267</v>
      </c>
      <c r="U5" s="115">
        <f>O5*0.55</f>
        <v>2282500</v>
      </c>
      <c r="V5" s="362">
        <v>103560000</v>
      </c>
      <c r="W5" s="394">
        <f>O5-V5</f>
        <v>-99410000</v>
      </c>
      <c r="X5" s="45" t="str">
        <f>IF(G5&gt;=2, "TYPE_1", IF(G5&gt;=1.5, "TYPE_2", IF(G5&gt;=1.3, "TYPE_3", IF(G5&gt;=1.2, "TYPE_4", IF(G5 &gt;=1.1, "TYPE_5", IF(G5&gt;=1, "TYPE_6", IF(G5&gt;=0.9, "TYPE_7", IF(G5&gt;= 0.75, "TYPE_8", "TYPE_9"))))))))</f>
        <v>TYPE_3</v>
      </c>
    </row>
    <row r="6" spans="1:24" ht="18.75" customHeight="1">
      <c r="A6" s="56">
        <v>2</v>
      </c>
      <c r="B6" s="55" t="s">
        <v>0</v>
      </c>
      <c r="C6" s="56">
        <v>101</v>
      </c>
      <c r="D6" s="55" t="s">
        <v>132</v>
      </c>
      <c r="E6" s="55">
        <f>VLOOKUP(C6,'115_分行業績'!A:J,8,0)</f>
        <v>24773020</v>
      </c>
      <c r="F6" s="55">
        <f>VLOOKUP(C6,'115_分行業績'!A:J,9,0)</f>
        <v>36030000</v>
      </c>
      <c r="G6" s="427">
        <f>VLOOKUP(C6, '115_分行業績'!A:G,7,0)</f>
        <v>0.68756647137619853</v>
      </c>
      <c r="H6" s="55" t="str">
        <f>VLOOKUP(X6,原始參數_115!A:D,2,0)</f>
        <v>未達75%</v>
      </c>
      <c r="I6" s="55" t="str">
        <f>VLOOKUP(X6,原始參數_115!A:D,4,0)</f>
        <v>分行目標*115%</v>
      </c>
      <c r="J6" s="55">
        <f>VLOOKUP(C6,'115_分行業績'!A:N,14,0)</f>
        <v>41430000</v>
      </c>
      <c r="K6" s="55"/>
      <c r="L6" s="396">
        <f t="shared" ref="L6:L69" si="0">IF(J6 = M6, "-", M6)</f>
        <v>1112724</v>
      </c>
      <c r="M6" s="55">
        <f t="shared" ref="M6:M69" si="1">O6-N6</f>
        <v>1112724</v>
      </c>
      <c r="N6" s="55">
        <f>VLOOKUP(C6,'116目標底稿ver1'!D:AC, 19,0)</f>
        <v>577276</v>
      </c>
      <c r="O6" s="362">
        <f>VLOOKUP(C6,'116目標底稿ver1'!D:AC, 22, 0)</f>
        <v>1690000</v>
      </c>
      <c r="P6" s="115">
        <v>29230000</v>
      </c>
      <c r="Q6" s="115">
        <v>19689586</v>
      </c>
      <c r="R6" s="375">
        <f t="shared" ref="R6:R69" si="2">ROUND(Q6/P6, 2)</f>
        <v>0.67</v>
      </c>
      <c r="S6" s="356">
        <f t="shared" ref="S6:S69" si="3">O6/P6-1</f>
        <v>-0.94218268901813207</v>
      </c>
      <c r="T6" s="356">
        <f t="shared" ref="T6:T69" si="4">O6/Q6-1</f>
        <v>-0.91416782455456402</v>
      </c>
      <c r="U6" s="115">
        <f>O6*0.55</f>
        <v>929500.00000000012</v>
      </c>
      <c r="V6" s="362">
        <v>35820000</v>
      </c>
      <c r="W6" s="394">
        <f t="shared" ref="W6:W69" si="5">O6-V6</f>
        <v>-34130000</v>
      </c>
      <c r="X6" s="45" t="str">
        <f t="shared" ref="X6:X69" si="6">IF(G6&gt;=2, "TYPE_1", IF(G6&gt;=1.5, "TYPE_2", IF(G6&gt;=1.3, "TYPE_3", IF(G6&gt;=1.2, "TYPE_4", IF(G6 &gt;=1.1, "TYPE_5", IF(G6&gt;=1, "TYPE_6", IF(G6&gt;=0.9, "TYPE_7", IF(G6&gt;= 0.75, "TYPE_8", "TYPE_9"))))))))</f>
        <v>TYPE_9</v>
      </c>
    </row>
    <row r="7" spans="1:24" ht="18.75" customHeight="1">
      <c r="A7" s="56">
        <v>3</v>
      </c>
      <c r="B7" s="55" t="s">
        <v>0</v>
      </c>
      <c r="C7" s="56">
        <v>103</v>
      </c>
      <c r="D7" s="55" t="s">
        <v>133</v>
      </c>
      <c r="E7" s="55">
        <f>VLOOKUP(C7,'115_分行業績'!A:J,8,0)</f>
        <v>43030534</v>
      </c>
      <c r="F7" s="55">
        <f>VLOOKUP(C7,'115_分行業績'!A:J,9,0)</f>
        <v>44220000</v>
      </c>
      <c r="G7" s="427">
        <f>VLOOKUP(C7, '115_分行業績'!A:G,7,0)</f>
        <v>0.97310117739898983</v>
      </c>
      <c r="H7" s="55" t="str">
        <f>VLOOKUP(X7,原始參數_115!A:D,2,0)</f>
        <v>90%以上，未達100%</v>
      </c>
      <c r="I7" s="55" t="str">
        <f>VLOOKUP(X7,原始參數_115!A:D,4,0)</f>
        <v>分行目標*105%</v>
      </c>
      <c r="J7" s="55">
        <f>VLOOKUP(C7,'115_分行業績'!A:N,14,0)</f>
        <v>46430000</v>
      </c>
      <c r="K7" s="55"/>
      <c r="L7" s="396">
        <f t="shared" si="0"/>
        <v>1142630</v>
      </c>
      <c r="M7" s="55">
        <f t="shared" si="1"/>
        <v>1142630</v>
      </c>
      <c r="N7" s="55">
        <f>VLOOKUP(C7,'116目標底稿ver1'!D:AC, 19,0)</f>
        <v>557370</v>
      </c>
      <c r="O7" s="362">
        <f>VLOOKUP(C7,'116目標底稿ver1'!D:AC, 22, 0)</f>
        <v>1700000</v>
      </c>
      <c r="P7" s="115">
        <v>39690000</v>
      </c>
      <c r="Q7" s="115">
        <v>35669507</v>
      </c>
      <c r="R7" s="375">
        <f t="shared" si="2"/>
        <v>0.9</v>
      </c>
      <c r="S7" s="356">
        <f t="shared" si="3"/>
        <v>-0.95716805240614766</v>
      </c>
      <c r="T7" s="356">
        <f t="shared" si="4"/>
        <v>-0.95234024400729733</v>
      </c>
      <c r="U7" s="115">
        <f t="shared" ref="U7:U70" si="7">O7*0.55</f>
        <v>935000.00000000012</v>
      </c>
      <c r="V7" s="362">
        <v>44100000</v>
      </c>
      <c r="W7" s="394">
        <f t="shared" si="5"/>
        <v>-42400000</v>
      </c>
      <c r="X7" s="45" t="str">
        <f t="shared" si="6"/>
        <v>TYPE_7</v>
      </c>
    </row>
    <row r="8" spans="1:24" ht="18.75" customHeight="1">
      <c r="A8" s="56">
        <v>4</v>
      </c>
      <c r="B8" s="55" t="s">
        <v>0</v>
      </c>
      <c r="C8" s="56">
        <v>104</v>
      </c>
      <c r="D8" s="55" t="s">
        <v>134</v>
      </c>
      <c r="E8" s="55">
        <f>VLOOKUP(C8,'115_分行業績'!A:J,8,0)</f>
        <v>100530724</v>
      </c>
      <c r="F8" s="55">
        <f>VLOOKUP(C8,'115_分行業績'!A:J,9,0)</f>
        <v>75640000</v>
      </c>
      <c r="G8" s="427">
        <f>VLOOKUP(C8, '115_分行業績'!A:G,7,0)</f>
        <v>1.3290682707763555</v>
      </c>
      <c r="H8" s="55" t="str">
        <f>VLOOKUP(X8,原始參數_115!A:D,2,0)</f>
        <v>130%以上，未達150%</v>
      </c>
      <c r="I8" s="55" t="str">
        <f>VLOOKUP(X8,原始參數_115!A:D,4,0)</f>
        <v>預估實績*90%</v>
      </c>
      <c r="J8" s="55">
        <f>VLOOKUP(C8,'115_分行業績'!A:N,14,0)</f>
        <v>90480000</v>
      </c>
      <c r="K8" s="55"/>
      <c r="L8" s="396">
        <f t="shared" si="0"/>
        <v>2222818</v>
      </c>
      <c r="M8" s="55">
        <f t="shared" si="1"/>
        <v>2222818</v>
      </c>
      <c r="N8" s="55">
        <f>VLOOKUP(C8,'116目標底稿ver1'!D:AC, 19,0)</f>
        <v>597182</v>
      </c>
      <c r="O8" s="362">
        <f>VLOOKUP(C8,'116目標底稿ver1'!D:AC, 22, 0)</f>
        <v>2820000</v>
      </c>
      <c r="P8" s="115">
        <v>64940000</v>
      </c>
      <c r="Q8" s="115">
        <v>54762070</v>
      </c>
      <c r="R8" s="375">
        <f t="shared" si="2"/>
        <v>0.84</v>
      </c>
      <c r="S8" s="356">
        <f t="shared" si="3"/>
        <v>-0.95657530027717896</v>
      </c>
      <c r="T8" s="356">
        <f t="shared" si="4"/>
        <v>-0.94850450320815116</v>
      </c>
      <c r="U8" s="115">
        <f t="shared" si="7"/>
        <v>1551000.0000000002</v>
      </c>
      <c r="V8" s="362">
        <v>75400000</v>
      </c>
      <c r="W8" s="394">
        <f t="shared" si="5"/>
        <v>-72580000</v>
      </c>
      <c r="X8" s="45" t="str">
        <f t="shared" si="6"/>
        <v>TYPE_3</v>
      </c>
    </row>
    <row r="9" spans="1:24" ht="18.75" customHeight="1">
      <c r="A9" s="56">
        <v>5</v>
      </c>
      <c r="B9" s="55" t="s">
        <v>0</v>
      </c>
      <c r="C9" s="56">
        <v>105</v>
      </c>
      <c r="D9" s="55" t="s">
        <v>135</v>
      </c>
      <c r="E9" s="55">
        <f>VLOOKUP(C9,'115_分行業績'!A:J,8,0)</f>
        <v>29760269</v>
      </c>
      <c r="F9" s="55">
        <f>VLOOKUP(C9,'115_分行業績'!A:J,9,0)</f>
        <v>57000000</v>
      </c>
      <c r="G9" s="427">
        <f>VLOOKUP(C9, '115_分行業績'!A:G,7,0)</f>
        <v>0.52210997753308863</v>
      </c>
      <c r="H9" s="55" t="str">
        <f>VLOOKUP(X9,原始參數_115!A:D,2,0)</f>
        <v>未達75%</v>
      </c>
      <c r="I9" s="55" t="str">
        <f>VLOOKUP(X9,原始參數_115!A:D,4,0)</f>
        <v>分行目標*115%</v>
      </c>
      <c r="J9" s="55">
        <f>VLOOKUP(C9,'115_分行業績'!A:N,14,0)</f>
        <v>65550000</v>
      </c>
      <c r="K9" s="55"/>
      <c r="L9" s="396">
        <f t="shared" si="0"/>
        <v>1633382</v>
      </c>
      <c r="M9" s="55">
        <f t="shared" si="1"/>
        <v>1633382</v>
      </c>
      <c r="N9" s="55">
        <f>VLOOKUP(C9,'116目標底稿ver1'!D:AC, 19,0)</f>
        <v>716618</v>
      </c>
      <c r="O9" s="362">
        <f>VLOOKUP(C9,'116目標底稿ver1'!D:AC, 22, 0)</f>
        <v>2350000</v>
      </c>
      <c r="P9" s="115">
        <v>48860000</v>
      </c>
      <c r="Q9" s="115">
        <v>38310005</v>
      </c>
      <c r="R9" s="375">
        <f t="shared" si="2"/>
        <v>0.78</v>
      </c>
      <c r="S9" s="356">
        <f t="shared" si="3"/>
        <v>-0.9519033974621367</v>
      </c>
      <c r="T9" s="356">
        <f t="shared" si="4"/>
        <v>-0.93865832176216113</v>
      </c>
      <c r="U9" s="115">
        <f t="shared" si="7"/>
        <v>1292500</v>
      </c>
      <c r="V9" s="362">
        <v>56980000</v>
      </c>
      <c r="W9" s="394">
        <f t="shared" si="5"/>
        <v>-54630000</v>
      </c>
      <c r="X9" s="45" t="str">
        <f t="shared" si="6"/>
        <v>TYPE_9</v>
      </c>
    </row>
    <row r="10" spans="1:24" ht="18.75" customHeight="1">
      <c r="A10" s="56">
        <v>6</v>
      </c>
      <c r="B10" s="55" t="s">
        <v>0</v>
      </c>
      <c r="C10" s="56">
        <v>106</v>
      </c>
      <c r="D10" s="55" t="s">
        <v>136</v>
      </c>
      <c r="E10" s="55">
        <f>VLOOKUP(C10,'115_分行業績'!A:J,8,0)</f>
        <v>91410089</v>
      </c>
      <c r="F10" s="55">
        <f>VLOOKUP(C10,'115_分行業績'!A:J,9,0)</f>
        <v>99340000</v>
      </c>
      <c r="G10" s="427">
        <f>VLOOKUP(C10, '115_分行業績'!A:G,7,0)</f>
        <v>0.9201740356704825</v>
      </c>
      <c r="H10" s="55" t="str">
        <f>VLOOKUP(X10,原始參數_115!A:D,2,0)</f>
        <v>90%以上，未達100%</v>
      </c>
      <c r="I10" s="55" t="str">
        <f>VLOOKUP(X10,原始參數_115!A:D,4,0)</f>
        <v>分行目標*105%</v>
      </c>
      <c r="J10" s="55">
        <f>VLOOKUP(C10,'115_分行業績'!A:N,14,0)</f>
        <v>104310000</v>
      </c>
      <c r="K10" s="55"/>
      <c r="L10" s="396">
        <f t="shared" si="0"/>
        <v>2703946</v>
      </c>
      <c r="M10" s="55">
        <f t="shared" si="1"/>
        <v>2703946</v>
      </c>
      <c r="N10" s="55">
        <f>VLOOKUP(C10,'116目標底稿ver1'!D:AC, 19,0)</f>
        <v>836054</v>
      </c>
      <c r="O10" s="362">
        <f>VLOOKUP(C10,'116目標底稿ver1'!D:AC, 22, 0)</f>
        <v>3540000</v>
      </c>
      <c r="P10" s="115">
        <v>85510000</v>
      </c>
      <c r="Q10" s="115">
        <v>66866945</v>
      </c>
      <c r="R10" s="375">
        <f t="shared" si="2"/>
        <v>0.78</v>
      </c>
      <c r="S10" s="356">
        <f t="shared" si="3"/>
        <v>-0.95860133317740615</v>
      </c>
      <c r="T10" s="356">
        <f t="shared" si="4"/>
        <v>-0.94705904389680129</v>
      </c>
      <c r="U10" s="115">
        <f t="shared" si="7"/>
        <v>1947000.0000000002</v>
      </c>
      <c r="V10" s="362">
        <v>99040000</v>
      </c>
      <c r="W10" s="394">
        <f t="shared" si="5"/>
        <v>-95500000</v>
      </c>
      <c r="X10" s="45" t="str">
        <f t="shared" si="6"/>
        <v>TYPE_7</v>
      </c>
    </row>
    <row r="11" spans="1:24" ht="18.75" customHeight="1">
      <c r="A11" s="56">
        <v>7</v>
      </c>
      <c r="B11" s="55" t="s">
        <v>0</v>
      </c>
      <c r="C11" s="56">
        <v>107</v>
      </c>
      <c r="D11" s="55" t="s">
        <v>73</v>
      </c>
      <c r="E11" s="55">
        <f>VLOOKUP(C11,'115_分行業績'!A:J,8,0)</f>
        <v>142594489</v>
      </c>
      <c r="F11" s="55">
        <f>VLOOKUP(C11,'115_分行業績'!A:J,9,0)</f>
        <v>118090000</v>
      </c>
      <c r="G11" s="427">
        <f>VLOOKUP(C11, '115_分行業績'!A:G,7,0)</f>
        <v>1.2075068942137215</v>
      </c>
      <c r="H11" s="55" t="str">
        <f>VLOOKUP(X11,原始參數_115!A:D,2,0)</f>
        <v>120%以上，未達130%</v>
      </c>
      <c r="I11" s="55" t="str">
        <f>VLOOKUP(X11,原始參數_115!A:D,4,0)</f>
        <v>預估實績*101%</v>
      </c>
      <c r="J11" s="55">
        <f>VLOOKUP(C11,'115_分行業績'!A:N,14,0)</f>
        <v>144020000</v>
      </c>
      <c r="K11" s="55"/>
      <c r="L11" s="396">
        <f t="shared" si="0"/>
        <v>3544979</v>
      </c>
      <c r="M11" s="55">
        <f t="shared" si="1"/>
        <v>3544979</v>
      </c>
      <c r="N11" s="55">
        <f>VLOOKUP(C11,'116目標底稿ver1'!D:AC, 19,0)</f>
        <v>1055021</v>
      </c>
      <c r="O11" s="362">
        <f>VLOOKUP(C11,'116目標底稿ver1'!D:AC, 22, 0)</f>
        <v>4600000</v>
      </c>
      <c r="P11" s="115">
        <v>105180000</v>
      </c>
      <c r="Q11" s="115">
        <v>106107606</v>
      </c>
      <c r="R11" s="375">
        <f t="shared" si="2"/>
        <v>1.01</v>
      </c>
      <c r="S11" s="356">
        <f t="shared" si="3"/>
        <v>-0.95626544970526717</v>
      </c>
      <c r="T11" s="356">
        <f t="shared" si="4"/>
        <v>-0.95664778262926786</v>
      </c>
      <c r="U11" s="115">
        <f t="shared" si="7"/>
        <v>2530000</v>
      </c>
      <c r="V11" s="362">
        <v>117790000</v>
      </c>
      <c r="W11" s="394">
        <f t="shared" si="5"/>
        <v>-113190000</v>
      </c>
      <c r="X11" s="45" t="str">
        <f t="shared" si="6"/>
        <v>TYPE_4</v>
      </c>
    </row>
    <row r="12" spans="1:24" ht="18.75" customHeight="1">
      <c r="A12" s="56">
        <v>8</v>
      </c>
      <c r="B12" s="55" t="s">
        <v>0</v>
      </c>
      <c r="C12" s="56">
        <v>108</v>
      </c>
      <c r="D12" s="55" t="s">
        <v>1</v>
      </c>
      <c r="E12" s="55">
        <f>VLOOKUP(C12,'115_分行業績'!A:J,8,0)</f>
        <v>181181359</v>
      </c>
      <c r="F12" s="55">
        <f>VLOOKUP(C12,'115_分行業績'!A:J,9,0)</f>
        <v>129150000</v>
      </c>
      <c r="G12" s="427">
        <f>VLOOKUP(C12, '115_分行業績'!A:G,7,0)</f>
        <v>1.4028754110054682</v>
      </c>
      <c r="H12" s="55" t="str">
        <f>VLOOKUP(X12,原始參數_115!A:D,2,0)</f>
        <v>130%以上，未達150%</v>
      </c>
      <c r="I12" s="55" t="str">
        <f>VLOOKUP(X12,原始參數_115!A:D,4,0)</f>
        <v>預估實績*90%</v>
      </c>
      <c r="J12" s="55">
        <f>VLOOKUP(C12,'115_分行業績'!A:N,14,0)</f>
        <v>163060000</v>
      </c>
      <c r="K12" s="55"/>
      <c r="L12" s="396">
        <f t="shared" si="0"/>
        <v>2916858</v>
      </c>
      <c r="M12" s="55">
        <f t="shared" si="1"/>
        <v>2916858</v>
      </c>
      <c r="N12" s="55">
        <f>VLOOKUP(C12,'116目標底稿ver1'!D:AC, 19,0)</f>
        <v>1453142</v>
      </c>
      <c r="O12" s="362">
        <f>VLOOKUP(C12,'116目標底稿ver1'!D:AC, 22, 0)</f>
        <v>4370000</v>
      </c>
      <c r="P12" s="115">
        <v>115000000</v>
      </c>
      <c r="Q12" s="115">
        <v>80802504</v>
      </c>
      <c r="R12" s="375">
        <f t="shared" si="2"/>
        <v>0.7</v>
      </c>
      <c r="S12" s="356">
        <f t="shared" si="3"/>
        <v>-0.96199999999999997</v>
      </c>
      <c r="T12" s="356">
        <f t="shared" si="4"/>
        <v>-0.94591751760564247</v>
      </c>
      <c r="U12" s="115">
        <f t="shared" si="7"/>
        <v>2403500</v>
      </c>
      <c r="V12" s="362">
        <v>126000000</v>
      </c>
      <c r="W12" s="394">
        <f t="shared" si="5"/>
        <v>-121630000</v>
      </c>
      <c r="X12" s="45" t="str">
        <f t="shared" si="6"/>
        <v>TYPE_3</v>
      </c>
    </row>
    <row r="13" spans="1:24" ht="18.75" customHeight="1">
      <c r="A13" s="56">
        <v>9</v>
      </c>
      <c r="B13" s="55" t="s">
        <v>0</v>
      </c>
      <c r="C13" s="56">
        <v>109</v>
      </c>
      <c r="D13" s="55" t="s">
        <v>2</v>
      </c>
      <c r="E13" s="55">
        <f>VLOOKUP(C13,'115_分行業績'!A:J,8,0)</f>
        <v>29449723</v>
      </c>
      <c r="F13" s="55">
        <f>VLOOKUP(C13,'115_分行業績'!A:J,9,0)</f>
        <v>37980000</v>
      </c>
      <c r="G13" s="427">
        <f>VLOOKUP(C13, '115_分行業績'!A:G,7,0)</f>
        <v>0.77540082158369528</v>
      </c>
      <c r="H13" s="55" t="str">
        <f>VLOOKUP(X13,原始參數_115!A:D,2,0)</f>
        <v>75%以上，未達90%</v>
      </c>
      <c r="I13" s="55" t="str">
        <f>VLOOKUP(X13,原始參數_115!A:D,4,0)</f>
        <v>分行目標*110%</v>
      </c>
      <c r="J13" s="55">
        <f>VLOOKUP(C13,'115_分行業績'!A:N,14,0)</f>
        <v>41780000</v>
      </c>
      <c r="K13" s="55"/>
      <c r="L13" s="396">
        <f t="shared" si="0"/>
        <v>1073006</v>
      </c>
      <c r="M13" s="55">
        <f t="shared" si="1"/>
        <v>1073006</v>
      </c>
      <c r="N13" s="55">
        <f>VLOOKUP(C13,'116目標底稿ver1'!D:AC, 19,0)</f>
        <v>636994</v>
      </c>
      <c r="O13" s="362">
        <f>VLOOKUP(C13,'116目標底稿ver1'!D:AC, 22, 0)</f>
        <v>1710000</v>
      </c>
      <c r="P13" s="115">
        <v>30930000</v>
      </c>
      <c r="Q13" s="115">
        <v>17150369</v>
      </c>
      <c r="R13" s="375">
        <f t="shared" si="2"/>
        <v>0.55000000000000004</v>
      </c>
      <c r="S13" s="356">
        <f t="shared" si="3"/>
        <v>-0.94471387002909801</v>
      </c>
      <c r="T13" s="356">
        <f t="shared" si="4"/>
        <v>-0.90029369047394836</v>
      </c>
      <c r="U13" s="115">
        <f t="shared" si="7"/>
        <v>940500.00000000012</v>
      </c>
      <c r="V13" s="362">
        <v>37860000</v>
      </c>
      <c r="W13" s="394">
        <f t="shared" si="5"/>
        <v>-36150000</v>
      </c>
      <c r="X13" s="45" t="str">
        <f t="shared" si="6"/>
        <v>TYPE_8</v>
      </c>
    </row>
    <row r="14" spans="1:24" ht="18.75" customHeight="1">
      <c r="A14" s="56">
        <v>10</v>
      </c>
      <c r="B14" s="55" t="s">
        <v>0</v>
      </c>
      <c r="C14" s="56">
        <v>110</v>
      </c>
      <c r="D14" s="55" t="s">
        <v>74</v>
      </c>
      <c r="E14" s="55">
        <f>VLOOKUP(C14,'115_分行業績'!A:J,8,0)</f>
        <v>44041600</v>
      </c>
      <c r="F14" s="55">
        <f>VLOOKUP(C14,'115_分行業績'!A:J,9,0)</f>
        <v>59470000</v>
      </c>
      <c r="G14" s="427">
        <f>VLOOKUP(C14, '115_分行業績'!A:G,7,0)</f>
        <v>0.74056835982674374</v>
      </c>
      <c r="H14" s="55" t="str">
        <f>VLOOKUP(X14,原始參數_115!A:D,2,0)</f>
        <v>未達75%</v>
      </c>
      <c r="I14" s="55" t="str">
        <f>VLOOKUP(X14,原始參數_115!A:D,4,0)</f>
        <v>分行目標*115%</v>
      </c>
      <c r="J14" s="55">
        <f>VLOOKUP(C14,'115_分行業績'!A:N,14,0)</f>
        <v>68390000</v>
      </c>
      <c r="K14" s="55"/>
      <c r="L14" s="396">
        <f t="shared" si="0"/>
        <v>1522818</v>
      </c>
      <c r="M14" s="55">
        <f t="shared" si="1"/>
        <v>1522818</v>
      </c>
      <c r="N14" s="55">
        <f>VLOOKUP(C14,'116目標底稿ver1'!D:AC, 19,0)</f>
        <v>597182</v>
      </c>
      <c r="O14" s="362">
        <f>VLOOKUP(C14,'116目標底稿ver1'!D:AC, 22, 0)</f>
        <v>2120000</v>
      </c>
      <c r="P14" s="115">
        <v>51170000</v>
      </c>
      <c r="Q14" s="115">
        <v>39462213</v>
      </c>
      <c r="R14" s="375">
        <f t="shared" si="2"/>
        <v>0.77</v>
      </c>
      <c r="S14" s="356">
        <f t="shared" si="3"/>
        <v>-0.95856947430134842</v>
      </c>
      <c r="T14" s="356">
        <f t="shared" si="4"/>
        <v>-0.94627772142429012</v>
      </c>
      <c r="U14" s="115">
        <f t="shared" si="7"/>
        <v>1166000</v>
      </c>
      <c r="V14" s="362">
        <v>59320000</v>
      </c>
      <c r="W14" s="394">
        <f t="shared" si="5"/>
        <v>-57200000</v>
      </c>
      <c r="X14" s="45" t="str">
        <f t="shared" si="6"/>
        <v>TYPE_9</v>
      </c>
    </row>
    <row r="15" spans="1:24" ht="18.75" customHeight="1">
      <c r="A15" s="56">
        <v>11</v>
      </c>
      <c r="B15" s="55" t="s">
        <v>0</v>
      </c>
      <c r="C15" s="56">
        <v>111</v>
      </c>
      <c r="D15" s="55" t="s">
        <v>75</v>
      </c>
      <c r="E15" s="55">
        <f>VLOOKUP(C15,'115_分行業績'!A:J,8,0)</f>
        <v>156079156</v>
      </c>
      <c r="F15" s="55">
        <f>VLOOKUP(C15,'115_分行業績'!A:J,9,0)</f>
        <v>101770000</v>
      </c>
      <c r="G15" s="427">
        <f>VLOOKUP(C15, '115_分行業績'!A:G,7,0)</f>
        <v>1.5336460266783021</v>
      </c>
      <c r="H15" s="55" t="str">
        <f>VLOOKUP(X15,原始參數_115!A:D,2,0)</f>
        <v>150%以上，未達200%</v>
      </c>
      <c r="I15" s="55" t="str">
        <f>VLOOKUP(X15,原始參數_115!A:D,4,0)</f>
        <v>預估實績*80%</v>
      </c>
      <c r="J15" s="55">
        <f>VLOOKUP(C15,'115_分行業績'!A:N,14,0)</f>
        <v>124860000</v>
      </c>
      <c r="K15" s="55"/>
      <c r="L15" s="396">
        <f t="shared" si="0"/>
        <v>2763852</v>
      </c>
      <c r="M15" s="55">
        <f t="shared" si="1"/>
        <v>2763852</v>
      </c>
      <c r="N15" s="55">
        <f>VLOOKUP(C15,'116目標底稿ver1'!D:AC, 19,0)</f>
        <v>816148</v>
      </c>
      <c r="O15" s="362">
        <f>VLOOKUP(C15,'116目標底稿ver1'!D:AC, 22, 0)</f>
        <v>3580000</v>
      </c>
      <c r="P15" s="115">
        <v>87800000</v>
      </c>
      <c r="Q15" s="115">
        <v>60233303</v>
      </c>
      <c r="R15" s="375">
        <f t="shared" si="2"/>
        <v>0.69</v>
      </c>
      <c r="S15" s="356">
        <f t="shared" si="3"/>
        <v>-0.95922551252847377</v>
      </c>
      <c r="T15" s="356">
        <f t="shared" si="4"/>
        <v>-0.94056444156814711</v>
      </c>
      <c r="U15" s="115">
        <f t="shared" si="7"/>
        <v>1969000.0000000002</v>
      </c>
      <c r="V15" s="362">
        <v>101590000</v>
      </c>
      <c r="W15" s="394">
        <f t="shared" si="5"/>
        <v>-98010000</v>
      </c>
      <c r="X15" s="45" t="str">
        <f t="shared" si="6"/>
        <v>TYPE_2</v>
      </c>
    </row>
    <row r="16" spans="1:24" ht="18.75" customHeight="1">
      <c r="A16" s="56">
        <v>12</v>
      </c>
      <c r="B16" s="55" t="s">
        <v>0</v>
      </c>
      <c r="C16" s="56">
        <v>112</v>
      </c>
      <c r="D16" s="55" t="s">
        <v>137</v>
      </c>
      <c r="E16" s="55">
        <f>VLOOKUP(C16,'115_分行業績'!A:J,8,0)</f>
        <v>81157545</v>
      </c>
      <c r="F16" s="55">
        <f>VLOOKUP(C16,'115_分行業績'!A:J,9,0)</f>
        <v>68030000</v>
      </c>
      <c r="G16" s="427">
        <f>VLOOKUP(C16, '115_分行業績'!A:G,7,0)</f>
        <v>1.1929670065678994</v>
      </c>
      <c r="H16" s="55" t="str">
        <f>VLOOKUP(X16,原始參數_115!A:D,2,0)</f>
        <v>110%以上，未達120%</v>
      </c>
      <c r="I16" s="55" t="str">
        <f>VLOOKUP(X16,原始參數_115!A:D,4,0)</f>
        <v>預估實績*103%</v>
      </c>
      <c r="J16" s="55">
        <f>VLOOKUP(C16,'115_分行業績'!A:N,14,0)</f>
        <v>83590000</v>
      </c>
      <c r="K16" s="55"/>
      <c r="L16" s="396">
        <f t="shared" si="0"/>
        <v>2424791</v>
      </c>
      <c r="M16" s="55">
        <f t="shared" si="1"/>
        <v>2424791</v>
      </c>
      <c r="N16" s="55">
        <f>VLOOKUP(C16,'116目標底稿ver1'!D:AC, 19,0)</f>
        <v>1015209</v>
      </c>
      <c r="O16" s="362">
        <f>VLOOKUP(C16,'116目標底稿ver1'!D:AC, 22, 0)</f>
        <v>3440000</v>
      </c>
      <c r="P16" s="115">
        <v>57240000</v>
      </c>
      <c r="Q16" s="115">
        <v>43209787</v>
      </c>
      <c r="R16" s="375">
        <f t="shared" si="2"/>
        <v>0.75</v>
      </c>
      <c r="S16" s="356">
        <f t="shared" si="3"/>
        <v>-0.93990216631726065</v>
      </c>
      <c r="T16" s="356">
        <f t="shared" si="4"/>
        <v>-0.92038840645060338</v>
      </c>
      <c r="U16" s="115">
        <f t="shared" si="7"/>
        <v>1892000.0000000002</v>
      </c>
      <c r="V16" s="362">
        <v>67730000</v>
      </c>
      <c r="W16" s="394">
        <f t="shared" si="5"/>
        <v>-64290000</v>
      </c>
      <c r="X16" s="45" t="str">
        <f t="shared" si="6"/>
        <v>TYPE_5</v>
      </c>
    </row>
    <row r="17" spans="1:24" ht="18.75" customHeight="1">
      <c r="A17" s="56">
        <v>13</v>
      </c>
      <c r="B17" s="55" t="s">
        <v>0</v>
      </c>
      <c r="C17" s="56">
        <v>113</v>
      </c>
      <c r="D17" s="55" t="s">
        <v>3</v>
      </c>
      <c r="E17" s="55">
        <f>VLOOKUP(C17,'115_分行業績'!A:J,8,0)</f>
        <v>98528137</v>
      </c>
      <c r="F17" s="55">
        <f>VLOOKUP(C17,'115_分行業績'!A:J,9,0)</f>
        <v>91250000</v>
      </c>
      <c r="G17" s="427">
        <f>VLOOKUP(C17, '115_分行業績'!A:G,7,0)</f>
        <v>1.0797604034870625</v>
      </c>
      <c r="H17" s="55" t="str">
        <f>VLOOKUP(X17,原始參數_115!A:D,2,0)</f>
        <v>100%以上，未達110%</v>
      </c>
      <c r="I17" s="55" t="str">
        <f>VLOOKUP(X17,原始參數_115!A:D,4,0)</f>
        <v>預估實績*105%</v>
      </c>
      <c r="J17" s="55">
        <f>VLOOKUP(C17,'115_分行業績'!A:N,14,0)</f>
        <v>103450000</v>
      </c>
      <c r="K17" s="55"/>
      <c r="L17" s="396">
        <f t="shared" si="0"/>
        <v>2313852</v>
      </c>
      <c r="M17" s="55">
        <f t="shared" si="1"/>
        <v>2313852</v>
      </c>
      <c r="N17" s="55">
        <f>VLOOKUP(C17,'116目標底稿ver1'!D:AC, 19,0)</f>
        <v>816148</v>
      </c>
      <c r="O17" s="362">
        <f>VLOOKUP(C17,'116目標底稿ver1'!D:AC, 22, 0)</f>
        <v>3130000</v>
      </c>
      <c r="P17" s="115">
        <v>78670000</v>
      </c>
      <c r="Q17" s="115">
        <v>63518819</v>
      </c>
      <c r="R17" s="375">
        <f t="shared" si="2"/>
        <v>0.81</v>
      </c>
      <c r="S17" s="356">
        <f t="shared" si="3"/>
        <v>-0.96021355027329347</v>
      </c>
      <c r="T17" s="356">
        <f t="shared" si="4"/>
        <v>-0.950723265179096</v>
      </c>
      <c r="U17" s="115">
        <f t="shared" si="7"/>
        <v>1721500.0000000002</v>
      </c>
      <c r="V17" s="362">
        <v>91080000</v>
      </c>
      <c r="W17" s="394">
        <f t="shared" si="5"/>
        <v>-87950000</v>
      </c>
      <c r="X17" s="45" t="str">
        <f t="shared" si="6"/>
        <v>TYPE_6</v>
      </c>
    </row>
    <row r="18" spans="1:24" ht="18.75" customHeight="1">
      <c r="A18" s="56">
        <v>14</v>
      </c>
      <c r="B18" s="55" t="s">
        <v>0</v>
      </c>
      <c r="C18" s="56">
        <v>114</v>
      </c>
      <c r="D18" s="55" t="s">
        <v>138</v>
      </c>
      <c r="E18" s="55">
        <f>VLOOKUP(C18,'115_分行業績'!A:J,8,0)</f>
        <v>61542910</v>
      </c>
      <c r="F18" s="55">
        <f>VLOOKUP(C18,'115_分行業績'!A:J,9,0)</f>
        <v>83440000</v>
      </c>
      <c r="G18" s="427">
        <f>VLOOKUP(C18, '115_分行業績'!A:G,7,0)</f>
        <v>0.7375708344868499</v>
      </c>
      <c r="H18" s="55" t="str">
        <f>VLOOKUP(X18,原始參數_115!A:D,2,0)</f>
        <v>未達75%</v>
      </c>
      <c r="I18" s="55" t="str">
        <f>VLOOKUP(X18,原始參數_115!A:D,4,0)</f>
        <v>分行目標*115%</v>
      </c>
      <c r="J18" s="55">
        <f>VLOOKUP(C18,'115_分行業績'!A:N,14,0)</f>
        <v>95960000</v>
      </c>
      <c r="K18" s="55"/>
      <c r="L18" s="396">
        <f t="shared" si="0"/>
        <v>2402724</v>
      </c>
      <c r="M18" s="55">
        <f t="shared" si="1"/>
        <v>2402724</v>
      </c>
      <c r="N18" s="55">
        <f>VLOOKUP(C18,'116目標底稿ver1'!D:AC, 19,0)</f>
        <v>577276</v>
      </c>
      <c r="O18" s="362">
        <f>VLOOKUP(C18,'116目標底稿ver1'!D:AC, 22, 0)</f>
        <v>2980000</v>
      </c>
      <c r="P18" s="115">
        <v>71770000</v>
      </c>
      <c r="Q18" s="115">
        <v>53642398</v>
      </c>
      <c r="R18" s="375">
        <f t="shared" si="2"/>
        <v>0.75</v>
      </c>
      <c r="S18" s="356">
        <f t="shared" si="3"/>
        <v>-0.95847847289954025</v>
      </c>
      <c r="T18" s="356">
        <f t="shared" si="4"/>
        <v>-0.9444469279691784</v>
      </c>
      <c r="U18" s="115">
        <f t="shared" si="7"/>
        <v>1639000.0000000002</v>
      </c>
      <c r="V18" s="362">
        <v>83170000</v>
      </c>
      <c r="W18" s="394">
        <f t="shared" si="5"/>
        <v>-80190000</v>
      </c>
      <c r="X18" s="45" t="str">
        <f t="shared" si="6"/>
        <v>TYPE_9</v>
      </c>
    </row>
    <row r="19" spans="1:24" ht="18.75" customHeight="1">
      <c r="A19" s="56">
        <v>15</v>
      </c>
      <c r="B19" s="55" t="s">
        <v>0</v>
      </c>
      <c r="C19" s="56">
        <v>115</v>
      </c>
      <c r="D19" s="55" t="s">
        <v>139</v>
      </c>
      <c r="E19" s="55">
        <f>VLOOKUP(C19,'115_分行業績'!A:J,8,0)</f>
        <v>51207175</v>
      </c>
      <c r="F19" s="55">
        <f>VLOOKUP(C19,'115_分行業績'!A:J,9,0)</f>
        <v>59930000</v>
      </c>
      <c r="G19" s="427">
        <f>VLOOKUP(C19, '115_分行業績'!A:G,7,0)</f>
        <v>0.85444977864635263</v>
      </c>
      <c r="H19" s="55" t="str">
        <f>VLOOKUP(X19,原始參數_115!A:D,2,0)</f>
        <v>75%以上，未達90%</v>
      </c>
      <c r="I19" s="55" t="str">
        <f>VLOOKUP(X19,原始參數_115!A:D,4,0)</f>
        <v>分行目標*110%</v>
      </c>
      <c r="J19" s="55">
        <f>VLOOKUP(C19,'115_分行業績'!A:N,14,0)</f>
        <v>65920000</v>
      </c>
      <c r="K19" s="55"/>
      <c r="L19" s="396">
        <f t="shared" si="0"/>
        <v>1502818</v>
      </c>
      <c r="M19" s="55">
        <f t="shared" si="1"/>
        <v>1502818</v>
      </c>
      <c r="N19" s="55">
        <f>VLOOKUP(C19,'116目標底稿ver1'!D:AC, 19,0)</f>
        <v>597182</v>
      </c>
      <c r="O19" s="362">
        <f>VLOOKUP(C19,'116目標底稿ver1'!D:AC, 22, 0)</f>
        <v>2100000</v>
      </c>
      <c r="P19" s="115">
        <v>55680000</v>
      </c>
      <c r="Q19" s="115">
        <v>85698827</v>
      </c>
      <c r="R19" s="375">
        <f t="shared" si="2"/>
        <v>1.54</v>
      </c>
      <c r="S19" s="356">
        <f t="shared" si="3"/>
        <v>-0.96228448275862066</v>
      </c>
      <c r="T19" s="356">
        <f t="shared" si="4"/>
        <v>-0.97549558058711816</v>
      </c>
      <c r="U19" s="115">
        <f t="shared" si="7"/>
        <v>1155000</v>
      </c>
      <c r="V19" s="362">
        <v>71790000</v>
      </c>
      <c r="W19" s="394">
        <f t="shared" si="5"/>
        <v>-69690000</v>
      </c>
      <c r="X19" s="45" t="str">
        <f t="shared" si="6"/>
        <v>TYPE_8</v>
      </c>
    </row>
    <row r="20" spans="1:24" ht="18.75" customHeight="1">
      <c r="A20" s="56">
        <v>16</v>
      </c>
      <c r="B20" s="55" t="s">
        <v>0</v>
      </c>
      <c r="C20" s="56">
        <v>116</v>
      </c>
      <c r="D20" s="55" t="s">
        <v>140</v>
      </c>
      <c r="E20" s="55">
        <f>VLOOKUP(C20,'115_分行業績'!A:J,8,0)</f>
        <v>38986009</v>
      </c>
      <c r="F20" s="55">
        <f>VLOOKUP(C20,'115_分行業績'!A:J,9,0)</f>
        <v>50090000</v>
      </c>
      <c r="G20" s="427">
        <f>VLOOKUP(C20, '115_分行業績'!A:G,7,0)</f>
        <v>0.77831920813906341</v>
      </c>
      <c r="H20" s="55" t="str">
        <f>VLOOKUP(X20,原始參數_115!A:D,2,0)</f>
        <v>75%以上，未達90%</v>
      </c>
      <c r="I20" s="55" t="str">
        <f>VLOOKUP(X20,原始參數_115!A:D,4,0)</f>
        <v>分行目標*110%</v>
      </c>
      <c r="J20" s="55">
        <f>VLOOKUP(C20,'115_分行業績'!A:N,14,0)</f>
        <v>55100000</v>
      </c>
      <c r="K20" s="55"/>
      <c r="L20" s="396">
        <f t="shared" si="0"/>
        <v>1482818</v>
      </c>
      <c r="M20" s="55">
        <f t="shared" si="1"/>
        <v>1482818</v>
      </c>
      <c r="N20" s="55">
        <f>VLOOKUP(C20,'116目標底稿ver1'!D:AC, 19,0)</f>
        <v>597182</v>
      </c>
      <c r="O20" s="362">
        <f>VLOOKUP(C20,'116目標底稿ver1'!D:AC, 22, 0)</f>
        <v>2080000</v>
      </c>
      <c r="P20" s="115">
        <v>42730000</v>
      </c>
      <c r="Q20" s="115">
        <v>34235393</v>
      </c>
      <c r="R20" s="375">
        <f t="shared" si="2"/>
        <v>0.8</v>
      </c>
      <c r="S20" s="356">
        <f t="shared" si="3"/>
        <v>-0.95132225602621112</v>
      </c>
      <c r="T20" s="356">
        <f t="shared" si="4"/>
        <v>-0.93924416173636449</v>
      </c>
      <c r="U20" s="115">
        <f t="shared" si="7"/>
        <v>1144000</v>
      </c>
      <c r="V20" s="362">
        <v>49930000</v>
      </c>
      <c r="W20" s="394">
        <f t="shared" si="5"/>
        <v>-47850000</v>
      </c>
      <c r="X20" s="45" t="str">
        <f t="shared" si="6"/>
        <v>TYPE_8</v>
      </c>
    </row>
    <row r="21" spans="1:24" ht="18.75" customHeight="1">
      <c r="A21" s="56">
        <v>17</v>
      </c>
      <c r="B21" s="55" t="s">
        <v>0</v>
      </c>
      <c r="C21" s="56">
        <v>117</v>
      </c>
      <c r="D21" s="55" t="s">
        <v>399</v>
      </c>
      <c r="E21" s="55">
        <f>VLOOKUP(C21,'115_分行業績'!A:J,8,0)</f>
        <v>84357174</v>
      </c>
      <c r="F21" s="55">
        <f>VLOOKUP(C21,'115_分行業績'!A:J,9,0)</f>
        <v>76020000</v>
      </c>
      <c r="G21" s="427">
        <f>VLOOKUP(C21, '115_分行業績'!A:G,7,0)</f>
        <v>1.1096708019560719</v>
      </c>
      <c r="H21" s="55" t="str">
        <f>VLOOKUP(X21,原始參數_115!A:D,2,0)</f>
        <v>110%以上，未達120%</v>
      </c>
      <c r="I21" s="55" t="str">
        <f>VLOOKUP(X21,原始參數_115!A:D,4,0)</f>
        <v>預估實績*103%</v>
      </c>
      <c r="J21" s="55">
        <f>VLOOKUP(C21,'115_分行業績'!A:N,14,0)</f>
        <v>86890000</v>
      </c>
      <c r="K21" s="55"/>
      <c r="L21" s="396">
        <f t="shared" si="0"/>
        <v>2183382</v>
      </c>
      <c r="M21" s="55">
        <f t="shared" si="1"/>
        <v>2183382</v>
      </c>
      <c r="N21" s="55">
        <f>VLOOKUP(C21,'116目標底稿ver1'!D:AC, 19,0)</f>
        <v>716618</v>
      </c>
      <c r="O21" s="362">
        <f>VLOOKUP(C21,'116目標底稿ver1'!D:AC, 22, 0)</f>
        <v>2900000</v>
      </c>
      <c r="P21" s="115">
        <v>63530000</v>
      </c>
      <c r="Q21" s="115">
        <v>69701811</v>
      </c>
      <c r="R21" s="375">
        <f t="shared" si="2"/>
        <v>1.1000000000000001</v>
      </c>
      <c r="S21" s="356">
        <f t="shared" si="3"/>
        <v>-0.95435227451597671</v>
      </c>
      <c r="T21" s="356">
        <f t="shared" si="4"/>
        <v>-0.95839419437753204</v>
      </c>
      <c r="U21" s="115">
        <f t="shared" si="7"/>
        <v>1595000.0000000002</v>
      </c>
      <c r="V21" s="362">
        <v>75860000</v>
      </c>
      <c r="W21" s="394">
        <f t="shared" si="5"/>
        <v>-72960000</v>
      </c>
      <c r="X21" s="45" t="str">
        <f t="shared" si="6"/>
        <v>TYPE_5</v>
      </c>
    </row>
    <row r="22" spans="1:24" ht="18.75" customHeight="1">
      <c r="A22" s="56">
        <v>18</v>
      </c>
      <c r="B22" s="55" t="s">
        <v>0</v>
      </c>
      <c r="C22" s="56">
        <v>118</v>
      </c>
      <c r="D22" s="55" t="s">
        <v>141</v>
      </c>
      <c r="E22" s="55">
        <f>VLOOKUP(C22,'115_分行業績'!A:J,8,0)</f>
        <v>67010394</v>
      </c>
      <c r="F22" s="55">
        <f>VLOOKUP(C22,'115_分行業績'!A:J,9,0)</f>
        <v>73660000</v>
      </c>
      <c r="G22" s="427">
        <f>VLOOKUP(C22, '115_分行業績'!A:G,7,0)</f>
        <v>0.90972568364657447</v>
      </c>
      <c r="H22" s="55" t="str">
        <f>VLOOKUP(X22,原始參數_115!A:D,2,0)</f>
        <v>90%以上，未達100%</v>
      </c>
      <c r="I22" s="55" t="str">
        <f>VLOOKUP(X22,原始參數_115!A:D,4,0)</f>
        <v>分行目標*105%</v>
      </c>
      <c r="J22" s="55">
        <f>VLOOKUP(C22,'115_分行業績'!A:N,14,0)</f>
        <v>77340000</v>
      </c>
      <c r="K22" s="55"/>
      <c r="L22" s="396">
        <f t="shared" si="0"/>
        <v>1992724</v>
      </c>
      <c r="M22" s="55">
        <f t="shared" si="1"/>
        <v>1992724</v>
      </c>
      <c r="N22" s="55">
        <f>VLOOKUP(C22,'116目標底稿ver1'!D:AC, 19,0)</f>
        <v>577276</v>
      </c>
      <c r="O22" s="362">
        <f>VLOOKUP(C22,'116目標底稿ver1'!D:AC, 22, 0)</f>
        <v>2570000</v>
      </c>
      <c r="P22" s="115">
        <v>63430000</v>
      </c>
      <c r="Q22" s="115">
        <v>53831115</v>
      </c>
      <c r="R22" s="375">
        <f t="shared" si="2"/>
        <v>0.85</v>
      </c>
      <c r="S22" s="356">
        <f t="shared" si="3"/>
        <v>-0.9594828945294025</v>
      </c>
      <c r="T22" s="356">
        <f t="shared" si="4"/>
        <v>-0.95225809459826349</v>
      </c>
      <c r="U22" s="115">
        <f t="shared" si="7"/>
        <v>1413500</v>
      </c>
      <c r="V22" s="362">
        <v>73480000</v>
      </c>
      <c r="W22" s="394">
        <f t="shared" si="5"/>
        <v>-70910000</v>
      </c>
      <c r="X22" s="45" t="str">
        <f t="shared" si="6"/>
        <v>TYPE_7</v>
      </c>
    </row>
    <row r="23" spans="1:24" ht="18.75" customHeight="1">
      <c r="A23" s="56">
        <v>19</v>
      </c>
      <c r="B23" s="55" t="s">
        <v>0</v>
      </c>
      <c r="C23" s="56">
        <v>119</v>
      </c>
      <c r="D23" s="55" t="s">
        <v>76</v>
      </c>
      <c r="E23" s="55">
        <f>VLOOKUP(C23,'115_分行業績'!A:J,8,0)</f>
        <v>49779745</v>
      </c>
      <c r="F23" s="55">
        <f>VLOOKUP(C23,'115_分行業績'!A:J,9,0)</f>
        <v>50390000</v>
      </c>
      <c r="G23" s="427">
        <f>VLOOKUP(C23, '115_分行業績'!A:G,7,0)</f>
        <v>0.98788937038809266</v>
      </c>
      <c r="H23" s="55" t="str">
        <f>VLOOKUP(X23,原始參數_115!A:D,2,0)</f>
        <v>90%以上，未達100%</v>
      </c>
      <c r="I23" s="55" t="str">
        <f>VLOOKUP(X23,原始參數_115!A:D,4,0)</f>
        <v>分行目標*105%</v>
      </c>
      <c r="J23" s="55">
        <f>VLOOKUP(C23,'115_分行業績'!A:N,14,0)</f>
        <v>52910000</v>
      </c>
      <c r="K23" s="55"/>
      <c r="L23" s="396">
        <f t="shared" si="0"/>
        <v>1292255</v>
      </c>
      <c r="M23" s="55">
        <f t="shared" si="1"/>
        <v>1292255</v>
      </c>
      <c r="N23" s="55">
        <f>VLOOKUP(C23,'116目標底稿ver1'!D:AC, 19,0)</f>
        <v>477745</v>
      </c>
      <c r="O23" s="362">
        <f>VLOOKUP(C23,'116目標底稿ver1'!D:AC, 22, 0)</f>
        <v>1770000</v>
      </c>
      <c r="P23" s="115">
        <v>43360000</v>
      </c>
      <c r="Q23" s="115">
        <v>38033854</v>
      </c>
      <c r="R23" s="375">
        <f t="shared" si="2"/>
        <v>0.88</v>
      </c>
      <c r="S23" s="356">
        <f t="shared" si="3"/>
        <v>-0.95917896678966785</v>
      </c>
      <c r="T23" s="356">
        <f t="shared" si="4"/>
        <v>-0.95346251263413906</v>
      </c>
      <c r="U23" s="115">
        <f t="shared" si="7"/>
        <v>973500.00000000012</v>
      </c>
      <c r="V23" s="362">
        <v>50250000</v>
      </c>
      <c r="W23" s="394">
        <f t="shared" si="5"/>
        <v>-48480000</v>
      </c>
      <c r="X23" s="45" t="str">
        <f t="shared" si="6"/>
        <v>TYPE_7</v>
      </c>
    </row>
    <row r="24" spans="1:24" ht="18.75" customHeight="1">
      <c r="A24" s="56">
        <v>20</v>
      </c>
      <c r="B24" s="55" t="s">
        <v>0</v>
      </c>
      <c r="C24" s="56">
        <v>120</v>
      </c>
      <c r="D24" s="55" t="s">
        <v>142</v>
      </c>
      <c r="E24" s="55">
        <f>VLOOKUP(C24,'115_分行業績'!A:J,8,0)</f>
        <v>100696952</v>
      </c>
      <c r="F24" s="55">
        <f>VLOOKUP(C24,'115_分行業績'!A:J,9,0)</f>
        <v>89830000</v>
      </c>
      <c r="G24" s="427">
        <f>VLOOKUP(C24, '115_分行業績'!A:G,7,0)</f>
        <v>1.1209724174504985</v>
      </c>
      <c r="H24" s="55" t="str">
        <f>VLOOKUP(X24,原始參數_115!A:D,2,0)</f>
        <v>110%以上，未達120%</v>
      </c>
      <c r="I24" s="55" t="str">
        <f>VLOOKUP(X24,原始參數_115!A:D,4,0)</f>
        <v>預估實績*103%</v>
      </c>
      <c r="J24" s="55">
        <f>VLOOKUP(C24,'115_分行業績'!A:N,14,0)</f>
        <v>103720000</v>
      </c>
      <c r="K24" s="55"/>
      <c r="L24" s="396">
        <f t="shared" si="0"/>
        <v>2554227</v>
      </c>
      <c r="M24" s="55">
        <f t="shared" si="1"/>
        <v>2554227</v>
      </c>
      <c r="N24" s="55">
        <f>VLOOKUP(C24,'116目標底稿ver1'!D:AC, 19,0)</f>
        <v>895773</v>
      </c>
      <c r="O24" s="362">
        <f>VLOOKUP(C24,'116目標底稿ver1'!D:AC, 22, 0)</f>
        <v>3450000</v>
      </c>
      <c r="P24" s="115">
        <v>80680000</v>
      </c>
      <c r="Q24" s="115">
        <v>79834394</v>
      </c>
      <c r="R24" s="375">
        <f t="shared" si="2"/>
        <v>0.99</v>
      </c>
      <c r="S24" s="356">
        <f t="shared" si="3"/>
        <v>-0.95723847297967279</v>
      </c>
      <c r="T24" s="356">
        <f t="shared" si="4"/>
        <v>-0.95678554283257911</v>
      </c>
      <c r="U24" s="115">
        <f t="shared" si="7"/>
        <v>1897500.0000000002</v>
      </c>
      <c r="V24" s="362">
        <v>89650000</v>
      </c>
      <c r="W24" s="394">
        <f t="shared" si="5"/>
        <v>-86200000</v>
      </c>
      <c r="X24" s="45" t="str">
        <f t="shared" si="6"/>
        <v>TYPE_5</v>
      </c>
    </row>
    <row r="25" spans="1:24" ht="18.75" customHeight="1">
      <c r="A25" s="56">
        <v>21</v>
      </c>
      <c r="B25" s="55" t="s">
        <v>0</v>
      </c>
      <c r="C25" s="56">
        <v>121</v>
      </c>
      <c r="D25" s="55" t="s">
        <v>4</v>
      </c>
      <c r="E25" s="55">
        <f>VLOOKUP(C25,'115_分行業績'!A:J,8,0)</f>
        <v>69530860</v>
      </c>
      <c r="F25" s="55">
        <f>VLOOKUP(C25,'115_分行業績'!A:J,9,0)</f>
        <v>72590000</v>
      </c>
      <c r="G25" s="427">
        <f>VLOOKUP(C25, '115_分行業績'!A:G,7,0)</f>
        <v>0.9578572838147158</v>
      </c>
      <c r="H25" s="55" t="str">
        <f>VLOOKUP(X25,原始參數_115!A:D,2,0)</f>
        <v>90%以上，未達100%</v>
      </c>
      <c r="I25" s="55" t="str">
        <f>VLOOKUP(X25,原始參數_115!A:D,4,0)</f>
        <v>分行目標*105%</v>
      </c>
      <c r="J25" s="55">
        <f>VLOOKUP(C25,'115_分行業績'!A:N,14,0)</f>
        <v>76220000</v>
      </c>
      <c r="K25" s="55"/>
      <c r="L25" s="396">
        <f t="shared" si="0"/>
        <v>2082630</v>
      </c>
      <c r="M25" s="55">
        <f t="shared" si="1"/>
        <v>2082630</v>
      </c>
      <c r="N25" s="55">
        <f>VLOOKUP(C25,'116目標底稿ver1'!D:AC, 19,0)</f>
        <v>557370</v>
      </c>
      <c r="O25" s="362">
        <f>VLOOKUP(C25,'116目標底稿ver1'!D:AC, 22, 0)</f>
        <v>2640000</v>
      </c>
      <c r="P25" s="115">
        <v>62700000</v>
      </c>
      <c r="Q25" s="115">
        <v>65420852</v>
      </c>
      <c r="R25" s="375">
        <f t="shared" si="2"/>
        <v>1.04</v>
      </c>
      <c r="S25" s="356">
        <f t="shared" si="3"/>
        <v>-0.95789473684210524</v>
      </c>
      <c r="T25" s="356">
        <f t="shared" si="4"/>
        <v>-0.95964589394219446</v>
      </c>
      <c r="U25" s="115">
        <f t="shared" si="7"/>
        <v>1452000.0000000002</v>
      </c>
      <c r="V25" s="362">
        <v>72510000</v>
      </c>
      <c r="W25" s="394">
        <f t="shared" si="5"/>
        <v>-69870000</v>
      </c>
      <c r="X25" s="45" t="str">
        <f t="shared" si="6"/>
        <v>TYPE_7</v>
      </c>
    </row>
    <row r="26" spans="1:24" ht="18.75" customHeight="1">
      <c r="A26" s="56">
        <v>22</v>
      </c>
      <c r="B26" s="55" t="s">
        <v>0</v>
      </c>
      <c r="C26" s="56">
        <v>122</v>
      </c>
      <c r="D26" s="55" t="s">
        <v>77</v>
      </c>
      <c r="E26" s="55">
        <f>VLOOKUP(C26,'115_分行業績'!A:J,8,0)</f>
        <v>84497964</v>
      </c>
      <c r="F26" s="55">
        <f>VLOOKUP(C26,'115_分行業績'!A:J,9,0)</f>
        <v>80720000</v>
      </c>
      <c r="G26" s="427">
        <f>VLOOKUP(C26, '115_分行業績'!A:G,7,0)</f>
        <v>1.0468033168760515</v>
      </c>
      <c r="H26" s="55" t="str">
        <f>VLOOKUP(X26,原始參數_115!A:D,2,0)</f>
        <v>100%以上，未達110%</v>
      </c>
      <c r="I26" s="55" t="str">
        <f>VLOOKUP(X26,原始參數_115!A:D,4,0)</f>
        <v>預估實績*105%</v>
      </c>
      <c r="J26" s="55">
        <f>VLOOKUP(C26,'115_分行業績'!A:N,14,0)</f>
        <v>88720000</v>
      </c>
      <c r="K26" s="55"/>
      <c r="L26" s="396">
        <f t="shared" si="0"/>
        <v>2382912</v>
      </c>
      <c r="M26" s="55">
        <f t="shared" si="1"/>
        <v>2382912</v>
      </c>
      <c r="N26" s="55">
        <f>VLOOKUP(C26,'116目標底稿ver1'!D:AC, 19,0)</f>
        <v>617088</v>
      </c>
      <c r="O26" s="362">
        <f>VLOOKUP(C26,'116目標底稿ver1'!D:AC, 22, 0)</f>
        <v>3000000</v>
      </c>
      <c r="P26" s="115">
        <v>69440000</v>
      </c>
      <c r="Q26" s="115">
        <v>58021765</v>
      </c>
      <c r="R26" s="375">
        <f t="shared" si="2"/>
        <v>0.84</v>
      </c>
      <c r="S26" s="356">
        <f t="shared" si="3"/>
        <v>-0.95679723502304148</v>
      </c>
      <c r="T26" s="356">
        <f t="shared" si="4"/>
        <v>-0.94829526471661107</v>
      </c>
      <c r="U26" s="115">
        <f t="shared" si="7"/>
        <v>1650000.0000000002</v>
      </c>
      <c r="V26" s="362">
        <v>80470000</v>
      </c>
      <c r="W26" s="394">
        <f t="shared" si="5"/>
        <v>-77470000</v>
      </c>
      <c r="X26" s="45" t="str">
        <f t="shared" si="6"/>
        <v>TYPE_6</v>
      </c>
    </row>
    <row r="27" spans="1:24" ht="18.75" customHeight="1">
      <c r="A27" s="56">
        <v>23</v>
      </c>
      <c r="B27" s="55" t="s">
        <v>0</v>
      </c>
      <c r="C27" s="56">
        <v>123</v>
      </c>
      <c r="D27" s="55" t="s">
        <v>5</v>
      </c>
      <c r="E27" s="55">
        <f>VLOOKUP(C27,'115_分行業績'!A:J,8,0)</f>
        <v>98773192</v>
      </c>
      <c r="F27" s="55">
        <f>VLOOKUP(C27,'115_分行業績'!A:J,9,0)</f>
        <v>93950000</v>
      </c>
      <c r="G27" s="427">
        <f>VLOOKUP(C27, '115_分行業績'!A:G,7,0)</f>
        <v>1.0513378631058519</v>
      </c>
      <c r="H27" s="55" t="str">
        <f>VLOOKUP(X27,原始參數_115!A:D,2,0)</f>
        <v>100%以上，未達110%</v>
      </c>
      <c r="I27" s="55" t="str">
        <f>VLOOKUP(X27,原始參數_115!A:D,4,0)</f>
        <v>預估實績*105%</v>
      </c>
      <c r="J27" s="55">
        <f>VLOOKUP(C27,'115_分行業績'!A:N,14,0)</f>
        <v>103710000</v>
      </c>
      <c r="K27" s="55"/>
      <c r="L27" s="396">
        <f t="shared" si="0"/>
        <v>2543100</v>
      </c>
      <c r="M27" s="55">
        <f t="shared" si="1"/>
        <v>2543100</v>
      </c>
      <c r="N27" s="55">
        <f>VLOOKUP(C27,'116目標底稿ver1'!D:AC, 19,0)</f>
        <v>656900</v>
      </c>
      <c r="O27" s="362">
        <f>VLOOKUP(C27,'116目標底稿ver1'!D:AC, 22, 0)</f>
        <v>3200000</v>
      </c>
      <c r="P27" s="115">
        <v>81340000</v>
      </c>
      <c r="Q27" s="115">
        <v>61025846</v>
      </c>
      <c r="R27" s="375">
        <f t="shared" si="2"/>
        <v>0.75</v>
      </c>
      <c r="S27" s="356">
        <f t="shared" si="3"/>
        <v>-0.96065896238013282</v>
      </c>
      <c r="T27" s="356">
        <f t="shared" si="4"/>
        <v>-0.94756320133603722</v>
      </c>
      <c r="U27" s="115">
        <f t="shared" si="7"/>
        <v>1760000.0000000002</v>
      </c>
      <c r="V27" s="362">
        <v>93710000</v>
      </c>
      <c r="W27" s="394">
        <f t="shared" si="5"/>
        <v>-90510000</v>
      </c>
      <c r="X27" s="45" t="str">
        <f t="shared" si="6"/>
        <v>TYPE_6</v>
      </c>
    </row>
    <row r="28" spans="1:24" ht="18.75" customHeight="1">
      <c r="A28" s="56">
        <v>24</v>
      </c>
      <c r="B28" s="55" t="s">
        <v>0</v>
      </c>
      <c r="C28" s="56">
        <v>124</v>
      </c>
      <c r="D28" s="55" t="s">
        <v>143</v>
      </c>
      <c r="E28" s="55">
        <f>VLOOKUP(C28,'115_分行業績'!A:J,8,0)</f>
        <v>43108651</v>
      </c>
      <c r="F28" s="55">
        <f>VLOOKUP(C28,'115_分行業績'!A:J,9,0)</f>
        <v>42510000</v>
      </c>
      <c r="G28" s="427">
        <f>VLOOKUP(C28, '115_分行業績'!A:G,7,0)</f>
        <v>1.0140825864333911</v>
      </c>
      <c r="H28" s="55" t="str">
        <f>VLOOKUP(X28,原始參數_115!A:D,2,0)</f>
        <v>100%以上，未達110%</v>
      </c>
      <c r="I28" s="55" t="str">
        <f>VLOOKUP(X28,原始參數_115!A:D,4,0)</f>
        <v>預估實績*105%</v>
      </c>
      <c r="J28" s="55">
        <f>VLOOKUP(C28,'115_分行業績'!A:N,14,0)</f>
        <v>45260000</v>
      </c>
      <c r="K28" s="55"/>
      <c r="L28" s="396">
        <f t="shared" si="0"/>
        <v>1472724</v>
      </c>
      <c r="M28" s="55">
        <f t="shared" si="1"/>
        <v>1472724</v>
      </c>
      <c r="N28" s="55">
        <f>VLOOKUP(C28,'116目標底稿ver1'!D:AC, 19,0)</f>
        <v>577276</v>
      </c>
      <c r="O28" s="362">
        <f>VLOOKUP(C28,'116目標底稿ver1'!D:AC, 22, 0)</f>
        <v>2050000</v>
      </c>
      <c r="P28" s="115">
        <v>37660000</v>
      </c>
      <c r="Q28" s="115">
        <v>36429353</v>
      </c>
      <c r="R28" s="375">
        <f t="shared" si="2"/>
        <v>0.97</v>
      </c>
      <c r="S28" s="356">
        <f t="shared" si="3"/>
        <v>-0.9455655868295274</v>
      </c>
      <c r="T28" s="356">
        <f t="shared" si="4"/>
        <v>-0.94372669753426586</v>
      </c>
      <c r="U28" s="115">
        <f t="shared" si="7"/>
        <v>1127500</v>
      </c>
      <c r="V28" s="362">
        <v>42350000</v>
      </c>
      <c r="W28" s="394">
        <f t="shared" si="5"/>
        <v>-40300000</v>
      </c>
      <c r="X28" s="45" t="str">
        <f t="shared" si="6"/>
        <v>TYPE_6</v>
      </c>
    </row>
    <row r="29" spans="1:24" ht="18.75" customHeight="1">
      <c r="A29" s="56">
        <v>25</v>
      </c>
      <c r="B29" s="55" t="s">
        <v>0</v>
      </c>
      <c r="C29" s="56">
        <v>125</v>
      </c>
      <c r="D29" s="55" t="s">
        <v>144</v>
      </c>
      <c r="E29" s="55">
        <f>VLOOKUP(C29,'115_分行業績'!A:J,8,0)</f>
        <v>63203960</v>
      </c>
      <c r="F29" s="55">
        <f>VLOOKUP(C29,'115_分行業績'!A:J,9,0)</f>
        <v>84440000</v>
      </c>
      <c r="G29" s="427">
        <f>VLOOKUP(C29, '115_分行業績'!A:G,7,0)</f>
        <v>0.74850734073228609</v>
      </c>
      <c r="H29" s="55" t="str">
        <f>VLOOKUP(X29,原始參數_115!A:D,2,0)</f>
        <v>未達75%</v>
      </c>
      <c r="I29" s="55" t="str">
        <f>VLOOKUP(X29,原始參數_115!A:D,4,0)</f>
        <v>分行目標*115%</v>
      </c>
      <c r="J29" s="55">
        <f>VLOOKUP(C29,'115_分行業績'!A:N,14,0)</f>
        <v>97110000</v>
      </c>
      <c r="K29" s="55"/>
      <c r="L29" s="396">
        <f t="shared" si="0"/>
        <v>2043194</v>
      </c>
      <c r="M29" s="55">
        <f t="shared" si="1"/>
        <v>2043194</v>
      </c>
      <c r="N29" s="55">
        <f>VLOOKUP(C29,'116目標底稿ver1'!D:AC, 19,0)</f>
        <v>676806</v>
      </c>
      <c r="O29" s="362">
        <f>VLOOKUP(C29,'116目標底稿ver1'!D:AC, 22, 0)</f>
        <v>2720000</v>
      </c>
      <c r="P29" s="115">
        <v>70110000</v>
      </c>
      <c r="Q29" s="115">
        <v>47437778</v>
      </c>
      <c r="R29" s="375">
        <f t="shared" si="2"/>
        <v>0.68</v>
      </c>
      <c r="S29" s="356">
        <f t="shared" si="3"/>
        <v>-0.9612038225645414</v>
      </c>
      <c r="T29" s="356">
        <f t="shared" si="4"/>
        <v>-0.94266173259632857</v>
      </c>
      <c r="U29" s="115">
        <f t="shared" si="7"/>
        <v>1496000.0000000002</v>
      </c>
      <c r="V29" s="362">
        <v>84450000</v>
      </c>
      <c r="W29" s="394">
        <f t="shared" si="5"/>
        <v>-81730000</v>
      </c>
      <c r="X29" s="45" t="str">
        <f t="shared" si="6"/>
        <v>TYPE_9</v>
      </c>
    </row>
    <row r="30" spans="1:24" ht="18.75" customHeight="1">
      <c r="A30" s="56">
        <v>26</v>
      </c>
      <c r="B30" s="55" t="s">
        <v>0</v>
      </c>
      <c r="C30" s="56">
        <v>126</v>
      </c>
      <c r="D30" s="55" t="s">
        <v>145</v>
      </c>
      <c r="E30" s="55">
        <f>VLOOKUP(C30,'115_分行業績'!A:J,8,0)</f>
        <v>109982593</v>
      </c>
      <c r="F30" s="55">
        <f>VLOOKUP(C30,'115_分行業績'!A:J,9,0)</f>
        <v>89400000</v>
      </c>
      <c r="G30" s="427">
        <f>VLOOKUP(C30, '115_分行業績'!A:G,7,0)</f>
        <v>1.2302303497168485</v>
      </c>
      <c r="H30" s="55" t="str">
        <f>VLOOKUP(X30,原始參數_115!A:D,2,0)</f>
        <v>120%以上，未達130%</v>
      </c>
      <c r="I30" s="55" t="str">
        <f>VLOOKUP(X30,原始參數_115!A:D,4,0)</f>
        <v>預估實績*101%</v>
      </c>
      <c r="J30" s="55">
        <f>VLOOKUP(C30,'115_分行業績'!A:N,14,0)</f>
        <v>111080000</v>
      </c>
      <c r="K30" s="55"/>
      <c r="L30" s="396">
        <f t="shared" si="0"/>
        <v>2414979</v>
      </c>
      <c r="M30" s="55">
        <f t="shared" si="1"/>
        <v>2414979</v>
      </c>
      <c r="N30" s="55">
        <f>VLOOKUP(C30,'116目標底稿ver1'!D:AC, 19,0)</f>
        <v>1055021</v>
      </c>
      <c r="O30" s="362">
        <f>VLOOKUP(C30,'116目標底稿ver1'!D:AC, 22, 0)</f>
        <v>3470000</v>
      </c>
      <c r="P30" s="115">
        <v>80260000</v>
      </c>
      <c r="Q30" s="115">
        <v>75834077</v>
      </c>
      <c r="R30" s="375">
        <f t="shared" si="2"/>
        <v>0.94</v>
      </c>
      <c r="S30" s="356">
        <f t="shared" si="3"/>
        <v>-0.95676551208572136</v>
      </c>
      <c r="T30" s="356">
        <f t="shared" si="4"/>
        <v>-0.95424220696982964</v>
      </c>
      <c r="U30" s="115">
        <f t="shared" si="7"/>
        <v>1908500.0000000002</v>
      </c>
      <c r="V30" s="362">
        <v>89170000</v>
      </c>
      <c r="W30" s="394">
        <f t="shared" si="5"/>
        <v>-85700000</v>
      </c>
      <c r="X30" s="45" t="str">
        <f t="shared" si="6"/>
        <v>TYPE_4</v>
      </c>
    </row>
    <row r="31" spans="1:24" ht="18.75" customHeight="1">
      <c r="A31" s="56">
        <v>27</v>
      </c>
      <c r="B31" s="55" t="s">
        <v>0</v>
      </c>
      <c r="C31" s="56">
        <v>127</v>
      </c>
      <c r="D31" s="55" t="s">
        <v>146</v>
      </c>
      <c r="E31" s="55">
        <f>VLOOKUP(C31,'115_分行業績'!A:J,8,0)</f>
        <v>67142368</v>
      </c>
      <c r="F31" s="55">
        <f>VLOOKUP(C31,'115_分行業績'!A:J,9,0)</f>
        <v>68820000</v>
      </c>
      <c r="G31" s="427">
        <f>VLOOKUP(C31, '115_分行業績'!A:G,7,0)</f>
        <v>0.97562289433892679</v>
      </c>
      <c r="H31" s="55" t="str">
        <f>VLOOKUP(X31,原始參數_115!A:D,2,0)</f>
        <v>90%以上，未達100%</v>
      </c>
      <c r="I31" s="55" t="str">
        <f>VLOOKUP(X31,原始參數_115!A:D,4,0)</f>
        <v>分行目標*105%</v>
      </c>
      <c r="J31" s="55">
        <f>VLOOKUP(C31,'115_分行業績'!A:N,14,0)</f>
        <v>72260000</v>
      </c>
      <c r="K31" s="55"/>
      <c r="L31" s="396">
        <f t="shared" si="0"/>
        <v>1973570</v>
      </c>
      <c r="M31" s="55">
        <f t="shared" si="1"/>
        <v>1973570</v>
      </c>
      <c r="N31" s="55">
        <f>VLOOKUP(C31,'116目標底稿ver1'!D:AC, 19,0)</f>
        <v>756430</v>
      </c>
      <c r="O31" s="362">
        <f>VLOOKUP(C31,'116目標底稿ver1'!D:AC, 22, 0)</f>
        <v>2730000</v>
      </c>
      <c r="P31" s="115">
        <v>61660000</v>
      </c>
      <c r="Q31" s="115">
        <v>59587098</v>
      </c>
      <c r="R31" s="375">
        <f t="shared" si="2"/>
        <v>0.97</v>
      </c>
      <c r="S31" s="356">
        <f t="shared" si="3"/>
        <v>-0.95572494323710666</v>
      </c>
      <c r="T31" s="356">
        <f t="shared" si="4"/>
        <v>-0.95418471293903251</v>
      </c>
      <c r="U31" s="115">
        <f t="shared" si="7"/>
        <v>1501500.0000000002</v>
      </c>
      <c r="V31" s="362">
        <v>68620000</v>
      </c>
      <c r="W31" s="394">
        <f t="shared" si="5"/>
        <v>-65890000</v>
      </c>
      <c r="X31" s="45" t="str">
        <f t="shared" si="6"/>
        <v>TYPE_7</v>
      </c>
    </row>
    <row r="32" spans="1:24" ht="18.75" customHeight="1">
      <c r="A32" s="56">
        <v>28</v>
      </c>
      <c r="B32" s="55" t="s">
        <v>0</v>
      </c>
      <c r="C32" s="56">
        <v>128</v>
      </c>
      <c r="D32" s="55" t="s">
        <v>78</v>
      </c>
      <c r="E32" s="55">
        <f>VLOOKUP(C32,'115_分行業績'!A:J,8,0)</f>
        <v>40121914</v>
      </c>
      <c r="F32" s="55">
        <f>VLOOKUP(C32,'115_分行業績'!A:J,9,0)</f>
        <v>47250000</v>
      </c>
      <c r="G32" s="427">
        <f>VLOOKUP(C32, '115_分行業績'!A:G,7,0)</f>
        <v>0.84914103615946701</v>
      </c>
      <c r="H32" s="55" t="str">
        <f>VLOOKUP(X32,原始參數_115!A:D,2,0)</f>
        <v>75%以上，未達90%</v>
      </c>
      <c r="I32" s="55" t="str">
        <f>VLOOKUP(X32,原始參數_115!A:D,4,0)</f>
        <v>分行目標*110%</v>
      </c>
      <c r="J32" s="55">
        <f>VLOOKUP(C32,'115_分行業績'!A:N,14,0)</f>
        <v>51980000</v>
      </c>
      <c r="K32" s="55"/>
      <c r="L32" s="396">
        <f t="shared" si="0"/>
        <v>1392630</v>
      </c>
      <c r="M32" s="55">
        <f t="shared" si="1"/>
        <v>1392630</v>
      </c>
      <c r="N32" s="55">
        <f>VLOOKUP(C32,'116目標底稿ver1'!D:AC, 19,0)</f>
        <v>557370</v>
      </c>
      <c r="O32" s="362">
        <f>VLOOKUP(C32,'116目標底稿ver1'!D:AC, 22, 0)</f>
        <v>1950000</v>
      </c>
      <c r="P32" s="115">
        <v>40530000</v>
      </c>
      <c r="Q32" s="115">
        <v>30221864</v>
      </c>
      <c r="R32" s="375">
        <f t="shared" si="2"/>
        <v>0.75</v>
      </c>
      <c r="S32" s="356">
        <f t="shared" si="3"/>
        <v>-0.95188749074759438</v>
      </c>
      <c r="T32" s="356">
        <f t="shared" si="4"/>
        <v>-0.93547717639123784</v>
      </c>
      <c r="U32" s="115">
        <f t="shared" si="7"/>
        <v>1072500</v>
      </c>
      <c r="V32" s="362">
        <v>47070000</v>
      </c>
      <c r="W32" s="394">
        <f t="shared" si="5"/>
        <v>-45120000</v>
      </c>
      <c r="X32" s="45" t="str">
        <f t="shared" si="6"/>
        <v>TYPE_8</v>
      </c>
    </row>
    <row r="33" spans="1:24" ht="18.75" customHeight="1">
      <c r="A33" s="56">
        <v>29</v>
      </c>
      <c r="B33" s="55" t="s">
        <v>0</v>
      </c>
      <c r="C33" s="56">
        <v>129</v>
      </c>
      <c r="D33" s="55" t="s">
        <v>79</v>
      </c>
      <c r="E33" s="55">
        <f>VLOOKUP(C33,'115_分行業績'!A:J,8,0)</f>
        <v>52270476</v>
      </c>
      <c r="F33" s="55">
        <f>VLOOKUP(C33,'115_分行業績'!A:J,9,0)</f>
        <v>59980000</v>
      </c>
      <c r="G33" s="427">
        <f>VLOOKUP(C33, '115_分行業績'!A:G,7,0)</f>
        <v>0.87146509544569539</v>
      </c>
      <c r="H33" s="55" t="str">
        <f>VLOOKUP(X33,原始參數_115!A:D,2,0)</f>
        <v>75%以上，未達90%</v>
      </c>
      <c r="I33" s="55" t="str">
        <f>VLOOKUP(X33,原始參數_115!A:D,4,0)</f>
        <v>分行目標*110%</v>
      </c>
      <c r="J33" s="55">
        <f>VLOOKUP(C33,'115_分行業績'!A:N,14,0)</f>
        <v>65980000</v>
      </c>
      <c r="K33" s="55"/>
      <c r="L33" s="396">
        <f t="shared" si="0"/>
        <v>1642630</v>
      </c>
      <c r="M33" s="55">
        <f t="shared" si="1"/>
        <v>1642630</v>
      </c>
      <c r="N33" s="55">
        <f>VLOOKUP(C33,'116目標底稿ver1'!D:AC, 19,0)</f>
        <v>557370</v>
      </c>
      <c r="O33" s="362">
        <f>VLOOKUP(C33,'116目標底稿ver1'!D:AC, 22, 0)</f>
        <v>2200000</v>
      </c>
      <c r="P33" s="115">
        <v>53820000</v>
      </c>
      <c r="Q33" s="115">
        <v>49886866</v>
      </c>
      <c r="R33" s="375">
        <f t="shared" si="2"/>
        <v>0.93</v>
      </c>
      <c r="S33" s="356">
        <f t="shared" si="3"/>
        <v>-0.95912300260126349</v>
      </c>
      <c r="T33" s="356">
        <f t="shared" si="4"/>
        <v>-0.95590021630142086</v>
      </c>
      <c r="U33" s="115">
        <f t="shared" si="7"/>
        <v>1210000</v>
      </c>
      <c r="V33" s="362">
        <v>59760000</v>
      </c>
      <c r="W33" s="394">
        <f t="shared" si="5"/>
        <v>-57560000</v>
      </c>
      <c r="X33" s="45" t="str">
        <f t="shared" si="6"/>
        <v>TYPE_8</v>
      </c>
    </row>
    <row r="34" spans="1:24" ht="18.75" customHeight="1">
      <c r="A34" s="56">
        <v>30</v>
      </c>
      <c r="B34" s="55" t="s">
        <v>0</v>
      </c>
      <c r="C34" s="56">
        <v>130</v>
      </c>
      <c r="D34" s="55" t="s">
        <v>147</v>
      </c>
      <c r="E34" s="55">
        <f>VLOOKUP(C34,'115_分行業績'!A:J,8,0)</f>
        <v>35284802</v>
      </c>
      <c r="F34" s="55">
        <f>VLOOKUP(C34,'115_分行業績'!A:J,9,0)</f>
        <v>47410000</v>
      </c>
      <c r="G34" s="427">
        <f>VLOOKUP(C34, '115_分行業績'!A:G,7,0)</f>
        <v>0.74424809927976654</v>
      </c>
      <c r="H34" s="55" t="str">
        <f>VLOOKUP(X34,原始參數_115!A:D,2,0)</f>
        <v>未達75%</v>
      </c>
      <c r="I34" s="55" t="str">
        <f>VLOOKUP(X34,原始參數_115!A:D,4,0)</f>
        <v>分行目標*115%</v>
      </c>
      <c r="J34" s="55">
        <f>VLOOKUP(C34,'115_分行業績'!A:N,14,0)</f>
        <v>54520000</v>
      </c>
      <c r="K34" s="55"/>
      <c r="L34" s="396">
        <f t="shared" si="0"/>
        <v>1334040</v>
      </c>
      <c r="M34" s="55">
        <f t="shared" si="1"/>
        <v>1334040</v>
      </c>
      <c r="N34" s="55">
        <f>VLOOKUP(C34,'116目標底稿ver1'!D:AC, 19,0)</f>
        <v>855960</v>
      </c>
      <c r="O34" s="362">
        <f>VLOOKUP(C34,'116目標底稿ver1'!D:AC, 22, 0)</f>
        <v>2190000</v>
      </c>
      <c r="P34" s="115">
        <v>40350000</v>
      </c>
      <c r="Q34" s="115">
        <v>30860449</v>
      </c>
      <c r="R34" s="375">
        <f t="shared" si="2"/>
        <v>0.76</v>
      </c>
      <c r="S34" s="356">
        <f t="shared" si="3"/>
        <v>-0.94572490706319701</v>
      </c>
      <c r="T34" s="356">
        <f t="shared" si="4"/>
        <v>-0.92903538117672879</v>
      </c>
      <c r="U34" s="115">
        <f t="shared" si="7"/>
        <v>1204500</v>
      </c>
      <c r="V34" s="362">
        <v>47210000</v>
      </c>
      <c r="W34" s="394">
        <f t="shared" si="5"/>
        <v>-45020000</v>
      </c>
      <c r="X34" s="45" t="str">
        <f t="shared" si="6"/>
        <v>TYPE_9</v>
      </c>
    </row>
    <row r="35" spans="1:24" ht="18.75" customHeight="1">
      <c r="A35" s="56">
        <v>31</v>
      </c>
      <c r="B35" s="55" t="s">
        <v>0</v>
      </c>
      <c r="C35" s="56">
        <v>132</v>
      </c>
      <c r="D35" s="55" t="s">
        <v>6</v>
      </c>
      <c r="E35" s="55">
        <f>VLOOKUP(C35,'115_分行業績'!A:J,8,0)</f>
        <v>24377025</v>
      </c>
      <c r="F35" s="55">
        <f>VLOOKUP(C35,'115_分行業績'!A:J,9,0)</f>
        <v>24640000</v>
      </c>
      <c r="G35" s="427">
        <f>VLOOKUP(C35, '115_分行業績'!A:G,7,0)</f>
        <v>0.98932733247489058</v>
      </c>
      <c r="H35" s="55" t="str">
        <f>VLOOKUP(X35,原始參數_115!A:D,2,0)</f>
        <v>90%以上，未達100%</v>
      </c>
      <c r="I35" s="55" t="str">
        <f>VLOOKUP(X35,原始參數_115!A:D,4,0)</f>
        <v>分行目標*105%</v>
      </c>
      <c r="J35" s="55">
        <f>VLOOKUP(C35,'115_分行業績'!A:N,14,0)</f>
        <v>25870000</v>
      </c>
      <c r="K35" s="55"/>
      <c r="L35" s="396">
        <f t="shared" si="0"/>
        <v>751785</v>
      </c>
      <c r="M35" s="55">
        <f t="shared" si="1"/>
        <v>751785</v>
      </c>
      <c r="N35" s="55">
        <f>VLOOKUP(C35,'116目標底稿ver1'!D:AC, 19,0)</f>
        <v>378215</v>
      </c>
      <c r="O35" s="362">
        <f>VLOOKUP(C35,'116目標底稿ver1'!D:AC, 22, 0)</f>
        <v>1130000</v>
      </c>
      <c r="P35" s="115">
        <v>21970000</v>
      </c>
      <c r="Q35" s="115">
        <v>20874489</v>
      </c>
      <c r="R35" s="375">
        <f t="shared" si="2"/>
        <v>0.95</v>
      </c>
      <c r="S35" s="356">
        <f t="shared" si="3"/>
        <v>-0.94856622667273549</v>
      </c>
      <c r="T35" s="356">
        <f t="shared" si="4"/>
        <v>-0.94586693834756863</v>
      </c>
      <c r="U35" s="115">
        <f t="shared" si="7"/>
        <v>621500</v>
      </c>
      <c r="V35" s="362">
        <v>24550000</v>
      </c>
      <c r="W35" s="394">
        <f t="shared" si="5"/>
        <v>-23420000</v>
      </c>
      <c r="X35" s="45" t="str">
        <f t="shared" si="6"/>
        <v>TYPE_7</v>
      </c>
    </row>
    <row r="36" spans="1:24" ht="18.75" customHeight="1">
      <c r="A36" s="56">
        <v>32</v>
      </c>
      <c r="B36" s="55" t="s">
        <v>0</v>
      </c>
      <c r="C36" s="56">
        <v>133</v>
      </c>
      <c r="D36" s="55" t="s">
        <v>148</v>
      </c>
      <c r="E36" s="55">
        <f>VLOOKUP(C36,'115_分行業績'!A:J,8,0)</f>
        <v>36160101</v>
      </c>
      <c r="F36" s="55">
        <f>VLOOKUP(C36,'115_分行業績'!A:J,9,0)</f>
        <v>50840000</v>
      </c>
      <c r="G36" s="427">
        <f>VLOOKUP(C36, '115_分行業績'!A:G,7,0)</f>
        <v>0.71125296704942587</v>
      </c>
      <c r="H36" s="55" t="str">
        <f>VLOOKUP(X36,原始參數_115!A:D,2,0)</f>
        <v>未達75%</v>
      </c>
      <c r="I36" s="55" t="str">
        <f>VLOOKUP(X36,原始參數_115!A:D,4,0)</f>
        <v>分行目標*115%</v>
      </c>
      <c r="J36" s="55">
        <f>VLOOKUP(C36,'115_分行業績'!A:N,14,0)</f>
        <v>58470000</v>
      </c>
      <c r="K36" s="55"/>
      <c r="L36" s="396">
        <f t="shared" si="0"/>
        <v>1262818</v>
      </c>
      <c r="M36" s="55">
        <f t="shared" si="1"/>
        <v>1262818</v>
      </c>
      <c r="N36" s="55">
        <f>VLOOKUP(C36,'116目標底稿ver1'!D:AC, 19,0)</f>
        <v>597182</v>
      </c>
      <c r="O36" s="362">
        <f>VLOOKUP(C36,'116目標底稿ver1'!D:AC, 22, 0)</f>
        <v>1860000</v>
      </c>
      <c r="P36" s="115">
        <v>41960000</v>
      </c>
      <c r="Q36" s="115">
        <v>21935858</v>
      </c>
      <c r="R36" s="375">
        <f t="shared" si="2"/>
        <v>0.52</v>
      </c>
      <c r="S36" s="356">
        <f t="shared" si="3"/>
        <v>-0.95567206863679699</v>
      </c>
      <c r="T36" s="356">
        <f t="shared" si="4"/>
        <v>-0.91520732856676956</v>
      </c>
      <c r="U36" s="115">
        <f t="shared" si="7"/>
        <v>1023000.0000000001</v>
      </c>
      <c r="V36" s="362">
        <v>50700000</v>
      </c>
      <c r="W36" s="394">
        <f t="shared" si="5"/>
        <v>-48840000</v>
      </c>
      <c r="X36" s="45" t="str">
        <f t="shared" si="6"/>
        <v>TYPE_9</v>
      </c>
    </row>
    <row r="37" spans="1:24" ht="18.75" customHeight="1">
      <c r="A37" s="56">
        <v>33</v>
      </c>
      <c r="B37" s="55" t="s">
        <v>7</v>
      </c>
      <c r="C37" s="56">
        <v>134</v>
      </c>
      <c r="D37" s="55" t="s">
        <v>149</v>
      </c>
      <c r="E37" s="55">
        <f>VLOOKUP(C37,'115_分行業績'!A:J,8,0)</f>
        <v>61784257</v>
      </c>
      <c r="F37" s="55">
        <f>VLOOKUP(C37,'115_分行業績'!A:J,9,0)</f>
        <v>75830000</v>
      </c>
      <c r="G37" s="427">
        <f>VLOOKUP(C37, '115_分行業績'!A:G,7,0)</f>
        <v>0.81477327252949538</v>
      </c>
      <c r="H37" s="55" t="str">
        <f>VLOOKUP(X37,原始參數_115!A:D,2,0)</f>
        <v>75%以上，未達90%</v>
      </c>
      <c r="I37" s="55" t="str">
        <f>VLOOKUP(X37,原始參數_115!A:D,4,0)</f>
        <v>分行目標*110%</v>
      </c>
      <c r="J37" s="55">
        <f>VLOOKUP(C37,'115_分行業績'!A:N,14,0)</f>
        <v>83410000</v>
      </c>
      <c r="K37" s="55"/>
      <c r="L37" s="396">
        <f t="shared" si="0"/>
        <v>2042724</v>
      </c>
      <c r="M37" s="55">
        <f t="shared" si="1"/>
        <v>2042724</v>
      </c>
      <c r="N37" s="55">
        <f>VLOOKUP(C37,'116目標底稿ver1'!D:AC, 19,0)</f>
        <v>577276</v>
      </c>
      <c r="O37" s="362">
        <f>VLOOKUP(C37,'116目標底稿ver1'!D:AC, 22, 0)</f>
        <v>2620000</v>
      </c>
      <c r="P37" s="115">
        <v>62670000</v>
      </c>
      <c r="Q37" s="115">
        <v>45793040</v>
      </c>
      <c r="R37" s="375">
        <f t="shared" si="2"/>
        <v>0.73</v>
      </c>
      <c r="S37" s="356">
        <f t="shared" si="3"/>
        <v>-0.95819371310036705</v>
      </c>
      <c r="T37" s="356">
        <f t="shared" si="4"/>
        <v>-0.94278606530599407</v>
      </c>
      <c r="U37" s="115">
        <f t="shared" si="7"/>
        <v>1441000</v>
      </c>
      <c r="V37" s="362">
        <v>75650000</v>
      </c>
      <c r="W37" s="394">
        <f t="shared" si="5"/>
        <v>-73030000</v>
      </c>
      <c r="X37" s="45" t="str">
        <f t="shared" si="6"/>
        <v>TYPE_8</v>
      </c>
    </row>
    <row r="38" spans="1:24" ht="18.75" customHeight="1">
      <c r="A38" s="56">
        <v>34</v>
      </c>
      <c r="B38" s="55" t="s">
        <v>0</v>
      </c>
      <c r="C38" s="56">
        <v>136</v>
      </c>
      <c r="D38" s="55" t="s">
        <v>150</v>
      </c>
      <c r="E38" s="55">
        <f>VLOOKUP(C38,'115_分行業績'!A:J,8,0)</f>
        <v>49654913</v>
      </c>
      <c r="F38" s="55">
        <f>VLOOKUP(C38,'115_分行業績'!A:J,9,0)</f>
        <v>34730000</v>
      </c>
      <c r="G38" s="427">
        <f>VLOOKUP(C38, '115_分行業績'!A:G,7,0)</f>
        <v>1.4297412214103031</v>
      </c>
      <c r="H38" s="55" t="str">
        <f>VLOOKUP(X38,原始參數_115!A:D,2,0)</f>
        <v>130%以上，未達150%</v>
      </c>
      <c r="I38" s="55" t="str">
        <f>VLOOKUP(X38,原始參數_115!A:D,4,0)</f>
        <v>預估實績*90%</v>
      </c>
      <c r="J38" s="55">
        <f>VLOOKUP(C38,'115_分行業績'!A:N,14,0)</f>
        <v>44690000</v>
      </c>
      <c r="K38" s="55"/>
      <c r="L38" s="396">
        <f t="shared" si="0"/>
        <v>712255</v>
      </c>
      <c r="M38" s="55">
        <f t="shared" si="1"/>
        <v>712255</v>
      </c>
      <c r="N38" s="55">
        <f>VLOOKUP(C38,'116目標底稿ver1'!D:AC, 19,0)</f>
        <v>477745</v>
      </c>
      <c r="O38" s="362">
        <f>VLOOKUP(C38,'116目標底稿ver1'!D:AC, 22, 0)</f>
        <v>1190000</v>
      </c>
      <c r="P38" s="115">
        <v>24950000</v>
      </c>
      <c r="Q38" s="115">
        <v>38658779</v>
      </c>
      <c r="R38" s="375">
        <f t="shared" si="2"/>
        <v>1.55</v>
      </c>
      <c r="S38" s="356">
        <f t="shared" si="3"/>
        <v>-0.95230460921843685</v>
      </c>
      <c r="T38" s="356">
        <f t="shared" si="4"/>
        <v>-0.96921785863956023</v>
      </c>
      <c r="U38" s="115">
        <f t="shared" si="7"/>
        <v>654500</v>
      </c>
      <c r="V38" s="362">
        <v>34640000</v>
      </c>
      <c r="W38" s="394">
        <f t="shared" si="5"/>
        <v>-33450000</v>
      </c>
      <c r="X38" s="45" t="str">
        <f t="shared" si="6"/>
        <v>TYPE_3</v>
      </c>
    </row>
    <row r="39" spans="1:24" ht="18.75" customHeight="1">
      <c r="A39" s="56">
        <v>35</v>
      </c>
      <c r="B39" s="55" t="s">
        <v>7</v>
      </c>
      <c r="C39" s="56">
        <v>137</v>
      </c>
      <c r="D39" s="55" t="s">
        <v>151</v>
      </c>
      <c r="E39" s="55">
        <f>VLOOKUP(C39,'115_分行業績'!A:J,8,0)</f>
        <v>61003844</v>
      </c>
      <c r="F39" s="55">
        <f>VLOOKUP(C39,'115_分行業績'!A:J,9,0)</f>
        <v>47080000</v>
      </c>
      <c r="G39" s="427">
        <f>VLOOKUP(C39, '115_分行業績'!A:G,7,0)</f>
        <v>1.2957486016172506</v>
      </c>
      <c r="H39" s="55" t="str">
        <f>VLOOKUP(X39,原始參數_115!A:D,2,0)</f>
        <v>120%以上，未達130%</v>
      </c>
      <c r="I39" s="55" t="str">
        <f>VLOOKUP(X39,原始參數_115!A:D,4,0)</f>
        <v>預估實績*101%</v>
      </c>
      <c r="J39" s="55">
        <f>VLOOKUP(C39,'115_分行業績'!A:N,14,0)</f>
        <v>61610000</v>
      </c>
      <c r="K39" s="55"/>
      <c r="L39" s="396">
        <f t="shared" si="0"/>
        <v>1242536</v>
      </c>
      <c r="M39" s="55">
        <f t="shared" si="1"/>
        <v>1242536</v>
      </c>
      <c r="N39" s="55">
        <f>VLOOKUP(C39,'116目標底稿ver1'!D:AC, 19,0)</f>
        <v>537464</v>
      </c>
      <c r="O39" s="362">
        <f>VLOOKUP(C39,'116目標底稿ver1'!D:AC, 22, 0)</f>
        <v>1780000</v>
      </c>
      <c r="P39" s="115">
        <v>37670000</v>
      </c>
      <c r="Q39" s="115">
        <v>43280289</v>
      </c>
      <c r="R39" s="375">
        <f t="shared" si="2"/>
        <v>1.1499999999999999</v>
      </c>
      <c r="S39" s="356">
        <f t="shared" si="3"/>
        <v>-0.95274754446509158</v>
      </c>
      <c r="T39" s="356">
        <f t="shared" si="4"/>
        <v>-0.95887273303558573</v>
      </c>
      <c r="U39" s="115">
        <f t="shared" si="7"/>
        <v>979000.00000000012</v>
      </c>
      <c r="V39" s="362">
        <v>46970000</v>
      </c>
      <c r="W39" s="394">
        <f t="shared" si="5"/>
        <v>-45190000</v>
      </c>
      <c r="X39" s="45" t="str">
        <f t="shared" si="6"/>
        <v>TYPE_4</v>
      </c>
    </row>
    <row r="40" spans="1:24" ht="18.75" customHeight="1">
      <c r="A40" s="56">
        <v>36</v>
      </c>
      <c r="B40" s="55" t="s">
        <v>7</v>
      </c>
      <c r="C40" s="56">
        <v>143</v>
      </c>
      <c r="D40" s="55" t="s">
        <v>80</v>
      </c>
      <c r="E40" s="55">
        <f>VLOOKUP(C40,'115_分行業績'!A:J,8,0)</f>
        <v>44219159</v>
      </c>
      <c r="F40" s="55">
        <f>VLOOKUP(C40,'115_分行業績'!A:J,9,0)</f>
        <v>41160000</v>
      </c>
      <c r="G40" s="427">
        <f>VLOOKUP(C40, '115_分行業績'!A:G,7,0)</f>
        <v>1.0743235840575367</v>
      </c>
      <c r="H40" s="55" t="str">
        <f>VLOOKUP(X40,原始參數_115!A:D,2,0)</f>
        <v>100%以上，未達110%</v>
      </c>
      <c r="I40" s="55" t="str">
        <f>VLOOKUP(X40,原始參數_115!A:D,4,0)</f>
        <v>預估實績*105%</v>
      </c>
      <c r="J40" s="55">
        <f>VLOOKUP(C40,'115_分行業績'!A:N,14,0)</f>
        <v>46430000</v>
      </c>
      <c r="K40" s="55"/>
      <c r="L40" s="396">
        <f t="shared" si="0"/>
        <v>1022255</v>
      </c>
      <c r="M40" s="55">
        <f t="shared" si="1"/>
        <v>1022255</v>
      </c>
      <c r="N40" s="55">
        <f>VLOOKUP(C40,'116目標底稿ver1'!D:AC, 19,0)</f>
        <v>477745</v>
      </c>
      <c r="O40" s="362">
        <f>VLOOKUP(C40,'116目標底稿ver1'!D:AC, 22, 0)</f>
        <v>1500000</v>
      </c>
      <c r="P40" s="115">
        <v>35820000</v>
      </c>
      <c r="Q40" s="115">
        <v>41474087</v>
      </c>
      <c r="R40" s="375">
        <f t="shared" si="2"/>
        <v>1.1599999999999999</v>
      </c>
      <c r="S40" s="356">
        <f t="shared" si="3"/>
        <v>-0.95812395309882747</v>
      </c>
      <c r="T40" s="356">
        <f t="shared" si="4"/>
        <v>-0.96383283856254631</v>
      </c>
      <c r="U40" s="115">
        <f t="shared" si="7"/>
        <v>825000.00000000012</v>
      </c>
      <c r="V40" s="362">
        <v>44890000</v>
      </c>
      <c r="W40" s="394">
        <f t="shared" si="5"/>
        <v>-43390000</v>
      </c>
      <c r="X40" s="45" t="str">
        <f t="shared" si="6"/>
        <v>TYPE_6</v>
      </c>
    </row>
    <row r="41" spans="1:24" ht="18.75" customHeight="1">
      <c r="A41" s="56">
        <v>37</v>
      </c>
      <c r="B41" s="55" t="s">
        <v>0</v>
      </c>
      <c r="C41" s="56">
        <v>145</v>
      </c>
      <c r="D41" s="55" t="s">
        <v>81</v>
      </c>
      <c r="E41" s="55">
        <f>VLOOKUP(C41,'115_分行業績'!A:J,8,0)</f>
        <v>43235636</v>
      </c>
      <c r="F41" s="55">
        <f>VLOOKUP(C41,'115_分行業績'!A:J,9,0)</f>
        <v>31970000</v>
      </c>
      <c r="G41" s="427">
        <f>VLOOKUP(C41, '115_分行業績'!A:G,7,0)</f>
        <v>1.3523814923530348</v>
      </c>
      <c r="H41" s="55" t="str">
        <f>VLOOKUP(X41,原始參數_115!A:D,2,0)</f>
        <v>130%以上，未達150%</v>
      </c>
      <c r="I41" s="55" t="str">
        <f>VLOOKUP(X41,原始參數_115!A:D,4,0)</f>
        <v>預估實績*90%</v>
      </c>
      <c r="J41" s="55">
        <f>VLOOKUP(C41,'115_分行業績'!A:N,14,0)</f>
        <v>38910000</v>
      </c>
      <c r="K41" s="55"/>
      <c r="L41" s="396">
        <f t="shared" si="0"/>
        <v>912443</v>
      </c>
      <c r="M41" s="55">
        <f t="shared" si="1"/>
        <v>912443</v>
      </c>
      <c r="N41" s="55">
        <f>VLOOKUP(C41,'116目標底稿ver1'!D:AC, 19,0)</f>
        <v>517557</v>
      </c>
      <c r="O41" s="362">
        <f>VLOOKUP(C41,'116目標底稿ver1'!D:AC, 22, 0)</f>
        <v>1430000</v>
      </c>
      <c r="P41" s="115">
        <v>25810000</v>
      </c>
      <c r="Q41" s="115">
        <v>18365887</v>
      </c>
      <c r="R41" s="375">
        <f t="shared" si="2"/>
        <v>0.71</v>
      </c>
      <c r="S41" s="356">
        <f t="shared" si="3"/>
        <v>-0.94459511817125141</v>
      </c>
      <c r="T41" s="356">
        <f t="shared" si="4"/>
        <v>-0.92213825556043116</v>
      </c>
      <c r="U41" s="115">
        <f t="shared" si="7"/>
        <v>786500.00000000012</v>
      </c>
      <c r="V41" s="362">
        <v>31520000</v>
      </c>
      <c r="W41" s="394">
        <f t="shared" si="5"/>
        <v>-30090000</v>
      </c>
      <c r="X41" s="45" t="str">
        <f t="shared" si="6"/>
        <v>TYPE_3</v>
      </c>
    </row>
    <row r="42" spans="1:24" ht="18.75" customHeight="1">
      <c r="A42" s="56">
        <v>38</v>
      </c>
      <c r="B42" s="55" t="s">
        <v>0</v>
      </c>
      <c r="C42" s="56">
        <v>147</v>
      </c>
      <c r="D42" s="55" t="s">
        <v>152</v>
      </c>
      <c r="E42" s="55">
        <f>VLOOKUP(C42,'115_分行業績'!A:J,8,0)</f>
        <v>77955723</v>
      </c>
      <c r="F42" s="55">
        <f>VLOOKUP(C42,'115_分行業績'!A:J,9,0)</f>
        <v>66300000</v>
      </c>
      <c r="G42" s="427">
        <f>VLOOKUP(C42, '115_分行業績'!A:G,7,0)</f>
        <v>1.1758027550239234</v>
      </c>
      <c r="H42" s="55" t="str">
        <f>VLOOKUP(X42,原始參數_115!A:D,2,0)</f>
        <v>110%以上，未達120%</v>
      </c>
      <c r="I42" s="55" t="str">
        <f>VLOOKUP(X42,原始參數_115!A:D,4,0)</f>
        <v>預估實績*103%</v>
      </c>
      <c r="J42" s="55">
        <f>VLOOKUP(C42,'115_分行業績'!A:N,14,0)</f>
        <v>80290000</v>
      </c>
      <c r="K42" s="55"/>
      <c r="L42" s="396">
        <f t="shared" si="0"/>
        <v>2082912</v>
      </c>
      <c r="M42" s="55">
        <f t="shared" si="1"/>
        <v>2082912</v>
      </c>
      <c r="N42" s="55">
        <f>VLOOKUP(C42,'116目標底稿ver1'!D:AC, 19,0)</f>
        <v>617088</v>
      </c>
      <c r="O42" s="362">
        <f>VLOOKUP(C42,'116目標底稿ver1'!D:AC, 22, 0)</f>
        <v>2700000</v>
      </c>
      <c r="P42" s="115">
        <v>56680000</v>
      </c>
      <c r="Q42" s="115">
        <v>42517064</v>
      </c>
      <c r="R42" s="375">
        <f t="shared" si="2"/>
        <v>0.75</v>
      </c>
      <c r="S42" s="356">
        <f t="shared" si="3"/>
        <v>-0.952364149611856</v>
      </c>
      <c r="T42" s="356">
        <f t="shared" si="4"/>
        <v>-0.93649608543054619</v>
      </c>
      <c r="U42" s="115">
        <f t="shared" si="7"/>
        <v>1485000.0000000002</v>
      </c>
      <c r="V42" s="362">
        <v>66130000</v>
      </c>
      <c r="W42" s="394">
        <f t="shared" si="5"/>
        <v>-63430000</v>
      </c>
      <c r="X42" s="45" t="str">
        <f t="shared" si="6"/>
        <v>TYPE_5</v>
      </c>
    </row>
    <row r="43" spans="1:24" ht="18.75" customHeight="1">
      <c r="A43" s="56">
        <v>39</v>
      </c>
      <c r="B43" s="55" t="s">
        <v>0</v>
      </c>
      <c r="C43" s="56">
        <v>148</v>
      </c>
      <c r="D43" s="55" t="s">
        <v>82</v>
      </c>
      <c r="E43" s="55">
        <f>VLOOKUP(C43,'115_分行業績'!A:J,8,0)</f>
        <v>37388217</v>
      </c>
      <c r="F43" s="55">
        <f>VLOOKUP(C43,'115_分行業績'!A:J,9,0)</f>
        <v>44260000</v>
      </c>
      <c r="G43" s="427">
        <f>VLOOKUP(C43, '115_分行業績'!A:G,7,0)</f>
        <v>0.84474056267010456</v>
      </c>
      <c r="H43" s="55" t="str">
        <f>VLOOKUP(X43,原始參數_115!A:D,2,0)</f>
        <v>75%以上，未達90%</v>
      </c>
      <c r="I43" s="55" t="str">
        <f>VLOOKUP(X43,原始參數_115!A:D,4,0)</f>
        <v>分行目標*110%</v>
      </c>
      <c r="J43" s="55">
        <f>VLOOKUP(C43,'115_分行業績'!A:N,14,0)</f>
        <v>48690000</v>
      </c>
      <c r="K43" s="55"/>
      <c r="L43" s="396">
        <f t="shared" si="0"/>
        <v>1142255</v>
      </c>
      <c r="M43" s="55">
        <f t="shared" si="1"/>
        <v>1142255</v>
      </c>
      <c r="N43" s="55">
        <f>VLOOKUP(C43,'116目標底稿ver1'!D:AC, 19,0)</f>
        <v>477745</v>
      </c>
      <c r="O43" s="362">
        <f>VLOOKUP(C43,'116目標底稿ver1'!D:AC, 22, 0)</f>
        <v>1620000</v>
      </c>
      <c r="P43" s="115">
        <v>38130000</v>
      </c>
      <c r="Q43" s="115">
        <v>31829672</v>
      </c>
      <c r="R43" s="375">
        <f t="shared" si="2"/>
        <v>0.83</v>
      </c>
      <c r="S43" s="356">
        <f t="shared" si="3"/>
        <v>-0.95751376868607396</v>
      </c>
      <c r="T43" s="356">
        <f t="shared" si="4"/>
        <v>-0.94910409381535565</v>
      </c>
      <c r="U43" s="115">
        <f t="shared" si="7"/>
        <v>891000.00000000012</v>
      </c>
      <c r="V43" s="362">
        <v>44260000</v>
      </c>
      <c r="W43" s="394">
        <f t="shared" si="5"/>
        <v>-42640000</v>
      </c>
      <c r="X43" s="45" t="str">
        <f t="shared" si="6"/>
        <v>TYPE_8</v>
      </c>
    </row>
    <row r="44" spans="1:24" ht="18.75" customHeight="1">
      <c r="A44" s="56">
        <v>40</v>
      </c>
      <c r="B44" s="55" t="s">
        <v>0</v>
      </c>
      <c r="C44" s="56">
        <v>149</v>
      </c>
      <c r="D44" s="55" t="s">
        <v>153</v>
      </c>
      <c r="E44" s="55">
        <f>VLOOKUP(C44,'115_分行業績'!A:J,8,0)</f>
        <v>62694255</v>
      </c>
      <c r="F44" s="55">
        <f>VLOOKUP(C44,'115_分行業績'!A:J,9,0)</f>
        <v>61940000</v>
      </c>
      <c r="G44" s="427">
        <f>VLOOKUP(C44, '115_分行業績'!A:G,7,0)</f>
        <v>1.01217718139916</v>
      </c>
      <c r="H44" s="55" t="str">
        <f>VLOOKUP(X44,原始參數_115!A:D,2,0)</f>
        <v>100%以上，未達110%</v>
      </c>
      <c r="I44" s="55" t="str">
        <f>VLOOKUP(X44,原始參數_115!A:D,4,0)</f>
        <v>預估實績*105%</v>
      </c>
      <c r="J44" s="55">
        <f>VLOOKUP(C44,'115_分行業績'!A:N,14,0)</f>
        <v>65830000</v>
      </c>
      <c r="K44" s="55"/>
      <c r="L44" s="396">
        <f t="shared" si="0"/>
        <v>1543288</v>
      </c>
      <c r="M44" s="55">
        <f t="shared" si="1"/>
        <v>1543288</v>
      </c>
      <c r="N44" s="55">
        <f>VLOOKUP(C44,'116目標底稿ver1'!D:AC, 19,0)</f>
        <v>696712</v>
      </c>
      <c r="O44" s="362">
        <f>VLOOKUP(C44,'116目標底稿ver1'!D:AC, 22, 0)</f>
        <v>2240000</v>
      </c>
      <c r="P44" s="115">
        <v>53280000</v>
      </c>
      <c r="Q44" s="115">
        <v>40194251</v>
      </c>
      <c r="R44" s="375">
        <f t="shared" si="2"/>
        <v>0.75</v>
      </c>
      <c r="S44" s="356">
        <f t="shared" si="3"/>
        <v>-0.95795795795795791</v>
      </c>
      <c r="T44" s="356">
        <f t="shared" si="4"/>
        <v>-0.94427063711176007</v>
      </c>
      <c r="U44" s="115">
        <f t="shared" si="7"/>
        <v>1232000</v>
      </c>
      <c r="V44" s="362">
        <v>61810000</v>
      </c>
      <c r="W44" s="394">
        <f t="shared" si="5"/>
        <v>-59570000</v>
      </c>
      <c r="X44" s="45" t="str">
        <f t="shared" si="6"/>
        <v>TYPE_6</v>
      </c>
    </row>
    <row r="45" spans="1:24" ht="18.75" customHeight="1">
      <c r="A45" s="56">
        <v>41</v>
      </c>
      <c r="B45" s="55" t="s">
        <v>7</v>
      </c>
      <c r="C45" s="56">
        <v>151</v>
      </c>
      <c r="D45" s="55" t="s">
        <v>154</v>
      </c>
      <c r="E45" s="55">
        <f>VLOOKUP(C45,'115_分行業績'!A:J,8,0)</f>
        <v>94209278</v>
      </c>
      <c r="F45" s="55">
        <f>VLOOKUP(C45,'115_分行業績'!A:J,9,0)</f>
        <v>82620000</v>
      </c>
      <c r="G45" s="427">
        <f>VLOOKUP(C45, '115_分行業績'!A:G,7,0)</f>
        <v>1.1402720678320173</v>
      </c>
      <c r="H45" s="55" t="str">
        <f>VLOOKUP(X45,原始參數_115!A:D,2,0)</f>
        <v>110%以上，未達120%</v>
      </c>
      <c r="I45" s="55" t="str">
        <f>VLOOKUP(X45,原始參數_115!A:D,4,0)</f>
        <v>預估實績*103%</v>
      </c>
      <c r="J45" s="55">
        <f>VLOOKUP(C45,'115_分行業績'!A:N,14,0)</f>
        <v>97040000</v>
      </c>
      <c r="K45" s="55"/>
      <c r="L45" s="396">
        <f t="shared" si="0"/>
        <v>2232912</v>
      </c>
      <c r="M45" s="55">
        <f t="shared" si="1"/>
        <v>2232912</v>
      </c>
      <c r="N45" s="55">
        <f>VLOOKUP(C45,'116目標底稿ver1'!D:AC, 19,0)</f>
        <v>617088</v>
      </c>
      <c r="O45" s="362">
        <f>VLOOKUP(C45,'116目標底稿ver1'!D:AC, 22, 0)</f>
        <v>2850000</v>
      </c>
      <c r="P45" s="115">
        <v>64790000</v>
      </c>
      <c r="Q45" s="115">
        <v>87111400</v>
      </c>
      <c r="R45" s="375">
        <f t="shared" si="2"/>
        <v>1.34</v>
      </c>
      <c r="S45" s="356">
        <f t="shared" si="3"/>
        <v>-0.95601173020527863</v>
      </c>
      <c r="T45" s="356">
        <f t="shared" si="4"/>
        <v>-0.96728327176466</v>
      </c>
      <c r="U45" s="115">
        <f t="shared" si="7"/>
        <v>1567500.0000000002</v>
      </c>
      <c r="V45" s="362">
        <v>91990000</v>
      </c>
      <c r="W45" s="394">
        <f t="shared" si="5"/>
        <v>-89140000</v>
      </c>
      <c r="X45" s="45" t="str">
        <f t="shared" si="6"/>
        <v>TYPE_5</v>
      </c>
    </row>
    <row r="46" spans="1:24" ht="18.75" customHeight="1">
      <c r="A46" s="56">
        <v>42</v>
      </c>
      <c r="B46" s="55" t="s">
        <v>0</v>
      </c>
      <c r="C46" s="56">
        <v>152</v>
      </c>
      <c r="D46" s="55" t="s">
        <v>155</v>
      </c>
      <c r="E46" s="55">
        <f>VLOOKUP(C46,'115_分行業績'!A:J,8,0)</f>
        <v>61112664</v>
      </c>
      <c r="F46" s="55">
        <f>VLOOKUP(C46,'115_分行業績'!A:J,9,0)</f>
        <v>76730000</v>
      </c>
      <c r="G46" s="427">
        <f>VLOOKUP(C46, '115_分行業績'!A:G,7,0)</f>
        <v>0.79646375469233188</v>
      </c>
      <c r="H46" s="55" t="str">
        <f>VLOOKUP(X46,原始參數_115!A:D,2,0)</f>
        <v>75%以上，未達90%</v>
      </c>
      <c r="I46" s="55" t="str">
        <f>VLOOKUP(X46,原始參數_115!A:D,4,0)</f>
        <v>分行目標*110%</v>
      </c>
      <c r="J46" s="55">
        <f>VLOOKUP(C46,'115_分行業績'!A:N,14,0)</f>
        <v>84400000</v>
      </c>
      <c r="K46" s="55"/>
      <c r="L46" s="396">
        <f t="shared" si="0"/>
        <v>2322818</v>
      </c>
      <c r="M46" s="55">
        <f t="shared" si="1"/>
        <v>2322818</v>
      </c>
      <c r="N46" s="55">
        <f>VLOOKUP(C46,'116目標底稿ver1'!D:AC, 19,0)</f>
        <v>597182</v>
      </c>
      <c r="O46" s="362">
        <f>VLOOKUP(C46,'116目標底稿ver1'!D:AC, 22, 0)</f>
        <v>2920000</v>
      </c>
      <c r="P46" s="115">
        <v>65710000</v>
      </c>
      <c r="Q46" s="115">
        <v>55160720</v>
      </c>
      <c r="R46" s="375">
        <f t="shared" si="2"/>
        <v>0.84</v>
      </c>
      <c r="S46" s="356">
        <f t="shared" si="3"/>
        <v>-0.95556231928169233</v>
      </c>
      <c r="T46" s="356">
        <f t="shared" si="4"/>
        <v>-0.94706378016820669</v>
      </c>
      <c r="U46" s="115">
        <f t="shared" si="7"/>
        <v>1606000.0000000002</v>
      </c>
      <c r="V46" s="362">
        <v>76530000</v>
      </c>
      <c r="W46" s="394">
        <f t="shared" si="5"/>
        <v>-73610000</v>
      </c>
      <c r="X46" s="45" t="str">
        <f t="shared" si="6"/>
        <v>TYPE_8</v>
      </c>
    </row>
    <row r="47" spans="1:24" ht="18.75" customHeight="1">
      <c r="A47" s="56">
        <v>43</v>
      </c>
      <c r="B47" s="55" t="s">
        <v>0</v>
      </c>
      <c r="C47" s="56">
        <v>153</v>
      </c>
      <c r="D47" s="55" t="s">
        <v>156</v>
      </c>
      <c r="E47" s="55">
        <f>VLOOKUP(C47,'115_分行業績'!A:J,8,0)</f>
        <v>91287215</v>
      </c>
      <c r="F47" s="55">
        <f>VLOOKUP(C47,'115_分行業績'!A:J,9,0)</f>
        <v>70340000</v>
      </c>
      <c r="G47" s="427">
        <f>VLOOKUP(C47, '115_分行業績'!A:G,7,0)</f>
        <v>1.2977994770357542</v>
      </c>
      <c r="H47" s="55" t="str">
        <f>VLOOKUP(X47,原始參數_115!A:D,2,0)</f>
        <v>120%以上，未達130%</v>
      </c>
      <c r="I47" s="55" t="str">
        <f>VLOOKUP(X47,原始參數_115!A:D,4,0)</f>
        <v>預估實績*101%</v>
      </c>
      <c r="J47" s="55">
        <f>VLOOKUP(C47,'115_分行業績'!A:N,14,0)</f>
        <v>92200000</v>
      </c>
      <c r="K47" s="55"/>
      <c r="L47" s="396">
        <f t="shared" si="0"/>
        <v>1952724</v>
      </c>
      <c r="M47" s="55">
        <f t="shared" si="1"/>
        <v>1952724</v>
      </c>
      <c r="N47" s="55">
        <f>VLOOKUP(C47,'116目標底稿ver1'!D:AC, 19,0)</f>
        <v>577276</v>
      </c>
      <c r="O47" s="362">
        <f>VLOOKUP(C47,'116目標底稿ver1'!D:AC, 22, 0)</f>
        <v>2530000</v>
      </c>
      <c r="P47" s="115">
        <v>63330000</v>
      </c>
      <c r="Q47" s="115">
        <v>56908013</v>
      </c>
      <c r="R47" s="375">
        <f t="shared" si="2"/>
        <v>0.9</v>
      </c>
      <c r="S47" s="356">
        <f t="shared" si="3"/>
        <v>-0.96005052897520926</v>
      </c>
      <c r="T47" s="356">
        <f t="shared" si="4"/>
        <v>-0.95554228892159698</v>
      </c>
      <c r="U47" s="115">
        <f t="shared" si="7"/>
        <v>1391500</v>
      </c>
      <c r="V47" s="362">
        <v>70160000</v>
      </c>
      <c r="W47" s="394">
        <f t="shared" si="5"/>
        <v>-67630000</v>
      </c>
      <c r="X47" s="45" t="str">
        <f t="shared" si="6"/>
        <v>TYPE_4</v>
      </c>
    </row>
    <row r="48" spans="1:24" ht="18.75" customHeight="1">
      <c r="A48" s="56">
        <v>44</v>
      </c>
      <c r="B48" s="55" t="s">
        <v>0</v>
      </c>
      <c r="C48" s="56">
        <v>154</v>
      </c>
      <c r="D48" s="55" t="s">
        <v>8</v>
      </c>
      <c r="E48" s="55">
        <f>VLOOKUP(C48,'115_分行業績'!A:J,8,0)</f>
        <v>49686844</v>
      </c>
      <c r="F48" s="55">
        <f>VLOOKUP(C48,'115_分行業績'!A:J,9,0)</f>
        <v>38300000</v>
      </c>
      <c r="G48" s="427">
        <f>VLOOKUP(C48, '115_分行業績'!A:G,7,0)</f>
        <v>1.2973066247892351</v>
      </c>
      <c r="H48" s="55" t="str">
        <f>VLOOKUP(X48,原始參數_115!A:D,2,0)</f>
        <v>120%以上，未達130%</v>
      </c>
      <c r="I48" s="55" t="str">
        <f>VLOOKUP(X48,原始參數_115!A:D,4,0)</f>
        <v>預估實績*101%</v>
      </c>
      <c r="J48" s="55">
        <f>VLOOKUP(C48,'115_分行業績'!A:N,14,0)</f>
        <v>50180000</v>
      </c>
      <c r="K48" s="55"/>
      <c r="L48" s="396">
        <f t="shared" si="0"/>
        <v>1251597</v>
      </c>
      <c r="M48" s="55">
        <f t="shared" si="1"/>
        <v>1251597</v>
      </c>
      <c r="N48" s="55">
        <f>VLOOKUP(C48,'116目標底稿ver1'!D:AC, 19,0)</f>
        <v>338403</v>
      </c>
      <c r="O48" s="362">
        <f>VLOOKUP(C48,'116目標底稿ver1'!D:AC, 22, 0)</f>
        <v>1590000</v>
      </c>
      <c r="P48" s="115">
        <v>31450000</v>
      </c>
      <c r="Q48" s="115">
        <v>22877391</v>
      </c>
      <c r="R48" s="375">
        <f t="shared" si="2"/>
        <v>0.73</v>
      </c>
      <c r="S48" s="356">
        <f t="shared" si="3"/>
        <v>-0.94944356120826712</v>
      </c>
      <c r="T48" s="356">
        <f t="shared" si="4"/>
        <v>-0.93049906783513903</v>
      </c>
      <c r="U48" s="115">
        <f t="shared" si="7"/>
        <v>874500.00000000012</v>
      </c>
      <c r="V48" s="362">
        <v>38450000</v>
      </c>
      <c r="W48" s="394">
        <f t="shared" si="5"/>
        <v>-36860000</v>
      </c>
      <c r="X48" s="45" t="str">
        <f t="shared" si="6"/>
        <v>TYPE_4</v>
      </c>
    </row>
    <row r="49" spans="1:24" ht="18.75" customHeight="1">
      <c r="A49" s="56">
        <v>45</v>
      </c>
      <c r="B49" s="55" t="s">
        <v>0</v>
      </c>
      <c r="C49" s="56">
        <v>156</v>
      </c>
      <c r="D49" s="55" t="s">
        <v>157</v>
      </c>
      <c r="E49" s="55">
        <f>VLOOKUP(C49,'115_分行業績'!A:J,8,0)</f>
        <v>48887128</v>
      </c>
      <c r="F49" s="55">
        <f>VLOOKUP(C49,'115_分行業績'!A:J,9,0)</f>
        <v>50930000</v>
      </c>
      <c r="G49" s="427">
        <f>VLOOKUP(C49, '115_分行業績'!A:G,7,0)</f>
        <v>0.95988862422128085</v>
      </c>
      <c r="H49" s="55" t="str">
        <f>VLOOKUP(X49,原始參數_115!A:D,2,0)</f>
        <v>90%以上，未達100%</v>
      </c>
      <c r="I49" s="55" t="str">
        <f>VLOOKUP(X49,原始參數_115!A:D,4,0)</f>
        <v>分行目標*105%</v>
      </c>
      <c r="J49" s="55">
        <f>VLOOKUP(C49,'115_分行業績'!A:N,14,0)</f>
        <v>53480000</v>
      </c>
      <c r="K49" s="55"/>
      <c r="L49" s="396">
        <f t="shared" si="0"/>
        <v>1362912</v>
      </c>
      <c r="M49" s="55">
        <f t="shared" si="1"/>
        <v>1362912</v>
      </c>
      <c r="N49" s="55">
        <f>VLOOKUP(C49,'116目標底稿ver1'!D:AC, 19,0)</f>
        <v>617088</v>
      </c>
      <c r="O49" s="362">
        <f>VLOOKUP(C49,'116目標底稿ver1'!D:AC, 22, 0)</f>
        <v>1980000</v>
      </c>
      <c r="P49" s="115">
        <v>43730000</v>
      </c>
      <c r="Q49" s="115">
        <v>35578463</v>
      </c>
      <c r="R49" s="375">
        <f t="shared" si="2"/>
        <v>0.81</v>
      </c>
      <c r="S49" s="356">
        <f t="shared" si="3"/>
        <v>-0.95472215870112054</v>
      </c>
      <c r="T49" s="356">
        <f t="shared" si="4"/>
        <v>-0.94434835478980639</v>
      </c>
      <c r="U49" s="115">
        <f t="shared" si="7"/>
        <v>1089000</v>
      </c>
      <c r="V49" s="362">
        <v>50770000</v>
      </c>
      <c r="W49" s="394">
        <f t="shared" si="5"/>
        <v>-48790000</v>
      </c>
      <c r="X49" s="45" t="str">
        <f t="shared" si="6"/>
        <v>TYPE_7</v>
      </c>
    </row>
    <row r="50" spans="1:24" ht="18.75" customHeight="1">
      <c r="A50" s="56">
        <v>46</v>
      </c>
      <c r="B50" s="55" t="s">
        <v>0</v>
      </c>
      <c r="C50" s="56">
        <v>157</v>
      </c>
      <c r="D50" s="55" t="s">
        <v>158</v>
      </c>
      <c r="E50" s="55">
        <f>VLOOKUP(C50,'115_分行業績'!A:J,8,0)</f>
        <v>37642448</v>
      </c>
      <c r="F50" s="55">
        <f>VLOOKUP(C50,'115_分行業績'!A:J,9,0)</f>
        <v>37520000</v>
      </c>
      <c r="G50" s="427">
        <f>VLOOKUP(C50, '115_分行業績'!A:G,7,0)</f>
        <v>1.0032635517906057</v>
      </c>
      <c r="H50" s="55" t="str">
        <f>VLOOKUP(X50,原始參數_115!A:D,2,0)</f>
        <v>100%以上，未達110%</v>
      </c>
      <c r="I50" s="55" t="str">
        <f>VLOOKUP(X50,原始參數_115!A:D,4,0)</f>
        <v>預估實績*105%</v>
      </c>
      <c r="J50" s="55">
        <f>VLOOKUP(C50,'115_分行業績'!A:N,14,0)</f>
        <v>39520000</v>
      </c>
      <c r="K50" s="55"/>
      <c r="L50" s="396">
        <f t="shared" si="0"/>
        <v>1242818</v>
      </c>
      <c r="M50" s="55">
        <f t="shared" si="1"/>
        <v>1242818</v>
      </c>
      <c r="N50" s="55">
        <f>VLOOKUP(C50,'116目標底稿ver1'!D:AC, 19,0)</f>
        <v>597182</v>
      </c>
      <c r="O50" s="362">
        <f>VLOOKUP(C50,'116目標底稿ver1'!D:AC, 22, 0)</f>
        <v>1840000</v>
      </c>
      <c r="P50" s="115">
        <v>31710000</v>
      </c>
      <c r="Q50" s="115">
        <v>25268571</v>
      </c>
      <c r="R50" s="375">
        <f t="shared" si="2"/>
        <v>0.8</v>
      </c>
      <c r="S50" s="356">
        <f t="shared" si="3"/>
        <v>-0.94197414064963736</v>
      </c>
      <c r="T50" s="356">
        <f t="shared" si="4"/>
        <v>-0.92718226923081637</v>
      </c>
      <c r="U50" s="115">
        <f t="shared" si="7"/>
        <v>1012000.0000000001</v>
      </c>
      <c r="V50" s="362">
        <v>37400000</v>
      </c>
      <c r="W50" s="394">
        <f t="shared" si="5"/>
        <v>-35560000</v>
      </c>
      <c r="X50" s="45" t="str">
        <f t="shared" si="6"/>
        <v>TYPE_6</v>
      </c>
    </row>
    <row r="51" spans="1:24" ht="18.75" customHeight="1">
      <c r="A51" s="56">
        <v>47</v>
      </c>
      <c r="B51" s="55" t="s">
        <v>7</v>
      </c>
      <c r="C51" s="56">
        <v>158</v>
      </c>
      <c r="D51" s="55" t="s">
        <v>159</v>
      </c>
      <c r="E51" s="55">
        <f>VLOOKUP(C51,'115_分行業績'!A:J,8,0)</f>
        <v>76700670</v>
      </c>
      <c r="F51" s="55">
        <f>VLOOKUP(C51,'115_分行業績'!A:J,9,0)</f>
        <v>66080000</v>
      </c>
      <c r="G51" s="427">
        <f>VLOOKUP(C51, '115_分行業績'!A:G,7,0)</f>
        <v>1.16072442507105</v>
      </c>
      <c r="H51" s="55" t="str">
        <f>VLOOKUP(X51,原始參數_115!A:D,2,0)</f>
        <v>110%以上，未達120%</v>
      </c>
      <c r="I51" s="55" t="str">
        <f>VLOOKUP(X51,原始參數_115!A:D,4,0)</f>
        <v>預估實績*103%</v>
      </c>
      <c r="J51" s="55">
        <f>VLOOKUP(C51,'115_分行業績'!A:N,14,0)</f>
        <v>79000000</v>
      </c>
      <c r="K51" s="55"/>
      <c r="L51" s="396">
        <f t="shared" si="0"/>
        <v>1972818</v>
      </c>
      <c r="M51" s="55">
        <f t="shared" si="1"/>
        <v>1972818</v>
      </c>
      <c r="N51" s="55">
        <f>VLOOKUP(C51,'116目標底稿ver1'!D:AC, 19,0)</f>
        <v>597182</v>
      </c>
      <c r="O51" s="362">
        <f>VLOOKUP(C51,'116目標底稿ver1'!D:AC, 22, 0)</f>
        <v>2570000</v>
      </c>
      <c r="P51" s="115">
        <v>59350000</v>
      </c>
      <c r="Q51" s="115">
        <v>58750655</v>
      </c>
      <c r="R51" s="375">
        <f t="shared" si="2"/>
        <v>0.99</v>
      </c>
      <c r="S51" s="356">
        <f t="shared" si="3"/>
        <v>-0.95669755686604885</v>
      </c>
      <c r="T51" s="356">
        <f t="shared" si="4"/>
        <v>-0.95625580685015343</v>
      </c>
      <c r="U51" s="115">
        <f t="shared" si="7"/>
        <v>1413500</v>
      </c>
      <c r="V51" s="362">
        <v>65910000</v>
      </c>
      <c r="W51" s="394">
        <f t="shared" si="5"/>
        <v>-63340000</v>
      </c>
      <c r="X51" s="45" t="str">
        <f t="shared" si="6"/>
        <v>TYPE_5</v>
      </c>
    </row>
    <row r="52" spans="1:24" ht="18.75" customHeight="1">
      <c r="A52" s="56">
        <v>48</v>
      </c>
      <c r="B52" s="55" t="s">
        <v>7</v>
      </c>
      <c r="C52" s="56">
        <v>159</v>
      </c>
      <c r="D52" s="55" t="s">
        <v>83</v>
      </c>
      <c r="E52" s="55">
        <f>VLOOKUP(C52,'115_分行業績'!A:J,8,0)</f>
        <v>145784243</v>
      </c>
      <c r="F52" s="55">
        <f>VLOOKUP(C52,'115_分行業績'!A:J,9,0)</f>
        <v>118930000</v>
      </c>
      <c r="G52" s="427">
        <f>VLOOKUP(C52, '115_分行業績'!A:G,7,0)</f>
        <v>1.2257987323447834</v>
      </c>
      <c r="H52" s="55" t="str">
        <f>VLOOKUP(X52,原始參數_115!A:D,2,0)</f>
        <v>120%以上，未達130%</v>
      </c>
      <c r="I52" s="55" t="str">
        <f>VLOOKUP(X52,原始參數_115!A:D,4,0)</f>
        <v>預估實績*101%</v>
      </c>
      <c r="J52" s="55">
        <f>VLOOKUP(C52,'115_分行業績'!A:N,14,0)</f>
        <v>147240000</v>
      </c>
      <c r="K52" s="55"/>
      <c r="L52" s="396">
        <f t="shared" si="0"/>
        <v>3273570</v>
      </c>
      <c r="M52" s="55">
        <f t="shared" si="1"/>
        <v>3273570</v>
      </c>
      <c r="N52" s="55">
        <f>VLOOKUP(C52,'116目標底稿ver1'!D:AC, 19,0)</f>
        <v>756430</v>
      </c>
      <c r="O52" s="362">
        <f>VLOOKUP(C52,'116目標底稿ver1'!D:AC, 22, 0)</f>
        <v>4030000</v>
      </c>
      <c r="P52" s="115">
        <v>95530000</v>
      </c>
      <c r="Q52" s="115">
        <v>129625392</v>
      </c>
      <c r="R52" s="375">
        <f t="shared" si="2"/>
        <v>1.36</v>
      </c>
      <c r="S52" s="356">
        <f t="shared" si="3"/>
        <v>-0.95781429917303462</v>
      </c>
      <c r="T52" s="356">
        <f t="shared" si="4"/>
        <v>-0.96891041224392205</v>
      </c>
      <c r="U52" s="115">
        <f t="shared" si="7"/>
        <v>2216500</v>
      </c>
      <c r="V52" s="362">
        <v>119000000</v>
      </c>
      <c r="W52" s="394">
        <f t="shared" si="5"/>
        <v>-114970000</v>
      </c>
      <c r="X52" s="45" t="str">
        <f t="shared" si="6"/>
        <v>TYPE_4</v>
      </c>
    </row>
    <row r="53" spans="1:24" ht="18.75" customHeight="1">
      <c r="A53" s="56">
        <v>49</v>
      </c>
      <c r="B53" s="55" t="s">
        <v>7</v>
      </c>
      <c r="C53" s="56">
        <v>160</v>
      </c>
      <c r="D53" s="55" t="s">
        <v>9</v>
      </c>
      <c r="E53" s="55">
        <f>VLOOKUP(C53,'115_分行業績'!A:J,8,0)</f>
        <v>104246307</v>
      </c>
      <c r="F53" s="55">
        <f>VLOOKUP(C53,'115_分行業績'!A:J,9,0)</f>
        <v>79980000</v>
      </c>
      <c r="G53" s="427">
        <f>VLOOKUP(C53, '115_分行業績'!A:G,7,0)</f>
        <v>1.3034046832992112</v>
      </c>
      <c r="H53" s="55" t="str">
        <f>VLOOKUP(X53,原始參數_115!A:D,2,0)</f>
        <v>130%以上，未達150%</v>
      </c>
      <c r="I53" s="55" t="str">
        <f>VLOOKUP(X53,原始參數_115!A:D,4,0)</f>
        <v>預估實績*90%</v>
      </c>
      <c r="J53" s="55">
        <f>VLOOKUP(C53,'115_分行業績'!A:N,14,0)</f>
        <v>93820000</v>
      </c>
      <c r="K53" s="55"/>
      <c r="L53" s="396">
        <f t="shared" si="0"/>
        <v>2072724</v>
      </c>
      <c r="M53" s="55">
        <f t="shared" si="1"/>
        <v>2072724</v>
      </c>
      <c r="N53" s="55">
        <f>VLOOKUP(C53,'116目標底稿ver1'!D:AC, 19,0)</f>
        <v>577276</v>
      </c>
      <c r="O53" s="362">
        <f>VLOOKUP(C53,'116目標底稿ver1'!D:AC, 22, 0)</f>
        <v>2650000</v>
      </c>
      <c r="P53" s="115">
        <v>60960000</v>
      </c>
      <c r="Q53" s="115">
        <v>75663828</v>
      </c>
      <c r="R53" s="375">
        <f t="shared" si="2"/>
        <v>1.24</v>
      </c>
      <c r="S53" s="356">
        <f t="shared" si="3"/>
        <v>-0.95652887139107612</v>
      </c>
      <c r="T53" s="356">
        <f t="shared" si="4"/>
        <v>-0.96497665965301149</v>
      </c>
      <c r="U53" s="115">
        <f t="shared" si="7"/>
        <v>1457500.0000000002</v>
      </c>
      <c r="V53" s="362">
        <v>79730000</v>
      </c>
      <c r="W53" s="394">
        <f t="shared" si="5"/>
        <v>-77080000</v>
      </c>
      <c r="X53" s="45" t="str">
        <f t="shared" si="6"/>
        <v>TYPE_3</v>
      </c>
    </row>
    <row r="54" spans="1:24" ht="18.75" customHeight="1">
      <c r="A54" s="56">
        <v>50</v>
      </c>
      <c r="B54" s="55" t="s">
        <v>7</v>
      </c>
      <c r="C54" s="56">
        <v>161</v>
      </c>
      <c r="D54" s="55" t="s">
        <v>160</v>
      </c>
      <c r="E54" s="55">
        <f>VLOOKUP(C54,'115_分行業績'!A:J,8,0)</f>
        <v>42318931</v>
      </c>
      <c r="F54" s="55">
        <f>VLOOKUP(C54,'115_分行業績'!A:J,9,0)</f>
        <v>51780000</v>
      </c>
      <c r="G54" s="427">
        <f>VLOOKUP(C54, '115_分行業績'!A:G,7,0)</f>
        <v>0.8172833383944752</v>
      </c>
      <c r="H54" s="55" t="str">
        <f>VLOOKUP(X54,原始參數_115!A:D,2,0)</f>
        <v>75%以上，未達90%</v>
      </c>
      <c r="I54" s="55" t="str">
        <f>VLOOKUP(X54,原始參數_115!A:D,4,0)</f>
        <v>分行目標*110%</v>
      </c>
      <c r="J54" s="55">
        <f>VLOOKUP(C54,'115_分行業績'!A:N,14,0)</f>
        <v>56960000</v>
      </c>
      <c r="K54" s="55"/>
      <c r="L54" s="396">
        <f t="shared" si="0"/>
        <v>1372349</v>
      </c>
      <c r="M54" s="55">
        <f t="shared" si="1"/>
        <v>1372349</v>
      </c>
      <c r="N54" s="55">
        <f>VLOOKUP(C54,'116目標底稿ver1'!D:AC, 19,0)</f>
        <v>497651</v>
      </c>
      <c r="O54" s="362">
        <f>VLOOKUP(C54,'116目標底稿ver1'!D:AC, 22, 0)</f>
        <v>1870000</v>
      </c>
      <c r="P54" s="115">
        <v>46740000</v>
      </c>
      <c r="Q54" s="115">
        <v>43009016</v>
      </c>
      <c r="R54" s="375">
        <f t="shared" si="2"/>
        <v>0.92</v>
      </c>
      <c r="S54" s="356">
        <f t="shared" si="3"/>
        <v>-0.95999144201968334</v>
      </c>
      <c r="T54" s="356">
        <f t="shared" si="4"/>
        <v>-0.95652074439461721</v>
      </c>
      <c r="U54" s="115">
        <f t="shared" si="7"/>
        <v>1028500.0000000001</v>
      </c>
      <c r="V54" s="362">
        <v>51740000</v>
      </c>
      <c r="W54" s="394">
        <f t="shared" si="5"/>
        <v>-49870000</v>
      </c>
      <c r="X54" s="45" t="str">
        <f t="shared" si="6"/>
        <v>TYPE_8</v>
      </c>
    </row>
    <row r="55" spans="1:24" ht="18.75" customHeight="1">
      <c r="A55" s="56">
        <v>51</v>
      </c>
      <c r="B55" s="55" t="s">
        <v>7</v>
      </c>
      <c r="C55" s="56">
        <v>162</v>
      </c>
      <c r="D55" s="55" t="s">
        <v>10</v>
      </c>
      <c r="E55" s="55">
        <f>VLOOKUP(C55,'115_分行業績'!A:J,8,0)</f>
        <v>178110527</v>
      </c>
      <c r="F55" s="55">
        <f>VLOOKUP(C55,'115_分行業績'!A:J,9,0)</f>
        <v>111250000</v>
      </c>
      <c r="G55" s="427">
        <f>VLOOKUP(C55, '115_分行業績'!A:G,7,0)</f>
        <v>1.6009935048477244</v>
      </c>
      <c r="H55" s="55" t="str">
        <f>VLOOKUP(X55,原始參數_115!A:D,2,0)</f>
        <v>150%以上，未達200%</v>
      </c>
      <c r="I55" s="55" t="str">
        <f>VLOOKUP(X55,原始參數_115!A:D,4,0)</f>
        <v>預估實績*80%</v>
      </c>
      <c r="J55" s="55">
        <f>VLOOKUP(C55,'115_分行業績'!A:N,14,0)</f>
        <v>142490000</v>
      </c>
      <c r="K55" s="55"/>
      <c r="L55" s="396">
        <f t="shared" si="0"/>
        <v>3083476</v>
      </c>
      <c r="M55" s="55">
        <f t="shared" si="1"/>
        <v>3083476</v>
      </c>
      <c r="N55" s="55">
        <f>VLOOKUP(C55,'116目標底稿ver1'!D:AC, 19,0)</f>
        <v>736524</v>
      </c>
      <c r="O55" s="362">
        <f>VLOOKUP(C55,'116目標底稿ver1'!D:AC, 22, 0)</f>
        <v>3820000</v>
      </c>
      <c r="P55" s="115">
        <v>95310000</v>
      </c>
      <c r="Q55" s="115">
        <v>123707327</v>
      </c>
      <c r="R55" s="375">
        <f t="shared" si="2"/>
        <v>1.3</v>
      </c>
      <c r="S55" s="356">
        <f t="shared" si="3"/>
        <v>-0.95992026020354637</v>
      </c>
      <c r="T55" s="356">
        <f t="shared" si="4"/>
        <v>-0.96912066493846405</v>
      </c>
      <c r="U55" s="115">
        <f t="shared" si="7"/>
        <v>2101000</v>
      </c>
      <c r="V55" s="362">
        <v>110980000</v>
      </c>
      <c r="W55" s="394">
        <f t="shared" si="5"/>
        <v>-107160000</v>
      </c>
      <c r="X55" s="45" t="str">
        <f t="shared" si="6"/>
        <v>TYPE_2</v>
      </c>
    </row>
    <row r="56" spans="1:24" ht="18.75" customHeight="1">
      <c r="A56" s="56">
        <v>52</v>
      </c>
      <c r="B56" s="55" t="s">
        <v>11</v>
      </c>
      <c r="C56" s="56">
        <v>163</v>
      </c>
      <c r="D56" s="55" t="s">
        <v>12</v>
      </c>
      <c r="E56" s="55">
        <f>VLOOKUP(C56,'115_分行業績'!A:J,8,0)</f>
        <v>47384123</v>
      </c>
      <c r="F56" s="55">
        <f>VLOOKUP(C56,'115_分行業績'!A:J,9,0)</f>
        <v>57760000</v>
      </c>
      <c r="G56" s="427">
        <f>VLOOKUP(C56, '115_分行業績'!A:G,7,0)</f>
        <v>0.82036224340949038</v>
      </c>
      <c r="H56" s="55" t="str">
        <f>VLOOKUP(X56,原始參數_115!A:D,2,0)</f>
        <v>75%以上，未達90%</v>
      </c>
      <c r="I56" s="55" t="str">
        <f>VLOOKUP(X56,原始參數_115!A:D,4,0)</f>
        <v>分行目標*110%</v>
      </c>
      <c r="J56" s="55">
        <f>VLOOKUP(C56,'115_分行業績'!A:N,14,0)</f>
        <v>63540000</v>
      </c>
      <c r="K56" s="55"/>
      <c r="L56" s="396">
        <f t="shared" si="0"/>
        <v>1582912</v>
      </c>
      <c r="M56" s="55">
        <f t="shared" si="1"/>
        <v>1582912</v>
      </c>
      <c r="N56" s="55">
        <f>VLOOKUP(C56,'116目標底稿ver1'!D:AC, 19,0)</f>
        <v>617088</v>
      </c>
      <c r="O56" s="362">
        <f>VLOOKUP(C56,'116目標底稿ver1'!D:AC, 22, 0)</f>
        <v>2200000</v>
      </c>
      <c r="P56" s="115">
        <v>47360000</v>
      </c>
      <c r="Q56" s="115">
        <v>31957806</v>
      </c>
      <c r="R56" s="375">
        <f t="shared" si="2"/>
        <v>0.67</v>
      </c>
      <c r="S56" s="356">
        <f t="shared" si="3"/>
        <v>-0.95354729729729726</v>
      </c>
      <c r="T56" s="356">
        <f t="shared" si="4"/>
        <v>-0.9311592291410743</v>
      </c>
      <c r="U56" s="115">
        <f t="shared" si="7"/>
        <v>1210000</v>
      </c>
      <c r="V56" s="362">
        <v>57610000</v>
      </c>
      <c r="W56" s="394">
        <f t="shared" si="5"/>
        <v>-55410000</v>
      </c>
      <c r="X56" s="45" t="str">
        <f t="shared" si="6"/>
        <v>TYPE_8</v>
      </c>
    </row>
    <row r="57" spans="1:24" ht="18.75" customHeight="1">
      <c r="A57" s="56">
        <v>53</v>
      </c>
      <c r="B57" s="55" t="s">
        <v>7</v>
      </c>
      <c r="C57" s="56">
        <v>164</v>
      </c>
      <c r="D57" s="55" t="s">
        <v>161</v>
      </c>
      <c r="E57" s="55">
        <f>VLOOKUP(C57,'115_分行業績'!A:J,8,0)</f>
        <v>54719513</v>
      </c>
      <c r="F57" s="55">
        <f>VLOOKUP(C57,'115_分行業績'!A:J,9,0)</f>
        <v>71460000</v>
      </c>
      <c r="G57" s="427">
        <f>VLOOKUP(C57, '115_分行業績'!A:G,7,0)</f>
        <v>0.76573625142065638</v>
      </c>
      <c r="H57" s="55" t="str">
        <f>VLOOKUP(X57,原始參數_115!A:D,2,0)</f>
        <v>75%以上，未達90%</v>
      </c>
      <c r="I57" s="55" t="str">
        <f>VLOOKUP(X57,原始參數_115!A:D,4,0)</f>
        <v>分行目標*110%</v>
      </c>
      <c r="J57" s="55">
        <f>VLOOKUP(C57,'115_分行業績'!A:N,14,0)</f>
        <v>78610000</v>
      </c>
      <c r="K57" s="55"/>
      <c r="L57" s="396">
        <f t="shared" si="0"/>
        <v>1892818</v>
      </c>
      <c r="M57" s="55">
        <f t="shared" si="1"/>
        <v>1892818</v>
      </c>
      <c r="N57" s="55">
        <f>VLOOKUP(C57,'116目標底稿ver1'!D:AC, 19,0)</f>
        <v>597182</v>
      </c>
      <c r="O57" s="362">
        <f>VLOOKUP(C57,'116目標底稿ver1'!D:AC, 22, 0)</f>
        <v>2490000</v>
      </c>
      <c r="P57" s="115">
        <v>61510000</v>
      </c>
      <c r="Q57" s="115">
        <v>49285489</v>
      </c>
      <c r="R57" s="375">
        <f t="shared" si="2"/>
        <v>0.8</v>
      </c>
      <c r="S57" s="356">
        <f t="shared" si="3"/>
        <v>-0.95951877743456349</v>
      </c>
      <c r="T57" s="356">
        <f t="shared" si="4"/>
        <v>-0.94947802993290786</v>
      </c>
      <c r="U57" s="115">
        <f t="shared" si="7"/>
        <v>1369500</v>
      </c>
      <c r="V57" s="362">
        <v>71270000</v>
      </c>
      <c r="W57" s="394">
        <f t="shared" si="5"/>
        <v>-68780000</v>
      </c>
      <c r="X57" s="45" t="str">
        <f t="shared" si="6"/>
        <v>TYPE_8</v>
      </c>
    </row>
    <row r="58" spans="1:24" ht="18.75" customHeight="1">
      <c r="A58" s="56">
        <v>54</v>
      </c>
      <c r="B58" s="55" t="s">
        <v>7</v>
      </c>
      <c r="C58" s="56">
        <v>165</v>
      </c>
      <c r="D58" s="55" t="s">
        <v>13</v>
      </c>
      <c r="E58" s="55">
        <f>VLOOKUP(C58,'115_分行業績'!A:J,8,0)</f>
        <v>132567789</v>
      </c>
      <c r="F58" s="55">
        <f>VLOOKUP(C58,'115_分行業績'!A:J,9,0)</f>
        <v>85530000</v>
      </c>
      <c r="G58" s="427">
        <f>VLOOKUP(C58, '115_分行業績'!A:G,7,0)</f>
        <v>1.5499566174506605</v>
      </c>
      <c r="H58" s="55" t="str">
        <f>VLOOKUP(X58,原始參數_115!A:D,2,0)</f>
        <v>150%以上，未達200%</v>
      </c>
      <c r="I58" s="55" t="str">
        <f>VLOOKUP(X58,原始參數_115!A:D,4,0)</f>
        <v>預估實績*80%</v>
      </c>
      <c r="J58" s="55">
        <f>VLOOKUP(C58,'115_分行業績'!A:N,14,0)</f>
        <v>106050000</v>
      </c>
      <c r="K58" s="55"/>
      <c r="L58" s="396">
        <f t="shared" si="0"/>
        <v>2393194</v>
      </c>
      <c r="M58" s="55">
        <f t="shared" si="1"/>
        <v>2393194</v>
      </c>
      <c r="N58" s="55">
        <f>VLOOKUP(C58,'116目標底稿ver1'!D:AC, 19,0)</f>
        <v>676806</v>
      </c>
      <c r="O58" s="362">
        <f>VLOOKUP(C58,'116目標底稿ver1'!D:AC, 22, 0)</f>
        <v>3070000</v>
      </c>
      <c r="P58" s="115">
        <v>76940000</v>
      </c>
      <c r="Q58" s="115">
        <v>72829919</v>
      </c>
      <c r="R58" s="375">
        <f t="shared" si="2"/>
        <v>0.95</v>
      </c>
      <c r="S58" s="356">
        <f t="shared" si="3"/>
        <v>-0.96009877826878087</v>
      </c>
      <c r="T58" s="356">
        <f t="shared" si="4"/>
        <v>-0.95784699417282071</v>
      </c>
      <c r="U58" s="115">
        <f t="shared" si="7"/>
        <v>1688500.0000000002</v>
      </c>
      <c r="V58" s="362">
        <v>85270000</v>
      </c>
      <c r="W58" s="394">
        <f t="shared" si="5"/>
        <v>-82200000</v>
      </c>
      <c r="X58" s="45" t="str">
        <f t="shared" si="6"/>
        <v>TYPE_2</v>
      </c>
    </row>
    <row r="59" spans="1:24" ht="18.75" customHeight="1">
      <c r="A59" s="56">
        <v>55</v>
      </c>
      <c r="B59" s="55" t="s">
        <v>7</v>
      </c>
      <c r="C59" s="56">
        <v>166</v>
      </c>
      <c r="D59" s="55" t="s">
        <v>84</v>
      </c>
      <c r="E59" s="55">
        <f>VLOOKUP(C59,'115_分行業績'!A:J,8,0)</f>
        <v>58273963</v>
      </c>
      <c r="F59" s="55">
        <f>VLOOKUP(C59,'115_分行業績'!A:J,9,0)</f>
        <v>64930000</v>
      </c>
      <c r="G59" s="427">
        <f>VLOOKUP(C59, '115_分行業績'!A:G,7,0)</f>
        <v>0.89748904203323554</v>
      </c>
      <c r="H59" s="55" t="str">
        <f>VLOOKUP(X59,原始參數_115!A:D,2,0)</f>
        <v>75%以上，未達90%</v>
      </c>
      <c r="I59" s="55" t="str">
        <f>VLOOKUP(X59,原始參數_115!A:D,4,0)</f>
        <v>分行目標*110%</v>
      </c>
      <c r="J59" s="55">
        <f>VLOOKUP(C59,'115_分行業績'!A:N,14,0)</f>
        <v>71420000</v>
      </c>
      <c r="K59" s="55"/>
      <c r="L59" s="396">
        <f t="shared" si="0"/>
        <v>2123006</v>
      </c>
      <c r="M59" s="55">
        <f t="shared" si="1"/>
        <v>2123006</v>
      </c>
      <c r="N59" s="55">
        <f>VLOOKUP(C59,'116目標底稿ver1'!D:AC, 19,0)</f>
        <v>636994</v>
      </c>
      <c r="O59" s="362">
        <f>VLOOKUP(C59,'116目標底稿ver1'!D:AC, 22, 0)</f>
        <v>2760000</v>
      </c>
      <c r="P59" s="115">
        <v>53100000</v>
      </c>
      <c r="Q59" s="115">
        <v>36575249</v>
      </c>
      <c r="R59" s="375">
        <f t="shared" si="2"/>
        <v>0.69</v>
      </c>
      <c r="S59" s="356">
        <f t="shared" si="3"/>
        <v>-0.94802259887005647</v>
      </c>
      <c r="T59" s="356">
        <f t="shared" si="4"/>
        <v>-0.92453913300767954</v>
      </c>
      <c r="U59" s="115">
        <f t="shared" si="7"/>
        <v>1518000.0000000002</v>
      </c>
      <c r="V59" s="362">
        <v>64670000</v>
      </c>
      <c r="W59" s="394">
        <f t="shared" si="5"/>
        <v>-61910000</v>
      </c>
      <c r="X59" s="45" t="str">
        <f t="shared" si="6"/>
        <v>TYPE_8</v>
      </c>
    </row>
    <row r="60" spans="1:24" ht="18.75" customHeight="1">
      <c r="A60" s="56">
        <v>56</v>
      </c>
      <c r="B60" s="55" t="s">
        <v>7</v>
      </c>
      <c r="C60" s="56">
        <v>167</v>
      </c>
      <c r="D60" s="55" t="s">
        <v>162</v>
      </c>
      <c r="E60" s="55">
        <f>VLOOKUP(C60,'115_分行業績'!A:J,8,0)</f>
        <v>87988931</v>
      </c>
      <c r="F60" s="55">
        <f>VLOOKUP(C60,'115_分行業績'!A:J,9,0)</f>
        <v>100880000</v>
      </c>
      <c r="G60" s="427">
        <f>VLOOKUP(C60, '115_分行業績'!A:G,7,0)</f>
        <v>0.87221383126438523</v>
      </c>
      <c r="H60" s="55" t="str">
        <f>VLOOKUP(X60,原始參數_115!A:D,2,0)</f>
        <v>75%以上，未達90%</v>
      </c>
      <c r="I60" s="55" t="str">
        <f>VLOOKUP(X60,原始參數_115!A:D,4,0)</f>
        <v>分行目標*110%</v>
      </c>
      <c r="J60" s="55">
        <f>VLOOKUP(C60,'115_分行業績'!A:N,14,0)</f>
        <v>110970000</v>
      </c>
      <c r="K60" s="55"/>
      <c r="L60" s="396">
        <f t="shared" si="0"/>
        <v>2733288</v>
      </c>
      <c r="M60" s="55">
        <f t="shared" si="1"/>
        <v>2733288</v>
      </c>
      <c r="N60" s="55">
        <f>VLOOKUP(C60,'116目標底稿ver1'!D:AC, 19,0)</f>
        <v>696712</v>
      </c>
      <c r="O60" s="362">
        <f>VLOOKUP(C60,'116目標底稿ver1'!D:AC, 22, 0)</f>
        <v>3430000</v>
      </c>
      <c r="P60" s="115">
        <v>87040000</v>
      </c>
      <c r="Q60" s="115">
        <v>58371614</v>
      </c>
      <c r="R60" s="375">
        <f t="shared" si="2"/>
        <v>0.67</v>
      </c>
      <c r="S60" s="356">
        <f t="shared" si="3"/>
        <v>-0.96059283088235292</v>
      </c>
      <c r="T60" s="356">
        <f t="shared" si="4"/>
        <v>-0.94123856160633146</v>
      </c>
      <c r="U60" s="115">
        <f t="shared" si="7"/>
        <v>1886500.0000000002</v>
      </c>
      <c r="V60" s="362">
        <v>100670000</v>
      </c>
      <c r="W60" s="394">
        <f t="shared" si="5"/>
        <v>-97240000</v>
      </c>
      <c r="X60" s="45" t="str">
        <f t="shared" si="6"/>
        <v>TYPE_8</v>
      </c>
    </row>
    <row r="61" spans="1:24" ht="18.75" customHeight="1">
      <c r="A61" s="56">
        <v>57</v>
      </c>
      <c r="B61" s="55" t="s">
        <v>7</v>
      </c>
      <c r="C61" s="56">
        <v>168</v>
      </c>
      <c r="D61" s="55" t="s">
        <v>163</v>
      </c>
      <c r="E61" s="55">
        <f>VLOOKUP(C61,'115_分行業績'!A:J,8,0)</f>
        <v>99414533</v>
      </c>
      <c r="F61" s="55">
        <f>VLOOKUP(C61,'115_分行業績'!A:J,9,0)</f>
        <v>93940000</v>
      </c>
      <c r="G61" s="427">
        <f>VLOOKUP(C61, '115_分行業績'!A:G,7,0)</f>
        <v>1.058276910056198</v>
      </c>
      <c r="H61" s="55" t="str">
        <f>VLOOKUP(X61,原始參數_115!A:D,2,0)</f>
        <v>100%以上，未達110%</v>
      </c>
      <c r="I61" s="55" t="str">
        <f>VLOOKUP(X61,原始參數_115!A:D,4,0)</f>
        <v>預估實績*105%</v>
      </c>
      <c r="J61" s="55">
        <f>VLOOKUP(C61,'115_分行業績'!A:N,14,0)</f>
        <v>104390000</v>
      </c>
      <c r="K61" s="55"/>
      <c r="L61" s="396">
        <f t="shared" si="0"/>
        <v>2553194</v>
      </c>
      <c r="M61" s="55">
        <f t="shared" si="1"/>
        <v>2553194</v>
      </c>
      <c r="N61" s="55">
        <f>VLOOKUP(C61,'116目標底稿ver1'!D:AC, 19,0)</f>
        <v>676806</v>
      </c>
      <c r="O61" s="362">
        <f>VLOOKUP(C61,'116目標底稿ver1'!D:AC, 22, 0)</f>
        <v>3230000</v>
      </c>
      <c r="P61" s="115">
        <v>81040000</v>
      </c>
      <c r="Q61" s="115">
        <v>62338147</v>
      </c>
      <c r="R61" s="375">
        <f t="shared" si="2"/>
        <v>0.77</v>
      </c>
      <c r="S61" s="356">
        <f t="shared" si="3"/>
        <v>-0.96014313919052319</v>
      </c>
      <c r="T61" s="356">
        <f t="shared" si="4"/>
        <v>-0.94818581951112535</v>
      </c>
      <c r="U61" s="115">
        <f t="shared" si="7"/>
        <v>1776500.0000000002</v>
      </c>
      <c r="V61" s="362">
        <v>93680000</v>
      </c>
      <c r="W61" s="394">
        <f t="shared" si="5"/>
        <v>-90450000</v>
      </c>
      <c r="X61" s="45" t="str">
        <f t="shared" si="6"/>
        <v>TYPE_6</v>
      </c>
    </row>
    <row r="62" spans="1:24" ht="18.75" customHeight="1">
      <c r="A62" s="56">
        <v>58</v>
      </c>
      <c r="B62" s="55" t="s">
        <v>7</v>
      </c>
      <c r="C62" s="56">
        <v>169</v>
      </c>
      <c r="D62" s="55" t="s">
        <v>85</v>
      </c>
      <c r="E62" s="55">
        <f>VLOOKUP(C62,'115_分行業績'!A:J,8,0)</f>
        <v>71520993</v>
      </c>
      <c r="F62" s="55">
        <f>VLOOKUP(C62,'115_分行業績'!A:J,9,0)</f>
        <v>75130000</v>
      </c>
      <c r="G62" s="427">
        <f>VLOOKUP(C62, '115_分行業績'!A:G,7,0)</f>
        <v>0.9519631662416187</v>
      </c>
      <c r="H62" s="55" t="str">
        <f>VLOOKUP(X62,原始參數_115!A:D,2,0)</f>
        <v>90%以上，未達100%</v>
      </c>
      <c r="I62" s="55" t="str">
        <f>VLOOKUP(X62,原始參數_115!A:D,4,0)</f>
        <v>分行目標*105%</v>
      </c>
      <c r="J62" s="55">
        <f>VLOOKUP(C62,'115_分行業績'!A:N,14,0)</f>
        <v>78890000</v>
      </c>
      <c r="K62" s="55"/>
      <c r="L62" s="396">
        <f t="shared" si="0"/>
        <v>2112724</v>
      </c>
      <c r="M62" s="55">
        <f t="shared" si="1"/>
        <v>2112724</v>
      </c>
      <c r="N62" s="55">
        <f>VLOOKUP(C62,'116目標底稿ver1'!D:AC, 19,0)</f>
        <v>577276</v>
      </c>
      <c r="O62" s="362">
        <f>VLOOKUP(C62,'116目標底稿ver1'!D:AC, 22, 0)</f>
        <v>2690000</v>
      </c>
      <c r="P62" s="115">
        <v>64610000</v>
      </c>
      <c r="Q62" s="115">
        <v>50480862</v>
      </c>
      <c r="R62" s="375">
        <f t="shared" si="2"/>
        <v>0.78</v>
      </c>
      <c r="S62" s="356">
        <f t="shared" si="3"/>
        <v>-0.95836557808388789</v>
      </c>
      <c r="T62" s="356">
        <f t="shared" si="4"/>
        <v>-0.94671247887961973</v>
      </c>
      <c r="U62" s="115">
        <f t="shared" si="7"/>
        <v>1479500.0000000002</v>
      </c>
      <c r="V62" s="362">
        <v>74930000</v>
      </c>
      <c r="W62" s="394">
        <f t="shared" si="5"/>
        <v>-72240000</v>
      </c>
      <c r="X62" s="45" t="str">
        <f t="shared" si="6"/>
        <v>TYPE_7</v>
      </c>
    </row>
    <row r="63" spans="1:24" ht="18.75" customHeight="1">
      <c r="A63" s="56">
        <v>59</v>
      </c>
      <c r="B63" s="55" t="s">
        <v>7</v>
      </c>
      <c r="C63" s="56">
        <v>170</v>
      </c>
      <c r="D63" s="55" t="s">
        <v>164</v>
      </c>
      <c r="E63" s="55">
        <f>VLOOKUP(C63,'115_分行業績'!A:J,8,0)</f>
        <v>76868205</v>
      </c>
      <c r="F63" s="55">
        <f>VLOOKUP(C63,'115_分行業績'!A:J,9,0)</f>
        <v>64280000</v>
      </c>
      <c r="G63" s="427">
        <f>VLOOKUP(C63, '115_分行業績'!A:G,7,0)</f>
        <v>1.1958339310031776</v>
      </c>
      <c r="H63" s="55" t="str">
        <f>VLOOKUP(X63,原始參數_115!A:D,2,0)</f>
        <v>110%以上，未達120%</v>
      </c>
      <c r="I63" s="55" t="str">
        <f>VLOOKUP(X63,原始參數_115!A:D,4,0)</f>
        <v>預估實績*103%</v>
      </c>
      <c r="J63" s="55">
        <f>VLOOKUP(C63,'115_分行業績'!A:N,14,0)</f>
        <v>79170000</v>
      </c>
      <c r="K63" s="55"/>
      <c r="L63" s="396">
        <f t="shared" si="0"/>
        <v>1892536</v>
      </c>
      <c r="M63" s="55">
        <f t="shared" si="1"/>
        <v>1892536</v>
      </c>
      <c r="N63" s="55">
        <f>VLOOKUP(C63,'116目標底稿ver1'!D:AC, 19,0)</f>
        <v>537464</v>
      </c>
      <c r="O63" s="362">
        <f>VLOOKUP(C63,'116目標底稿ver1'!D:AC, 22, 0)</f>
        <v>2430000</v>
      </c>
      <c r="P63" s="115">
        <v>55290000</v>
      </c>
      <c r="Q63" s="115">
        <v>49005414</v>
      </c>
      <c r="R63" s="375">
        <f t="shared" si="2"/>
        <v>0.89</v>
      </c>
      <c r="S63" s="356">
        <f t="shared" si="3"/>
        <v>-0.95604991861096034</v>
      </c>
      <c r="T63" s="356">
        <f t="shared" si="4"/>
        <v>-0.95041364205187617</v>
      </c>
      <c r="U63" s="115">
        <f t="shared" si="7"/>
        <v>1336500</v>
      </c>
      <c r="V63" s="362">
        <v>64170000</v>
      </c>
      <c r="W63" s="394">
        <f t="shared" si="5"/>
        <v>-61740000</v>
      </c>
      <c r="X63" s="45" t="str">
        <f t="shared" si="6"/>
        <v>TYPE_5</v>
      </c>
    </row>
    <row r="64" spans="1:24" ht="18.75" customHeight="1">
      <c r="A64" s="56">
        <v>60</v>
      </c>
      <c r="B64" s="55" t="s">
        <v>7</v>
      </c>
      <c r="C64" s="56">
        <v>171</v>
      </c>
      <c r="D64" s="55" t="s">
        <v>86</v>
      </c>
      <c r="E64" s="55">
        <f>VLOOKUP(C64,'115_分行業績'!A:J,8,0)</f>
        <v>89702081</v>
      </c>
      <c r="F64" s="55">
        <f>VLOOKUP(C64,'115_分行業績'!A:J,9,0)</f>
        <v>61230000</v>
      </c>
      <c r="G64" s="427">
        <f>VLOOKUP(C64, '115_分行業績'!A:G,7,0)</f>
        <v>1.4650021338860102</v>
      </c>
      <c r="H64" s="55" t="str">
        <f>VLOOKUP(X64,原始參數_115!A:D,2,0)</f>
        <v>130%以上，未達150%</v>
      </c>
      <c r="I64" s="55" t="str">
        <f>VLOOKUP(X64,原始參數_115!A:D,4,0)</f>
        <v>預估實績*90%</v>
      </c>
      <c r="J64" s="55">
        <f>VLOOKUP(C64,'115_分行業績'!A:N,14,0)</f>
        <v>80730000</v>
      </c>
      <c r="K64" s="55"/>
      <c r="L64" s="396">
        <f t="shared" si="0"/>
        <v>1792443</v>
      </c>
      <c r="M64" s="55">
        <f t="shared" si="1"/>
        <v>1792443</v>
      </c>
      <c r="N64" s="55">
        <f>VLOOKUP(C64,'116目標底稿ver1'!D:AC, 19,0)</f>
        <v>517557</v>
      </c>
      <c r="O64" s="362">
        <f>VLOOKUP(C64,'116目標底稿ver1'!D:AC, 22, 0)</f>
        <v>2310000</v>
      </c>
      <c r="P64" s="115">
        <v>53970000</v>
      </c>
      <c r="Q64" s="115">
        <v>55092845</v>
      </c>
      <c r="R64" s="375">
        <f t="shared" si="2"/>
        <v>1.02</v>
      </c>
      <c r="S64" s="356">
        <f t="shared" si="3"/>
        <v>-0.95719844357976658</v>
      </c>
      <c r="T64" s="356">
        <f t="shared" si="4"/>
        <v>-0.95807078033454252</v>
      </c>
      <c r="U64" s="115">
        <f t="shared" si="7"/>
        <v>1270500</v>
      </c>
      <c r="V64" s="362">
        <v>61060000</v>
      </c>
      <c r="W64" s="394">
        <f t="shared" si="5"/>
        <v>-58750000</v>
      </c>
      <c r="X64" s="45" t="str">
        <f t="shared" si="6"/>
        <v>TYPE_3</v>
      </c>
    </row>
    <row r="65" spans="1:24" ht="18.75" customHeight="1">
      <c r="A65" s="56">
        <v>61</v>
      </c>
      <c r="B65" s="55" t="s">
        <v>7</v>
      </c>
      <c r="C65" s="56">
        <v>172</v>
      </c>
      <c r="D65" s="55" t="s">
        <v>14</v>
      </c>
      <c r="E65" s="55">
        <f>VLOOKUP(C65,'115_分行業績'!A:J,8,0)</f>
        <v>52796873</v>
      </c>
      <c r="F65" s="55">
        <f>VLOOKUP(C65,'115_分行業績'!A:J,9,0)</f>
        <v>38160000</v>
      </c>
      <c r="G65" s="427">
        <f>VLOOKUP(C65, '115_分行業績'!A:G,7,0)</f>
        <v>1.3835658638464865</v>
      </c>
      <c r="H65" s="55" t="str">
        <f>VLOOKUP(X65,原始參數_115!A:D,2,0)</f>
        <v>130%以上，未達150%</v>
      </c>
      <c r="I65" s="55" t="str">
        <f>VLOOKUP(X65,原始參數_115!A:D,4,0)</f>
        <v>預估實績*90%</v>
      </c>
      <c r="J65" s="55">
        <f>VLOOKUP(C65,'115_分行業績'!A:N,14,0)</f>
        <v>47520000</v>
      </c>
      <c r="K65" s="55"/>
      <c r="L65" s="396">
        <f t="shared" si="0"/>
        <v>1342255</v>
      </c>
      <c r="M65" s="55">
        <f t="shared" si="1"/>
        <v>1342255</v>
      </c>
      <c r="N65" s="55">
        <f>VLOOKUP(C65,'116目標底稿ver1'!D:AC, 19,0)</f>
        <v>477745</v>
      </c>
      <c r="O65" s="362">
        <f>VLOOKUP(C65,'116目標底稿ver1'!D:AC, 22, 0)</f>
        <v>1820000</v>
      </c>
      <c r="P65" s="115">
        <v>32300000</v>
      </c>
      <c r="Q65" s="115">
        <v>24498095</v>
      </c>
      <c r="R65" s="375">
        <f t="shared" si="2"/>
        <v>0.76</v>
      </c>
      <c r="S65" s="356">
        <f t="shared" si="3"/>
        <v>-0.94365325077399376</v>
      </c>
      <c r="T65" s="356">
        <f t="shared" si="4"/>
        <v>-0.92570850917183556</v>
      </c>
      <c r="U65" s="115">
        <f t="shared" si="7"/>
        <v>1001000.0000000001</v>
      </c>
      <c r="V65" s="362">
        <v>38030000</v>
      </c>
      <c r="W65" s="394">
        <f t="shared" si="5"/>
        <v>-36210000</v>
      </c>
      <c r="X65" s="45" t="str">
        <f t="shared" si="6"/>
        <v>TYPE_3</v>
      </c>
    </row>
    <row r="66" spans="1:24" ht="18.75" customHeight="1">
      <c r="A66" s="56">
        <v>62</v>
      </c>
      <c r="B66" s="55" t="s">
        <v>11</v>
      </c>
      <c r="C66" s="56">
        <v>173</v>
      </c>
      <c r="D66" s="55" t="s">
        <v>15</v>
      </c>
      <c r="E66" s="55">
        <f>VLOOKUP(C66,'115_分行業績'!A:J,8,0)</f>
        <v>36336774</v>
      </c>
      <c r="F66" s="55">
        <f>VLOOKUP(C66,'115_分行業績'!A:J,9,0)</f>
        <v>51200000</v>
      </c>
      <c r="G66" s="427">
        <f>VLOOKUP(C66, '115_分行業績'!A:G,7,0)</f>
        <v>0.70970262101271464</v>
      </c>
      <c r="H66" s="55" t="str">
        <f>VLOOKUP(X66,原始參數_115!A:D,2,0)</f>
        <v>未達75%</v>
      </c>
      <c r="I66" s="55" t="str">
        <f>VLOOKUP(X66,原始參數_115!A:D,4,0)</f>
        <v>分行目標*115%</v>
      </c>
      <c r="J66" s="55">
        <f>VLOOKUP(C66,'115_分行業績'!A:N,14,0)</f>
        <v>58880000</v>
      </c>
      <c r="K66" s="55"/>
      <c r="L66" s="396">
        <f t="shared" si="0"/>
        <v>1392724</v>
      </c>
      <c r="M66" s="55">
        <f t="shared" si="1"/>
        <v>1392724</v>
      </c>
      <c r="N66" s="55">
        <f>VLOOKUP(C66,'116目標底稿ver1'!D:AC, 19,0)</f>
        <v>577276</v>
      </c>
      <c r="O66" s="362">
        <f>VLOOKUP(C66,'116目標底稿ver1'!D:AC, 22, 0)</f>
        <v>1970000</v>
      </c>
      <c r="P66" s="115">
        <v>42000000</v>
      </c>
      <c r="Q66" s="115">
        <v>30885468</v>
      </c>
      <c r="R66" s="375">
        <f t="shared" si="2"/>
        <v>0.74</v>
      </c>
      <c r="S66" s="356">
        <f t="shared" si="3"/>
        <v>-0.95309523809523811</v>
      </c>
      <c r="T66" s="356">
        <f t="shared" si="4"/>
        <v>-0.93621595761475918</v>
      </c>
      <c r="U66" s="115">
        <f t="shared" si="7"/>
        <v>1083500</v>
      </c>
      <c r="V66" s="362">
        <v>51060000</v>
      </c>
      <c r="W66" s="394">
        <f t="shared" si="5"/>
        <v>-49090000</v>
      </c>
      <c r="X66" s="45" t="str">
        <f t="shared" si="6"/>
        <v>TYPE_9</v>
      </c>
    </row>
    <row r="67" spans="1:24" ht="18.75" customHeight="1">
      <c r="A67" s="56">
        <v>63</v>
      </c>
      <c r="B67" s="55" t="s">
        <v>7</v>
      </c>
      <c r="C67" s="56">
        <v>174</v>
      </c>
      <c r="D67" s="55" t="s">
        <v>16</v>
      </c>
      <c r="E67" s="55">
        <f>VLOOKUP(C67,'115_分行業績'!A:J,8,0)</f>
        <v>124307550</v>
      </c>
      <c r="F67" s="55">
        <f>VLOOKUP(C67,'115_分行業績'!A:J,9,0)</f>
        <v>104860000</v>
      </c>
      <c r="G67" s="427">
        <f>VLOOKUP(C67, '115_分行業績'!A:G,7,0)</f>
        <v>1.1854620445799753</v>
      </c>
      <c r="H67" s="55" t="str">
        <f>VLOOKUP(X67,原始參數_115!A:D,2,0)</f>
        <v>110%以上，未達120%</v>
      </c>
      <c r="I67" s="55" t="str">
        <f>VLOOKUP(X67,原始參數_115!A:D,4,0)</f>
        <v>預估實績*103%</v>
      </c>
      <c r="J67" s="55">
        <f>VLOOKUP(C67,'115_分行業績'!A:N,14,0)</f>
        <v>128040000</v>
      </c>
      <c r="K67" s="55"/>
      <c r="L67" s="396">
        <f t="shared" si="0"/>
        <v>2983382</v>
      </c>
      <c r="M67" s="55">
        <f t="shared" si="1"/>
        <v>2983382</v>
      </c>
      <c r="N67" s="55">
        <f>VLOOKUP(C67,'116目標底稿ver1'!D:AC, 19,0)</f>
        <v>716618</v>
      </c>
      <c r="O67" s="362">
        <f>VLOOKUP(C67,'116目標底稿ver1'!D:AC, 22, 0)</f>
        <v>3700000</v>
      </c>
      <c r="P67" s="115">
        <v>85470000</v>
      </c>
      <c r="Q67" s="115">
        <v>99449880</v>
      </c>
      <c r="R67" s="375">
        <f t="shared" si="2"/>
        <v>1.1599999999999999</v>
      </c>
      <c r="S67" s="356">
        <f t="shared" si="3"/>
        <v>-0.95670995670995673</v>
      </c>
      <c r="T67" s="356">
        <f t="shared" si="4"/>
        <v>-0.9627953296675672</v>
      </c>
      <c r="U67" s="115">
        <f t="shared" si="7"/>
        <v>2035000.0000000002</v>
      </c>
      <c r="V67" s="362">
        <v>104630000</v>
      </c>
      <c r="W67" s="394">
        <f t="shared" si="5"/>
        <v>-100930000</v>
      </c>
      <c r="X67" s="45" t="str">
        <f t="shared" si="6"/>
        <v>TYPE_5</v>
      </c>
    </row>
    <row r="68" spans="1:24" ht="18.75" customHeight="1">
      <c r="A68" s="56">
        <v>64</v>
      </c>
      <c r="B68" s="55" t="s">
        <v>7</v>
      </c>
      <c r="C68" s="56">
        <v>175</v>
      </c>
      <c r="D68" s="55" t="s">
        <v>165</v>
      </c>
      <c r="E68" s="55">
        <f>VLOOKUP(C68,'115_分行業績'!A:J,8,0)</f>
        <v>63605529</v>
      </c>
      <c r="F68" s="55">
        <f>VLOOKUP(C68,'115_分行業績'!A:J,9,0)</f>
        <v>71300000</v>
      </c>
      <c r="G68" s="427">
        <f>VLOOKUP(C68, '115_分行業績'!A:G,7,0)</f>
        <v>0.89208316176208946</v>
      </c>
      <c r="H68" s="55" t="str">
        <f>VLOOKUP(X68,原始參數_115!A:D,2,0)</f>
        <v>75%以上，未達90%</v>
      </c>
      <c r="I68" s="55" t="str">
        <f>VLOOKUP(X68,原始參數_115!A:D,4,0)</f>
        <v>分行目標*110%</v>
      </c>
      <c r="J68" s="55">
        <f>VLOOKUP(C68,'115_分行業績'!A:N,14,0)</f>
        <v>78430000</v>
      </c>
      <c r="K68" s="55"/>
      <c r="L68" s="396">
        <f t="shared" si="0"/>
        <v>1953006</v>
      </c>
      <c r="M68" s="55">
        <f t="shared" si="1"/>
        <v>1953006</v>
      </c>
      <c r="N68" s="55">
        <f>VLOOKUP(C68,'116目標底稿ver1'!D:AC, 19,0)</f>
        <v>636994</v>
      </c>
      <c r="O68" s="362">
        <f>VLOOKUP(C68,'116目標底稿ver1'!D:AC, 22, 0)</f>
        <v>2590000</v>
      </c>
      <c r="P68" s="115">
        <v>61460000</v>
      </c>
      <c r="Q68" s="115">
        <v>54215411</v>
      </c>
      <c r="R68" s="375">
        <f t="shared" si="2"/>
        <v>0.88</v>
      </c>
      <c r="S68" s="356">
        <f t="shared" si="3"/>
        <v>-0.95785876993166286</v>
      </c>
      <c r="T68" s="356">
        <f t="shared" si="4"/>
        <v>-0.95222760554190022</v>
      </c>
      <c r="U68" s="115">
        <f t="shared" si="7"/>
        <v>1424500</v>
      </c>
      <c r="V68" s="362">
        <v>71200000</v>
      </c>
      <c r="W68" s="394">
        <f t="shared" si="5"/>
        <v>-68610000</v>
      </c>
      <c r="X68" s="45" t="str">
        <f t="shared" si="6"/>
        <v>TYPE_8</v>
      </c>
    </row>
    <row r="69" spans="1:24" ht="18.75" customHeight="1">
      <c r="A69" s="56">
        <v>65</v>
      </c>
      <c r="B69" s="55" t="s">
        <v>11</v>
      </c>
      <c r="C69" s="56">
        <v>176</v>
      </c>
      <c r="D69" s="55" t="s">
        <v>166</v>
      </c>
      <c r="E69" s="55">
        <f>VLOOKUP(C69,'115_分行業績'!A:J,8,0)</f>
        <v>37796451</v>
      </c>
      <c r="F69" s="55">
        <f>VLOOKUP(C69,'115_分行業績'!A:J,9,0)</f>
        <v>42340000</v>
      </c>
      <c r="G69" s="427">
        <f>VLOOKUP(C69, '115_分行業績'!A:G,7,0)</f>
        <v>0.89268898072946323</v>
      </c>
      <c r="H69" s="55" t="str">
        <f>VLOOKUP(X69,原始參數_115!A:D,2,0)</f>
        <v>75%以上，未達90%</v>
      </c>
      <c r="I69" s="55" t="str">
        <f>VLOOKUP(X69,原始參數_115!A:D,4,0)</f>
        <v>分行目標*110%</v>
      </c>
      <c r="J69" s="55">
        <f>VLOOKUP(C69,'115_分行業績'!A:N,14,0)</f>
        <v>46570000</v>
      </c>
      <c r="K69" s="55"/>
      <c r="L69" s="396">
        <f t="shared" si="0"/>
        <v>1272630</v>
      </c>
      <c r="M69" s="55">
        <f t="shared" si="1"/>
        <v>1272630</v>
      </c>
      <c r="N69" s="55">
        <f>VLOOKUP(C69,'116目標底稿ver1'!D:AC, 19,0)</f>
        <v>557370</v>
      </c>
      <c r="O69" s="362">
        <f>VLOOKUP(C69,'116目標底稿ver1'!D:AC, 22, 0)</f>
        <v>1830000</v>
      </c>
      <c r="P69" s="115">
        <v>37830000</v>
      </c>
      <c r="Q69" s="115">
        <v>35020848</v>
      </c>
      <c r="R69" s="375">
        <f t="shared" si="2"/>
        <v>0.93</v>
      </c>
      <c r="S69" s="356">
        <f t="shared" si="3"/>
        <v>-0.95162569389373508</v>
      </c>
      <c r="T69" s="356">
        <f t="shared" si="4"/>
        <v>-0.94774541153315306</v>
      </c>
      <c r="U69" s="115">
        <f t="shared" si="7"/>
        <v>1006500.0000000001</v>
      </c>
      <c r="V69" s="362">
        <v>42220000</v>
      </c>
      <c r="W69" s="394">
        <f t="shared" si="5"/>
        <v>-40390000</v>
      </c>
      <c r="X69" s="45" t="str">
        <f t="shared" si="6"/>
        <v>TYPE_8</v>
      </c>
    </row>
    <row r="70" spans="1:24" ht="18.75" customHeight="1">
      <c r="A70" s="56">
        <v>66</v>
      </c>
      <c r="B70" s="55" t="s">
        <v>400</v>
      </c>
      <c r="C70" s="56">
        <v>177</v>
      </c>
      <c r="D70" s="55" t="s">
        <v>648</v>
      </c>
      <c r="E70" s="55">
        <f>VLOOKUP(C70,'115_分行業績'!A:J,8,0)</f>
        <v>13618622</v>
      </c>
      <c r="F70" s="55">
        <f>VLOOKUP(C70,'115_分行業績'!A:J,9,0)</f>
        <v>15750000</v>
      </c>
      <c r="G70" s="427">
        <f>VLOOKUP(C70, '115_分行業績'!A:G,7,0)</f>
        <v>0.86467443710210334</v>
      </c>
      <c r="H70" s="55" t="str">
        <f>VLOOKUP(X70,原始參數_115!A:D,2,0)</f>
        <v>75%以上，未達90%</v>
      </c>
      <c r="I70" s="55" t="str">
        <f>VLOOKUP(X70,原始參數_115!A:D,4,0)</f>
        <v>分行目標*110%</v>
      </c>
      <c r="J70" s="55">
        <f>VLOOKUP(C70,'115_分行業績'!A:N,14,0)</f>
        <v>17330000</v>
      </c>
      <c r="K70" s="55"/>
      <c r="L70" s="396">
        <f t="shared" ref="L70:L132" si="8">IF(J70 = M70, "-", M70)</f>
        <v>241597</v>
      </c>
      <c r="M70" s="55">
        <f t="shared" ref="M70:M132" si="9">O70-N70</f>
        <v>241597</v>
      </c>
      <c r="N70" s="55">
        <f>VLOOKUP(C70,'116目標底稿ver1'!D:AC, 19,0)</f>
        <v>338403</v>
      </c>
      <c r="O70" s="362">
        <f>VLOOKUP(C70,'116目標底稿ver1'!D:AC, 22, 0)</f>
        <v>580000</v>
      </c>
      <c r="P70" s="115">
        <v>6640000</v>
      </c>
      <c r="Q70" s="115">
        <v>17157780</v>
      </c>
      <c r="R70" s="375">
        <f t="shared" ref="R70:R132" si="10">ROUND(Q70/P70, 2)</f>
        <v>2.58</v>
      </c>
      <c r="S70" s="356">
        <f t="shared" ref="S70:S132" si="11">O70/P70-1</f>
        <v>-0.91265060240963858</v>
      </c>
      <c r="T70" s="356">
        <f t="shared" ref="T70:T132" si="12">O70/Q70-1</f>
        <v>-0.96619609296773823</v>
      </c>
      <c r="U70" s="115">
        <f t="shared" si="7"/>
        <v>319000</v>
      </c>
      <c r="V70" s="362">
        <v>15720000</v>
      </c>
      <c r="W70" s="394">
        <f t="shared" ref="W70:W132" si="13">O70-V70</f>
        <v>-15140000</v>
      </c>
      <c r="X70" s="45" t="str">
        <f t="shared" ref="X70:X133" si="14">IF(G70&gt;=2, "TYPE_1", IF(G70&gt;=1.5, "TYPE_2", IF(G70&gt;=1.3, "TYPE_3", IF(G70&gt;=1.2, "TYPE_4", IF(G70 &gt;=1.1, "TYPE_5", IF(G70&gt;=1, "TYPE_6", IF(G70&gt;=0.9, "TYPE_7", IF(G70&gt;= 0.75, "TYPE_8", "TYPE_9"))))))))</f>
        <v>TYPE_8</v>
      </c>
    </row>
    <row r="71" spans="1:24" ht="18.75" customHeight="1">
      <c r="A71" s="56">
        <v>67</v>
      </c>
      <c r="B71" s="55" t="s">
        <v>0</v>
      </c>
      <c r="C71" s="56">
        <v>178</v>
      </c>
      <c r="D71" s="55" t="s">
        <v>17</v>
      </c>
      <c r="E71" s="55">
        <f>VLOOKUP(C71,'115_分行業績'!A:J,8,0)</f>
        <v>131519728</v>
      </c>
      <c r="F71" s="55">
        <f>VLOOKUP(C71,'115_分行業績'!A:J,9,0)</f>
        <v>68840000</v>
      </c>
      <c r="G71" s="427">
        <f>VLOOKUP(C71, '115_分行業績'!A:G,7,0)</f>
        <v>1.9105131948899456</v>
      </c>
      <c r="H71" s="55" t="str">
        <f>VLOOKUP(X71,原始參數_115!A:D,2,0)</f>
        <v>150%以上，未達200%</v>
      </c>
      <c r="I71" s="55" t="str">
        <f>VLOOKUP(X71,原始參數_115!A:D,4,0)</f>
        <v>預估實績*80%</v>
      </c>
      <c r="J71" s="55">
        <f>VLOOKUP(C71,'115_分行業績'!A:N,14,0)</f>
        <v>105220000</v>
      </c>
      <c r="K71" s="55"/>
      <c r="L71" s="396">
        <f t="shared" si="8"/>
        <v>2242630</v>
      </c>
      <c r="M71" s="55">
        <f t="shared" si="9"/>
        <v>2242630</v>
      </c>
      <c r="N71" s="55">
        <f>VLOOKUP(C71,'116目標底稿ver1'!D:AC, 19,0)</f>
        <v>557370</v>
      </c>
      <c r="O71" s="362">
        <f>VLOOKUP(C71,'116目標底稿ver1'!D:AC, 22, 0)</f>
        <v>2800000</v>
      </c>
      <c r="P71" s="115">
        <v>51560000</v>
      </c>
      <c r="Q71" s="115">
        <v>78619251</v>
      </c>
      <c r="R71" s="375">
        <f t="shared" si="10"/>
        <v>1.52</v>
      </c>
      <c r="S71" s="356">
        <f t="shared" si="11"/>
        <v>-0.94569433669511249</v>
      </c>
      <c r="T71" s="356">
        <f t="shared" si="12"/>
        <v>-0.96438531321037391</v>
      </c>
      <c r="U71" s="115">
        <f t="shared" ref="U71:U133" si="15">O71*0.55</f>
        <v>1540000.0000000002</v>
      </c>
      <c r="V71" s="362">
        <v>68650000</v>
      </c>
      <c r="W71" s="394">
        <f t="shared" si="13"/>
        <v>-65850000</v>
      </c>
      <c r="X71" s="45" t="str">
        <f t="shared" si="14"/>
        <v>TYPE_2</v>
      </c>
    </row>
    <row r="72" spans="1:24" ht="18.75" customHeight="1">
      <c r="A72" s="56">
        <v>68</v>
      </c>
      <c r="B72" s="55" t="s">
        <v>7</v>
      </c>
      <c r="C72" s="56">
        <v>179</v>
      </c>
      <c r="D72" s="55" t="s">
        <v>167</v>
      </c>
      <c r="E72" s="55">
        <f>VLOOKUP(C72,'115_分行業績'!A:J,8,0)</f>
        <v>75456428</v>
      </c>
      <c r="F72" s="55">
        <f>VLOOKUP(C72,'115_分行業績'!A:J,9,0)</f>
        <v>77460000</v>
      </c>
      <c r="G72" s="427">
        <f>VLOOKUP(C72, '115_分行業績'!A:G,7,0)</f>
        <v>0.97413410464754346</v>
      </c>
      <c r="H72" s="55" t="str">
        <f>VLOOKUP(X72,原始參數_115!A:D,2,0)</f>
        <v>90%以上，未達100%</v>
      </c>
      <c r="I72" s="55" t="str">
        <f>VLOOKUP(X72,原始參數_115!A:D,4,0)</f>
        <v>分行目標*105%</v>
      </c>
      <c r="J72" s="55">
        <f>VLOOKUP(C72,'115_分行業績'!A:N,14,0)</f>
        <v>81330000</v>
      </c>
      <c r="K72" s="55"/>
      <c r="L72" s="396">
        <f t="shared" si="8"/>
        <v>2093288</v>
      </c>
      <c r="M72" s="55">
        <f t="shared" si="9"/>
        <v>2093288</v>
      </c>
      <c r="N72" s="55">
        <f>VLOOKUP(C72,'116目標底稿ver1'!D:AC, 19,0)</f>
        <v>696712</v>
      </c>
      <c r="O72" s="362">
        <f>VLOOKUP(C72,'116目標底稿ver1'!D:AC, 22, 0)</f>
        <v>2790000</v>
      </c>
      <c r="P72" s="115">
        <v>63940000</v>
      </c>
      <c r="Q72" s="115">
        <v>45244586</v>
      </c>
      <c r="R72" s="375">
        <f t="shared" si="10"/>
        <v>0.71</v>
      </c>
      <c r="S72" s="356">
        <f t="shared" si="11"/>
        <v>-0.95636534250860183</v>
      </c>
      <c r="T72" s="356">
        <f t="shared" si="12"/>
        <v>-0.93833516346022039</v>
      </c>
      <c r="U72" s="115">
        <f t="shared" si="15"/>
        <v>1534500.0000000002</v>
      </c>
      <c r="V72" s="362">
        <v>77280000</v>
      </c>
      <c r="W72" s="394">
        <f t="shared" si="13"/>
        <v>-74490000</v>
      </c>
      <c r="X72" s="45" t="str">
        <f t="shared" si="14"/>
        <v>TYPE_7</v>
      </c>
    </row>
    <row r="73" spans="1:24" ht="18.75" customHeight="1">
      <c r="A73" s="56">
        <v>69</v>
      </c>
      <c r="B73" s="55" t="s">
        <v>7</v>
      </c>
      <c r="C73" s="56">
        <v>180</v>
      </c>
      <c r="D73" s="55" t="s">
        <v>168</v>
      </c>
      <c r="E73" s="55">
        <f>VLOOKUP(C73,'115_分行業績'!A:J,8,0)</f>
        <v>104611803</v>
      </c>
      <c r="F73" s="55">
        <f>VLOOKUP(C73,'115_分行業績'!A:J,9,0)</f>
        <v>82960000</v>
      </c>
      <c r="G73" s="427">
        <f>VLOOKUP(C73, '115_分行業績'!A:G,7,0)</f>
        <v>1.2609908721988528</v>
      </c>
      <c r="H73" s="55" t="str">
        <f>VLOOKUP(X73,原始參數_115!A:D,2,0)</f>
        <v>120%以上，未達130%</v>
      </c>
      <c r="I73" s="55" t="str">
        <f>VLOOKUP(X73,原始參數_115!A:D,4,0)</f>
        <v>預估實績*101%</v>
      </c>
      <c r="J73" s="55">
        <f>VLOOKUP(C73,'115_分行業績'!A:N,14,0)</f>
        <v>105660000</v>
      </c>
      <c r="K73" s="55"/>
      <c r="L73" s="396">
        <f t="shared" si="8"/>
        <v>2292818</v>
      </c>
      <c r="M73" s="55">
        <f t="shared" si="9"/>
        <v>2292818</v>
      </c>
      <c r="N73" s="55">
        <f>VLOOKUP(C73,'116目標底稿ver1'!D:AC, 19,0)</f>
        <v>597182</v>
      </c>
      <c r="O73" s="362">
        <f>VLOOKUP(C73,'116目標底稿ver1'!D:AC, 22, 0)</f>
        <v>2890000</v>
      </c>
      <c r="P73" s="115">
        <v>65270000</v>
      </c>
      <c r="Q73" s="115">
        <v>76428997</v>
      </c>
      <c r="R73" s="375">
        <f t="shared" si="10"/>
        <v>1.17</v>
      </c>
      <c r="S73" s="356">
        <f t="shared" si="11"/>
        <v>-0.95572238394361886</v>
      </c>
      <c r="T73" s="356">
        <f t="shared" si="12"/>
        <v>-0.96218712643841187</v>
      </c>
      <c r="U73" s="115">
        <f t="shared" si="15"/>
        <v>1589500.0000000002</v>
      </c>
      <c r="V73" s="362">
        <v>82740000</v>
      </c>
      <c r="W73" s="394">
        <f t="shared" si="13"/>
        <v>-79850000</v>
      </c>
      <c r="X73" s="45" t="str">
        <f t="shared" si="14"/>
        <v>TYPE_4</v>
      </c>
    </row>
    <row r="74" spans="1:24" ht="18.75" customHeight="1">
      <c r="A74" s="56">
        <v>70</v>
      </c>
      <c r="B74" s="55" t="s">
        <v>7</v>
      </c>
      <c r="C74" s="56">
        <v>182</v>
      </c>
      <c r="D74" s="55" t="s">
        <v>169</v>
      </c>
      <c r="E74" s="55">
        <f>VLOOKUP(C74,'115_分行業績'!A:J,8,0)</f>
        <v>49976757</v>
      </c>
      <c r="F74" s="55">
        <f>VLOOKUP(C74,'115_分行業績'!A:J,9,0)</f>
        <v>43610000</v>
      </c>
      <c r="G74" s="427">
        <f>VLOOKUP(C74, '115_分行業績'!A:G,7,0)</f>
        <v>1.14599305249382</v>
      </c>
      <c r="H74" s="55" t="str">
        <f>VLOOKUP(X74,原始參數_115!A:D,2,0)</f>
        <v>110%以上，未達120%</v>
      </c>
      <c r="I74" s="55" t="str">
        <f>VLOOKUP(X74,原始參數_115!A:D,4,0)</f>
        <v>預估實績*103%</v>
      </c>
      <c r="J74" s="55">
        <f>VLOOKUP(C74,'115_分行業績'!A:N,14,0)</f>
        <v>51480000</v>
      </c>
      <c r="K74" s="55"/>
      <c r="L74" s="396">
        <f t="shared" si="8"/>
        <v>1122067</v>
      </c>
      <c r="M74" s="55">
        <f t="shared" si="9"/>
        <v>1122067</v>
      </c>
      <c r="N74" s="55">
        <f>VLOOKUP(C74,'116目標底稿ver1'!D:AC, 19,0)</f>
        <v>437933</v>
      </c>
      <c r="O74" s="362">
        <f>VLOOKUP(C74,'116目標底稿ver1'!D:AC, 22, 0)</f>
        <v>1560000</v>
      </c>
      <c r="P74" s="115">
        <v>35960000</v>
      </c>
      <c r="Q74" s="115">
        <v>25526539</v>
      </c>
      <c r="R74" s="375">
        <f t="shared" si="10"/>
        <v>0.71</v>
      </c>
      <c r="S74" s="356">
        <f t="shared" si="11"/>
        <v>-0.95661846496106784</v>
      </c>
      <c r="T74" s="356">
        <f t="shared" si="12"/>
        <v>-0.93888713232922016</v>
      </c>
      <c r="U74" s="115">
        <f t="shared" si="15"/>
        <v>858000.00000000012</v>
      </c>
      <c r="V74" s="362">
        <v>43560000</v>
      </c>
      <c r="W74" s="394">
        <f t="shared" si="13"/>
        <v>-42000000</v>
      </c>
      <c r="X74" s="45" t="str">
        <f t="shared" si="14"/>
        <v>TYPE_5</v>
      </c>
    </row>
    <row r="75" spans="1:24" ht="18.75" customHeight="1">
      <c r="A75" s="56">
        <v>71</v>
      </c>
      <c r="B75" s="55" t="s">
        <v>7</v>
      </c>
      <c r="C75" s="56">
        <v>183</v>
      </c>
      <c r="D75" s="55" t="s">
        <v>18</v>
      </c>
      <c r="E75" s="55">
        <f>VLOOKUP(C75,'115_分行業績'!A:J,8,0)</f>
        <v>31648331</v>
      </c>
      <c r="F75" s="55">
        <f>VLOOKUP(C75,'115_分行業績'!A:J,9,0)</f>
        <v>38790000</v>
      </c>
      <c r="G75" s="427">
        <f>VLOOKUP(C75, '115_分行業績'!A:G,7,0)</f>
        <v>0.81588890241109691</v>
      </c>
      <c r="H75" s="55" t="str">
        <f>VLOOKUP(X75,原始參數_115!A:D,2,0)</f>
        <v>75%以上，未達90%</v>
      </c>
      <c r="I75" s="55" t="str">
        <f>VLOOKUP(X75,原始參數_115!A:D,4,0)</f>
        <v>分行目標*110%</v>
      </c>
      <c r="J75" s="55">
        <f>VLOOKUP(C75,'115_分行業績'!A:N,14,0)</f>
        <v>42670000</v>
      </c>
      <c r="K75" s="55"/>
      <c r="L75" s="396">
        <f t="shared" si="8"/>
        <v>1212255</v>
      </c>
      <c r="M75" s="55">
        <f t="shared" si="9"/>
        <v>1212255</v>
      </c>
      <c r="N75" s="55">
        <f>VLOOKUP(C75,'116目標底稿ver1'!D:AC, 19,0)</f>
        <v>477745</v>
      </c>
      <c r="O75" s="362">
        <f>VLOOKUP(C75,'116目標底稿ver1'!D:AC, 22, 0)</f>
        <v>1690000</v>
      </c>
      <c r="P75" s="115">
        <v>33000000</v>
      </c>
      <c r="Q75" s="115">
        <v>27548195</v>
      </c>
      <c r="R75" s="375">
        <f t="shared" si="10"/>
        <v>0.83</v>
      </c>
      <c r="S75" s="356">
        <f t="shared" si="11"/>
        <v>-0.94878787878787874</v>
      </c>
      <c r="T75" s="356">
        <f t="shared" si="12"/>
        <v>-0.93865296800752285</v>
      </c>
      <c r="U75" s="115">
        <f t="shared" si="15"/>
        <v>929500.00000000012</v>
      </c>
      <c r="V75" s="362">
        <v>38660000</v>
      </c>
      <c r="W75" s="394">
        <f t="shared" si="13"/>
        <v>-36970000</v>
      </c>
      <c r="X75" s="45" t="str">
        <f t="shared" si="14"/>
        <v>TYPE_8</v>
      </c>
    </row>
    <row r="76" spans="1:24" ht="18.75" customHeight="1">
      <c r="A76" s="56">
        <v>72</v>
      </c>
      <c r="B76" s="55" t="s">
        <v>7</v>
      </c>
      <c r="C76" s="56">
        <v>184</v>
      </c>
      <c r="D76" s="55" t="s">
        <v>19</v>
      </c>
      <c r="E76" s="55">
        <f>VLOOKUP(C76,'115_分行業績'!A:J,8,0)</f>
        <v>64996126</v>
      </c>
      <c r="F76" s="55">
        <f>VLOOKUP(C76,'115_分行業績'!A:J,9,0)</f>
        <v>57280000</v>
      </c>
      <c r="G76" s="427">
        <f>VLOOKUP(C76, '115_分行業績'!A:G,7,0)</f>
        <v>1.134708907931447</v>
      </c>
      <c r="H76" s="55" t="str">
        <f>VLOOKUP(X76,原始參數_115!A:D,2,0)</f>
        <v>110%以上，未達120%</v>
      </c>
      <c r="I76" s="55" t="str">
        <f>VLOOKUP(X76,原始參數_115!A:D,4,0)</f>
        <v>預估實績*103%</v>
      </c>
      <c r="J76" s="55">
        <f>VLOOKUP(C76,'115_分行業績'!A:N,14,0)</f>
        <v>66950000</v>
      </c>
      <c r="K76" s="55"/>
      <c r="L76" s="396">
        <f t="shared" si="8"/>
        <v>1532067</v>
      </c>
      <c r="M76" s="55">
        <f t="shared" si="9"/>
        <v>1532067</v>
      </c>
      <c r="N76" s="55">
        <f>VLOOKUP(C76,'116目標底稿ver1'!D:AC, 19,0)</f>
        <v>437933</v>
      </c>
      <c r="O76" s="362">
        <f>VLOOKUP(C76,'116目標底稿ver1'!D:AC, 22, 0)</f>
        <v>1970000</v>
      </c>
      <c r="P76" s="115">
        <v>46260000</v>
      </c>
      <c r="Q76" s="115">
        <v>52898996</v>
      </c>
      <c r="R76" s="375">
        <f t="shared" si="10"/>
        <v>1.1399999999999999</v>
      </c>
      <c r="S76" s="356">
        <f t="shared" si="11"/>
        <v>-0.95741461305663644</v>
      </c>
      <c r="T76" s="356">
        <f t="shared" si="12"/>
        <v>-0.96275921758515037</v>
      </c>
      <c r="U76" s="115">
        <f t="shared" si="15"/>
        <v>1083500</v>
      </c>
      <c r="V76" s="362">
        <v>57230000</v>
      </c>
      <c r="W76" s="394">
        <f t="shared" si="13"/>
        <v>-55260000</v>
      </c>
      <c r="X76" s="45" t="str">
        <f t="shared" si="14"/>
        <v>TYPE_5</v>
      </c>
    </row>
    <row r="77" spans="1:24" ht="18.75" customHeight="1">
      <c r="A77" s="56">
        <v>73</v>
      </c>
      <c r="B77" s="55" t="s">
        <v>7</v>
      </c>
      <c r="C77" s="56">
        <v>185</v>
      </c>
      <c r="D77" s="55" t="s">
        <v>170</v>
      </c>
      <c r="E77" s="55">
        <f>VLOOKUP(C77,'115_分行業績'!A:J,8,0)</f>
        <v>80510390</v>
      </c>
      <c r="F77" s="55">
        <f>VLOOKUP(C77,'115_分行業績'!A:J,9,0)</f>
        <v>82120000</v>
      </c>
      <c r="G77" s="427">
        <f>VLOOKUP(C77, '115_分行業績'!A:G,7,0)</f>
        <v>0.98039929461029729</v>
      </c>
      <c r="H77" s="55" t="str">
        <f>VLOOKUP(X77,原始參數_115!A:D,2,0)</f>
        <v>90%以上，未達100%</v>
      </c>
      <c r="I77" s="55" t="str">
        <f>VLOOKUP(X77,原始參數_115!A:D,4,0)</f>
        <v>分行目標*105%</v>
      </c>
      <c r="J77" s="55">
        <f>VLOOKUP(C77,'115_分行業績'!A:N,14,0)</f>
        <v>86230000</v>
      </c>
      <c r="K77" s="55"/>
      <c r="L77" s="396">
        <f t="shared" si="8"/>
        <v>2352818</v>
      </c>
      <c r="M77" s="55">
        <f t="shared" si="9"/>
        <v>2352818</v>
      </c>
      <c r="N77" s="55">
        <f>VLOOKUP(C77,'116目標底稿ver1'!D:AC, 19,0)</f>
        <v>597182</v>
      </c>
      <c r="O77" s="362">
        <f>VLOOKUP(C77,'116目標底稿ver1'!D:AC, 22, 0)</f>
        <v>2950000</v>
      </c>
      <c r="P77" s="115">
        <v>69790000</v>
      </c>
      <c r="Q77" s="115">
        <v>74030830</v>
      </c>
      <c r="R77" s="375">
        <f t="shared" si="10"/>
        <v>1.06</v>
      </c>
      <c r="S77" s="356">
        <f t="shared" si="11"/>
        <v>-0.95773033385871897</v>
      </c>
      <c r="T77" s="356">
        <f t="shared" si="12"/>
        <v>-0.96015173678317534</v>
      </c>
      <c r="U77" s="115">
        <f t="shared" si="15"/>
        <v>1622500.0000000002</v>
      </c>
      <c r="V77" s="362">
        <v>81930000</v>
      </c>
      <c r="W77" s="394">
        <f t="shared" si="13"/>
        <v>-78980000</v>
      </c>
      <c r="X77" s="45" t="str">
        <f t="shared" si="14"/>
        <v>TYPE_7</v>
      </c>
    </row>
    <row r="78" spans="1:24" s="371" customFormat="1" ht="18.75" customHeight="1">
      <c r="A78" s="56">
        <v>74</v>
      </c>
      <c r="B78" s="354" t="s">
        <v>11</v>
      </c>
      <c r="C78" s="56">
        <v>186</v>
      </c>
      <c r="D78" s="55" t="s">
        <v>87</v>
      </c>
      <c r="E78" s="55">
        <f>VLOOKUP(C78,'115_分行業績'!A:J,8,0)</f>
        <v>50585750</v>
      </c>
      <c r="F78" s="55">
        <f>VLOOKUP(C78,'115_分行業績'!A:J,9,0)</f>
        <v>77150000</v>
      </c>
      <c r="G78" s="427">
        <f>VLOOKUP(C78, '115_分行業績'!A:G,7,0)</f>
        <v>0.65568048608027885</v>
      </c>
      <c r="H78" s="55" t="str">
        <f>VLOOKUP(X78,原始參數_115!A:D,2,0)</f>
        <v>未達75%</v>
      </c>
      <c r="I78" s="55" t="str">
        <f>VLOOKUP(X78,原始參數_115!A:D,4,0)</f>
        <v>分行目標*115%</v>
      </c>
      <c r="J78" s="55">
        <f>VLOOKUP(C78,'115_分行業績'!A:N,14,0)</f>
        <v>88720000</v>
      </c>
      <c r="K78" s="55"/>
      <c r="L78" s="397">
        <f t="shared" si="8"/>
        <v>2013100</v>
      </c>
      <c r="M78" s="354">
        <f t="shared" si="9"/>
        <v>2013100</v>
      </c>
      <c r="N78" s="354">
        <f>VLOOKUP(C78,'116目標底稿ver1'!D:AC, 19,0)</f>
        <v>656900</v>
      </c>
      <c r="O78" s="377">
        <f>VLOOKUP(C78,'116目標底稿ver1'!D:AC, 22, 0)</f>
        <v>2670000</v>
      </c>
      <c r="P78" s="357">
        <v>43910000</v>
      </c>
      <c r="Q78" s="357">
        <v>40574931</v>
      </c>
      <c r="R78" s="376">
        <f t="shared" si="10"/>
        <v>0.92</v>
      </c>
      <c r="S78" s="355">
        <f t="shared" si="11"/>
        <v>-0.93919380551127307</v>
      </c>
      <c r="T78" s="355">
        <f t="shared" si="12"/>
        <v>-0.93419582155296821</v>
      </c>
      <c r="U78" s="357">
        <f t="shared" si="15"/>
        <v>1468500.0000000002</v>
      </c>
      <c r="V78" s="377">
        <v>77030000</v>
      </c>
      <c r="W78" s="395">
        <f t="shared" si="13"/>
        <v>-74360000</v>
      </c>
      <c r="X78" s="45" t="str">
        <f t="shared" si="14"/>
        <v>TYPE_9</v>
      </c>
    </row>
    <row r="79" spans="1:24" ht="18.75" customHeight="1">
      <c r="A79" s="56">
        <v>75</v>
      </c>
      <c r="B79" s="55" t="s">
        <v>7</v>
      </c>
      <c r="C79" s="56">
        <v>187</v>
      </c>
      <c r="D79" s="55" t="s">
        <v>171</v>
      </c>
      <c r="E79" s="55">
        <f>VLOOKUP(C79,'115_分行業績'!A:J,8,0)</f>
        <v>76406208</v>
      </c>
      <c r="F79" s="55">
        <f>VLOOKUP(C79,'115_分行業績'!A:J,9,0)</f>
        <v>57290000</v>
      </c>
      <c r="G79" s="427">
        <f>VLOOKUP(C79, '115_分行業績'!A:G,7,0)</f>
        <v>1.3336744288213283</v>
      </c>
      <c r="H79" s="55" t="str">
        <f>VLOOKUP(X79,原始參數_115!A:D,2,0)</f>
        <v>130%以上，未達150%</v>
      </c>
      <c r="I79" s="55" t="str">
        <f>VLOOKUP(X79,原始參數_115!A:D,4,0)</f>
        <v>預估實績*90%</v>
      </c>
      <c r="J79" s="55">
        <f>VLOOKUP(C79,'115_分行業績'!A:N,14,0)</f>
        <v>68770000</v>
      </c>
      <c r="K79" s="55"/>
      <c r="L79" s="396">
        <f t="shared" si="8"/>
        <v>1532536</v>
      </c>
      <c r="M79" s="55">
        <f t="shared" si="9"/>
        <v>1532536</v>
      </c>
      <c r="N79" s="55">
        <f>VLOOKUP(C79,'116目標底稿ver1'!D:AC, 19,0)</f>
        <v>537464</v>
      </c>
      <c r="O79" s="362">
        <f>VLOOKUP(C79,'116目標底稿ver1'!D:AC, 22, 0)</f>
        <v>2070000</v>
      </c>
      <c r="P79" s="115">
        <v>47980000</v>
      </c>
      <c r="Q79" s="115">
        <v>51631576</v>
      </c>
      <c r="R79" s="375">
        <f t="shared" si="10"/>
        <v>1.08</v>
      </c>
      <c r="S79" s="356">
        <f t="shared" si="11"/>
        <v>-0.95685702375990001</v>
      </c>
      <c r="T79" s="356">
        <f t="shared" si="12"/>
        <v>-0.95990825459211238</v>
      </c>
      <c r="U79" s="115">
        <f t="shared" si="15"/>
        <v>1138500</v>
      </c>
      <c r="V79" s="362">
        <v>57180000</v>
      </c>
      <c r="W79" s="394">
        <f t="shared" si="13"/>
        <v>-55110000</v>
      </c>
      <c r="X79" s="45" t="str">
        <f t="shared" si="14"/>
        <v>TYPE_3</v>
      </c>
    </row>
    <row r="80" spans="1:24" ht="18.75" customHeight="1">
      <c r="A80" s="56">
        <v>76</v>
      </c>
      <c r="B80" s="55" t="s">
        <v>0</v>
      </c>
      <c r="C80" s="56">
        <v>189</v>
      </c>
      <c r="D80" s="55" t="s">
        <v>172</v>
      </c>
      <c r="E80" s="55">
        <f>VLOOKUP(C80,'115_分行業績'!A:J,8,0)</f>
        <v>90735057</v>
      </c>
      <c r="F80" s="55">
        <f>VLOOKUP(C80,'115_分行業績'!A:J,9,0)</f>
        <v>80500000</v>
      </c>
      <c r="G80" s="427">
        <f>VLOOKUP(C80, '115_分行業績'!A:G,7,0)</f>
        <v>1.1271435590201149</v>
      </c>
      <c r="H80" s="55" t="str">
        <f>VLOOKUP(X80,原始參數_115!A:D,2,0)</f>
        <v>110%以上，未達120%</v>
      </c>
      <c r="I80" s="55" t="str">
        <f>VLOOKUP(X80,原始參數_115!A:D,4,0)</f>
        <v>預估實績*103%</v>
      </c>
      <c r="J80" s="55">
        <f>VLOOKUP(C80,'115_分行業績'!A:N,14,0)</f>
        <v>93460000</v>
      </c>
      <c r="K80" s="55"/>
      <c r="L80" s="396">
        <f t="shared" si="8"/>
        <v>2063100</v>
      </c>
      <c r="M80" s="55">
        <f t="shared" si="9"/>
        <v>2063100</v>
      </c>
      <c r="N80" s="55">
        <f>VLOOKUP(C80,'116目標底稿ver1'!D:AC, 19,0)</f>
        <v>656900</v>
      </c>
      <c r="O80" s="362">
        <f>VLOOKUP(C80,'116目標底稿ver1'!D:AC, 22, 0)</f>
        <v>2720000</v>
      </c>
      <c r="P80" s="115">
        <v>62440000</v>
      </c>
      <c r="Q80" s="115">
        <v>74216055</v>
      </c>
      <c r="R80" s="375">
        <f t="shared" si="10"/>
        <v>1.19</v>
      </c>
      <c r="S80" s="356">
        <f t="shared" si="11"/>
        <v>-0.95643818065342734</v>
      </c>
      <c r="T80" s="356">
        <f t="shared" si="12"/>
        <v>-0.9633502481370102</v>
      </c>
      <c r="U80" s="115">
        <f t="shared" si="15"/>
        <v>1496000.0000000002</v>
      </c>
      <c r="V80" s="362">
        <v>80300000</v>
      </c>
      <c r="W80" s="394">
        <f t="shared" si="13"/>
        <v>-77580000</v>
      </c>
      <c r="X80" s="45" t="str">
        <f t="shared" si="14"/>
        <v>TYPE_5</v>
      </c>
    </row>
    <row r="81" spans="1:24" ht="18.75" customHeight="1">
      <c r="A81" s="56">
        <v>77</v>
      </c>
      <c r="B81" s="55" t="s">
        <v>7</v>
      </c>
      <c r="C81" s="56">
        <v>190</v>
      </c>
      <c r="D81" s="55" t="s">
        <v>173</v>
      </c>
      <c r="E81" s="55">
        <f>VLOOKUP(C81,'115_分行業績'!A:J,8,0)</f>
        <v>81004243</v>
      </c>
      <c r="F81" s="55">
        <f>VLOOKUP(C81,'115_分行業績'!A:J,9,0)</f>
        <v>59460000</v>
      </c>
      <c r="G81" s="427">
        <f>VLOOKUP(C81, '115_分行業績'!A:G,7,0)</f>
        <v>1.3623316975282245</v>
      </c>
      <c r="H81" s="55" t="str">
        <f>VLOOKUP(X81,原始參數_115!A:D,2,0)</f>
        <v>130%以上，未達150%</v>
      </c>
      <c r="I81" s="55" t="str">
        <f>VLOOKUP(X81,原始參數_115!A:D,4,0)</f>
        <v>預估實績*90%</v>
      </c>
      <c r="J81" s="55">
        <f>VLOOKUP(C81,'115_分行業績'!A:N,14,0)</f>
        <v>72900000</v>
      </c>
      <c r="K81" s="55"/>
      <c r="L81" s="396">
        <f t="shared" si="8"/>
        <v>1692724</v>
      </c>
      <c r="M81" s="55">
        <f t="shared" si="9"/>
        <v>1692724</v>
      </c>
      <c r="N81" s="55">
        <f>VLOOKUP(C81,'116目標底稿ver1'!D:AC, 19,0)</f>
        <v>577276</v>
      </c>
      <c r="O81" s="362">
        <f>VLOOKUP(C81,'116目標底稿ver1'!D:AC, 22, 0)</f>
        <v>2270000</v>
      </c>
      <c r="P81" s="115">
        <v>53120000</v>
      </c>
      <c r="Q81" s="115">
        <v>49547610</v>
      </c>
      <c r="R81" s="375">
        <f t="shared" si="10"/>
        <v>0.93</v>
      </c>
      <c r="S81" s="356">
        <f t="shared" si="11"/>
        <v>-0.95726656626506024</v>
      </c>
      <c r="T81" s="356">
        <f t="shared" si="12"/>
        <v>-0.95418547938033738</v>
      </c>
      <c r="U81" s="115">
        <f t="shared" si="15"/>
        <v>1248500</v>
      </c>
      <c r="V81" s="362">
        <v>58940000</v>
      </c>
      <c r="W81" s="394">
        <f t="shared" si="13"/>
        <v>-56670000</v>
      </c>
      <c r="X81" s="45" t="str">
        <f t="shared" si="14"/>
        <v>TYPE_3</v>
      </c>
    </row>
    <row r="82" spans="1:24" ht="18.75" customHeight="1">
      <c r="A82" s="56">
        <v>78</v>
      </c>
      <c r="B82" s="55" t="s">
        <v>11</v>
      </c>
      <c r="C82" s="56">
        <v>191</v>
      </c>
      <c r="D82" s="55" t="s">
        <v>20</v>
      </c>
      <c r="E82" s="55">
        <f>VLOOKUP(C82,'115_分行業績'!A:J,8,0)</f>
        <v>82833914</v>
      </c>
      <c r="F82" s="55">
        <f>VLOOKUP(C82,'115_分行業績'!A:J,9,0)</f>
        <v>75690000</v>
      </c>
      <c r="G82" s="427">
        <f>VLOOKUP(C82, '115_分行業績'!A:G,7,0)</f>
        <v>1.094383860146191</v>
      </c>
      <c r="H82" s="55" t="str">
        <f>VLOOKUP(X82,原始參數_115!A:D,2,0)</f>
        <v>100%以上，未達110%</v>
      </c>
      <c r="I82" s="55" t="str">
        <f>VLOOKUP(X82,原始參數_115!A:D,4,0)</f>
        <v>預估實績*105%</v>
      </c>
      <c r="J82" s="55">
        <f>VLOOKUP(C82,'115_分行業績'!A:N,14,0)</f>
        <v>86980000</v>
      </c>
      <c r="K82" s="55"/>
      <c r="L82" s="396">
        <f t="shared" si="8"/>
        <v>2172912</v>
      </c>
      <c r="M82" s="55">
        <f t="shared" si="9"/>
        <v>2172912</v>
      </c>
      <c r="N82" s="55">
        <f>VLOOKUP(C82,'116目標底稿ver1'!D:AC, 19,0)</f>
        <v>617088</v>
      </c>
      <c r="O82" s="362">
        <f>VLOOKUP(C82,'116目標底稿ver1'!D:AC, 22, 0)</f>
        <v>2790000</v>
      </c>
      <c r="P82" s="115">
        <v>67630000</v>
      </c>
      <c r="Q82" s="115">
        <v>68076271</v>
      </c>
      <c r="R82" s="375">
        <f t="shared" si="10"/>
        <v>1.01</v>
      </c>
      <c r="S82" s="356">
        <f t="shared" si="11"/>
        <v>-0.95874611858642611</v>
      </c>
      <c r="T82" s="356">
        <f t="shared" si="12"/>
        <v>-0.95901655659135621</v>
      </c>
      <c r="U82" s="115">
        <f t="shared" si="15"/>
        <v>1534500.0000000002</v>
      </c>
      <c r="V82" s="362">
        <v>75500000</v>
      </c>
      <c r="W82" s="394">
        <f t="shared" si="13"/>
        <v>-72710000</v>
      </c>
      <c r="X82" s="45" t="str">
        <f t="shared" si="14"/>
        <v>TYPE_6</v>
      </c>
    </row>
    <row r="83" spans="1:24" ht="18.75" customHeight="1">
      <c r="A83" s="56">
        <v>79</v>
      </c>
      <c r="B83" s="55" t="s">
        <v>7</v>
      </c>
      <c r="C83" s="56">
        <v>192</v>
      </c>
      <c r="D83" s="55" t="s">
        <v>174</v>
      </c>
      <c r="E83" s="55">
        <f>VLOOKUP(C83,'115_分行業績'!A:J,8,0)</f>
        <v>95382733</v>
      </c>
      <c r="F83" s="55">
        <f>VLOOKUP(C83,'115_分行業績'!A:J,9,0)</f>
        <v>77470000</v>
      </c>
      <c r="G83" s="427">
        <f>VLOOKUP(C83, '115_分行業績'!A:G,7,0)</f>
        <v>1.2312215455573214</v>
      </c>
      <c r="H83" s="55" t="str">
        <f>VLOOKUP(X83,原始參數_115!A:D,2,0)</f>
        <v>120%以上，未達130%</v>
      </c>
      <c r="I83" s="55" t="str">
        <f>VLOOKUP(X83,原始參數_115!A:D,4,0)</f>
        <v>預估實績*101%</v>
      </c>
      <c r="J83" s="55">
        <f>VLOOKUP(C83,'115_分行業績'!A:N,14,0)</f>
        <v>96340000</v>
      </c>
      <c r="K83" s="55"/>
      <c r="L83" s="396">
        <f t="shared" si="8"/>
        <v>2003194</v>
      </c>
      <c r="M83" s="55">
        <f t="shared" si="9"/>
        <v>2003194</v>
      </c>
      <c r="N83" s="55">
        <f>VLOOKUP(C83,'116目標底稿ver1'!D:AC, 19,0)</f>
        <v>676806</v>
      </c>
      <c r="O83" s="362">
        <f>VLOOKUP(C83,'116目標底稿ver1'!D:AC, 22, 0)</f>
        <v>2680000</v>
      </c>
      <c r="P83" s="115">
        <v>66730000</v>
      </c>
      <c r="Q83" s="115">
        <v>56220355</v>
      </c>
      <c r="R83" s="375">
        <f t="shared" si="10"/>
        <v>0.84</v>
      </c>
      <c r="S83" s="356">
        <f t="shared" si="11"/>
        <v>-0.95983815375393378</v>
      </c>
      <c r="T83" s="356">
        <f t="shared" si="12"/>
        <v>-0.95233043263423012</v>
      </c>
      <c r="U83" s="115">
        <f t="shared" si="15"/>
        <v>1474000.0000000002</v>
      </c>
      <c r="V83" s="362">
        <v>77210000</v>
      </c>
      <c r="W83" s="394">
        <f t="shared" si="13"/>
        <v>-74530000</v>
      </c>
      <c r="X83" s="45" t="str">
        <f t="shared" si="14"/>
        <v>TYPE_4</v>
      </c>
    </row>
    <row r="84" spans="1:24" ht="18.75" customHeight="1">
      <c r="A84" s="56">
        <v>80</v>
      </c>
      <c r="B84" s="55" t="s">
        <v>11</v>
      </c>
      <c r="C84" s="56">
        <v>193</v>
      </c>
      <c r="D84" s="55" t="s">
        <v>21</v>
      </c>
      <c r="E84" s="55">
        <f>VLOOKUP(C84,'115_分行業績'!A:J,8,0)</f>
        <v>40700836</v>
      </c>
      <c r="F84" s="55">
        <f>VLOOKUP(C84,'115_分行業績'!A:J,9,0)</f>
        <v>56200000</v>
      </c>
      <c r="G84" s="427">
        <f>VLOOKUP(C84, '115_分行業績'!A:G,7,0)</f>
        <v>0.72421415835101821</v>
      </c>
      <c r="H84" s="55" t="str">
        <f>VLOOKUP(X84,原始參數_115!A:D,2,0)</f>
        <v>未達75%</v>
      </c>
      <c r="I84" s="55" t="str">
        <f>VLOOKUP(X84,原始參數_115!A:D,4,0)</f>
        <v>分行目標*115%</v>
      </c>
      <c r="J84" s="55">
        <f>VLOOKUP(C84,'115_分行業績'!A:N,14,0)</f>
        <v>64630000</v>
      </c>
      <c r="K84" s="55"/>
      <c r="L84" s="396">
        <f t="shared" si="8"/>
        <v>1932912</v>
      </c>
      <c r="M84" s="55">
        <f t="shared" si="9"/>
        <v>1932912</v>
      </c>
      <c r="N84" s="55">
        <f>VLOOKUP(C84,'116目標底稿ver1'!D:AC, 19,0)</f>
        <v>617088</v>
      </c>
      <c r="O84" s="362">
        <f>VLOOKUP(C84,'116目標底稿ver1'!D:AC, 22, 0)</f>
        <v>2550000</v>
      </c>
      <c r="P84" s="115">
        <v>47780000</v>
      </c>
      <c r="Q84" s="115">
        <v>42143667</v>
      </c>
      <c r="R84" s="375">
        <f t="shared" si="10"/>
        <v>0.88</v>
      </c>
      <c r="S84" s="356">
        <f t="shared" si="11"/>
        <v>-0.94663038928421939</v>
      </c>
      <c r="T84" s="356">
        <f t="shared" si="12"/>
        <v>-0.93949268818966325</v>
      </c>
      <c r="U84" s="115">
        <f t="shared" si="15"/>
        <v>1402500</v>
      </c>
      <c r="V84" s="362">
        <v>56040000</v>
      </c>
      <c r="W84" s="394">
        <f t="shared" si="13"/>
        <v>-53490000</v>
      </c>
      <c r="X84" s="45" t="str">
        <f t="shared" si="14"/>
        <v>TYPE_9</v>
      </c>
    </row>
    <row r="85" spans="1:24" ht="18.75" customHeight="1">
      <c r="A85" s="56">
        <v>81</v>
      </c>
      <c r="B85" s="55" t="s">
        <v>11</v>
      </c>
      <c r="C85" s="56">
        <v>194</v>
      </c>
      <c r="D85" s="55" t="s">
        <v>175</v>
      </c>
      <c r="E85" s="55">
        <f>VLOOKUP(C85,'115_分行業績'!A:J,8,0)</f>
        <v>36561726</v>
      </c>
      <c r="F85" s="55">
        <f>VLOOKUP(C85,'115_分行業績'!A:J,9,0)</f>
        <v>49050000</v>
      </c>
      <c r="G85" s="427">
        <f>VLOOKUP(C85, '115_分行業績'!A:G,7,0)</f>
        <v>0.7453970591126633</v>
      </c>
      <c r="H85" s="55" t="str">
        <f>VLOOKUP(X85,原始參數_115!A:D,2,0)</f>
        <v>未達75%</v>
      </c>
      <c r="I85" s="55" t="str">
        <f>VLOOKUP(X85,原始參數_115!A:D,4,0)</f>
        <v>分行目標*115%</v>
      </c>
      <c r="J85" s="55">
        <f>VLOOKUP(C85,'115_分行業績'!A:N,14,0)</f>
        <v>56410000</v>
      </c>
      <c r="K85" s="55"/>
      <c r="L85" s="396">
        <f t="shared" si="8"/>
        <v>1592349</v>
      </c>
      <c r="M85" s="55">
        <f t="shared" si="9"/>
        <v>1592349</v>
      </c>
      <c r="N85" s="55">
        <f>VLOOKUP(C85,'116目標底稿ver1'!D:AC, 19,0)</f>
        <v>497651</v>
      </c>
      <c r="O85" s="362">
        <f>VLOOKUP(C85,'116目標底稿ver1'!D:AC, 22, 0)</f>
        <v>2090000</v>
      </c>
      <c r="P85" s="115">
        <v>41800000</v>
      </c>
      <c r="Q85" s="115">
        <v>33067714</v>
      </c>
      <c r="R85" s="375">
        <f t="shared" si="10"/>
        <v>0.79</v>
      </c>
      <c r="S85" s="356">
        <f t="shared" si="11"/>
        <v>-0.95</v>
      </c>
      <c r="T85" s="356">
        <f t="shared" si="12"/>
        <v>-0.93679635671216943</v>
      </c>
      <c r="U85" s="115">
        <f t="shared" si="15"/>
        <v>1149500</v>
      </c>
      <c r="V85" s="362">
        <v>48920000</v>
      </c>
      <c r="W85" s="394">
        <f t="shared" si="13"/>
        <v>-46830000</v>
      </c>
      <c r="X85" s="45" t="str">
        <f t="shared" si="14"/>
        <v>TYPE_9</v>
      </c>
    </row>
    <row r="86" spans="1:24" ht="18.75" customHeight="1">
      <c r="A86" s="56">
        <v>82</v>
      </c>
      <c r="B86" s="55" t="s">
        <v>7</v>
      </c>
      <c r="C86" s="56">
        <v>195</v>
      </c>
      <c r="D86" s="55" t="s">
        <v>22</v>
      </c>
      <c r="E86" s="55">
        <f>VLOOKUP(C86,'115_分行業績'!A:J,8,0)</f>
        <v>44181883</v>
      </c>
      <c r="F86" s="55">
        <f>VLOOKUP(C86,'115_分行業績'!A:J,9,0)</f>
        <v>47320000</v>
      </c>
      <c r="G86" s="427">
        <f>VLOOKUP(C86, '115_分行業績'!A:G,7,0)</f>
        <v>0.93368307618051649</v>
      </c>
      <c r="H86" s="55" t="str">
        <f>VLOOKUP(X86,原始參數_115!A:D,2,0)</f>
        <v>90%以上，未達100%</v>
      </c>
      <c r="I86" s="55" t="str">
        <f>VLOOKUP(X86,原始參數_115!A:D,4,0)</f>
        <v>分行目標*105%</v>
      </c>
      <c r="J86" s="55">
        <f>VLOOKUP(C86,'115_分行業績'!A:N,14,0)</f>
        <v>49690000</v>
      </c>
      <c r="K86" s="55"/>
      <c r="L86" s="396">
        <f t="shared" si="8"/>
        <v>1182161</v>
      </c>
      <c r="M86" s="55">
        <f t="shared" si="9"/>
        <v>1182161</v>
      </c>
      <c r="N86" s="55">
        <f>VLOOKUP(C86,'116目標底稿ver1'!D:AC, 19,0)</f>
        <v>457839</v>
      </c>
      <c r="O86" s="362">
        <f>VLOOKUP(C86,'116目標底稿ver1'!D:AC, 22, 0)</f>
        <v>1640000</v>
      </c>
      <c r="P86" s="115">
        <v>40850000</v>
      </c>
      <c r="Q86" s="115">
        <v>33954328</v>
      </c>
      <c r="R86" s="375">
        <f t="shared" si="10"/>
        <v>0.83</v>
      </c>
      <c r="S86" s="356">
        <f t="shared" si="11"/>
        <v>-0.95985312117503063</v>
      </c>
      <c r="T86" s="356">
        <f t="shared" si="12"/>
        <v>-0.95169982454077728</v>
      </c>
      <c r="U86" s="115">
        <f t="shared" si="15"/>
        <v>902000.00000000012</v>
      </c>
      <c r="V86" s="362">
        <v>47220000</v>
      </c>
      <c r="W86" s="394">
        <f t="shared" si="13"/>
        <v>-45580000</v>
      </c>
      <c r="X86" s="45" t="str">
        <f t="shared" si="14"/>
        <v>TYPE_7</v>
      </c>
    </row>
    <row r="87" spans="1:24" ht="18.75" customHeight="1">
      <c r="A87" s="56">
        <v>83</v>
      </c>
      <c r="B87" s="55" t="s">
        <v>11</v>
      </c>
      <c r="C87" s="56">
        <v>196</v>
      </c>
      <c r="D87" s="55" t="s">
        <v>88</v>
      </c>
      <c r="E87" s="55">
        <f>VLOOKUP(C87,'115_分行業績'!A:J,8,0)</f>
        <v>52883916</v>
      </c>
      <c r="F87" s="55">
        <f>VLOOKUP(C87,'115_分行業績'!A:J,9,0)</f>
        <v>53910000</v>
      </c>
      <c r="G87" s="427">
        <f>VLOOKUP(C87, '115_分行業績'!A:G,7,0)</f>
        <v>0.98096672221437642</v>
      </c>
      <c r="H87" s="55" t="str">
        <f>VLOOKUP(X87,原始參數_115!A:D,2,0)</f>
        <v>90%以上，未達100%</v>
      </c>
      <c r="I87" s="55" t="str">
        <f>VLOOKUP(X87,原始參數_115!A:D,4,0)</f>
        <v>分行目標*105%</v>
      </c>
      <c r="J87" s="55">
        <f>VLOOKUP(C87,'115_分行業績'!A:N,14,0)</f>
        <v>56610000</v>
      </c>
      <c r="K87" s="55"/>
      <c r="L87" s="396">
        <f t="shared" si="8"/>
        <v>1552255</v>
      </c>
      <c r="M87" s="55">
        <f t="shared" si="9"/>
        <v>1552255</v>
      </c>
      <c r="N87" s="55">
        <f>VLOOKUP(C87,'116目標底稿ver1'!D:AC, 19,0)</f>
        <v>477745</v>
      </c>
      <c r="O87" s="362">
        <f>VLOOKUP(C87,'116目標底稿ver1'!D:AC, 22, 0)</f>
        <v>2030000</v>
      </c>
      <c r="P87" s="115">
        <v>44400000</v>
      </c>
      <c r="Q87" s="115">
        <v>30522841</v>
      </c>
      <c r="R87" s="375">
        <f t="shared" si="10"/>
        <v>0.69</v>
      </c>
      <c r="S87" s="356">
        <f t="shared" si="11"/>
        <v>-0.95427927927927925</v>
      </c>
      <c r="T87" s="356">
        <f t="shared" si="12"/>
        <v>-0.93349242948911604</v>
      </c>
      <c r="U87" s="115">
        <f t="shared" si="15"/>
        <v>1116500</v>
      </c>
      <c r="V87" s="362">
        <v>53780000</v>
      </c>
      <c r="W87" s="394">
        <f t="shared" si="13"/>
        <v>-51750000</v>
      </c>
      <c r="X87" s="45" t="str">
        <f t="shared" si="14"/>
        <v>TYPE_7</v>
      </c>
    </row>
    <row r="88" spans="1:24" ht="18.75" customHeight="1">
      <c r="A88" s="56">
        <v>84</v>
      </c>
      <c r="B88" s="55" t="s">
        <v>11</v>
      </c>
      <c r="C88" s="56">
        <v>197</v>
      </c>
      <c r="D88" s="55" t="s">
        <v>23</v>
      </c>
      <c r="E88" s="55">
        <f>VLOOKUP(C88,'115_分行業績'!A:J,8,0)</f>
        <v>27985794</v>
      </c>
      <c r="F88" s="55">
        <f>VLOOKUP(C88,'115_分行業績'!A:J,9,0)</f>
        <v>33530000</v>
      </c>
      <c r="G88" s="427">
        <f>VLOOKUP(C88, '115_分行業績'!A:G,7,0)</f>
        <v>0.83464940223357942</v>
      </c>
      <c r="H88" s="55" t="str">
        <f>VLOOKUP(X88,原始參數_115!A:D,2,0)</f>
        <v>75%以上，未達90%</v>
      </c>
      <c r="I88" s="55" t="str">
        <f>VLOOKUP(X88,原始參數_115!A:D,4,0)</f>
        <v>分行目標*110%</v>
      </c>
      <c r="J88" s="55">
        <f>VLOOKUP(C88,'115_分行業績'!A:N,14,0)</f>
        <v>36880000</v>
      </c>
      <c r="K88" s="55"/>
      <c r="L88" s="396">
        <f t="shared" si="8"/>
        <v>822067</v>
      </c>
      <c r="M88" s="55">
        <f t="shared" si="9"/>
        <v>822067</v>
      </c>
      <c r="N88" s="55">
        <f>VLOOKUP(C88,'116目標底稿ver1'!D:AC, 19,0)</f>
        <v>437933</v>
      </c>
      <c r="O88" s="362">
        <f>VLOOKUP(C88,'116目標底稿ver1'!D:AC, 22, 0)</f>
        <v>1260000</v>
      </c>
      <c r="P88" s="115">
        <v>25170000</v>
      </c>
      <c r="Q88" s="115">
        <v>23616693</v>
      </c>
      <c r="R88" s="375">
        <f t="shared" si="10"/>
        <v>0.94</v>
      </c>
      <c r="S88" s="356">
        <f t="shared" si="11"/>
        <v>-0.94994040524433854</v>
      </c>
      <c r="T88" s="356">
        <f t="shared" si="12"/>
        <v>-0.9466479070545567</v>
      </c>
      <c r="U88" s="115">
        <f t="shared" si="15"/>
        <v>693000</v>
      </c>
      <c r="V88" s="362">
        <v>33410000</v>
      </c>
      <c r="W88" s="394">
        <f t="shared" si="13"/>
        <v>-32150000</v>
      </c>
      <c r="X88" s="45" t="str">
        <f t="shared" si="14"/>
        <v>TYPE_8</v>
      </c>
    </row>
    <row r="89" spans="1:24" ht="18.75" customHeight="1">
      <c r="A89" s="56">
        <v>85</v>
      </c>
      <c r="B89" s="55" t="s">
        <v>11</v>
      </c>
      <c r="C89" s="56">
        <v>199</v>
      </c>
      <c r="D89" s="55" t="s">
        <v>24</v>
      </c>
      <c r="E89" s="55">
        <f>VLOOKUP(C89,'115_分行業績'!A:J,8,0)</f>
        <v>58292427</v>
      </c>
      <c r="F89" s="55">
        <f>VLOOKUP(C89,'115_分行業績'!A:J,9,0)</f>
        <v>42110000</v>
      </c>
      <c r="G89" s="427">
        <f>VLOOKUP(C89, '115_分行業績'!A:G,7,0)</f>
        <v>1.3842894066596354</v>
      </c>
      <c r="H89" s="55" t="str">
        <f>VLOOKUP(X89,原始參數_115!A:D,2,0)</f>
        <v>130%以上，未達150%</v>
      </c>
      <c r="I89" s="55" t="str">
        <f>VLOOKUP(X89,原始參數_115!A:D,4,0)</f>
        <v>預估實績*90%</v>
      </c>
      <c r="J89" s="55">
        <f>VLOOKUP(C89,'115_分行業績'!A:N,14,0)</f>
        <v>52460000</v>
      </c>
      <c r="K89" s="55"/>
      <c r="L89" s="396">
        <f t="shared" si="8"/>
        <v>1132536</v>
      </c>
      <c r="M89" s="55">
        <f t="shared" si="9"/>
        <v>1132536</v>
      </c>
      <c r="N89" s="55">
        <f>VLOOKUP(C89,'116目標底稿ver1'!D:AC, 19,0)</f>
        <v>537464</v>
      </c>
      <c r="O89" s="362">
        <f>VLOOKUP(C89,'116目標底稿ver1'!D:AC, 22, 0)</f>
        <v>1670000</v>
      </c>
      <c r="P89" s="115">
        <v>34740000</v>
      </c>
      <c r="Q89" s="115">
        <v>38615072</v>
      </c>
      <c r="R89" s="375">
        <f t="shared" si="10"/>
        <v>1.1100000000000001</v>
      </c>
      <c r="S89" s="356">
        <f t="shared" si="11"/>
        <v>-0.9519286125503742</v>
      </c>
      <c r="T89" s="356">
        <f t="shared" si="12"/>
        <v>-0.95675263793370635</v>
      </c>
      <c r="U89" s="115">
        <f t="shared" si="15"/>
        <v>918500.00000000012</v>
      </c>
      <c r="V89" s="362">
        <v>42000000</v>
      </c>
      <c r="W89" s="394">
        <f t="shared" si="13"/>
        <v>-40330000</v>
      </c>
      <c r="X89" s="45" t="str">
        <f t="shared" si="14"/>
        <v>TYPE_3</v>
      </c>
    </row>
    <row r="90" spans="1:24" ht="18.75" customHeight="1">
      <c r="A90" s="56">
        <v>86</v>
      </c>
      <c r="B90" s="55" t="s">
        <v>7</v>
      </c>
      <c r="C90" s="56">
        <v>200</v>
      </c>
      <c r="D90" s="55" t="s">
        <v>89</v>
      </c>
      <c r="E90" s="55">
        <f>VLOOKUP(C90,'115_分行業績'!A:J,8,0)</f>
        <v>38909027</v>
      </c>
      <c r="F90" s="55">
        <f>VLOOKUP(C90,'115_分行業績'!A:J,9,0)</f>
        <v>46120000</v>
      </c>
      <c r="G90" s="427">
        <f>VLOOKUP(C90, '115_分行業績'!A:G,7,0)</f>
        <v>0.8436476037512719</v>
      </c>
      <c r="H90" s="55" t="str">
        <f>VLOOKUP(X90,原始參數_115!A:D,2,0)</f>
        <v>75%以上，未達90%</v>
      </c>
      <c r="I90" s="55" t="str">
        <f>VLOOKUP(X90,原始參數_115!A:D,4,0)</f>
        <v>分行目標*110%</v>
      </c>
      <c r="J90" s="55">
        <f>VLOOKUP(C90,'115_分行業績'!A:N,14,0)</f>
        <v>50730000</v>
      </c>
      <c r="K90" s="55"/>
      <c r="L90" s="396">
        <f t="shared" si="8"/>
        <v>1282255</v>
      </c>
      <c r="M90" s="55">
        <f t="shared" si="9"/>
        <v>1282255</v>
      </c>
      <c r="N90" s="55">
        <f>VLOOKUP(C90,'116目標底稿ver1'!D:AC, 19,0)</f>
        <v>477745</v>
      </c>
      <c r="O90" s="362">
        <f>VLOOKUP(C90,'116目標底稿ver1'!D:AC, 22, 0)</f>
        <v>1760000</v>
      </c>
      <c r="P90" s="115">
        <v>37980000</v>
      </c>
      <c r="Q90" s="115">
        <v>27549976</v>
      </c>
      <c r="R90" s="375">
        <f t="shared" si="10"/>
        <v>0.73</v>
      </c>
      <c r="S90" s="356">
        <f t="shared" si="11"/>
        <v>-0.95365982095839918</v>
      </c>
      <c r="T90" s="356">
        <f t="shared" si="12"/>
        <v>-0.93611609679805163</v>
      </c>
      <c r="U90" s="115">
        <f t="shared" si="15"/>
        <v>968000.00000000012</v>
      </c>
      <c r="V90" s="362">
        <v>46070000</v>
      </c>
      <c r="W90" s="394">
        <f t="shared" si="13"/>
        <v>-44310000</v>
      </c>
      <c r="X90" s="45" t="str">
        <f t="shared" si="14"/>
        <v>TYPE_8</v>
      </c>
    </row>
    <row r="91" spans="1:24" ht="18.75" customHeight="1">
      <c r="A91" s="56">
        <v>87</v>
      </c>
      <c r="B91" s="55" t="s">
        <v>7</v>
      </c>
      <c r="C91" s="56">
        <v>201</v>
      </c>
      <c r="D91" s="55" t="s">
        <v>90</v>
      </c>
      <c r="E91" s="55">
        <f>VLOOKUP(C91,'115_分行業績'!A:J,8,0)</f>
        <v>50826486</v>
      </c>
      <c r="F91" s="55">
        <f>VLOOKUP(C91,'115_分行業績'!A:J,9,0)</f>
        <v>51890000</v>
      </c>
      <c r="G91" s="427">
        <f>VLOOKUP(C91, '115_分行業績'!A:G,7,0)</f>
        <v>0.97950444816707838</v>
      </c>
      <c r="H91" s="55" t="str">
        <f>VLOOKUP(X91,原始參數_115!A:D,2,0)</f>
        <v>90%以上，未達100%</v>
      </c>
      <c r="I91" s="55" t="str">
        <f>VLOOKUP(X91,原始參數_115!A:D,4,0)</f>
        <v>分行目標*105%</v>
      </c>
      <c r="J91" s="55">
        <f>VLOOKUP(C91,'115_分行業績'!A:N,14,0)</f>
        <v>54480000</v>
      </c>
      <c r="K91" s="55"/>
      <c r="L91" s="396">
        <f t="shared" si="8"/>
        <v>1382349</v>
      </c>
      <c r="M91" s="55">
        <f t="shared" si="9"/>
        <v>1382349</v>
      </c>
      <c r="N91" s="55">
        <f>VLOOKUP(C91,'116目標底稿ver1'!D:AC, 19,0)</f>
        <v>497651</v>
      </c>
      <c r="O91" s="362">
        <f>VLOOKUP(C91,'116目標底稿ver1'!D:AC, 22, 0)</f>
        <v>1880000</v>
      </c>
      <c r="P91" s="115">
        <v>44670000</v>
      </c>
      <c r="Q91" s="115">
        <v>39270800</v>
      </c>
      <c r="R91" s="375">
        <f t="shared" si="10"/>
        <v>0.88</v>
      </c>
      <c r="S91" s="356">
        <f t="shared" si="11"/>
        <v>-0.95791358853816877</v>
      </c>
      <c r="T91" s="356">
        <f t="shared" si="12"/>
        <v>-0.95212728032023797</v>
      </c>
      <c r="U91" s="115">
        <f t="shared" si="15"/>
        <v>1034000.0000000001</v>
      </c>
      <c r="V91" s="362">
        <v>51740000</v>
      </c>
      <c r="W91" s="394">
        <f t="shared" si="13"/>
        <v>-49860000</v>
      </c>
      <c r="X91" s="45" t="str">
        <f t="shared" si="14"/>
        <v>TYPE_7</v>
      </c>
    </row>
    <row r="92" spans="1:24" ht="18.75" customHeight="1">
      <c r="A92" s="56">
        <v>88</v>
      </c>
      <c r="B92" s="55" t="s">
        <v>7</v>
      </c>
      <c r="C92" s="56">
        <v>211</v>
      </c>
      <c r="D92" s="55" t="s">
        <v>25</v>
      </c>
      <c r="E92" s="55">
        <f>VLOOKUP(C92,'115_分行業績'!A:J,8,0)</f>
        <v>79114408</v>
      </c>
      <c r="F92" s="55">
        <f>VLOOKUP(C92,'115_分行業績'!A:J,9,0)</f>
        <v>53780000</v>
      </c>
      <c r="G92" s="427">
        <f>VLOOKUP(C92, '115_分行業績'!A:G,7,0)</f>
        <v>1.4710748887315634</v>
      </c>
      <c r="H92" s="55" t="str">
        <f>VLOOKUP(X92,原始參數_115!A:D,2,0)</f>
        <v>130%以上，未達150%</v>
      </c>
      <c r="I92" s="55" t="str">
        <f>VLOOKUP(X92,原始參數_115!A:D,4,0)</f>
        <v>預估實績*90%</v>
      </c>
      <c r="J92" s="55">
        <f>VLOOKUP(C92,'115_分行業績'!A:N,14,0)</f>
        <v>71200000</v>
      </c>
      <c r="K92" s="55"/>
      <c r="L92" s="396">
        <f t="shared" si="8"/>
        <v>1452630</v>
      </c>
      <c r="M92" s="55">
        <f t="shared" si="9"/>
        <v>1452630</v>
      </c>
      <c r="N92" s="55">
        <f>VLOOKUP(C92,'116目標底稿ver1'!D:AC, 19,0)</f>
        <v>557370</v>
      </c>
      <c r="O92" s="362">
        <f>VLOOKUP(C92,'116目標底稿ver1'!D:AC, 22, 0)</f>
        <v>2010000</v>
      </c>
      <c r="P92" s="115">
        <v>43630000</v>
      </c>
      <c r="Q92" s="115">
        <v>49395895</v>
      </c>
      <c r="R92" s="375">
        <f t="shared" si="10"/>
        <v>1.1299999999999999</v>
      </c>
      <c r="S92" s="356">
        <f t="shared" si="11"/>
        <v>-0.95393078157231259</v>
      </c>
      <c r="T92" s="356">
        <f t="shared" si="12"/>
        <v>-0.95930835953068572</v>
      </c>
      <c r="U92" s="115">
        <f t="shared" si="15"/>
        <v>1105500</v>
      </c>
      <c r="V92" s="362">
        <v>53610000</v>
      </c>
      <c r="W92" s="394">
        <f t="shared" si="13"/>
        <v>-51600000</v>
      </c>
      <c r="X92" s="45" t="str">
        <f t="shared" si="14"/>
        <v>TYPE_3</v>
      </c>
    </row>
    <row r="93" spans="1:24" ht="18.75" customHeight="1">
      <c r="A93" s="56">
        <v>89</v>
      </c>
      <c r="B93" s="55" t="s">
        <v>7</v>
      </c>
      <c r="C93" s="56">
        <v>220</v>
      </c>
      <c r="D93" s="55" t="s">
        <v>26</v>
      </c>
      <c r="E93" s="55">
        <f>VLOOKUP(C93,'115_分行業績'!A:J,8,0)</f>
        <v>52028367</v>
      </c>
      <c r="F93" s="55">
        <f>VLOOKUP(C93,'115_分行業績'!A:J,9,0)</f>
        <v>42760000</v>
      </c>
      <c r="G93" s="427">
        <f>VLOOKUP(C93, '115_分行業績'!A:G,7,0)</f>
        <v>1.2167531973879488</v>
      </c>
      <c r="H93" s="55" t="str">
        <f>VLOOKUP(X93,原始參數_115!A:D,2,0)</f>
        <v>120%以上，未達130%</v>
      </c>
      <c r="I93" s="55" t="str">
        <f>VLOOKUP(X93,原始參數_115!A:D,4,0)</f>
        <v>預估實績*101%</v>
      </c>
      <c r="J93" s="55">
        <f>VLOOKUP(C93,'115_分行業績'!A:N,14,0)</f>
        <v>52550000</v>
      </c>
      <c r="K93" s="55"/>
      <c r="L93" s="396">
        <f t="shared" si="8"/>
        <v>1152443</v>
      </c>
      <c r="M93" s="55">
        <f t="shared" si="9"/>
        <v>1152443</v>
      </c>
      <c r="N93" s="55">
        <f>VLOOKUP(C93,'116目標底稿ver1'!D:AC, 19,0)</f>
        <v>517557</v>
      </c>
      <c r="O93" s="362">
        <f>VLOOKUP(C93,'116目標底稿ver1'!D:AC, 22, 0)</f>
        <v>1670000</v>
      </c>
      <c r="P93" s="115">
        <v>36640000</v>
      </c>
      <c r="Q93" s="115">
        <v>32646480</v>
      </c>
      <c r="R93" s="375">
        <f t="shared" si="10"/>
        <v>0.89</v>
      </c>
      <c r="S93" s="356">
        <f t="shared" si="11"/>
        <v>-0.95442139737991272</v>
      </c>
      <c r="T93" s="356">
        <f t="shared" si="12"/>
        <v>-0.94884593989918664</v>
      </c>
      <c r="U93" s="115">
        <f t="shared" si="15"/>
        <v>918500.00000000012</v>
      </c>
      <c r="V93" s="362">
        <v>42610000</v>
      </c>
      <c r="W93" s="394">
        <f t="shared" si="13"/>
        <v>-40940000</v>
      </c>
      <c r="X93" s="45" t="str">
        <f t="shared" si="14"/>
        <v>TYPE_4</v>
      </c>
    </row>
    <row r="94" spans="1:24" ht="18.75" customHeight="1">
      <c r="A94" s="56">
        <v>90</v>
      </c>
      <c r="B94" s="55" t="s">
        <v>7</v>
      </c>
      <c r="C94" s="56">
        <v>221</v>
      </c>
      <c r="D94" s="55" t="s">
        <v>27</v>
      </c>
      <c r="E94" s="55">
        <f>VLOOKUP(C94,'115_分行業績'!A:J,8,0)</f>
        <v>46798736</v>
      </c>
      <c r="F94" s="55">
        <f>VLOOKUP(C94,'115_分行業績'!A:J,9,0)</f>
        <v>42840000</v>
      </c>
      <c r="G94" s="427">
        <f>VLOOKUP(C94, '115_分行業績'!A:G,7,0)</f>
        <v>1.0924074672631392</v>
      </c>
      <c r="H94" s="55" t="str">
        <f>VLOOKUP(X94,原始參數_115!A:D,2,0)</f>
        <v>100%以上，未達110%</v>
      </c>
      <c r="I94" s="55" t="str">
        <f>VLOOKUP(X94,原始參數_115!A:D,4,0)</f>
        <v>預估實績*105%</v>
      </c>
      <c r="J94" s="55">
        <f>VLOOKUP(C94,'115_分行業績'!A:N,14,0)</f>
        <v>49140000</v>
      </c>
      <c r="K94" s="55"/>
      <c r="L94" s="396">
        <f t="shared" si="8"/>
        <v>1122255</v>
      </c>
      <c r="M94" s="55">
        <f t="shared" si="9"/>
        <v>1122255</v>
      </c>
      <c r="N94" s="55">
        <f>VLOOKUP(C94,'116目標底稿ver1'!D:AC, 19,0)</f>
        <v>477745</v>
      </c>
      <c r="O94" s="362">
        <f>VLOOKUP(C94,'116目標底稿ver1'!D:AC, 22, 0)</f>
        <v>1600000</v>
      </c>
      <c r="P94" s="115">
        <v>38480000</v>
      </c>
      <c r="Q94" s="115">
        <v>35547429</v>
      </c>
      <c r="R94" s="375">
        <f t="shared" si="10"/>
        <v>0.92</v>
      </c>
      <c r="S94" s="356">
        <f t="shared" si="11"/>
        <v>-0.95841995841995842</v>
      </c>
      <c r="T94" s="356">
        <f t="shared" si="12"/>
        <v>-0.95498971247681519</v>
      </c>
      <c r="U94" s="115">
        <f t="shared" si="15"/>
        <v>880000.00000000012</v>
      </c>
      <c r="V94" s="362">
        <v>42710000</v>
      </c>
      <c r="W94" s="394">
        <f t="shared" si="13"/>
        <v>-41110000</v>
      </c>
      <c r="X94" s="45" t="str">
        <f t="shared" si="14"/>
        <v>TYPE_6</v>
      </c>
    </row>
    <row r="95" spans="1:24" ht="18.75" customHeight="1">
      <c r="A95" s="56">
        <v>91</v>
      </c>
      <c r="B95" s="55" t="s">
        <v>11</v>
      </c>
      <c r="C95" s="56">
        <v>240</v>
      </c>
      <c r="D95" s="55" t="s">
        <v>177</v>
      </c>
      <c r="E95" s="55">
        <f>VLOOKUP(C95,'115_分行業績'!A:J,8,0)</f>
        <v>107901864</v>
      </c>
      <c r="F95" s="55">
        <f>VLOOKUP(C95,'115_分行業績'!A:J,9,0)</f>
        <v>88890000</v>
      </c>
      <c r="G95" s="427">
        <f>VLOOKUP(C95, '115_分行業績'!A:G,7,0)</f>
        <v>1.2138807975101009</v>
      </c>
      <c r="H95" s="55" t="str">
        <f>VLOOKUP(X95,原始參數_115!A:D,2,0)</f>
        <v>120%以上，未達130%</v>
      </c>
      <c r="I95" s="55" t="str">
        <f>VLOOKUP(X95,原始參數_115!A:D,4,0)</f>
        <v>預估實績*101%</v>
      </c>
      <c r="J95" s="55">
        <f>VLOOKUP(C95,'115_分行業績'!A:N,14,0)</f>
        <v>108980000</v>
      </c>
      <c r="K95" s="55"/>
      <c r="L95" s="396">
        <f t="shared" si="8"/>
        <v>2472835</v>
      </c>
      <c r="M95" s="55">
        <f t="shared" si="9"/>
        <v>2472835</v>
      </c>
      <c r="N95" s="55">
        <f>VLOOKUP(C95,'116目標底稿ver1'!D:AC, 19,0)</f>
        <v>697165</v>
      </c>
      <c r="O95" s="362">
        <f>VLOOKUP(C95,'116目標底稿ver1'!D:AC, 22, 0)</f>
        <v>3170000</v>
      </c>
      <c r="P95" s="115">
        <v>76040000</v>
      </c>
      <c r="Q95" s="115">
        <v>80156260</v>
      </c>
      <c r="R95" s="375">
        <f t="shared" si="10"/>
        <v>1.05</v>
      </c>
      <c r="S95" s="356">
        <f t="shared" si="11"/>
        <v>-0.95831141504471329</v>
      </c>
      <c r="T95" s="356">
        <f t="shared" si="12"/>
        <v>-0.96045224664923234</v>
      </c>
      <c r="U95" s="115">
        <f t="shared" si="15"/>
        <v>1743500.0000000002</v>
      </c>
      <c r="V95" s="362">
        <v>88650000</v>
      </c>
      <c r="W95" s="394">
        <f t="shared" si="13"/>
        <v>-85480000</v>
      </c>
      <c r="X95" s="45" t="str">
        <f t="shared" si="14"/>
        <v>TYPE_4</v>
      </c>
    </row>
    <row r="96" spans="1:24" ht="18.75" customHeight="1">
      <c r="A96" s="56">
        <v>92</v>
      </c>
      <c r="B96" s="55" t="s">
        <v>11</v>
      </c>
      <c r="C96" s="56">
        <v>241</v>
      </c>
      <c r="D96" s="55" t="s">
        <v>91</v>
      </c>
      <c r="E96" s="55">
        <f>VLOOKUP(C96,'115_分行業績'!A:J,8,0)</f>
        <v>106580847</v>
      </c>
      <c r="F96" s="55">
        <f>VLOOKUP(C96,'115_分行業績'!A:J,9,0)</f>
        <v>95850000</v>
      </c>
      <c r="G96" s="427">
        <f>VLOOKUP(C96, '115_分行業績'!A:G,7,0)</f>
        <v>1.1119545828644062</v>
      </c>
      <c r="H96" s="55" t="str">
        <f>VLOOKUP(X96,原始參數_115!A:D,2,0)</f>
        <v>110%以上，未達120%</v>
      </c>
      <c r="I96" s="55" t="str">
        <f>VLOOKUP(X96,原始參數_115!A:D,4,0)</f>
        <v>預估實績*103%</v>
      </c>
      <c r="J96" s="55">
        <f>VLOOKUP(C96,'115_分行業績'!A:N,14,0)</f>
        <v>109780000</v>
      </c>
      <c r="K96" s="55"/>
      <c r="L96" s="396">
        <f t="shared" si="8"/>
        <v>2602835</v>
      </c>
      <c r="M96" s="55">
        <f t="shared" si="9"/>
        <v>2602835</v>
      </c>
      <c r="N96" s="55">
        <f>VLOOKUP(C96,'116目標底稿ver1'!D:AC, 19,0)</f>
        <v>697165</v>
      </c>
      <c r="O96" s="362">
        <f>VLOOKUP(C96,'116目標底稿ver1'!D:AC, 22, 0)</f>
        <v>3300000</v>
      </c>
      <c r="P96" s="115">
        <v>82580000</v>
      </c>
      <c r="Q96" s="115">
        <v>64183015</v>
      </c>
      <c r="R96" s="375">
        <f t="shared" si="10"/>
        <v>0.78</v>
      </c>
      <c r="S96" s="356">
        <f t="shared" si="11"/>
        <v>-0.96003875030273678</v>
      </c>
      <c r="T96" s="356">
        <f t="shared" si="12"/>
        <v>-0.94858452816527861</v>
      </c>
      <c r="U96" s="115">
        <f t="shared" si="15"/>
        <v>1815000.0000000002</v>
      </c>
      <c r="V96" s="362">
        <v>95590000</v>
      </c>
      <c r="W96" s="394">
        <f t="shared" si="13"/>
        <v>-92290000</v>
      </c>
      <c r="X96" s="45" t="str">
        <f t="shared" si="14"/>
        <v>TYPE_5</v>
      </c>
    </row>
    <row r="97" spans="1:24" ht="18.75" customHeight="1">
      <c r="A97" s="56">
        <v>93</v>
      </c>
      <c r="B97" s="55" t="s">
        <v>11</v>
      </c>
      <c r="C97" s="56">
        <v>242</v>
      </c>
      <c r="D97" s="55" t="s">
        <v>28</v>
      </c>
      <c r="E97" s="55">
        <f>VLOOKUP(C97,'115_分行業績'!A:J,8,0)</f>
        <v>91803483</v>
      </c>
      <c r="F97" s="55">
        <f>VLOOKUP(C97,'115_分行業績'!A:J,9,0)</f>
        <v>90750000</v>
      </c>
      <c r="G97" s="427">
        <f>VLOOKUP(C97, '115_分行業績'!A:G,7,0)</f>
        <v>1.0116086278978718</v>
      </c>
      <c r="H97" s="55" t="str">
        <f>VLOOKUP(X97,原始參數_115!A:D,2,0)</f>
        <v>100%以上，未達110%</v>
      </c>
      <c r="I97" s="55" t="str">
        <f>VLOOKUP(X97,原始參數_115!A:D,4,0)</f>
        <v>預估實績*105%</v>
      </c>
      <c r="J97" s="55">
        <f>VLOOKUP(C97,'115_分行業績'!A:N,14,0)</f>
        <v>96390000</v>
      </c>
      <c r="K97" s="55"/>
      <c r="L97" s="396">
        <f t="shared" si="8"/>
        <v>2642818</v>
      </c>
      <c r="M97" s="55">
        <f t="shared" si="9"/>
        <v>2642818</v>
      </c>
      <c r="N97" s="55">
        <f>VLOOKUP(C97,'116目標底稿ver1'!D:AC, 19,0)</f>
        <v>597182</v>
      </c>
      <c r="O97" s="362">
        <f>VLOOKUP(C97,'116目標底稿ver1'!D:AC, 22, 0)</f>
        <v>3240000</v>
      </c>
      <c r="P97" s="115">
        <v>78240000</v>
      </c>
      <c r="Q97" s="115">
        <v>69278708</v>
      </c>
      <c r="R97" s="375">
        <f t="shared" si="10"/>
        <v>0.89</v>
      </c>
      <c r="S97" s="356">
        <f t="shared" si="11"/>
        <v>-0.95858895705521474</v>
      </c>
      <c r="T97" s="356">
        <f t="shared" si="12"/>
        <v>-0.95323238418360801</v>
      </c>
      <c r="U97" s="115">
        <f t="shared" si="15"/>
        <v>1782000.0000000002</v>
      </c>
      <c r="V97" s="362">
        <v>90530000</v>
      </c>
      <c r="W97" s="394">
        <f t="shared" si="13"/>
        <v>-87290000</v>
      </c>
      <c r="X97" s="45" t="str">
        <f t="shared" si="14"/>
        <v>TYPE_6</v>
      </c>
    </row>
    <row r="98" spans="1:24" ht="18.75" customHeight="1">
      <c r="A98" s="56">
        <v>94</v>
      </c>
      <c r="B98" s="55" t="s">
        <v>11</v>
      </c>
      <c r="C98" s="56">
        <v>243</v>
      </c>
      <c r="D98" s="55" t="s">
        <v>92</v>
      </c>
      <c r="E98" s="55">
        <f>VLOOKUP(C98,'115_分行業績'!A:J,8,0)</f>
        <v>55810563</v>
      </c>
      <c r="F98" s="55">
        <f>VLOOKUP(C98,'115_分行業績'!A:J,9,0)</f>
        <v>66240000</v>
      </c>
      <c r="G98" s="427">
        <f>VLOOKUP(C98, '115_分行業績'!A:G,7,0)</f>
        <v>0.84255076539993867</v>
      </c>
      <c r="H98" s="55" t="str">
        <f>VLOOKUP(X98,原始參數_115!A:D,2,0)</f>
        <v>75%以上，未達90%</v>
      </c>
      <c r="I98" s="55" t="str">
        <f>VLOOKUP(X98,原始參數_115!A:D,4,0)</f>
        <v>分行目標*110%</v>
      </c>
      <c r="J98" s="55">
        <f>VLOOKUP(C98,'115_分行業績'!A:N,14,0)</f>
        <v>72860000</v>
      </c>
      <c r="K98" s="55"/>
      <c r="L98" s="396">
        <f t="shared" si="8"/>
        <v>1802349</v>
      </c>
      <c r="M98" s="55">
        <f t="shared" si="9"/>
        <v>1802349</v>
      </c>
      <c r="N98" s="55">
        <f>VLOOKUP(C98,'116目標底稿ver1'!D:AC, 19,0)</f>
        <v>497651</v>
      </c>
      <c r="O98" s="362">
        <f>VLOOKUP(C98,'116目標底稿ver1'!D:AC, 22, 0)</f>
        <v>2300000</v>
      </c>
      <c r="P98" s="115">
        <v>59770000</v>
      </c>
      <c r="Q98" s="115">
        <v>55661200</v>
      </c>
      <c r="R98" s="375">
        <f t="shared" si="10"/>
        <v>0.93</v>
      </c>
      <c r="S98" s="356">
        <f t="shared" si="11"/>
        <v>-0.96151915676760913</v>
      </c>
      <c r="T98" s="356">
        <f t="shared" si="12"/>
        <v>-0.95867857681832225</v>
      </c>
      <c r="U98" s="115">
        <f t="shared" si="15"/>
        <v>1265000</v>
      </c>
      <c r="V98" s="362">
        <v>66100000</v>
      </c>
      <c r="W98" s="394">
        <f t="shared" si="13"/>
        <v>-63800000</v>
      </c>
      <c r="X98" s="45" t="str">
        <f t="shared" si="14"/>
        <v>TYPE_8</v>
      </c>
    </row>
    <row r="99" spans="1:24" ht="18.75" customHeight="1">
      <c r="A99" s="56">
        <v>95</v>
      </c>
      <c r="B99" s="55" t="s">
        <v>11</v>
      </c>
      <c r="C99" s="56">
        <v>244</v>
      </c>
      <c r="D99" s="55" t="s">
        <v>29</v>
      </c>
      <c r="E99" s="55">
        <f>VLOOKUP(C99,'115_分行業績'!A:J,8,0)</f>
        <v>101727026</v>
      </c>
      <c r="F99" s="55">
        <f>VLOOKUP(C99,'115_分行業績'!A:J,9,0)</f>
        <v>86720000</v>
      </c>
      <c r="G99" s="427">
        <f>VLOOKUP(C99, '115_分行業績'!A:G,7,0)</f>
        <v>1.1730515043975824</v>
      </c>
      <c r="H99" s="55" t="str">
        <f>VLOOKUP(X99,原始參數_115!A:D,2,0)</f>
        <v>110%以上，未達120%</v>
      </c>
      <c r="I99" s="55" t="str">
        <f>VLOOKUP(X99,原始參數_115!A:D,4,0)</f>
        <v>預估實績*103%</v>
      </c>
      <c r="J99" s="55">
        <f>VLOOKUP(C99,'115_分行業績'!A:N,14,0)</f>
        <v>104780000</v>
      </c>
      <c r="K99" s="55"/>
      <c r="L99" s="396">
        <f t="shared" si="8"/>
        <v>2262912</v>
      </c>
      <c r="M99" s="55">
        <f t="shared" si="9"/>
        <v>2262912</v>
      </c>
      <c r="N99" s="55">
        <f>VLOOKUP(C99,'116目標底稿ver1'!D:AC, 19,0)</f>
        <v>617088</v>
      </c>
      <c r="O99" s="362">
        <f>VLOOKUP(C99,'116目標底稿ver1'!D:AC, 22, 0)</f>
        <v>2880000</v>
      </c>
      <c r="P99" s="115">
        <v>68260000</v>
      </c>
      <c r="Q99" s="115">
        <v>91651371</v>
      </c>
      <c r="R99" s="375">
        <f t="shared" si="10"/>
        <v>1.34</v>
      </c>
      <c r="S99" s="356">
        <f t="shared" si="11"/>
        <v>-0.95780837972458244</v>
      </c>
      <c r="T99" s="356">
        <f t="shared" si="12"/>
        <v>-0.9685765748119578</v>
      </c>
      <c r="U99" s="115">
        <f t="shared" si="15"/>
        <v>1584000.0000000002</v>
      </c>
      <c r="V99" s="362">
        <v>90000000</v>
      </c>
      <c r="W99" s="394">
        <f t="shared" si="13"/>
        <v>-87120000</v>
      </c>
      <c r="X99" s="45" t="str">
        <f t="shared" si="14"/>
        <v>TYPE_5</v>
      </c>
    </row>
    <row r="100" spans="1:24" ht="18.75" customHeight="1">
      <c r="A100" s="56">
        <v>96</v>
      </c>
      <c r="B100" s="55" t="s">
        <v>11</v>
      </c>
      <c r="C100" s="56">
        <v>245</v>
      </c>
      <c r="D100" s="55" t="s">
        <v>93</v>
      </c>
      <c r="E100" s="55">
        <f>VLOOKUP(C100,'115_分行業績'!A:J,8,0)</f>
        <v>69926506</v>
      </c>
      <c r="F100" s="55">
        <f>VLOOKUP(C100,'115_分行業績'!A:J,9,0)</f>
        <v>53800000</v>
      </c>
      <c r="G100" s="427">
        <f>VLOOKUP(C100, '115_分行業績'!A:G,7,0)</f>
        <v>1.2997491755714385</v>
      </c>
      <c r="H100" s="55" t="str">
        <f>VLOOKUP(X100,原始參數_115!A:D,2,0)</f>
        <v>120%以上，未達130%</v>
      </c>
      <c r="I100" s="55" t="str">
        <f>VLOOKUP(X100,原始參數_115!A:D,4,0)</f>
        <v>預估實績*101%</v>
      </c>
      <c r="J100" s="55">
        <f>VLOOKUP(C100,'115_分行業績'!A:N,14,0)</f>
        <v>70630000</v>
      </c>
      <c r="K100" s="55"/>
      <c r="L100" s="396">
        <f t="shared" si="8"/>
        <v>1562630</v>
      </c>
      <c r="M100" s="55">
        <f t="shared" si="9"/>
        <v>1562630</v>
      </c>
      <c r="N100" s="55">
        <f>VLOOKUP(C100,'116目標底稿ver1'!D:AC, 19,0)</f>
        <v>557370</v>
      </c>
      <c r="O100" s="362">
        <f>VLOOKUP(C100,'116目標底稿ver1'!D:AC, 22, 0)</f>
        <v>2120000</v>
      </c>
      <c r="P100" s="115">
        <v>48310000</v>
      </c>
      <c r="Q100" s="115">
        <v>45644340</v>
      </c>
      <c r="R100" s="375">
        <f t="shared" si="10"/>
        <v>0.94</v>
      </c>
      <c r="S100" s="356">
        <f t="shared" si="11"/>
        <v>-0.95611674601531771</v>
      </c>
      <c r="T100" s="356">
        <f t="shared" si="12"/>
        <v>-0.95355393461708504</v>
      </c>
      <c r="U100" s="115">
        <f t="shared" si="15"/>
        <v>1166000</v>
      </c>
      <c r="V100" s="362">
        <v>53640000</v>
      </c>
      <c r="W100" s="394">
        <f t="shared" si="13"/>
        <v>-51520000</v>
      </c>
      <c r="X100" s="45" t="str">
        <f t="shared" si="14"/>
        <v>TYPE_4</v>
      </c>
    </row>
    <row r="101" spans="1:24" ht="18.75" customHeight="1">
      <c r="A101" s="56">
        <v>97</v>
      </c>
      <c r="B101" s="55" t="s">
        <v>11</v>
      </c>
      <c r="C101" s="56">
        <v>246</v>
      </c>
      <c r="D101" s="55" t="s">
        <v>178</v>
      </c>
      <c r="E101" s="55">
        <f>VLOOKUP(C101,'115_分行業績'!A:J,8,0)</f>
        <v>57385143</v>
      </c>
      <c r="F101" s="55">
        <f>VLOOKUP(C101,'115_分行業績'!A:J,9,0)</f>
        <v>58750000</v>
      </c>
      <c r="G101" s="427">
        <f>VLOOKUP(C101, '115_分行業績'!A:G,7,0)</f>
        <v>0.97676839136069127</v>
      </c>
      <c r="H101" s="55" t="str">
        <f>VLOOKUP(X101,原始參數_115!A:D,2,0)</f>
        <v>90%以上，未達100%</v>
      </c>
      <c r="I101" s="55" t="str">
        <f>VLOOKUP(X101,原始參數_115!A:D,4,0)</f>
        <v>分行目標*105%</v>
      </c>
      <c r="J101" s="55">
        <f>VLOOKUP(C101,'115_分行業績'!A:N,14,0)</f>
        <v>61690000</v>
      </c>
      <c r="K101" s="55"/>
      <c r="L101" s="396">
        <f t="shared" si="8"/>
        <v>1682443</v>
      </c>
      <c r="M101" s="55">
        <f t="shared" si="9"/>
        <v>1682443</v>
      </c>
      <c r="N101" s="55">
        <f>VLOOKUP(C101,'116目標底稿ver1'!D:AC, 19,0)</f>
        <v>517557</v>
      </c>
      <c r="O101" s="362">
        <f>VLOOKUP(C101,'116目標底稿ver1'!D:AC, 22, 0)</f>
        <v>2200000</v>
      </c>
      <c r="P101" s="115">
        <v>50290000</v>
      </c>
      <c r="Q101" s="115">
        <v>52846461</v>
      </c>
      <c r="R101" s="375">
        <f t="shared" si="10"/>
        <v>1.05</v>
      </c>
      <c r="S101" s="356">
        <f t="shared" si="11"/>
        <v>-0.95625372837542255</v>
      </c>
      <c r="T101" s="356">
        <f t="shared" si="12"/>
        <v>-0.95836996539843988</v>
      </c>
      <c r="U101" s="115">
        <f t="shared" si="15"/>
        <v>1210000</v>
      </c>
      <c r="V101" s="362">
        <v>58590000</v>
      </c>
      <c r="W101" s="394">
        <f t="shared" si="13"/>
        <v>-56390000</v>
      </c>
      <c r="X101" s="45" t="str">
        <f t="shared" si="14"/>
        <v>TYPE_7</v>
      </c>
    </row>
    <row r="102" spans="1:24" ht="18.75" customHeight="1">
      <c r="A102" s="56">
        <v>98</v>
      </c>
      <c r="B102" s="55" t="s">
        <v>11</v>
      </c>
      <c r="C102" s="56">
        <v>247</v>
      </c>
      <c r="D102" s="55" t="s">
        <v>179</v>
      </c>
      <c r="E102" s="55">
        <f>VLOOKUP(C102,'115_分行業績'!A:J,8,0)</f>
        <v>81347580</v>
      </c>
      <c r="F102" s="55">
        <f>VLOOKUP(C102,'115_分行業績'!A:J,9,0)</f>
        <v>59780000</v>
      </c>
      <c r="G102" s="427">
        <f>VLOOKUP(C102, '115_分行業績'!A:G,7,0)</f>
        <v>1.3607825282818635</v>
      </c>
      <c r="H102" s="55" t="str">
        <f>VLOOKUP(X102,原始參數_115!A:D,2,0)</f>
        <v>130%以上，未達150%</v>
      </c>
      <c r="I102" s="55" t="str">
        <f>VLOOKUP(X102,原始參數_115!A:D,4,0)</f>
        <v>預估實績*90%</v>
      </c>
      <c r="J102" s="55">
        <f>VLOOKUP(C102,'115_分行業績'!A:N,14,0)</f>
        <v>73210000</v>
      </c>
      <c r="K102" s="55"/>
      <c r="L102" s="396">
        <f t="shared" si="8"/>
        <v>1882443</v>
      </c>
      <c r="M102" s="55">
        <f t="shared" si="9"/>
        <v>1882443</v>
      </c>
      <c r="N102" s="55">
        <f>VLOOKUP(C102,'116目標底稿ver1'!D:AC, 19,0)</f>
        <v>517557</v>
      </c>
      <c r="O102" s="362">
        <f>VLOOKUP(C102,'116目標底稿ver1'!D:AC, 22, 0)</f>
        <v>2400000</v>
      </c>
      <c r="P102" s="115">
        <v>53730000</v>
      </c>
      <c r="Q102" s="115">
        <v>50947173</v>
      </c>
      <c r="R102" s="375">
        <f t="shared" si="10"/>
        <v>0.95</v>
      </c>
      <c r="S102" s="356">
        <f t="shared" si="11"/>
        <v>-0.95533221663874934</v>
      </c>
      <c r="T102" s="356">
        <f t="shared" si="12"/>
        <v>-0.95289238129071463</v>
      </c>
      <c r="U102" s="115">
        <f t="shared" si="15"/>
        <v>1320000</v>
      </c>
      <c r="V102" s="362">
        <v>59640000</v>
      </c>
      <c r="W102" s="394">
        <f t="shared" si="13"/>
        <v>-57240000</v>
      </c>
      <c r="X102" s="45" t="str">
        <f t="shared" si="14"/>
        <v>TYPE_3</v>
      </c>
    </row>
    <row r="103" spans="1:24" ht="18.75" customHeight="1">
      <c r="A103" s="56">
        <v>99</v>
      </c>
      <c r="B103" s="55" t="s">
        <v>11</v>
      </c>
      <c r="C103" s="56">
        <v>248</v>
      </c>
      <c r="D103" s="55" t="s">
        <v>94</v>
      </c>
      <c r="E103" s="55">
        <f>VLOOKUP(C103,'115_分行業績'!A:J,8,0)</f>
        <v>75643659</v>
      </c>
      <c r="F103" s="55">
        <f>VLOOKUP(C103,'115_分行業績'!A:J,9,0)</f>
        <v>62590000</v>
      </c>
      <c r="G103" s="427">
        <f>VLOOKUP(C103, '115_分行業績'!A:G,7,0)</f>
        <v>1.2085582198528368</v>
      </c>
      <c r="H103" s="55" t="str">
        <f>VLOOKUP(X103,原始參數_115!A:D,2,0)</f>
        <v>120%以上，未達130%</v>
      </c>
      <c r="I103" s="55" t="str">
        <f>VLOOKUP(X103,原始參數_115!A:D,4,0)</f>
        <v>預估實績*101%</v>
      </c>
      <c r="J103" s="55">
        <f>VLOOKUP(C103,'115_分行業績'!A:N,14,0)</f>
        <v>76400000</v>
      </c>
      <c r="K103" s="55"/>
      <c r="L103" s="396">
        <f t="shared" si="8"/>
        <v>1553382</v>
      </c>
      <c r="M103" s="55">
        <f t="shared" si="9"/>
        <v>1553382</v>
      </c>
      <c r="N103" s="55">
        <f>VLOOKUP(C103,'116目標底稿ver1'!D:AC, 19,0)</f>
        <v>716618</v>
      </c>
      <c r="O103" s="362">
        <f>VLOOKUP(C103,'116目標底稿ver1'!D:AC, 22, 0)</f>
        <v>2270000</v>
      </c>
      <c r="P103" s="115">
        <v>53910000</v>
      </c>
      <c r="Q103" s="115">
        <v>43610429</v>
      </c>
      <c r="R103" s="375">
        <f t="shared" si="10"/>
        <v>0.81</v>
      </c>
      <c r="S103" s="356">
        <f t="shared" si="11"/>
        <v>-0.95789278427007973</v>
      </c>
      <c r="T103" s="356">
        <f t="shared" si="12"/>
        <v>-0.94794823045652676</v>
      </c>
      <c r="U103" s="115">
        <f t="shared" si="15"/>
        <v>1248500</v>
      </c>
      <c r="V103" s="362">
        <v>62460000</v>
      </c>
      <c r="W103" s="394">
        <f t="shared" si="13"/>
        <v>-60190000</v>
      </c>
      <c r="X103" s="45" t="str">
        <f t="shared" si="14"/>
        <v>TYPE_4</v>
      </c>
    </row>
    <row r="104" spans="1:24" ht="18.75" customHeight="1">
      <c r="A104" s="56">
        <v>100</v>
      </c>
      <c r="B104" s="55" t="s">
        <v>11</v>
      </c>
      <c r="C104" s="56">
        <v>249</v>
      </c>
      <c r="D104" s="55" t="s">
        <v>30</v>
      </c>
      <c r="E104" s="55">
        <f>VLOOKUP(C104,'115_分行業績'!A:J,8,0)</f>
        <v>63209896</v>
      </c>
      <c r="F104" s="55">
        <f>VLOOKUP(C104,'115_分行業績'!A:J,9,0)</f>
        <v>48750000</v>
      </c>
      <c r="G104" s="427">
        <f>VLOOKUP(C104, '115_分行業績'!A:G,7,0)</f>
        <v>1.2966132480878299</v>
      </c>
      <c r="H104" s="55" t="str">
        <f>VLOOKUP(X104,原始參數_115!A:D,2,0)</f>
        <v>120%以上，未達130%</v>
      </c>
      <c r="I104" s="55" t="str">
        <f>VLOOKUP(X104,原始參數_115!A:D,4,0)</f>
        <v>預估實績*101%</v>
      </c>
      <c r="J104" s="55">
        <f>VLOOKUP(C104,'115_分行業績'!A:N,14,0)</f>
        <v>63840000</v>
      </c>
      <c r="K104" s="55"/>
      <c r="L104" s="396">
        <f t="shared" si="8"/>
        <v>1142255</v>
      </c>
      <c r="M104" s="55">
        <f t="shared" si="9"/>
        <v>1142255</v>
      </c>
      <c r="N104" s="55">
        <f>VLOOKUP(C104,'116目標底稿ver1'!D:AC, 19,0)</f>
        <v>477745</v>
      </c>
      <c r="O104" s="362">
        <f>VLOOKUP(C104,'116目標底稿ver1'!D:AC, 22, 0)</f>
        <v>1620000</v>
      </c>
      <c r="P104" s="115">
        <v>36510000</v>
      </c>
      <c r="Q104" s="115">
        <v>51701920</v>
      </c>
      <c r="R104" s="375">
        <f t="shared" si="10"/>
        <v>1.42</v>
      </c>
      <c r="S104" s="356">
        <f t="shared" si="11"/>
        <v>-0.95562859490550534</v>
      </c>
      <c r="T104" s="356">
        <f t="shared" si="12"/>
        <v>-0.96866654081705283</v>
      </c>
      <c r="U104" s="115">
        <f t="shared" si="15"/>
        <v>891000.00000000012</v>
      </c>
      <c r="V104" s="362">
        <v>48720000</v>
      </c>
      <c r="W104" s="394">
        <f t="shared" si="13"/>
        <v>-47100000</v>
      </c>
      <c r="X104" s="45" t="str">
        <f t="shared" si="14"/>
        <v>TYPE_4</v>
      </c>
    </row>
    <row r="105" spans="1:24" ht="18.75" customHeight="1">
      <c r="A105" s="56">
        <v>101</v>
      </c>
      <c r="B105" s="55" t="s">
        <v>11</v>
      </c>
      <c r="C105" s="56">
        <v>250</v>
      </c>
      <c r="D105" s="55" t="s">
        <v>180</v>
      </c>
      <c r="E105" s="55">
        <f>VLOOKUP(C105,'115_分行業績'!A:J,8,0)</f>
        <v>44525345</v>
      </c>
      <c r="F105" s="55">
        <f>VLOOKUP(C105,'115_分行業績'!A:J,9,0)</f>
        <v>36600000</v>
      </c>
      <c r="G105" s="427">
        <f>VLOOKUP(C105, '115_分行業績'!A:G,7,0)</f>
        <v>1.2165394917310961</v>
      </c>
      <c r="H105" s="55" t="str">
        <f>VLOOKUP(X105,原始參數_115!A:D,2,0)</f>
        <v>120%以上，未達130%</v>
      </c>
      <c r="I105" s="55" t="str">
        <f>VLOOKUP(X105,原始參數_115!A:D,4,0)</f>
        <v>預估實績*101%</v>
      </c>
      <c r="J105" s="55">
        <f>VLOOKUP(C105,'115_分行業績'!A:N,14,0)</f>
        <v>44970000</v>
      </c>
      <c r="K105" s="55"/>
      <c r="L105" s="396">
        <f t="shared" si="8"/>
        <v>992067</v>
      </c>
      <c r="M105" s="55">
        <f t="shared" si="9"/>
        <v>992067</v>
      </c>
      <c r="N105" s="55">
        <f>VLOOKUP(C105,'116目標底稿ver1'!D:AC, 19,0)</f>
        <v>437933</v>
      </c>
      <c r="O105" s="362">
        <f>VLOOKUP(C105,'116目標底稿ver1'!D:AC, 22, 0)</f>
        <v>1430000</v>
      </c>
      <c r="P105" s="115">
        <v>31030000</v>
      </c>
      <c r="Q105" s="115">
        <v>32886340</v>
      </c>
      <c r="R105" s="375">
        <f t="shared" si="10"/>
        <v>1.06</v>
      </c>
      <c r="S105" s="356">
        <f t="shared" si="11"/>
        <v>-0.9539155655816951</v>
      </c>
      <c r="T105" s="356">
        <f t="shared" si="12"/>
        <v>-0.95651690033004588</v>
      </c>
      <c r="U105" s="115">
        <f t="shared" si="15"/>
        <v>786500.00000000012</v>
      </c>
      <c r="V105" s="362">
        <v>36480000</v>
      </c>
      <c r="W105" s="394">
        <f t="shared" si="13"/>
        <v>-35050000</v>
      </c>
      <c r="X105" s="45" t="str">
        <f t="shared" si="14"/>
        <v>TYPE_4</v>
      </c>
    </row>
    <row r="106" spans="1:24" ht="18.75" customHeight="1">
      <c r="A106" s="56">
        <v>102</v>
      </c>
      <c r="B106" s="55" t="s">
        <v>11</v>
      </c>
      <c r="C106" s="56">
        <v>251</v>
      </c>
      <c r="D106" s="55" t="s">
        <v>181</v>
      </c>
      <c r="E106" s="55">
        <f>VLOOKUP(C106,'115_分行業績'!A:J,8,0)</f>
        <v>46850859</v>
      </c>
      <c r="F106" s="55">
        <f>VLOOKUP(C106,'115_分行業績'!A:J,9,0)</f>
        <v>40520000</v>
      </c>
      <c r="G106" s="427">
        <f>VLOOKUP(C106, '115_分行業績'!A:G,7,0)</f>
        <v>1.1562403433046202</v>
      </c>
      <c r="H106" s="55" t="str">
        <f>VLOOKUP(X106,原始參數_115!A:D,2,0)</f>
        <v>110%以上，未達120%</v>
      </c>
      <c r="I106" s="55" t="str">
        <f>VLOOKUP(X106,原始參數_115!A:D,4,0)</f>
        <v>預估實績*103%</v>
      </c>
      <c r="J106" s="55">
        <f>VLOOKUP(C106,'115_分行業績'!A:N,14,0)</f>
        <v>48260000</v>
      </c>
      <c r="K106" s="55"/>
      <c r="L106" s="396">
        <f t="shared" si="8"/>
        <v>1142536</v>
      </c>
      <c r="M106" s="55">
        <f t="shared" si="9"/>
        <v>1142536</v>
      </c>
      <c r="N106" s="55">
        <f>VLOOKUP(C106,'116目標底稿ver1'!D:AC, 19,0)</f>
        <v>537464</v>
      </c>
      <c r="O106" s="362">
        <f>VLOOKUP(C106,'116目標底稿ver1'!D:AC, 22, 0)</f>
        <v>1680000</v>
      </c>
      <c r="P106" s="115">
        <v>36250000</v>
      </c>
      <c r="Q106" s="115">
        <v>35311210</v>
      </c>
      <c r="R106" s="375">
        <f t="shared" si="10"/>
        <v>0.97</v>
      </c>
      <c r="S106" s="356">
        <f t="shared" si="11"/>
        <v>-0.95365517241379316</v>
      </c>
      <c r="T106" s="356">
        <f t="shared" si="12"/>
        <v>-0.95242304072842587</v>
      </c>
      <c r="U106" s="115">
        <f t="shared" si="15"/>
        <v>924000.00000000012</v>
      </c>
      <c r="V106" s="362">
        <v>40380000</v>
      </c>
      <c r="W106" s="394">
        <f t="shared" si="13"/>
        <v>-38700000</v>
      </c>
      <c r="X106" s="45" t="str">
        <f t="shared" si="14"/>
        <v>TYPE_5</v>
      </c>
    </row>
    <row r="107" spans="1:24" ht="18.75" customHeight="1">
      <c r="A107" s="56">
        <v>103</v>
      </c>
      <c r="B107" s="55" t="s">
        <v>11</v>
      </c>
      <c r="C107" s="56">
        <v>252</v>
      </c>
      <c r="D107" s="55" t="s">
        <v>95</v>
      </c>
      <c r="E107" s="55">
        <f>VLOOKUP(C107,'115_分行業績'!A:J,8,0)</f>
        <v>55431786</v>
      </c>
      <c r="F107" s="55">
        <f>VLOOKUP(C107,'115_分行業績'!A:J,9,0)</f>
        <v>61310000</v>
      </c>
      <c r="G107" s="427">
        <f>VLOOKUP(C107, '115_分行業績'!A:G,7,0)</f>
        <v>0.90412308625364823</v>
      </c>
      <c r="H107" s="55" t="str">
        <f>VLOOKUP(X107,原始參數_115!A:D,2,0)</f>
        <v>90%以上，未達100%</v>
      </c>
      <c r="I107" s="55" t="str">
        <f>VLOOKUP(X107,原始參數_115!A:D,4,0)</f>
        <v>分行目標*105%</v>
      </c>
      <c r="J107" s="55">
        <f>VLOOKUP(C107,'115_分行業績'!A:N,14,0)</f>
        <v>64380000</v>
      </c>
      <c r="K107" s="55"/>
      <c r="L107" s="396">
        <f t="shared" si="8"/>
        <v>1643664</v>
      </c>
      <c r="M107" s="55">
        <f t="shared" si="9"/>
        <v>1643664</v>
      </c>
      <c r="N107" s="55">
        <f>VLOOKUP(C107,'116目標底稿ver1'!D:AC, 19,0)</f>
        <v>776336</v>
      </c>
      <c r="O107" s="362">
        <f>VLOOKUP(C107,'116目標底稿ver1'!D:AC, 22, 0)</f>
        <v>2420000</v>
      </c>
      <c r="P107" s="115">
        <v>50340000</v>
      </c>
      <c r="Q107" s="115">
        <v>36718054</v>
      </c>
      <c r="R107" s="375">
        <f t="shared" si="10"/>
        <v>0.73</v>
      </c>
      <c r="S107" s="356">
        <f t="shared" si="11"/>
        <v>-0.95192689709972189</v>
      </c>
      <c r="T107" s="356">
        <f t="shared" si="12"/>
        <v>-0.93409236774911875</v>
      </c>
      <c r="U107" s="115">
        <f t="shared" si="15"/>
        <v>1331000</v>
      </c>
      <c r="V107" s="362">
        <v>61130000</v>
      </c>
      <c r="W107" s="394">
        <f t="shared" si="13"/>
        <v>-58710000</v>
      </c>
      <c r="X107" s="45" t="str">
        <f t="shared" si="14"/>
        <v>TYPE_7</v>
      </c>
    </row>
    <row r="108" spans="1:24" ht="18.75" customHeight="1">
      <c r="A108" s="56">
        <v>104</v>
      </c>
      <c r="B108" s="55" t="s">
        <v>11</v>
      </c>
      <c r="C108" s="56">
        <v>260</v>
      </c>
      <c r="D108" s="55" t="s">
        <v>96</v>
      </c>
      <c r="E108" s="55">
        <f>VLOOKUP(C108,'115_分行業績'!A:J,8,0)</f>
        <v>88959282</v>
      </c>
      <c r="F108" s="55">
        <f>VLOOKUP(C108,'115_分行業績'!A:J,9,0)</f>
        <v>77470000</v>
      </c>
      <c r="G108" s="427">
        <f>VLOOKUP(C108, '115_分行業績'!A:G,7,0)</f>
        <v>1.1483062144542</v>
      </c>
      <c r="H108" s="55" t="str">
        <f>VLOOKUP(X108,原始參數_115!A:D,2,0)</f>
        <v>110%以上，未達120%</v>
      </c>
      <c r="I108" s="55" t="str">
        <f>VLOOKUP(X108,原始參數_115!A:D,4,0)</f>
        <v>預估實績*103%</v>
      </c>
      <c r="J108" s="55">
        <f>VLOOKUP(C108,'115_分行業績'!A:N,14,0)</f>
        <v>91630000</v>
      </c>
      <c r="K108" s="55"/>
      <c r="L108" s="396">
        <f t="shared" si="8"/>
        <v>2202912</v>
      </c>
      <c r="M108" s="55">
        <f t="shared" si="9"/>
        <v>2202912</v>
      </c>
      <c r="N108" s="55">
        <f>VLOOKUP(C108,'116目標底稿ver1'!D:AC, 19,0)</f>
        <v>617088</v>
      </c>
      <c r="O108" s="362">
        <f>VLOOKUP(C108,'116目標底稿ver1'!D:AC, 22, 0)</f>
        <v>2820000</v>
      </c>
      <c r="P108" s="115">
        <v>63970000</v>
      </c>
      <c r="Q108" s="115">
        <v>71202676</v>
      </c>
      <c r="R108" s="375">
        <f t="shared" si="10"/>
        <v>1.1100000000000001</v>
      </c>
      <c r="S108" s="356">
        <f t="shared" si="11"/>
        <v>-0.95591683601688293</v>
      </c>
      <c r="T108" s="356">
        <f t="shared" si="12"/>
        <v>-0.96039474696147653</v>
      </c>
      <c r="U108" s="115">
        <f t="shared" si="15"/>
        <v>1551000.0000000002</v>
      </c>
      <c r="V108" s="362">
        <v>77280000</v>
      </c>
      <c r="W108" s="394">
        <f t="shared" si="13"/>
        <v>-74460000</v>
      </c>
      <c r="X108" s="45" t="str">
        <f t="shared" si="14"/>
        <v>TYPE_5</v>
      </c>
    </row>
    <row r="109" spans="1:24" ht="18.75" customHeight="1">
      <c r="A109" s="56">
        <v>105</v>
      </c>
      <c r="B109" s="55" t="s">
        <v>11</v>
      </c>
      <c r="C109" s="56">
        <v>262</v>
      </c>
      <c r="D109" s="55" t="s">
        <v>97</v>
      </c>
      <c r="E109" s="55">
        <f>VLOOKUP(C109,'115_分行業績'!A:J,8,0)</f>
        <v>55046028</v>
      </c>
      <c r="F109" s="55">
        <f>VLOOKUP(C109,'115_分行業績'!A:J,9,0)</f>
        <v>59520000</v>
      </c>
      <c r="G109" s="427">
        <f>VLOOKUP(C109, '115_分行業績'!A:G,7,0)</f>
        <v>0.92483245368297629</v>
      </c>
      <c r="H109" s="55" t="str">
        <f>VLOOKUP(X109,原始參數_115!A:D,2,0)</f>
        <v>90%以上，未達100%</v>
      </c>
      <c r="I109" s="55" t="str">
        <f>VLOOKUP(X109,原始參數_115!A:D,4,0)</f>
        <v>分行目標*105%</v>
      </c>
      <c r="J109" s="55">
        <f>VLOOKUP(C109,'115_分行業績'!A:N,14,0)</f>
        <v>62500000</v>
      </c>
      <c r="K109" s="55"/>
      <c r="L109" s="396">
        <f t="shared" si="8"/>
        <v>1632443</v>
      </c>
      <c r="M109" s="55">
        <f t="shared" si="9"/>
        <v>1632443</v>
      </c>
      <c r="N109" s="55">
        <f>VLOOKUP(C109,'116目標底稿ver1'!D:AC, 19,0)</f>
        <v>517557</v>
      </c>
      <c r="O109" s="362">
        <f>VLOOKUP(C109,'116目標底稿ver1'!D:AC, 22, 0)</f>
        <v>2150000</v>
      </c>
      <c r="P109" s="115">
        <v>47620000</v>
      </c>
      <c r="Q109" s="115">
        <v>54783026</v>
      </c>
      <c r="R109" s="375">
        <f t="shared" si="10"/>
        <v>1.1499999999999999</v>
      </c>
      <c r="S109" s="356">
        <f t="shared" si="11"/>
        <v>-0.95485090298194031</v>
      </c>
      <c r="T109" s="356">
        <f t="shared" si="12"/>
        <v>-0.96075426720678048</v>
      </c>
      <c r="U109" s="115">
        <f t="shared" si="15"/>
        <v>1182500</v>
      </c>
      <c r="V109" s="362">
        <v>59390000</v>
      </c>
      <c r="W109" s="394">
        <f t="shared" si="13"/>
        <v>-57240000</v>
      </c>
      <c r="X109" s="45" t="str">
        <f t="shared" si="14"/>
        <v>TYPE_7</v>
      </c>
    </row>
    <row r="110" spans="1:24" ht="18.75" customHeight="1">
      <c r="A110" s="56">
        <v>106</v>
      </c>
      <c r="B110" s="55" t="s">
        <v>11</v>
      </c>
      <c r="C110" s="56">
        <v>268</v>
      </c>
      <c r="D110" s="55" t="s">
        <v>1469</v>
      </c>
      <c r="E110" s="55">
        <f>VLOOKUP(C110,'115_分行業績'!A:J,8,0)</f>
        <v>38092596</v>
      </c>
      <c r="F110" s="55">
        <f>VLOOKUP(C110,'115_分行業績'!A:J,9,0)</f>
        <v>20980000</v>
      </c>
      <c r="G110" s="427">
        <f>VLOOKUP(C110, '115_分行業績'!A:G,7,0)</f>
        <v>1.8156623595233774</v>
      </c>
      <c r="H110" s="55" t="str">
        <f>VLOOKUP(X110,原始參數_115!A:D,2,0)</f>
        <v>150%以上，未達200%</v>
      </c>
      <c r="I110" s="55" t="str">
        <f>VLOOKUP(X110,原始參數_115!A:D,4,0)</f>
        <v>預估實績*80%</v>
      </c>
      <c r="J110" s="55">
        <f>VLOOKUP(C110,'115_分行業績'!A:N,14,0)</f>
        <v>30470000</v>
      </c>
      <c r="K110" s="55"/>
      <c r="L110" s="396">
        <f t="shared" si="8"/>
        <v>331597</v>
      </c>
      <c r="M110" s="55">
        <f t="shared" si="9"/>
        <v>331597</v>
      </c>
      <c r="N110" s="55">
        <f>VLOOKUP(C110,'116目標底稿ver1'!D:AC, 19,0)</f>
        <v>338403</v>
      </c>
      <c r="O110" s="362">
        <f>VLOOKUP(C110,'116目標底稿ver1'!D:AC, 22, 0)</f>
        <v>670000</v>
      </c>
      <c r="P110" s="115">
        <v>9230000</v>
      </c>
      <c r="Q110" s="115">
        <v>29007602</v>
      </c>
      <c r="R110" s="375">
        <f t="shared" si="10"/>
        <v>3.14</v>
      </c>
      <c r="S110" s="356">
        <f t="shared" si="11"/>
        <v>-0.92741061755146259</v>
      </c>
      <c r="T110" s="356">
        <f t="shared" si="12"/>
        <v>-0.97690260642710147</v>
      </c>
      <c r="U110" s="115">
        <f t="shared" si="15"/>
        <v>368500.00000000006</v>
      </c>
      <c r="V110" s="362">
        <v>20910000</v>
      </c>
      <c r="W110" s="394">
        <f t="shared" si="13"/>
        <v>-20240000</v>
      </c>
      <c r="X110" s="45" t="str">
        <f t="shared" si="14"/>
        <v>TYPE_2</v>
      </c>
    </row>
    <row r="111" spans="1:24" ht="18.75" customHeight="1">
      <c r="A111" s="56">
        <v>107</v>
      </c>
      <c r="B111" s="55" t="s">
        <v>11</v>
      </c>
      <c r="C111" s="56">
        <v>300</v>
      </c>
      <c r="D111" s="55" t="s">
        <v>98</v>
      </c>
      <c r="E111" s="55">
        <f>VLOOKUP(C111,'115_分行業績'!A:J,8,0)</f>
        <v>68426864</v>
      </c>
      <c r="F111" s="55">
        <f>VLOOKUP(C111,'115_分行業績'!A:J,9,0)</f>
        <v>76050000</v>
      </c>
      <c r="G111" s="427">
        <f>VLOOKUP(C111, '115_分行業績'!A:G,7,0)</f>
        <v>0.89976152467116244</v>
      </c>
      <c r="H111" s="55" t="str">
        <f>VLOOKUP(X111,原始參數_115!A:D,2,0)</f>
        <v>75%以上，未達90%</v>
      </c>
      <c r="I111" s="55" t="str">
        <f>VLOOKUP(X111,原始參數_115!A:D,4,0)</f>
        <v>分行目標*110%</v>
      </c>
      <c r="J111" s="55">
        <f>VLOOKUP(C111,'115_分行業績'!A:N,14,0)</f>
        <v>83660000</v>
      </c>
      <c r="K111" s="55"/>
      <c r="L111" s="396">
        <f t="shared" si="8"/>
        <v>2198204</v>
      </c>
      <c r="M111" s="55">
        <f t="shared" si="9"/>
        <v>2198204</v>
      </c>
      <c r="N111" s="55">
        <f>VLOOKUP(C111,'116目標底稿ver1'!D:AC, 19,0)</f>
        <v>621796</v>
      </c>
      <c r="O111" s="362">
        <f>VLOOKUP(C111,'116目標底稿ver1'!D:AC, 22, 0)</f>
        <v>2820000</v>
      </c>
      <c r="P111" s="115">
        <v>65290000</v>
      </c>
      <c r="Q111" s="115">
        <v>55634432</v>
      </c>
      <c r="R111" s="375">
        <f t="shared" si="10"/>
        <v>0.85</v>
      </c>
      <c r="S111" s="356">
        <f t="shared" si="11"/>
        <v>-0.95680808699647724</v>
      </c>
      <c r="T111" s="356">
        <f t="shared" si="12"/>
        <v>-0.9493119656546507</v>
      </c>
      <c r="U111" s="115">
        <f t="shared" si="15"/>
        <v>1551000.0000000002</v>
      </c>
      <c r="V111" s="362">
        <v>75770000</v>
      </c>
      <c r="W111" s="394">
        <f t="shared" si="13"/>
        <v>-72950000</v>
      </c>
      <c r="X111" s="45" t="str">
        <f t="shared" si="14"/>
        <v>TYPE_8</v>
      </c>
    </row>
    <row r="112" spans="1:24" ht="18.75" customHeight="1">
      <c r="A112" s="56">
        <v>108</v>
      </c>
      <c r="B112" s="55" t="s">
        <v>11</v>
      </c>
      <c r="C112" s="56">
        <v>301</v>
      </c>
      <c r="D112" s="55" t="s">
        <v>99</v>
      </c>
      <c r="E112" s="55">
        <f>VLOOKUP(C112,'115_分行業績'!A:J,8,0)</f>
        <v>58000944</v>
      </c>
      <c r="F112" s="55">
        <f>VLOOKUP(C112,'115_分行業績'!A:J,9,0)</f>
        <v>62570000</v>
      </c>
      <c r="G112" s="427">
        <f>VLOOKUP(C112, '115_分行業績'!A:G,7,0)</f>
        <v>0.92697689527903948</v>
      </c>
      <c r="H112" s="55" t="str">
        <f>VLOOKUP(X112,原始參數_115!A:D,2,0)</f>
        <v>90%以上，未達100%</v>
      </c>
      <c r="I112" s="55" t="str">
        <f>VLOOKUP(X112,原始參數_115!A:D,4,0)</f>
        <v>分行目標*105%</v>
      </c>
      <c r="J112" s="55">
        <f>VLOOKUP(C112,'115_分行業績'!A:N,14,0)</f>
        <v>65700000</v>
      </c>
      <c r="K112" s="55"/>
      <c r="L112" s="396">
        <f t="shared" si="8"/>
        <v>1652067</v>
      </c>
      <c r="M112" s="55">
        <f t="shared" si="9"/>
        <v>1652067</v>
      </c>
      <c r="N112" s="55">
        <f>VLOOKUP(C112,'116目標底稿ver1'!D:AC, 19,0)</f>
        <v>437933</v>
      </c>
      <c r="O112" s="362">
        <f>VLOOKUP(C112,'116目標底稿ver1'!D:AC, 22, 0)</f>
        <v>2090000</v>
      </c>
      <c r="P112" s="115">
        <v>52520000</v>
      </c>
      <c r="Q112" s="115">
        <v>57669324</v>
      </c>
      <c r="R112" s="375">
        <f t="shared" si="10"/>
        <v>1.1000000000000001</v>
      </c>
      <c r="S112" s="356">
        <f t="shared" si="11"/>
        <v>-0.96020563594821018</v>
      </c>
      <c r="T112" s="356">
        <f t="shared" si="12"/>
        <v>-0.96375889545714111</v>
      </c>
      <c r="U112" s="115">
        <f t="shared" si="15"/>
        <v>1149500</v>
      </c>
      <c r="V112" s="362">
        <v>62430000</v>
      </c>
      <c r="W112" s="394">
        <f t="shared" si="13"/>
        <v>-60340000</v>
      </c>
      <c r="X112" s="45" t="str">
        <f t="shared" si="14"/>
        <v>TYPE_7</v>
      </c>
    </row>
    <row r="113" spans="1:24" s="359" customFormat="1" ht="18.75" customHeight="1">
      <c r="A113" s="56">
        <v>109</v>
      </c>
      <c r="B113" s="55" t="s">
        <v>11</v>
      </c>
      <c r="C113" s="56">
        <v>302</v>
      </c>
      <c r="D113" s="55" t="s">
        <v>31</v>
      </c>
      <c r="E113" s="55">
        <f>VLOOKUP(C113,'115_分行業績'!A:J,8,0)</f>
        <v>36906824</v>
      </c>
      <c r="F113" s="55">
        <f>VLOOKUP(C113,'115_分行業績'!A:J,9,0)</f>
        <v>50010000</v>
      </c>
      <c r="G113" s="427">
        <f>VLOOKUP(C113, '115_分行業績'!A:G,7,0)</f>
        <v>0.73798888680298347</v>
      </c>
      <c r="H113" s="55" t="str">
        <f>VLOOKUP(X113,原始參數_115!A:D,2,0)</f>
        <v>未達75%</v>
      </c>
      <c r="I113" s="55" t="str">
        <f>VLOOKUP(X113,原始參數_115!A:D,4,0)</f>
        <v>分行目標*115%</v>
      </c>
      <c r="J113" s="55">
        <f>VLOOKUP(C113,'115_分行業績'!A:N,14,0)</f>
        <v>57510000</v>
      </c>
      <c r="K113" s="55"/>
      <c r="L113" s="396">
        <f t="shared" si="8"/>
        <v>1272630</v>
      </c>
      <c r="M113" s="55">
        <f t="shared" si="9"/>
        <v>1272630</v>
      </c>
      <c r="N113" s="55">
        <f>VLOOKUP(C113,'116目標底稿ver1'!D:AC, 19,0)</f>
        <v>557370</v>
      </c>
      <c r="O113" s="362">
        <f>VLOOKUP(C113,'116目標底稿ver1'!D:AC, 22, 0)</f>
        <v>1830000</v>
      </c>
      <c r="P113" s="115">
        <v>41230000</v>
      </c>
      <c r="Q113" s="115">
        <v>30184399</v>
      </c>
      <c r="R113" s="375">
        <f t="shared" si="10"/>
        <v>0.73</v>
      </c>
      <c r="S113" s="356">
        <f t="shared" si="11"/>
        <v>-0.95561484356051418</v>
      </c>
      <c r="T113" s="356">
        <f t="shared" si="12"/>
        <v>-0.93937265406543291</v>
      </c>
      <c r="U113" s="115">
        <f t="shared" si="15"/>
        <v>1006500.0000000001</v>
      </c>
      <c r="V113" s="362">
        <v>49920000</v>
      </c>
      <c r="W113" s="394">
        <f t="shared" si="13"/>
        <v>-48090000</v>
      </c>
      <c r="X113" s="45" t="str">
        <f t="shared" si="14"/>
        <v>TYPE_9</v>
      </c>
    </row>
    <row r="114" spans="1:24" ht="18.75" customHeight="1">
      <c r="A114" s="56">
        <v>110</v>
      </c>
      <c r="B114" s="55" t="s">
        <v>11</v>
      </c>
      <c r="C114" s="56">
        <v>310</v>
      </c>
      <c r="D114" s="55" t="s">
        <v>32</v>
      </c>
      <c r="E114" s="55">
        <f>VLOOKUP(C114,'115_分行業績'!A:J,8,0)</f>
        <v>58910176</v>
      </c>
      <c r="F114" s="55">
        <f>VLOOKUP(C114,'115_分行業績'!A:J,9,0)</f>
        <v>56840000</v>
      </c>
      <c r="G114" s="427">
        <f>VLOOKUP(C114, '115_分行業績'!A:G,7,0)</f>
        <v>1.0364211185267858</v>
      </c>
      <c r="H114" s="55" t="str">
        <f>VLOOKUP(X114,原始參數_115!A:D,2,0)</f>
        <v>100%以上，未達110%</v>
      </c>
      <c r="I114" s="55" t="str">
        <f>VLOOKUP(X114,原始參數_115!A:D,4,0)</f>
        <v>預估實績*105%</v>
      </c>
      <c r="J114" s="55">
        <f>VLOOKUP(C114,'115_分行業績'!A:N,14,0)</f>
        <v>61860000</v>
      </c>
      <c r="K114" s="55"/>
      <c r="L114" s="396">
        <f t="shared" si="8"/>
        <v>1592161</v>
      </c>
      <c r="M114" s="55">
        <f t="shared" si="9"/>
        <v>1592161</v>
      </c>
      <c r="N114" s="55">
        <f>VLOOKUP(C114,'116目標底稿ver1'!D:AC, 19,0)</f>
        <v>457839</v>
      </c>
      <c r="O114" s="362">
        <f>VLOOKUP(C114,'116目標底稿ver1'!D:AC, 22, 0)</f>
        <v>2050000</v>
      </c>
      <c r="P114" s="115">
        <v>48960000</v>
      </c>
      <c r="Q114" s="115">
        <v>43427432</v>
      </c>
      <c r="R114" s="375">
        <f t="shared" si="10"/>
        <v>0.89</v>
      </c>
      <c r="S114" s="356">
        <f t="shared" si="11"/>
        <v>-0.9581290849673203</v>
      </c>
      <c r="T114" s="356">
        <f t="shared" si="12"/>
        <v>-0.95279481411657041</v>
      </c>
      <c r="U114" s="115">
        <f t="shared" si="15"/>
        <v>1127500</v>
      </c>
      <c r="V114" s="362">
        <v>56710000</v>
      </c>
      <c r="W114" s="394">
        <f t="shared" si="13"/>
        <v>-54660000</v>
      </c>
      <c r="X114" s="45" t="str">
        <f t="shared" si="14"/>
        <v>TYPE_6</v>
      </c>
    </row>
    <row r="115" spans="1:24" ht="18.75" customHeight="1">
      <c r="A115" s="56">
        <v>111</v>
      </c>
      <c r="B115" s="55" t="s">
        <v>11</v>
      </c>
      <c r="C115" s="56">
        <v>313</v>
      </c>
      <c r="D115" s="55" t="s">
        <v>182</v>
      </c>
      <c r="E115" s="55">
        <f>VLOOKUP(C115,'115_分行業績'!A:J,8,0)</f>
        <v>35869459</v>
      </c>
      <c r="F115" s="55">
        <f>VLOOKUP(C115,'115_分行業績'!A:J,9,0)</f>
        <v>30620000</v>
      </c>
      <c r="G115" s="427">
        <f>VLOOKUP(C115, '115_分行業績'!A:G,7,0)</f>
        <v>1.1714388960716062</v>
      </c>
      <c r="H115" s="55" t="str">
        <f>VLOOKUP(X115,原始參數_115!A:D,2,0)</f>
        <v>110%以上，未達120%</v>
      </c>
      <c r="I115" s="55" t="str">
        <f>VLOOKUP(X115,原始參數_115!A:D,4,0)</f>
        <v>預估實績*103%</v>
      </c>
      <c r="J115" s="55">
        <f>VLOOKUP(C115,'115_分行業績'!A:N,14,0)</f>
        <v>36950000</v>
      </c>
      <c r="K115" s="55"/>
      <c r="L115" s="396">
        <f t="shared" si="8"/>
        <v>782067</v>
      </c>
      <c r="M115" s="55">
        <f t="shared" si="9"/>
        <v>782067</v>
      </c>
      <c r="N115" s="55">
        <f>VLOOKUP(C115,'116目標底稿ver1'!D:AC, 19,0)</f>
        <v>437933</v>
      </c>
      <c r="O115" s="362">
        <f>VLOOKUP(C115,'116目標底稿ver1'!D:AC, 22, 0)</f>
        <v>1220000</v>
      </c>
      <c r="P115" s="115">
        <v>27510000</v>
      </c>
      <c r="Q115" s="115">
        <v>25219917</v>
      </c>
      <c r="R115" s="375">
        <f t="shared" si="10"/>
        <v>0.92</v>
      </c>
      <c r="S115" s="356">
        <f t="shared" si="11"/>
        <v>-0.95565249000363506</v>
      </c>
      <c r="T115" s="356">
        <f t="shared" si="12"/>
        <v>-0.95162553469149003</v>
      </c>
      <c r="U115" s="115">
        <f t="shared" si="15"/>
        <v>671000</v>
      </c>
      <c r="V115" s="362">
        <v>30540000</v>
      </c>
      <c r="W115" s="394">
        <f t="shared" si="13"/>
        <v>-29320000</v>
      </c>
      <c r="X115" s="45" t="str">
        <f t="shared" si="14"/>
        <v>TYPE_5</v>
      </c>
    </row>
    <row r="116" spans="1:24" ht="18.75" customHeight="1">
      <c r="A116" s="56">
        <v>112</v>
      </c>
      <c r="B116" s="55" t="s">
        <v>33</v>
      </c>
      <c r="C116" s="56">
        <v>320</v>
      </c>
      <c r="D116" s="55" t="s">
        <v>183</v>
      </c>
      <c r="E116" s="55">
        <f>VLOOKUP(C116,'115_分行業績'!A:J,8,0)</f>
        <v>74912574</v>
      </c>
      <c r="F116" s="55">
        <f>VLOOKUP(C116,'115_分行業績'!A:J,9,0)</f>
        <v>64080000</v>
      </c>
      <c r="G116" s="427">
        <f>VLOOKUP(C116, '115_分行業績'!A:G,7,0)</f>
        <v>1.1690476658481523</v>
      </c>
      <c r="H116" s="55" t="str">
        <f>VLOOKUP(X116,原始參數_115!A:D,2,0)</f>
        <v>110%以上，未達120%</v>
      </c>
      <c r="I116" s="55" t="str">
        <f>VLOOKUP(X116,原始參數_115!A:D,4,0)</f>
        <v>預估實績*103%</v>
      </c>
      <c r="J116" s="55">
        <f>VLOOKUP(C116,'115_分行業績'!A:N,14,0)</f>
        <v>77160000</v>
      </c>
      <c r="K116" s="55"/>
      <c r="L116" s="396">
        <f t="shared" si="8"/>
        <v>1872349</v>
      </c>
      <c r="M116" s="55">
        <f t="shared" si="9"/>
        <v>1872349</v>
      </c>
      <c r="N116" s="55">
        <f>VLOOKUP(C116,'116目標底稿ver1'!D:AC, 19,0)</f>
        <v>497651</v>
      </c>
      <c r="O116" s="362">
        <f>VLOOKUP(C116,'116目標底稿ver1'!D:AC, 22, 0)</f>
        <v>2370000</v>
      </c>
      <c r="P116" s="115">
        <v>53610000</v>
      </c>
      <c r="Q116" s="115">
        <v>58952051</v>
      </c>
      <c r="R116" s="375">
        <f t="shared" si="10"/>
        <v>1.1000000000000001</v>
      </c>
      <c r="S116" s="356">
        <f t="shared" si="11"/>
        <v>-0.95579182988248457</v>
      </c>
      <c r="T116" s="356">
        <f t="shared" si="12"/>
        <v>-0.95979783638062055</v>
      </c>
      <c r="U116" s="115">
        <f t="shared" si="15"/>
        <v>1303500</v>
      </c>
      <c r="V116" s="362">
        <v>63920000</v>
      </c>
      <c r="W116" s="394">
        <f t="shared" si="13"/>
        <v>-61550000</v>
      </c>
      <c r="X116" s="45" t="str">
        <f t="shared" si="14"/>
        <v>TYPE_5</v>
      </c>
    </row>
    <row r="117" spans="1:24" ht="18.75" customHeight="1">
      <c r="A117" s="56">
        <v>113</v>
      </c>
      <c r="B117" s="55" t="s">
        <v>33</v>
      </c>
      <c r="C117" s="56">
        <v>321</v>
      </c>
      <c r="D117" s="55" t="s">
        <v>184</v>
      </c>
      <c r="E117" s="55">
        <f>VLOOKUP(C117,'115_分行業績'!A:J,8,0)</f>
        <v>48196053</v>
      </c>
      <c r="F117" s="55">
        <f>VLOOKUP(C117,'115_分行業績'!A:J,9,0)</f>
        <v>74460000</v>
      </c>
      <c r="G117" s="427">
        <f>VLOOKUP(C117, '115_分行業績'!A:G,7,0)</f>
        <v>0.64727441892998505</v>
      </c>
      <c r="H117" s="55" t="str">
        <f>VLOOKUP(X117,原始參數_115!A:D,2,0)</f>
        <v>未達75%</v>
      </c>
      <c r="I117" s="55" t="str">
        <f>VLOOKUP(X117,原始參數_115!A:D,4,0)</f>
        <v>分行目標*115%</v>
      </c>
      <c r="J117" s="55">
        <f>VLOOKUP(C117,'115_分行業績'!A:N,14,0)</f>
        <v>85630000</v>
      </c>
      <c r="K117" s="55"/>
      <c r="L117" s="396">
        <f t="shared" si="8"/>
        <v>1822630</v>
      </c>
      <c r="M117" s="55">
        <f t="shared" si="9"/>
        <v>1822630</v>
      </c>
      <c r="N117" s="55">
        <f>VLOOKUP(C117,'116目標底稿ver1'!D:AC, 19,0)</f>
        <v>557370</v>
      </c>
      <c r="O117" s="362">
        <f>VLOOKUP(C117,'116目標底稿ver1'!D:AC, 22, 0)</f>
        <v>2380000</v>
      </c>
      <c r="P117" s="115">
        <v>61370000</v>
      </c>
      <c r="Q117" s="115">
        <v>41175294</v>
      </c>
      <c r="R117" s="375">
        <f t="shared" si="10"/>
        <v>0.67</v>
      </c>
      <c r="S117" s="356">
        <f t="shared" si="11"/>
        <v>-0.96121883656509699</v>
      </c>
      <c r="T117" s="356">
        <f t="shared" si="12"/>
        <v>-0.94219834835909122</v>
      </c>
      <c r="U117" s="115">
        <f t="shared" si="15"/>
        <v>1309000</v>
      </c>
      <c r="V117" s="362">
        <v>74030000</v>
      </c>
      <c r="W117" s="394">
        <f t="shared" si="13"/>
        <v>-71650000</v>
      </c>
      <c r="X117" s="45" t="str">
        <f t="shared" si="14"/>
        <v>TYPE_9</v>
      </c>
    </row>
    <row r="118" spans="1:24" ht="18.75" customHeight="1">
      <c r="A118" s="56">
        <v>114</v>
      </c>
      <c r="B118" s="55" t="s">
        <v>33</v>
      </c>
      <c r="C118" s="56">
        <v>322</v>
      </c>
      <c r="D118" s="55" t="s">
        <v>34</v>
      </c>
      <c r="E118" s="55">
        <f>VLOOKUP(C118,'115_分行業績'!A:J,8,0)</f>
        <v>41210713</v>
      </c>
      <c r="F118" s="55">
        <f>VLOOKUP(C118,'115_分行業績'!A:J,9,0)</f>
        <v>45430000</v>
      </c>
      <c r="G118" s="427">
        <f>VLOOKUP(C118, '115_分行業績'!A:G,7,0)</f>
        <v>0.90712553780409455</v>
      </c>
      <c r="H118" s="55" t="str">
        <f>VLOOKUP(X118,原始參數_115!A:D,2,0)</f>
        <v>90%以上，未達100%</v>
      </c>
      <c r="I118" s="55" t="str">
        <f>VLOOKUP(X118,原始參數_115!A:D,4,0)</f>
        <v>分行目標*105%</v>
      </c>
      <c r="J118" s="55">
        <f>VLOOKUP(C118,'115_分行業績'!A:N,14,0)</f>
        <v>47700000</v>
      </c>
      <c r="K118" s="55"/>
      <c r="L118" s="396">
        <f t="shared" si="8"/>
        <v>1222161</v>
      </c>
      <c r="M118" s="55">
        <f t="shared" si="9"/>
        <v>1222161</v>
      </c>
      <c r="N118" s="55">
        <f>VLOOKUP(C118,'116目標底稿ver1'!D:AC, 19,0)</f>
        <v>457839</v>
      </c>
      <c r="O118" s="362">
        <f>VLOOKUP(C118,'116目標底稿ver1'!D:AC, 22, 0)</f>
        <v>1680000</v>
      </c>
      <c r="P118" s="115">
        <v>40880000</v>
      </c>
      <c r="Q118" s="115">
        <v>39089741</v>
      </c>
      <c r="R118" s="375">
        <f t="shared" si="10"/>
        <v>0.96</v>
      </c>
      <c r="S118" s="356">
        <f t="shared" si="11"/>
        <v>-0.95890410958904115</v>
      </c>
      <c r="T118" s="356">
        <f t="shared" si="12"/>
        <v>-0.95702197157049462</v>
      </c>
      <c r="U118" s="115">
        <f t="shared" si="15"/>
        <v>924000.00000000012</v>
      </c>
      <c r="V118" s="362">
        <v>45300000</v>
      </c>
      <c r="W118" s="394">
        <f t="shared" si="13"/>
        <v>-43620000</v>
      </c>
      <c r="X118" s="45" t="str">
        <f t="shared" si="14"/>
        <v>TYPE_7</v>
      </c>
    </row>
    <row r="119" spans="1:24" ht="18.75" customHeight="1">
      <c r="A119" s="56">
        <v>115</v>
      </c>
      <c r="B119" s="55" t="s">
        <v>11</v>
      </c>
      <c r="C119" s="56">
        <v>323</v>
      </c>
      <c r="D119" s="55" t="s">
        <v>185</v>
      </c>
      <c r="E119" s="55">
        <f>VLOOKUP(C119,'115_分行業績'!A:J,8,0)</f>
        <v>49260989</v>
      </c>
      <c r="F119" s="55">
        <f>VLOOKUP(C119,'115_分行業績'!A:J,9,0)</f>
        <v>47540000</v>
      </c>
      <c r="G119" s="427">
        <f>VLOOKUP(C119, '115_分行業績'!A:G,7,0)</f>
        <v>1.0362008684393187</v>
      </c>
      <c r="H119" s="55" t="str">
        <f>VLOOKUP(X119,原始參數_115!A:D,2,0)</f>
        <v>100%以上，未達110%</v>
      </c>
      <c r="I119" s="55" t="str">
        <f>VLOOKUP(X119,原始參數_115!A:D,4,0)</f>
        <v>預估實績*105%</v>
      </c>
      <c r="J119" s="55">
        <f>VLOOKUP(C119,'115_分行業績'!A:N,14,0)</f>
        <v>51720000</v>
      </c>
      <c r="K119" s="55"/>
      <c r="L119" s="396">
        <f t="shared" si="8"/>
        <v>1302724</v>
      </c>
      <c r="M119" s="55">
        <f t="shared" si="9"/>
        <v>1302724</v>
      </c>
      <c r="N119" s="55">
        <f>VLOOKUP(C119,'116目標底稿ver1'!D:AC, 19,0)</f>
        <v>577276</v>
      </c>
      <c r="O119" s="362">
        <f>VLOOKUP(C119,'116目標底稿ver1'!D:AC, 22, 0)</f>
        <v>1880000</v>
      </c>
      <c r="P119" s="115">
        <v>40780000</v>
      </c>
      <c r="Q119" s="115">
        <v>32658690</v>
      </c>
      <c r="R119" s="375">
        <f t="shared" si="10"/>
        <v>0.8</v>
      </c>
      <c r="S119" s="356">
        <f t="shared" si="11"/>
        <v>-0.95389897008337421</v>
      </c>
      <c r="T119" s="356">
        <f t="shared" si="12"/>
        <v>-0.94243492313990551</v>
      </c>
      <c r="U119" s="115">
        <f t="shared" si="15"/>
        <v>1034000.0000000001</v>
      </c>
      <c r="V119" s="362">
        <v>47390000</v>
      </c>
      <c r="W119" s="394">
        <f t="shared" si="13"/>
        <v>-45510000</v>
      </c>
      <c r="X119" s="45" t="str">
        <f t="shared" si="14"/>
        <v>TYPE_6</v>
      </c>
    </row>
    <row r="120" spans="1:24" ht="18.75" customHeight="1">
      <c r="A120" s="56">
        <v>116</v>
      </c>
      <c r="B120" s="55" t="s">
        <v>11</v>
      </c>
      <c r="C120" s="56">
        <v>351</v>
      </c>
      <c r="D120" s="55" t="s">
        <v>100</v>
      </c>
      <c r="E120" s="55">
        <f>VLOOKUP(C120,'115_分行業績'!A:J,8,0)</f>
        <v>53651005</v>
      </c>
      <c r="F120" s="55">
        <f>VLOOKUP(C120,'115_分行業績'!A:J,9,0)</f>
        <v>47590000</v>
      </c>
      <c r="G120" s="427">
        <f>VLOOKUP(C120, '115_分行業績'!A:G,7,0)</f>
        <v>1.1273588036490703</v>
      </c>
      <c r="H120" s="55" t="str">
        <f>VLOOKUP(X120,原始參數_115!A:D,2,0)</f>
        <v>110%以上，未達120%</v>
      </c>
      <c r="I120" s="55" t="str">
        <f>VLOOKUP(X120,原始參數_115!A:D,4,0)</f>
        <v>預估實績*103%</v>
      </c>
      <c r="J120" s="55">
        <f>VLOOKUP(C120,'115_分行業績'!A:N,14,0)</f>
        <v>55260000</v>
      </c>
      <c r="K120" s="55"/>
      <c r="L120" s="396">
        <f t="shared" si="8"/>
        <v>1242067</v>
      </c>
      <c r="M120" s="55">
        <f t="shared" si="9"/>
        <v>1242067</v>
      </c>
      <c r="N120" s="55">
        <f>VLOOKUP(C120,'116目標底稿ver1'!D:AC, 19,0)</f>
        <v>437933</v>
      </c>
      <c r="O120" s="362">
        <f>VLOOKUP(C120,'116目標底稿ver1'!D:AC, 22, 0)</f>
        <v>1680000</v>
      </c>
      <c r="P120" s="115">
        <v>37210000</v>
      </c>
      <c r="Q120" s="115">
        <v>50151038</v>
      </c>
      <c r="R120" s="375">
        <f t="shared" si="10"/>
        <v>1.35</v>
      </c>
      <c r="S120" s="356">
        <f t="shared" si="11"/>
        <v>-0.95485084654662722</v>
      </c>
      <c r="T120" s="356">
        <f t="shared" si="12"/>
        <v>-0.96650119185967798</v>
      </c>
      <c r="U120" s="115">
        <f t="shared" si="15"/>
        <v>924000.00000000012</v>
      </c>
      <c r="V120" s="362">
        <v>48290000</v>
      </c>
      <c r="W120" s="394">
        <f t="shared" si="13"/>
        <v>-46610000</v>
      </c>
      <c r="X120" s="45" t="str">
        <f t="shared" si="14"/>
        <v>TYPE_5</v>
      </c>
    </row>
    <row r="121" spans="1:24" ht="18.75" customHeight="1">
      <c r="A121" s="56">
        <v>117</v>
      </c>
      <c r="B121" s="55" t="s">
        <v>33</v>
      </c>
      <c r="C121" s="56">
        <v>400</v>
      </c>
      <c r="D121" s="55" t="s">
        <v>35</v>
      </c>
      <c r="E121" s="55">
        <f>VLOOKUP(C121,'115_分行業績'!A:J,8,0)</f>
        <v>96687862</v>
      </c>
      <c r="F121" s="55">
        <f>VLOOKUP(C121,'115_分行業績'!A:J,9,0)</f>
        <v>101620000</v>
      </c>
      <c r="G121" s="427">
        <f>VLOOKUP(C121, '115_分行業績'!A:G,7,0)</f>
        <v>0.95146488591945044</v>
      </c>
      <c r="H121" s="55" t="str">
        <f>VLOOKUP(X121,原始參數_115!A:D,2,0)</f>
        <v>90%以上，未達100%</v>
      </c>
      <c r="I121" s="55" t="str">
        <f>VLOOKUP(X121,原始參數_115!A:D,4,0)</f>
        <v>分行目標*105%</v>
      </c>
      <c r="J121" s="55">
        <f>VLOOKUP(C121,'115_分行業績'!A:N,14,0)</f>
        <v>106700000</v>
      </c>
      <c r="K121" s="55"/>
      <c r="L121" s="396">
        <f t="shared" si="8"/>
        <v>2608623</v>
      </c>
      <c r="M121" s="55">
        <f t="shared" si="9"/>
        <v>2608623</v>
      </c>
      <c r="N121" s="55">
        <f>VLOOKUP(C121,'116目標底稿ver1'!D:AC, 19,0)</f>
        <v>791377</v>
      </c>
      <c r="O121" s="362">
        <f>VLOOKUP(C121,'116目標底稿ver1'!D:AC, 22, 0)</f>
        <v>3400000</v>
      </c>
      <c r="P121" s="115">
        <v>83180000</v>
      </c>
      <c r="Q121" s="115">
        <v>95413419</v>
      </c>
      <c r="R121" s="375">
        <f t="shared" si="10"/>
        <v>1.1499999999999999</v>
      </c>
      <c r="S121" s="356">
        <f t="shared" si="11"/>
        <v>-0.95912478961288772</v>
      </c>
      <c r="T121" s="356">
        <f t="shared" si="12"/>
        <v>-0.96436559935033872</v>
      </c>
      <c r="U121" s="115">
        <f t="shared" si="15"/>
        <v>1870000.0000000002</v>
      </c>
      <c r="V121" s="362">
        <v>101350000</v>
      </c>
      <c r="W121" s="394">
        <f t="shared" si="13"/>
        <v>-97950000</v>
      </c>
      <c r="X121" s="45" t="str">
        <f t="shared" si="14"/>
        <v>TYPE_7</v>
      </c>
    </row>
    <row r="122" spans="1:24" ht="18.75" customHeight="1">
      <c r="A122" s="56">
        <v>118</v>
      </c>
      <c r="B122" s="55" t="s">
        <v>33</v>
      </c>
      <c r="C122" s="56">
        <v>401</v>
      </c>
      <c r="D122" s="55" t="s">
        <v>36</v>
      </c>
      <c r="E122" s="55">
        <f>VLOOKUP(C122,'115_分行業績'!A:J,8,0)</f>
        <v>55405247</v>
      </c>
      <c r="F122" s="55">
        <f>VLOOKUP(C122,'115_分行業績'!A:J,9,0)</f>
        <v>61510000</v>
      </c>
      <c r="G122" s="427">
        <f>VLOOKUP(C122, '115_分行業績'!A:G,7,0)</f>
        <v>0.90075185617003717</v>
      </c>
      <c r="H122" s="55" t="str">
        <f>VLOOKUP(X122,原始參數_115!A:D,2,0)</f>
        <v>90%以上，未達100%</v>
      </c>
      <c r="I122" s="55" t="str">
        <f>VLOOKUP(X122,原始參數_115!A:D,4,0)</f>
        <v>分行目標*105%</v>
      </c>
      <c r="J122" s="55">
        <f>VLOOKUP(C122,'115_分行業績'!A:N,14,0)</f>
        <v>64590000</v>
      </c>
      <c r="K122" s="55"/>
      <c r="L122" s="396">
        <f t="shared" si="8"/>
        <v>1692724</v>
      </c>
      <c r="M122" s="55">
        <f t="shared" si="9"/>
        <v>1692724</v>
      </c>
      <c r="N122" s="55">
        <f>VLOOKUP(C122,'116目標底稿ver1'!D:AC, 19,0)</f>
        <v>577276</v>
      </c>
      <c r="O122" s="362">
        <f>VLOOKUP(C122,'116目標底稿ver1'!D:AC, 22, 0)</f>
        <v>2270000</v>
      </c>
      <c r="P122" s="115">
        <v>54710000</v>
      </c>
      <c r="Q122" s="115">
        <v>55260574</v>
      </c>
      <c r="R122" s="375">
        <f t="shared" si="10"/>
        <v>1.01</v>
      </c>
      <c r="S122" s="356">
        <f t="shared" si="11"/>
        <v>-0.95850849936026317</v>
      </c>
      <c r="T122" s="356">
        <f t="shared" si="12"/>
        <v>-0.95892188886782104</v>
      </c>
      <c r="U122" s="115">
        <f t="shared" si="15"/>
        <v>1248500</v>
      </c>
      <c r="V122" s="362">
        <v>61270000</v>
      </c>
      <c r="W122" s="394">
        <f t="shared" si="13"/>
        <v>-59000000</v>
      </c>
      <c r="X122" s="45" t="str">
        <f t="shared" si="14"/>
        <v>TYPE_7</v>
      </c>
    </row>
    <row r="123" spans="1:24" ht="18.75" customHeight="1">
      <c r="A123" s="56">
        <v>119</v>
      </c>
      <c r="B123" s="55" t="s">
        <v>33</v>
      </c>
      <c r="C123" s="56">
        <v>402</v>
      </c>
      <c r="D123" s="55" t="s">
        <v>37</v>
      </c>
      <c r="E123" s="55">
        <f>VLOOKUP(C123,'115_分行業績'!A:J,8,0)</f>
        <v>94901026</v>
      </c>
      <c r="F123" s="55">
        <f>VLOOKUP(C123,'115_分行業績'!A:J,9,0)</f>
        <v>76980000</v>
      </c>
      <c r="G123" s="427">
        <f>VLOOKUP(C123, '115_分行業績'!A:G,7,0)</f>
        <v>1.2328010687261997</v>
      </c>
      <c r="H123" s="55" t="str">
        <f>VLOOKUP(X123,原始參數_115!A:D,2,0)</f>
        <v>120%以上，未達130%</v>
      </c>
      <c r="I123" s="55" t="str">
        <f>VLOOKUP(X123,原始參數_115!A:D,4,0)</f>
        <v>預估實績*101%</v>
      </c>
      <c r="J123" s="55">
        <f>VLOOKUP(C123,'115_分行業績'!A:N,14,0)</f>
        <v>95850000</v>
      </c>
      <c r="K123" s="55"/>
      <c r="L123" s="396">
        <f t="shared" si="8"/>
        <v>2023006</v>
      </c>
      <c r="M123" s="55">
        <f t="shared" si="9"/>
        <v>2023006</v>
      </c>
      <c r="N123" s="55">
        <f>VLOOKUP(C123,'116目標底稿ver1'!D:AC, 19,0)</f>
        <v>636994</v>
      </c>
      <c r="O123" s="362">
        <f>VLOOKUP(C123,'116目標底稿ver1'!D:AC, 22, 0)</f>
        <v>2660000</v>
      </c>
      <c r="P123" s="115">
        <v>61310000</v>
      </c>
      <c r="Q123" s="115">
        <v>70898442</v>
      </c>
      <c r="R123" s="375">
        <f t="shared" si="10"/>
        <v>1.1599999999999999</v>
      </c>
      <c r="S123" s="356">
        <f t="shared" si="11"/>
        <v>-0.95661392921220034</v>
      </c>
      <c r="T123" s="356">
        <f t="shared" si="12"/>
        <v>-0.96248154508106121</v>
      </c>
      <c r="U123" s="115">
        <f t="shared" si="15"/>
        <v>1463000.0000000002</v>
      </c>
      <c r="V123" s="362">
        <v>76780000</v>
      </c>
      <c r="W123" s="394">
        <f t="shared" si="13"/>
        <v>-74120000</v>
      </c>
      <c r="X123" s="45" t="str">
        <f t="shared" si="14"/>
        <v>TYPE_4</v>
      </c>
    </row>
    <row r="124" spans="1:24" ht="18.75" customHeight="1">
      <c r="A124" s="56">
        <v>120</v>
      </c>
      <c r="B124" s="55" t="s">
        <v>33</v>
      </c>
      <c r="C124" s="56">
        <v>403</v>
      </c>
      <c r="D124" s="55" t="s">
        <v>186</v>
      </c>
      <c r="E124" s="55">
        <f>VLOOKUP(C124,'115_分行業績'!A:J,8,0)</f>
        <v>68713873</v>
      </c>
      <c r="F124" s="55">
        <f>VLOOKUP(C124,'115_分行業績'!A:J,9,0)</f>
        <v>71900000</v>
      </c>
      <c r="G124" s="427">
        <f>VLOOKUP(C124, '115_分行業績'!A:G,7,0)</f>
        <v>0.95568669302456932</v>
      </c>
      <c r="H124" s="55" t="str">
        <f>VLOOKUP(X124,原始參數_115!A:D,2,0)</f>
        <v>90%以上，未達100%</v>
      </c>
      <c r="I124" s="55" t="str">
        <f>VLOOKUP(X124,原始參數_115!A:D,4,0)</f>
        <v>分行目標*105%</v>
      </c>
      <c r="J124" s="55">
        <f>VLOOKUP(C124,'115_分行業績'!A:N,14,0)</f>
        <v>75500000</v>
      </c>
      <c r="K124" s="55"/>
      <c r="L124" s="396">
        <f t="shared" si="8"/>
        <v>1852912</v>
      </c>
      <c r="M124" s="55">
        <f t="shared" si="9"/>
        <v>1852912</v>
      </c>
      <c r="N124" s="55">
        <f>VLOOKUP(C124,'116目標底稿ver1'!D:AC, 19,0)</f>
        <v>617088</v>
      </c>
      <c r="O124" s="362">
        <f>VLOOKUP(C124,'116目標底稿ver1'!D:AC, 22, 0)</f>
        <v>2470000</v>
      </c>
      <c r="P124" s="115">
        <v>59940000</v>
      </c>
      <c r="Q124" s="115">
        <v>66205159</v>
      </c>
      <c r="R124" s="375">
        <f t="shared" si="10"/>
        <v>1.1000000000000001</v>
      </c>
      <c r="S124" s="356">
        <f t="shared" si="11"/>
        <v>-0.95879212545879211</v>
      </c>
      <c r="T124" s="356">
        <f t="shared" si="12"/>
        <v>-0.96269172920497026</v>
      </c>
      <c r="U124" s="115">
        <f t="shared" si="15"/>
        <v>1358500</v>
      </c>
      <c r="V124" s="362">
        <v>71700000</v>
      </c>
      <c r="W124" s="394">
        <f t="shared" si="13"/>
        <v>-69230000</v>
      </c>
      <c r="X124" s="45" t="str">
        <f t="shared" si="14"/>
        <v>TYPE_7</v>
      </c>
    </row>
    <row r="125" spans="1:24" ht="18.75" customHeight="1">
      <c r="A125" s="56">
        <v>121</v>
      </c>
      <c r="B125" s="55" t="s">
        <v>33</v>
      </c>
      <c r="C125" s="56">
        <v>420</v>
      </c>
      <c r="D125" s="55" t="s">
        <v>38</v>
      </c>
      <c r="E125" s="55">
        <f>VLOOKUP(C125,'115_分行業績'!A:J,8,0)</f>
        <v>136975246</v>
      </c>
      <c r="F125" s="55">
        <f>VLOOKUP(C125,'115_分行業績'!A:J,9,0)</f>
        <v>121170000</v>
      </c>
      <c r="G125" s="427">
        <f>VLOOKUP(C125, '115_分行業績'!A:G,7,0)</f>
        <v>1.1304386091335483</v>
      </c>
      <c r="H125" s="55" t="str">
        <f>VLOOKUP(X125,原始參數_115!A:D,2,0)</f>
        <v>110%以上，未達120%</v>
      </c>
      <c r="I125" s="55" t="str">
        <f>VLOOKUP(X125,原始參數_115!A:D,4,0)</f>
        <v>預估實績*103%</v>
      </c>
      <c r="J125" s="55">
        <f>VLOOKUP(C125,'115_分行業績'!A:N,14,0)</f>
        <v>141080000</v>
      </c>
      <c r="K125" s="55"/>
      <c r="L125" s="396">
        <f t="shared" si="8"/>
        <v>3752096</v>
      </c>
      <c r="M125" s="55">
        <f t="shared" si="9"/>
        <v>3752096</v>
      </c>
      <c r="N125" s="55">
        <f>VLOOKUP(C125,'116目標底稿ver1'!D:AC, 19,0)</f>
        <v>847904</v>
      </c>
      <c r="O125" s="362">
        <f>VLOOKUP(C125,'116目標底稿ver1'!D:AC, 22, 0)</f>
        <v>4600000</v>
      </c>
      <c r="P125" s="115">
        <v>109050000</v>
      </c>
      <c r="Q125" s="115">
        <v>106047186</v>
      </c>
      <c r="R125" s="375">
        <f t="shared" si="10"/>
        <v>0.97</v>
      </c>
      <c r="S125" s="356">
        <f t="shared" si="11"/>
        <v>-0.95781751490142142</v>
      </c>
      <c r="T125" s="356">
        <f t="shared" si="12"/>
        <v>-0.95662308286049191</v>
      </c>
      <c r="U125" s="115">
        <f t="shared" si="15"/>
        <v>2530000</v>
      </c>
      <c r="V125" s="362">
        <v>120970000</v>
      </c>
      <c r="W125" s="394">
        <f t="shared" si="13"/>
        <v>-116370000</v>
      </c>
      <c r="X125" s="45" t="str">
        <f t="shared" si="14"/>
        <v>TYPE_5</v>
      </c>
    </row>
    <row r="126" spans="1:24" ht="18.75" customHeight="1">
      <c r="A126" s="56">
        <v>122</v>
      </c>
      <c r="B126" s="55" t="s">
        <v>33</v>
      </c>
      <c r="C126" s="56">
        <v>422</v>
      </c>
      <c r="D126" s="55" t="s">
        <v>101</v>
      </c>
      <c r="E126" s="55">
        <f>VLOOKUP(C126,'115_分行業績'!A:J,8,0)</f>
        <v>133722552</v>
      </c>
      <c r="F126" s="55">
        <f>VLOOKUP(C126,'115_分行業績'!A:J,9,0)</f>
        <v>81890000</v>
      </c>
      <c r="G126" s="427">
        <f>VLOOKUP(C126, '115_分行業績'!A:G,7,0)</f>
        <v>1.6329533754300058</v>
      </c>
      <c r="H126" s="55" t="str">
        <f>VLOOKUP(X126,原始參數_115!A:D,2,0)</f>
        <v>150%以上，未達200%</v>
      </c>
      <c r="I126" s="55" t="str">
        <f>VLOOKUP(X126,原始參數_115!A:D,4,0)</f>
        <v>預估實績*80%</v>
      </c>
      <c r="J126" s="55">
        <f>VLOOKUP(C126,'115_分行業績'!A:N,14,0)</f>
        <v>106980000</v>
      </c>
      <c r="K126" s="55"/>
      <c r="L126" s="396">
        <f t="shared" si="8"/>
        <v>1992724</v>
      </c>
      <c r="M126" s="55">
        <f t="shared" si="9"/>
        <v>1992724</v>
      </c>
      <c r="N126" s="55">
        <f>VLOOKUP(C126,'116目標底稿ver1'!D:AC, 19,0)</f>
        <v>577276</v>
      </c>
      <c r="O126" s="362">
        <f>VLOOKUP(C126,'116目標底稿ver1'!D:AC, 22, 0)</f>
        <v>2570000</v>
      </c>
      <c r="P126" s="115">
        <v>66050000</v>
      </c>
      <c r="Q126" s="115">
        <v>83556321</v>
      </c>
      <c r="R126" s="375">
        <f t="shared" si="10"/>
        <v>1.27</v>
      </c>
      <c r="S126" s="356">
        <f t="shared" si="11"/>
        <v>-0.96109008327024981</v>
      </c>
      <c r="T126" s="356">
        <f t="shared" si="12"/>
        <v>-0.96924230304491266</v>
      </c>
      <c r="U126" s="115">
        <f t="shared" si="15"/>
        <v>1413500</v>
      </c>
      <c r="V126" s="362">
        <v>81700000</v>
      </c>
      <c r="W126" s="394">
        <f t="shared" si="13"/>
        <v>-79130000</v>
      </c>
      <c r="X126" s="45" t="str">
        <f t="shared" si="14"/>
        <v>TYPE_2</v>
      </c>
    </row>
    <row r="127" spans="1:24" ht="18.75" customHeight="1">
      <c r="A127" s="56">
        <v>123</v>
      </c>
      <c r="B127" s="55" t="s">
        <v>33</v>
      </c>
      <c r="C127" s="56">
        <v>423</v>
      </c>
      <c r="D127" s="55" t="s">
        <v>187</v>
      </c>
      <c r="E127" s="55">
        <f>VLOOKUP(C127,'115_分行業績'!A:J,8,0)</f>
        <v>62577903</v>
      </c>
      <c r="F127" s="55">
        <f>VLOOKUP(C127,'115_分行業績'!A:J,9,0)</f>
        <v>60720000</v>
      </c>
      <c r="G127" s="427">
        <f>VLOOKUP(C127, '115_分行業績'!A:G,7,0)</f>
        <v>1.0305978716957476</v>
      </c>
      <c r="H127" s="55" t="str">
        <f>VLOOKUP(X127,原始參數_115!A:D,2,0)</f>
        <v>100%以上，未達110%</v>
      </c>
      <c r="I127" s="55" t="str">
        <f>VLOOKUP(X127,原始參數_115!A:D,4,0)</f>
        <v>預估實績*105%</v>
      </c>
      <c r="J127" s="55">
        <f>VLOOKUP(C127,'115_分行業績'!A:N,14,0)</f>
        <v>65710000</v>
      </c>
      <c r="K127" s="55"/>
      <c r="L127" s="396">
        <f t="shared" si="8"/>
        <v>1702724</v>
      </c>
      <c r="M127" s="55">
        <f t="shared" si="9"/>
        <v>1702724</v>
      </c>
      <c r="N127" s="55">
        <f>VLOOKUP(C127,'116目標底稿ver1'!D:AC, 19,0)</f>
        <v>577276</v>
      </c>
      <c r="O127" s="362">
        <f>VLOOKUP(C127,'116目標底稿ver1'!D:AC, 22, 0)</f>
        <v>2280000</v>
      </c>
      <c r="P127" s="115">
        <v>50080000</v>
      </c>
      <c r="Q127" s="115">
        <v>55008805</v>
      </c>
      <c r="R127" s="375">
        <f t="shared" si="10"/>
        <v>1.1000000000000001</v>
      </c>
      <c r="S127" s="356">
        <f t="shared" si="11"/>
        <v>-0.95447284345047922</v>
      </c>
      <c r="T127" s="356">
        <f t="shared" si="12"/>
        <v>-0.95855208997904973</v>
      </c>
      <c r="U127" s="115">
        <f t="shared" si="15"/>
        <v>1254000</v>
      </c>
      <c r="V127" s="362">
        <v>60590000</v>
      </c>
      <c r="W127" s="394">
        <f t="shared" si="13"/>
        <v>-58310000</v>
      </c>
      <c r="X127" s="45" t="str">
        <f t="shared" si="14"/>
        <v>TYPE_6</v>
      </c>
    </row>
    <row r="128" spans="1:24" ht="18.75" customHeight="1">
      <c r="A128" s="56">
        <v>124</v>
      </c>
      <c r="B128" s="55" t="s">
        <v>33</v>
      </c>
      <c r="C128" s="56">
        <v>424</v>
      </c>
      <c r="D128" s="55" t="s">
        <v>188</v>
      </c>
      <c r="E128" s="55">
        <f>VLOOKUP(C128,'115_分行業績'!A:J,8,0)</f>
        <v>124347153</v>
      </c>
      <c r="F128" s="55">
        <f>VLOOKUP(C128,'115_分行業績'!A:J,9,0)</f>
        <v>108710000</v>
      </c>
      <c r="G128" s="427">
        <f>VLOOKUP(C128, '115_分行業績'!A:G,7,0)</f>
        <v>1.1438428211592782</v>
      </c>
      <c r="H128" s="55" t="str">
        <f>VLOOKUP(X128,原始參數_115!A:D,2,0)</f>
        <v>110%以上，未達120%</v>
      </c>
      <c r="I128" s="55" t="str">
        <f>VLOOKUP(X128,原始參數_115!A:D,4,0)</f>
        <v>預估實績*103%</v>
      </c>
      <c r="J128" s="55">
        <f>VLOOKUP(C128,'115_分行業績'!A:N,14,0)</f>
        <v>128080000</v>
      </c>
      <c r="K128" s="55"/>
      <c r="L128" s="396">
        <f t="shared" si="8"/>
        <v>2743570</v>
      </c>
      <c r="M128" s="55">
        <f t="shared" si="9"/>
        <v>2743570</v>
      </c>
      <c r="N128" s="55">
        <f>VLOOKUP(C128,'116目標底稿ver1'!D:AC, 19,0)</f>
        <v>756430</v>
      </c>
      <c r="O128" s="362">
        <f>VLOOKUP(C128,'116目標底稿ver1'!D:AC, 22, 0)</f>
        <v>3500000</v>
      </c>
      <c r="P128" s="115">
        <v>81150000</v>
      </c>
      <c r="Q128" s="115">
        <v>115128188</v>
      </c>
      <c r="R128" s="375">
        <f t="shared" si="10"/>
        <v>1.42</v>
      </c>
      <c r="S128" s="356">
        <f t="shared" si="11"/>
        <v>-0.95686999383857052</v>
      </c>
      <c r="T128" s="356">
        <f t="shared" si="12"/>
        <v>-0.96959910460850818</v>
      </c>
      <c r="U128" s="115">
        <f t="shared" si="15"/>
        <v>1925000.0000000002</v>
      </c>
      <c r="V128" s="362">
        <v>109880000</v>
      </c>
      <c r="W128" s="394">
        <f t="shared" si="13"/>
        <v>-106380000</v>
      </c>
      <c r="X128" s="45" t="str">
        <f t="shared" si="14"/>
        <v>TYPE_5</v>
      </c>
    </row>
    <row r="129" spans="1:24" ht="18.75" customHeight="1">
      <c r="A129" s="56">
        <v>125</v>
      </c>
      <c r="B129" s="55" t="s">
        <v>33</v>
      </c>
      <c r="C129" s="56">
        <v>425</v>
      </c>
      <c r="D129" s="55" t="s">
        <v>39</v>
      </c>
      <c r="E129" s="55">
        <f>VLOOKUP(C129,'115_分行業績'!A:J,8,0)</f>
        <v>65420728</v>
      </c>
      <c r="F129" s="55">
        <f>VLOOKUP(C129,'115_分行業績'!A:J,9,0)</f>
        <v>81570000</v>
      </c>
      <c r="G129" s="427">
        <f>VLOOKUP(C129, '115_分行業績'!A:G,7,0)</f>
        <v>0.80201946693636228</v>
      </c>
      <c r="H129" s="55" t="str">
        <f>VLOOKUP(X129,原始參數_115!A:D,2,0)</f>
        <v>75%以上，未達90%</v>
      </c>
      <c r="I129" s="55" t="str">
        <f>VLOOKUP(X129,原始參數_115!A:D,4,0)</f>
        <v>分行目標*110%</v>
      </c>
      <c r="J129" s="55">
        <f>VLOOKUP(C129,'115_分行業績'!A:N,14,0)</f>
        <v>89730000</v>
      </c>
      <c r="K129" s="55"/>
      <c r="L129" s="396">
        <f t="shared" si="8"/>
        <v>2263006</v>
      </c>
      <c r="M129" s="55">
        <f t="shared" si="9"/>
        <v>2263006</v>
      </c>
      <c r="N129" s="55">
        <f>VLOOKUP(C129,'116目標底稿ver1'!D:AC, 19,0)</f>
        <v>636994</v>
      </c>
      <c r="O129" s="362">
        <f>VLOOKUP(C129,'116目標底稿ver1'!D:AC, 22, 0)</f>
        <v>2900000</v>
      </c>
      <c r="P129" s="115">
        <v>70230000</v>
      </c>
      <c r="Q129" s="115">
        <v>59202645</v>
      </c>
      <c r="R129" s="375">
        <f t="shared" si="10"/>
        <v>0.84</v>
      </c>
      <c r="S129" s="356">
        <f t="shared" si="11"/>
        <v>-0.95870710522568703</v>
      </c>
      <c r="T129" s="356">
        <f t="shared" si="12"/>
        <v>-0.95101570208560782</v>
      </c>
      <c r="U129" s="115">
        <f t="shared" si="15"/>
        <v>1595000.0000000002</v>
      </c>
      <c r="V129" s="362">
        <v>81320000</v>
      </c>
      <c r="W129" s="394">
        <f t="shared" si="13"/>
        <v>-78420000</v>
      </c>
      <c r="X129" s="45" t="str">
        <f t="shared" si="14"/>
        <v>TYPE_8</v>
      </c>
    </row>
    <row r="130" spans="1:24" ht="18.75" customHeight="1">
      <c r="A130" s="56">
        <v>126</v>
      </c>
      <c r="B130" s="55" t="s">
        <v>33</v>
      </c>
      <c r="C130" s="56">
        <v>426</v>
      </c>
      <c r="D130" s="55" t="s">
        <v>189</v>
      </c>
      <c r="E130" s="55">
        <f>VLOOKUP(C130,'115_分行業績'!A:J,8,0)</f>
        <v>52489399</v>
      </c>
      <c r="F130" s="55">
        <f>VLOOKUP(C130,'115_分行業績'!A:J,9,0)</f>
        <v>60460000</v>
      </c>
      <c r="G130" s="427">
        <f>VLOOKUP(C130, '115_分行業績'!A:G,7,0)</f>
        <v>0.86816735953995006</v>
      </c>
      <c r="H130" s="55" t="str">
        <f>VLOOKUP(X130,原始參數_115!A:D,2,0)</f>
        <v>75%以上，未達90%</v>
      </c>
      <c r="I130" s="55" t="str">
        <f>VLOOKUP(X130,原始參數_115!A:D,4,0)</f>
        <v>分行目標*110%</v>
      </c>
      <c r="J130" s="55">
        <f>VLOOKUP(C130,'115_分行業績'!A:N,14,0)</f>
        <v>66510000</v>
      </c>
      <c r="K130" s="55"/>
      <c r="L130" s="396">
        <f t="shared" si="8"/>
        <v>1752818</v>
      </c>
      <c r="M130" s="55">
        <f t="shared" si="9"/>
        <v>1752818</v>
      </c>
      <c r="N130" s="55">
        <f>VLOOKUP(C130,'116目標底稿ver1'!D:AC, 19,0)</f>
        <v>597182</v>
      </c>
      <c r="O130" s="362">
        <f>VLOOKUP(C130,'116目標底稿ver1'!D:AC, 22, 0)</f>
        <v>2350000</v>
      </c>
      <c r="P130" s="115">
        <v>54330000</v>
      </c>
      <c r="Q130" s="115">
        <v>51242161</v>
      </c>
      <c r="R130" s="375">
        <f t="shared" si="10"/>
        <v>0.94</v>
      </c>
      <c r="S130" s="356">
        <f t="shared" si="11"/>
        <v>-0.95674581262654146</v>
      </c>
      <c r="T130" s="356">
        <f t="shared" si="12"/>
        <v>-0.95413932679380953</v>
      </c>
      <c r="U130" s="115">
        <f t="shared" si="15"/>
        <v>1292500</v>
      </c>
      <c r="V130" s="362">
        <v>60290000</v>
      </c>
      <c r="W130" s="394">
        <f t="shared" si="13"/>
        <v>-57940000</v>
      </c>
      <c r="X130" s="45" t="str">
        <f t="shared" si="14"/>
        <v>TYPE_8</v>
      </c>
    </row>
    <row r="131" spans="1:24" ht="18.75" customHeight="1">
      <c r="A131" s="56">
        <v>127</v>
      </c>
      <c r="B131" s="55" t="s">
        <v>33</v>
      </c>
      <c r="C131" s="56">
        <v>427</v>
      </c>
      <c r="D131" s="55" t="s">
        <v>190</v>
      </c>
      <c r="E131" s="55">
        <f>VLOOKUP(C131,'115_分行業績'!A:J,8,0)</f>
        <v>65975791</v>
      </c>
      <c r="F131" s="55">
        <f>VLOOKUP(C131,'115_分行業績'!A:J,9,0)</f>
        <v>68020000</v>
      </c>
      <c r="G131" s="427">
        <f>VLOOKUP(C131, '115_分行業績'!A:G,7,0)</f>
        <v>0.96994694557937344</v>
      </c>
      <c r="H131" s="55" t="str">
        <f>VLOOKUP(X131,原始參數_115!A:D,2,0)</f>
        <v>90%以上，未達100%</v>
      </c>
      <c r="I131" s="55" t="str">
        <f>VLOOKUP(X131,原始參數_115!A:D,4,0)</f>
        <v>分行目標*105%</v>
      </c>
      <c r="J131" s="55">
        <f>VLOOKUP(C131,'115_分行業績'!A:N,14,0)</f>
        <v>71420000</v>
      </c>
      <c r="K131" s="55"/>
      <c r="L131" s="396">
        <f t="shared" si="8"/>
        <v>1932818</v>
      </c>
      <c r="M131" s="55">
        <f t="shared" si="9"/>
        <v>1932818</v>
      </c>
      <c r="N131" s="55">
        <f>VLOOKUP(C131,'116目標底稿ver1'!D:AC, 19,0)</f>
        <v>597182</v>
      </c>
      <c r="O131" s="362">
        <f>VLOOKUP(C131,'116目標底稿ver1'!D:AC, 22, 0)</f>
        <v>2530000</v>
      </c>
      <c r="P131" s="115">
        <v>61090000</v>
      </c>
      <c r="Q131" s="115">
        <v>57956237</v>
      </c>
      <c r="R131" s="375">
        <f t="shared" si="10"/>
        <v>0.95</v>
      </c>
      <c r="S131" s="356">
        <f t="shared" si="11"/>
        <v>-0.95858569323948273</v>
      </c>
      <c r="T131" s="356">
        <f t="shared" si="12"/>
        <v>-0.95634637217733787</v>
      </c>
      <c r="U131" s="115">
        <f t="shared" si="15"/>
        <v>1391500</v>
      </c>
      <c r="V131" s="362">
        <v>67820000</v>
      </c>
      <c r="W131" s="394">
        <f t="shared" si="13"/>
        <v>-65290000</v>
      </c>
      <c r="X131" s="45" t="str">
        <f t="shared" si="14"/>
        <v>TYPE_7</v>
      </c>
    </row>
    <row r="132" spans="1:24" ht="18.75" customHeight="1">
      <c r="A132" s="56">
        <v>128</v>
      </c>
      <c r="B132" s="55" t="s">
        <v>33</v>
      </c>
      <c r="C132" s="56">
        <v>429</v>
      </c>
      <c r="D132" s="55" t="s">
        <v>191</v>
      </c>
      <c r="E132" s="55">
        <f>VLOOKUP(C132,'115_分行業績'!A:J,8,0)</f>
        <v>68618259</v>
      </c>
      <c r="F132" s="55">
        <f>VLOOKUP(C132,'115_分行業績'!A:J,9,0)</f>
        <v>53410000</v>
      </c>
      <c r="G132" s="427">
        <f>VLOOKUP(C132, '115_分行業績'!A:G,7,0)</f>
        <v>1.2847455378410439</v>
      </c>
      <c r="H132" s="55" t="str">
        <f>VLOOKUP(X132,原始參數_115!A:D,2,0)</f>
        <v>120%以上，未達130%</v>
      </c>
      <c r="I132" s="55" t="str">
        <f>VLOOKUP(X132,原始參數_115!A:D,4,0)</f>
        <v>預估實績*101%</v>
      </c>
      <c r="J132" s="55">
        <f>VLOOKUP(C132,'115_分行業績'!A:N,14,0)</f>
        <v>69300000</v>
      </c>
      <c r="K132" s="55"/>
      <c r="L132" s="396">
        <f t="shared" si="8"/>
        <v>1332349</v>
      </c>
      <c r="M132" s="55">
        <f t="shared" si="9"/>
        <v>1332349</v>
      </c>
      <c r="N132" s="55">
        <f>VLOOKUP(C132,'116目標底稿ver1'!D:AC, 19,0)</f>
        <v>497651</v>
      </c>
      <c r="O132" s="362">
        <f>VLOOKUP(C132,'116目標底稿ver1'!D:AC, 22, 0)</f>
        <v>1830000</v>
      </c>
      <c r="P132" s="115">
        <v>43650000</v>
      </c>
      <c r="Q132" s="115">
        <v>60043744</v>
      </c>
      <c r="R132" s="375">
        <f t="shared" si="10"/>
        <v>1.38</v>
      </c>
      <c r="S132" s="356">
        <f t="shared" si="11"/>
        <v>-0.95807560137457048</v>
      </c>
      <c r="T132" s="356">
        <f t="shared" si="12"/>
        <v>-0.9695222203332291</v>
      </c>
      <c r="U132" s="115">
        <f t="shared" si="15"/>
        <v>1006500.0000000001</v>
      </c>
      <c r="V132" s="362">
        <v>53540000</v>
      </c>
      <c r="W132" s="394">
        <f t="shared" si="13"/>
        <v>-51710000</v>
      </c>
      <c r="X132" s="45" t="str">
        <f t="shared" si="14"/>
        <v>TYPE_4</v>
      </c>
    </row>
    <row r="133" spans="1:24" ht="18.75" customHeight="1">
      <c r="A133" s="56">
        <v>129</v>
      </c>
      <c r="B133" s="55" t="s">
        <v>33</v>
      </c>
      <c r="C133" s="56">
        <v>430</v>
      </c>
      <c r="D133" s="55" t="s">
        <v>40</v>
      </c>
      <c r="E133" s="55">
        <f>VLOOKUP(C133,'115_分行業績'!A:J,8,0)</f>
        <v>33136455</v>
      </c>
      <c r="F133" s="55">
        <f>VLOOKUP(C133,'115_分行業績'!A:J,9,0)</f>
        <v>45280000</v>
      </c>
      <c r="G133" s="427">
        <f>VLOOKUP(C133, '115_分行業績'!A:G,7,0)</f>
        <v>0.73181217315726022</v>
      </c>
      <c r="H133" s="55" t="str">
        <f>VLOOKUP(X133,原始參數_115!A:D,2,0)</f>
        <v>未達75%</v>
      </c>
      <c r="I133" s="55" t="str">
        <f>VLOOKUP(X133,原始參數_115!A:D,4,0)</f>
        <v>分行目標*115%</v>
      </c>
      <c r="J133" s="55">
        <f>VLOOKUP(C133,'115_分行業績'!A:N,14,0)</f>
        <v>52070000</v>
      </c>
      <c r="K133" s="55"/>
      <c r="L133" s="396">
        <f t="shared" ref="L133:L187" si="16">IF(J133 = M133, "-", M133)</f>
        <v>1202724</v>
      </c>
      <c r="M133" s="55">
        <f t="shared" ref="M133:M187" si="17">O133-N133</f>
        <v>1202724</v>
      </c>
      <c r="N133" s="55">
        <f>VLOOKUP(C133,'116目標底稿ver1'!D:AC, 19,0)</f>
        <v>577276</v>
      </c>
      <c r="O133" s="362">
        <f>VLOOKUP(C133,'116目標底稿ver1'!D:AC, 22, 0)</f>
        <v>1780000</v>
      </c>
      <c r="P133" s="115">
        <v>40580000</v>
      </c>
      <c r="Q133" s="115">
        <v>39864001</v>
      </c>
      <c r="R133" s="375">
        <f t="shared" ref="R133:R188" si="18">ROUND(Q133/P133, 2)</f>
        <v>0.98</v>
      </c>
      <c r="S133" s="356">
        <f t="shared" ref="S133:S188" si="19">O133/P133-1</f>
        <v>-0.95613602759980287</v>
      </c>
      <c r="T133" s="356">
        <f t="shared" ref="T133:T188" si="20">O133/Q133-1</f>
        <v>-0.95534818494510876</v>
      </c>
      <c r="U133" s="115">
        <f t="shared" si="15"/>
        <v>979000.00000000012</v>
      </c>
      <c r="V133" s="362">
        <v>45090000</v>
      </c>
      <c r="W133" s="394">
        <f t="shared" ref="W133:W187" si="21">O133-V133</f>
        <v>-43310000</v>
      </c>
      <c r="X133" s="45" t="str">
        <f t="shared" si="14"/>
        <v>TYPE_9</v>
      </c>
    </row>
    <row r="134" spans="1:24" ht="18.75" customHeight="1">
      <c r="A134" s="56">
        <v>130</v>
      </c>
      <c r="B134" s="55" t="s">
        <v>33</v>
      </c>
      <c r="C134" s="56">
        <v>431</v>
      </c>
      <c r="D134" s="55" t="s">
        <v>102</v>
      </c>
      <c r="E134" s="55">
        <f>VLOOKUP(C134,'115_分行業績'!A:J,8,0)</f>
        <v>43223962</v>
      </c>
      <c r="F134" s="55">
        <f>VLOOKUP(C134,'115_分行業績'!A:J,9,0)</f>
        <v>37760000</v>
      </c>
      <c r="G134" s="427">
        <f>VLOOKUP(C134, '115_分行業績'!A:G,7,0)</f>
        <v>1.1447023710474142</v>
      </c>
      <c r="H134" s="55" t="str">
        <f>VLOOKUP(X134,原始參數_115!A:D,2,0)</f>
        <v>110%以上，未達120%</v>
      </c>
      <c r="I134" s="55" t="str">
        <f>VLOOKUP(X134,原始參數_115!A:D,4,0)</f>
        <v>預估實績*103%</v>
      </c>
      <c r="J134" s="55">
        <f>VLOOKUP(C134,'115_分行業績'!A:N,14,0)</f>
        <v>44520000</v>
      </c>
      <c r="K134" s="55"/>
      <c r="L134" s="396">
        <f t="shared" si="16"/>
        <v>832536</v>
      </c>
      <c r="M134" s="55">
        <f t="shared" si="17"/>
        <v>832536</v>
      </c>
      <c r="N134" s="55">
        <f>VLOOKUP(C134,'116目標底稿ver1'!D:AC, 19,0)</f>
        <v>537464</v>
      </c>
      <c r="O134" s="362">
        <f>VLOOKUP(C134,'116目標底稿ver1'!D:AC, 22, 0)</f>
        <v>1370000</v>
      </c>
      <c r="P134" s="115">
        <v>29520000</v>
      </c>
      <c r="Q134" s="115">
        <v>39738958</v>
      </c>
      <c r="R134" s="375">
        <f t="shared" si="18"/>
        <v>1.35</v>
      </c>
      <c r="S134" s="356">
        <f t="shared" si="19"/>
        <v>-0.95359078590785906</v>
      </c>
      <c r="T134" s="356">
        <f t="shared" si="20"/>
        <v>-0.96552501452101491</v>
      </c>
      <c r="U134" s="115">
        <f t="shared" ref="U134:U187" si="22">O134*0.55</f>
        <v>753500.00000000012</v>
      </c>
      <c r="V134" s="362">
        <v>39080000</v>
      </c>
      <c r="W134" s="394">
        <f t="shared" si="21"/>
        <v>-37710000</v>
      </c>
      <c r="X134" s="45" t="str">
        <f t="shared" ref="X134:X187" si="23">IF(G134&gt;=2, "TYPE_1", IF(G134&gt;=1.5, "TYPE_2", IF(G134&gt;=1.3, "TYPE_3", IF(G134&gt;=1.2, "TYPE_4", IF(G134 &gt;=1.1, "TYPE_5", IF(G134&gt;=1, "TYPE_6", IF(G134&gt;=0.9, "TYPE_7", IF(G134&gt;= 0.75, "TYPE_8", "TYPE_9"))))))))</f>
        <v>TYPE_5</v>
      </c>
    </row>
    <row r="135" spans="1:24" ht="18.75" customHeight="1">
      <c r="A135" s="56">
        <v>131</v>
      </c>
      <c r="B135" s="55" t="s">
        <v>33</v>
      </c>
      <c r="C135" s="56">
        <v>451</v>
      </c>
      <c r="D135" s="55" t="s">
        <v>103</v>
      </c>
      <c r="E135" s="55">
        <f>VLOOKUP(C135,'115_分行業績'!A:J,8,0)</f>
        <v>40782598</v>
      </c>
      <c r="F135" s="55">
        <f>VLOOKUP(C135,'115_分行業績'!A:J,9,0)</f>
        <v>56240000</v>
      </c>
      <c r="G135" s="427">
        <f>VLOOKUP(C135, '115_分行業績'!A:G,7,0)</f>
        <v>0.72515288540938116</v>
      </c>
      <c r="H135" s="55" t="str">
        <f>VLOOKUP(X135,原始參數_115!A:D,2,0)</f>
        <v>未達75%</v>
      </c>
      <c r="I135" s="55" t="str">
        <f>VLOOKUP(X135,原始參數_115!A:D,4,0)</f>
        <v>分行目標*115%</v>
      </c>
      <c r="J135" s="55">
        <f>VLOOKUP(C135,'115_分行業績'!A:N,14,0)</f>
        <v>64680000</v>
      </c>
      <c r="K135" s="55"/>
      <c r="L135" s="396">
        <f t="shared" si="16"/>
        <v>1342536</v>
      </c>
      <c r="M135" s="55">
        <f t="shared" si="17"/>
        <v>1342536</v>
      </c>
      <c r="N135" s="55">
        <f>VLOOKUP(C135,'116目標底稿ver1'!D:AC, 19,0)</f>
        <v>537464</v>
      </c>
      <c r="O135" s="362">
        <f>VLOOKUP(C135,'116目標底稿ver1'!D:AC, 22, 0)</f>
        <v>1880000</v>
      </c>
      <c r="P135" s="115">
        <v>48530000</v>
      </c>
      <c r="Q135" s="115">
        <v>38743800</v>
      </c>
      <c r="R135" s="375">
        <f t="shared" si="18"/>
        <v>0.8</v>
      </c>
      <c r="S135" s="356">
        <f t="shared" si="19"/>
        <v>-0.96126107562332574</v>
      </c>
      <c r="T135" s="356">
        <f t="shared" si="20"/>
        <v>-0.95147610714488517</v>
      </c>
      <c r="U135" s="115">
        <f t="shared" si="22"/>
        <v>1034000.0000000001</v>
      </c>
      <c r="V135" s="362">
        <v>56110000</v>
      </c>
      <c r="W135" s="394">
        <f t="shared" si="21"/>
        <v>-54230000</v>
      </c>
      <c r="X135" s="45" t="str">
        <f t="shared" si="23"/>
        <v>TYPE_9</v>
      </c>
    </row>
    <row r="136" spans="1:24" ht="18.75" customHeight="1">
      <c r="A136" s="56">
        <v>132</v>
      </c>
      <c r="B136" s="55" t="s">
        <v>33</v>
      </c>
      <c r="C136" s="56">
        <v>500</v>
      </c>
      <c r="D136" s="55" t="s">
        <v>41</v>
      </c>
      <c r="E136" s="55">
        <f>VLOOKUP(C136,'115_分行業績'!A:J,8,0)</f>
        <v>72594689</v>
      </c>
      <c r="F136" s="55">
        <f>VLOOKUP(C136,'115_分行業績'!A:J,9,0)</f>
        <v>62690000</v>
      </c>
      <c r="G136" s="427">
        <f>VLOOKUP(C136, '115_分行業績'!A:G,7,0)</f>
        <v>1.1579947192421358</v>
      </c>
      <c r="H136" s="55" t="str">
        <f>VLOOKUP(X136,原始參數_115!A:D,2,0)</f>
        <v>110%以上，未達120%</v>
      </c>
      <c r="I136" s="55" t="str">
        <f>VLOOKUP(X136,原始參數_115!A:D,4,0)</f>
        <v>預估實績*103%</v>
      </c>
      <c r="J136" s="55">
        <f>VLOOKUP(C136,'115_分行業績'!A:N,14,0)</f>
        <v>74770000</v>
      </c>
      <c r="K136" s="55"/>
      <c r="L136" s="396">
        <f t="shared" si="16"/>
        <v>1662630</v>
      </c>
      <c r="M136" s="55">
        <f t="shared" si="17"/>
        <v>1662630</v>
      </c>
      <c r="N136" s="55">
        <f>VLOOKUP(C136,'116目標底稿ver1'!D:AC, 19,0)</f>
        <v>557370</v>
      </c>
      <c r="O136" s="362">
        <f>VLOOKUP(C136,'116目標底稿ver1'!D:AC, 22, 0)</f>
        <v>2220000</v>
      </c>
      <c r="P136" s="115">
        <v>49100000</v>
      </c>
      <c r="Q136" s="115">
        <v>66514232</v>
      </c>
      <c r="R136" s="375">
        <f t="shared" si="18"/>
        <v>1.35</v>
      </c>
      <c r="S136" s="356">
        <f t="shared" si="19"/>
        <v>-0.95478615071283091</v>
      </c>
      <c r="T136" s="356">
        <f t="shared" si="20"/>
        <v>-0.96662368438682411</v>
      </c>
      <c r="U136" s="115">
        <f t="shared" si="22"/>
        <v>1221000</v>
      </c>
      <c r="V136" s="362">
        <v>62540000</v>
      </c>
      <c r="W136" s="394">
        <f t="shared" si="21"/>
        <v>-60320000</v>
      </c>
      <c r="X136" s="45" t="str">
        <f t="shared" si="23"/>
        <v>TYPE_5</v>
      </c>
    </row>
    <row r="137" spans="1:24" ht="18.75" customHeight="1">
      <c r="A137" s="56">
        <v>133</v>
      </c>
      <c r="B137" s="55" t="s">
        <v>33</v>
      </c>
      <c r="C137" s="56">
        <v>501</v>
      </c>
      <c r="D137" s="55" t="s">
        <v>192</v>
      </c>
      <c r="E137" s="55">
        <f>VLOOKUP(C137,'115_分行業績'!A:J,8,0)</f>
        <v>41345490</v>
      </c>
      <c r="F137" s="55">
        <f>VLOOKUP(C137,'115_分行業績'!A:J,9,0)</f>
        <v>54190000</v>
      </c>
      <c r="G137" s="427">
        <f>VLOOKUP(C137, '115_分行業績'!A:G,7,0)</f>
        <v>0.76297268846162847</v>
      </c>
      <c r="H137" s="55" t="str">
        <f>VLOOKUP(X137,原始參數_115!A:D,2,0)</f>
        <v>75%以上，未達90%</v>
      </c>
      <c r="I137" s="55" t="str">
        <f>VLOOKUP(X137,原始參數_115!A:D,4,0)</f>
        <v>分行目標*110%</v>
      </c>
      <c r="J137" s="55">
        <f>VLOOKUP(C137,'115_分行業績'!A:N,14,0)</f>
        <v>59610000</v>
      </c>
      <c r="K137" s="55"/>
      <c r="L137" s="396">
        <f t="shared" si="16"/>
        <v>1512349</v>
      </c>
      <c r="M137" s="55">
        <f t="shared" si="17"/>
        <v>1512349</v>
      </c>
      <c r="N137" s="55">
        <f>VLOOKUP(C137,'116目標底稿ver1'!D:AC, 19,0)</f>
        <v>497651</v>
      </c>
      <c r="O137" s="362">
        <f>VLOOKUP(C137,'116目標底稿ver1'!D:AC, 22, 0)</f>
        <v>2010000</v>
      </c>
      <c r="P137" s="115">
        <v>48180000</v>
      </c>
      <c r="Q137" s="115">
        <v>48708086</v>
      </c>
      <c r="R137" s="375">
        <f t="shared" si="18"/>
        <v>1.01</v>
      </c>
      <c r="S137" s="356">
        <f t="shared" si="19"/>
        <v>-0.9582814445828145</v>
      </c>
      <c r="T137" s="356">
        <f t="shared" si="20"/>
        <v>-0.95873375110654113</v>
      </c>
      <c r="U137" s="115">
        <f t="shared" si="22"/>
        <v>1105500</v>
      </c>
      <c r="V137" s="362">
        <v>54040000</v>
      </c>
      <c r="W137" s="394">
        <f t="shared" si="21"/>
        <v>-52030000</v>
      </c>
      <c r="X137" s="45" t="str">
        <f t="shared" si="23"/>
        <v>TYPE_8</v>
      </c>
    </row>
    <row r="138" spans="1:24" ht="18.75" customHeight="1">
      <c r="A138" s="56">
        <v>134</v>
      </c>
      <c r="B138" s="55" t="s">
        <v>33</v>
      </c>
      <c r="C138" s="56">
        <v>520</v>
      </c>
      <c r="D138" s="55" t="s">
        <v>193</v>
      </c>
      <c r="E138" s="55">
        <f>VLOOKUP(C138,'115_分行業績'!A:J,8,0)</f>
        <v>92073151</v>
      </c>
      <c r="F138" s="55">
        <f>VLOOKUP(C138,'115_分行業績'!A:J,9,0)</f>
        <v>91670000</v>
      </c>
      <c r="G138" s="427">
        <f>VLOOKUP(C138, '115_分行業績'!A:G,7,0)</f>
        <v>1.0043978541170608</v>
      </c>
      <c r="H138" s="55" t="str">
        <f>VLOOKUP(X138,原始參數_115!A:D,2,0)</f>
        <v>100%以上，未達110%</v>
      </c>
      <c r="I138" s="55" t="str">
        <f>VLOOKUP(X138,原始參數_115!A:D,4,0)</f>
        <v>預估實績*105%</v>
      </c>
      <c r="J138" s="55">
        <f>VLOOKUP(C138,'115_分行業績'!A:N,14,0)</f>
        <v>96680000</v>
      </c>
      <c r="K138" s="55"/>
      <c r="L138" s="396">
        <f t="shared" si="16"/>
        <v>2332912</v>
      </c>
      <c r="M138" s="55">
        <f t="shared" si="17"/>
        <v>2332912</v>
      </c>
      <c r="N138" s="55">
        <f>VLOOKUP(C138,'116目標底稿ver1'!D:AC, 19,0)</f>
        <v>617088</v>
      </c>
      <c r="O138" s="362">
        <f>VLOOKUP(C138,'116目標底稿ver1'!D:AC, 22, 0)</f>
        <v>2950000</v>
      </c>
      <c r="P138" s="115">
        <v>75890000</v>
      </c>
      <c r="Q138" s="115">
        <v>56069734</v>
      </c>
      <c r="R138" s="375">
        <f t="shared" si="18"/>
        <v>0.74</v>
      </c>
      <c r="S138" s="356">
        <f t="shared" si="19"/>
        <v>-0.96112794834629067</v>
      </c>
      <c r="T138" s="356">
        <f t="shared" si="20"/>
        <v>-0.94738694497819442</v>
      </c>
      <c r="U138" s="115">
        <f t="shared" si="22"/>
        <v>1622500.0000000002</v>
      </c>
      <c r="V138" s="362">
        <v>91450000</v>
      </c>
      <c r="W138" s="394">
        <f t="shared" si="21"/>
        <v>-88500000</v>
      </c>
      <c r="X138" s="45" t="str">
        <f t="shared" si="23"/>
        <v>TYPE_6</v>
      </c>
    </row>
    <row r="139" spans="1:24" ht="18.75" customHeight="1">
      <c r="A139" s="56">
        <v>135</v>
      </c>
      <c r="B139" s="55" t="s">
        <v>33</v>
      </c>
      <c r="C139" s="56">
        <v>521</v>
      </c>
      <c r="D139" s="55" t="s">
        <v>194</v>
      </c>
      <c r="E139" s="55">
        <f>VLOOKUP(C139,'115_分行業績'!A:J,8,0)</f>
        <v>155168611</v>
      </c>
      <c r="F139" s="55">
        <f>VLOOKUP(C139,'115_分行業績'!A:J,9,0)</f>
        <v>118020000</v>
      </c>
      <c r="G139" s="427">
        <f>VLOOKUP(C139, '115_分行業績'!A:G,7,0)</f>
        <v>1.3147653841356544</v>
      </c>
      <c r="H139" s="55" t="str">
        <f>VLOOKUP(X139,原始參數_115!A:D,2,0)</f>
        <v>130%以上，未達150%</v>
      </c>
      <c r="I139" s="55" t="str">
        <f>VLOOKUP(X139,原始參數_115!A:D,4,0)</f>
        <v>預估實績*90%</v>
      </c>
      <c r="J139" s="55">
        <f>VLOOKUP(C139,'115_分行業績'!A:N,14,0)</f>
        <v>139650000</v>
      </c>
      <c r="K139" s="55"/>
      <c r="L139" s="396">
        <f t="shared" si="16"/>
        <v>4043194</v>
      </c>
      <c r="M139" s="55">
        <f t="shared" si="17"/>
        <v>4043194</v>
      </c>
      <c r="N139" s="55">
        <f>VLOOKUP(C139,'116目標底稿ver1'!D:AC, 19,0)</f>
        <v>676806</v>
      </c>
      <c r="O139" s="362">
        <f>VLOOKUP(C139,'116目標底稿ver1'!D:AC, 22, 0)</f>
        <v>4720000</v>
      </c>
      <c r="P139" s="115">
        <v>108240000</v>
      </c>
      <c r="Q139" s="115">
        <v>95438188</v>
      </c>
      <c r="R139" s="375">
        <f t="shared" si="18"/>
        <v>0.88</v>
      </c>
      <c r="S139" s="356">
        <f t="shared" si="19"/>
        <v>-0.95639320029563935</v>
      </c>
      <c r="T139" s="356">
        <f t="shared" si="20"/>
        <v>-0.95054390596770344</v>
      </c>
      <c r="U139" s="115">
        <f t="shared" si="22"/>
        <v>2596000</v>
      </c>
      <c r="V139" s="362">
        <v>118000000</v>
      </c>
      <c r="W139" s="394">
        <f t="shared" si="21"/>
        <v>-113280000</v>
      </c>
      <c r="X139" s="45" t="str">
        <f t="shared" si="23"/>
        <v>TYPE_3</v>
      </c>
    </row>
    <row r="140" spans="1:24" ht="18.75" customHeight="1">
      <c r="A140" s="56">
        <v>136</v>
      </c>
      <c r="B140" s="55" t="s">
        <v>33</v>
      </c>
      <c r="C140" s="56">
        <v>522</v>
      </c>
      <c r="D140" s="55" t="s">
        <v>42</v>
      </c>
      <c r="E140" s="55">
        <f>VLOOKUP(C140,'115_分行業績'!A:J,8,0)</f>
        <v>137092574</v>
      </c>
      <c r="F140" s="55">
        <f>VLOOKUP(C140,'115_分行業績'!A:J,9,0)</f>
        <v>116310000</v>
      </c>
      <c r="G140" s="427">
        <f>VLOOKUP(C140, '115_分行業績'!A:G,7,0)</f>
        <v>1.1786826099146865</v>
      </c>
      <c r="H140" s="55" t="str">
        <f>VLOOKUP(X140,原始參數_115!A:D,2,0)</f>
        <v>110%以上，未達120%</v>
      </c>
      <c r="I140" s="55" t="str">
        <f>VLOOKUP(X140,原始參數_115!A:D,4,0)</f>
        <v>預估實績*103%</v>
      </c>
      <c r="J140" s="55">
        <f>VLOOKUP(C140,'115_分行業績'!A:N,14,0)</f>
        <v>141210000</v>
      </c>
      <c r="K140" s="55"/>
      <c r="L140" s="396">
        <f t="shared" si="16"/>
        <v>3523852</v>
      </c>
      <c r="M140" s="55">
        <f t="shared" si="17"/>
        <v>3523852</v>
      </c>
      <c r="N140" s="55">
        <f>VLOOKUP(C140,'116目標底稿ver1'!D:AC, 19,0)</f>
        <v>816148</v>
      </c>
      <c r="O140" s="362">
        <f>VLOOKUP(C140,'116目標底稿ver1'!D:AC, 22, 0)</f>
        <v>4340000</v>
      </c>
      <c r="P140" s="115">
        <v>102100000</v>
      </c>
      <c r="Q140" s="115">
        <v>122950000</v>
      </c>
      <c r="R140" s="375">
        <f t="shared" si="18"/>
        <v>1.2</v>
      </c>
      <c r="S140" s="356">
        <f t="shared" si="19"/>
        <v>-0.95749265426052887</v>
      </c>
      <c r="T140" s="356">
        <f t="shared" si="20"/>
        <v>-0.96470109800732007</v>
      </c>
      <c r="U140" s="115">
        <f t="shared" si="22"/>
        <v>2387000</v>
      </c>
      <c r="V140" s="362">
        <v>116020000</v>
      </c>
      <c r="W140" s="394">
        <f t="shared" si="21"/>
        <v>-111680000</v>
      </c>
      <c r="X140" s="45" t="str">
        <f t="shared" si="23"/>
        <v>TYPE_5</v>
      </c>
    </row>
    <row r="141" spans="1:24" ht="18.75" customHeight="1">
      <c r="A141" s="56">
        <v>137</v>
      </c>
      <c r="B141" s="55" t="s">
        <v>33</v>
      </c>
      <c r="C141" s="56">
        <v>523</v>
      </c>
      <c r="D141" s="55" t="s">
        <v>104</v>
      </c>
      <c r="E141" s="55">
        <f>VLOOKUP(C141,'115_分行業績'!A:J,8,0)</f>
        <v>60052954</v>
      </c>
      <c r="F141" s="55">
        <f>VLOOKUP(C141,'115_分行業績'!A:J,9,0)</f>
        <v>69370000</v>
      </c>
      <c r="G141" s="427">
        <f>VLOOKUP(C141, '115_分行業績'!A:G,7,0)</f>
        <v>0.86569055517954152</v>
      </c>
      <c r="H141" s="55" t="str">
        <f>VLOOKUP(X141,原始參數_115!A:D,2,0)</f>
        <v>75%以上，未達90%</v>
      </c>
      <c r="I141" s="55" t="str">
        <f>VLOOKUP(X141,原始參數_115!A:D,4,0)</f>
        <v>分行目標*110%</v>
      </c>
      <c r="J141" s="55">
        <f>VLOOKUP(C141,'115_分行業績'!A:N,14,0)</f>
        <v>76310000</v>
      </c>
      <c r="K141" s="55"/>
      <c r="L141" s="396">
        <f t="shared" si="16"/>
        <v>2152255</v>
      </c>
      <c r="M141" s="55">
        <f t="shared" si="17"/>
        <v>2152255</v>
      </c>
      <c r="N141" s="55">
        <f>VLOOKUP(C141,'116目標底稿ver1'!D:AC, 19,0)</f>
        <v>477745</v>
      </c>
      <c r="O141" s="362">
        <f>VLOOKUP(C141,'116目標底稿ver1'!D:AC, 22, 0)</f>
        <v>2630000</v>
      </c>
      <c r="P141" s="115">
        <v>58800000</v>
      </c>
      <c r="Q141" s="115">
        <v>62600177</v>
      </c>
      <c r="R141" s="375">
        <f t="shared" si="18"/>
        <v>1.06</v>
      </c>
      <c r="S141" s="356">
        <f t="shared" si="19"/>
        <v>-0.95527210884353742</v>
      </c>
      <c r="T141" s="356">
        <f t="shared" si="20"/>
        <v>-0.95798733923707591</v>
      </c>
      <c r="U141" s="115">
        <f t="shared" si="22"/>
        <v>1446500.0000000002</v>
      </c>
      <c r="V141" s="362">
        <v>69190000</v>
      </c>
      <c r="W141" s="394">
        <f t="shared" si="21"/>
        <v>-66560000</v>
      </c>
      <c r="X141" s="45" t="str">
        <f t="shared" si="23"/>
        <v>TYPE_8</v>
      </c>
    </row>
    <row r="142" spans="1:24" ht="18.75" customHeight="1">
      <c r="A142" s="56">
        <v>138</v>
      </c>
      <c r="B142" s="55" t="s">
        <v>33</v>
      </c>
      <c r="C142" s="56">
        <v>524</v>
      </c>
      <c r="D142" s="55" t="s">
        <v>43</v>
      </c>
      <c r="E142" s="55">
        <f>VLOOKUP(C142,'115_分行業績'!A:J,8,0)</f>
        <v>50759587</v>
      </c>
      <c r="F142" s="55">
        <f>VLOOKUP(C142,'115_分行業績'!A:J,9,0)</f>
        <v>56950000</v>
      </c>
      <c r="G142" s="427">
        <f>VLOOKUP(C142, '115_分行業績'!A:G,7,0)</f>
        <v>0.89130091820592228</v>
      </c>
      <c r="H142" s="55" t="str">
        <f>VLOOKUP(X142,原始參數_115!A:D,2,0)</f>
        <v>75%以上，未達90%</v>
      </c>
      <c r="I142" s="55" t="str">
        <f>VLOOKUP(X142,原始參數_115!A:D,4,0)</f>
        <v>分行目標*110%</v>
      </c>
      <c r="J142" s="55">
        <f>VLOOKUP(C142,'115_分行業績'!A:N,14,0)</f>
        <v>62650000</v>
      </c>
      <c r="K142" s="55"/>
      <c r="L142" s="396">
        <f t="shared" si="16"/>
        <v>1672349</v>
      </c>
      <c r="M142" s="55">
        <f t="shared" si="17"/>
        <v>1672349</v>
      </c>
      <c r="N142" s="55">
        <f>VLOOKUP(C142,'116目標底稿ver1'!D:AC, 19,0)</f>
        <v>497651</v>
      </c>
      <c r="O142" s="362">
        <f>VLOOKUP(C142,'116目標底稿ver1'!D:AC, 22, 0)</f>
        <v>2170000</v>
      </c>
      <c r="P142" s="115">
        <v>49730000</v>
      </c>
      <c r="Q142" s="115">
        <v>51283118</v>
      </c>
      <c r="R142" s="375">
        <f t="shared" si="18"/>
        <v>1.03</v>
      </c>
      <c r="S142" s="356">
        <f t="shared" si="19"/>
        <v>-0.9563643675849588</v>
      </c>
      <c r="T142" s="356">
        <f t="shared" si="20"/>
        <v>-0.95768588017600642</v>
      </c>
      <c r="U142" s="115">
        <f t="shared" si="22"/>
        <v>1193500</v>
      </c>
      <c r="V142" s="362">
        <v>56800000</v>
      </c>
      <c r="W142" s="394">
        <f t="shared" si="21"/>
        <v>-54630000</v>
      </c>
      <c r="X142" s="45" t="str">
        <f t="shared" si="23"/>
        <v>TYPE_8</v>
      </c>
    </row>
    <row r="143" spans="1:24" ht="18.75" customHeight="1">
      <c r="A143" s="56">
        <v>139</v>
      </c>
      <c r="B143" s="55" t="s">
        <v>33</v>
      </c>
      <c r="C143" s="56">
        <v>540</v>
      </c>
      <c r="D143" s="55" t="s">
        <v>44</v>
      </c>
      <c r="E143" s="55">
        <f>VLOOKUP(C143,'115_分行業績'!A:J,8,0)</f>
        <v>35583535</v>
      </c>
      <c r="F143" s="55">
        <f>VLOOKUP(C143,'115_分行業績'!A:J,9,0)</f>
        <v>44770000</v>
      </c>
      <c r="G143" s="427">
        <f>VLOOKUP(C143, '115_分行業績'!A:G,7,0)</f>
        <v>0.79480756674035025</v>
      </c>
      <c r="H143" s="55" t="str">
        <f>VLOOKUP(X143,原始參數_115!A:D,2,0)</f>
        <v>75%以上，未達90%</v>
      </c>
      <c r="I143" s="55" t="str">
        <f>VLOOKUP(X143,原始參數_115!A:D,4,0)</f>
        <v>分行目標*110%</v>
      </c>
      <c r="J143" s="55">
        <f>VLOOKUP(C143,'115_分行業績'!A:N,14,0)</f>
        <v>49250000</v>
      </c>
      <c r="K143" s="55"/>
      <c r="L143" s="396">
        <f t="shared" si="16"/>
        <v>1372349</v>
      </c>
      <c r="M143" s="55">
        <f t="shared" si="17"/>
        <v>1372349</v>
      </c>
      <c r="N143" s="55">
        <f>VLOOKUP(C143,'116目標底稿ver1'!D:AC, 19,0)</f>
        <v>497651</v>
      </c>
      <c r="O143" s="362">
        <f>VLOOKUP(C143,'116目標底稿ver1'!D:AC, 22, 0)</f>
        <v>1870000</v>
      </c>
      <c r="P143" s="115">
        <v>40060000</v>
      </c>
      <c r="Q143" s="115">
        <v>38364770</v>
      </c>
      <c r="R143" s="375">
        <f t="shared" si="18"/>
        <v>0.96</v>
      </c>
      <c r="S143" s="356">
        <f t="shared" si="19"/>
        <v>-0.9533200199700449</v>
      </c>
      <c r="T143" s="356">
        <f t="shared" si="20"/>
        <v>-0.9512573645039446</v>
      </c>
      <c r="U143" s="115">
        <f t="shared" si="22"/>
        <v>1028500.0000000001</v>
      </c>
      <c r="V143" s="362">
        <v>44650000</v>
      </c>
      <c r="W143" s="394">
        <f t="shared" si="21"/>
        <v>-42780000</v>
      </c>
      <c r="X143" s="45" t="str">
        <f t="shared" si="23"/>
        <v>TYPE_8</v>
      </c>
    </row>
    <row r="144" spans="1:24" ht="18.75" customHeight="1">
      <c r="A144" s="56">
        <v>140</v>
      </c>
      <c r="B144" s="55" t="s">
        <v>33</v>
      </c>
      <c r="C144" s="56">
        <v>541</v>
      </c>
      <c r="D144" s="55" t="s">
        <v>105</v>
      </c>
      <c r="E144" s="55">
        <f>VLOOKUP(C144,'115_分行業績'!A:J,8,0)</f>
        <v>70664558</v>
      </c>
      <c r="F144" s="55">
        <f>VLOOKUP(C144,'115_分行業績'!A:J,9,0)</f>
        <v>69680000</v>
      </c>
      <c r="G144" s="427">
        <f>VLOOKUP(C144, '115_分行業績'!A:G,7,0)</f>
        <v>1.0141297073446123</v>
      </c>
      <c r="H144" s="55" t="str">
        <f>VLOOKUP(X144,原始參數_115!A:D,2,0)</f>
        <v>100%以上，未達110%</v>
      </c>
      <c r="I144" s="55" t="str">
        <f>VLOOKUP(X144,原始參數_115!A:D,4,0)</f>
        <v>預估實績*105%</v>
      </c>
      <c r="J144" s="55">
        <f>VLOOKUP(C144,'115_分行業績'!A:N,14,0)</f>
        <v>74200000</v>
      </c>
      <c r="K144" s="55"/>
      <c r="L144" s="396">
        <f t="shared" si="16"/>
        <v>2072818</v>
      </c>
      <c r="M144" s="55">
        <f t="shared" si="17"/>
        <v>2072818</v>
      </c>
      <c r="N144" s="55">
        <f>VLOOKUP(C144,'116目標底稿ver1'!D:AC, 19,0)</f>
        <v>597182</v>
      </c>
      <c r="O144" s="362">
        <f>VLOOKUP(C144,'116目標底稿ver1'!D:AC, 22, 0)</f>
        <v>2670000</v>
      </c>
      <c r="P144" s="115">
        <v>59260000</v>
      </c>
      <c r="Q144" s="115">
        <v>62791953</v>
      </c>
      <c r="R144" s="375">
        <f t="shared" si="18"/>
        <v>1.06</v>
      </c>
      <c r="S144" s="356">
        <f t="shared" si="19"/>
        <v>-0.95494431319608508</v>
      </c>
      <c r="T144" s="356">
        <f t="shared" si="20"/>
        <v>-0.95747862787449856</v>
      </c>
      <c r="U144" s="115">
        <f t="shared" si="22"/>
        <v>1468500.0000000002</v>
      </c>
      <c r="V144" s="362">
        <v>69500000</v>
      </c>
      <c r="W144" s="394">
        <f t="shared" si="21"/>
        <v>-66830000</v>
      </c>
      <c r="X144" s="45" t="str">
        <f t="shared" si="23"/>
        <v>TYPE_6</v>
      </c>
    </row>
    <row r="145" spans="1:24" ht="18.75" customHeight="1">
      <c r="A145" s="56">
        <v>141</v>
      </c>
      <c r="B145" s="55" t="s">
        <v>33</v>
      </c>
      <c r="C145" s="56">
        <v>542</v>
      </c>
      <c r="D145" s="55" t="s">
        <v>45</v>
      </c>
      <c r="E145" s="55">
        <f>VLOOKUP(C145,'115_分行業績'!A:J,8,0)</f>
        <v>36285614</v>
      </c>
      <c r="F145" s="55">
        <f>VLOOKUP(C145,'115_分行業績'!A:J,9,0)</f>
        <v>47050000</v>
      </c>
      <c r="G145" s="427">
        <f>VLOOKUP(C145, '115_分行業績'!A:G,7,0)</f>
        <v>0.77121390995899874</v>
      </c>
      <c r="H145" s="55" t="str">
        <f>VLOOKUP(X145,原始參數_115!A:D,2,0)</f>
        <v>75%以上，未達90%</v>
      </c>
      <c r="I145" s="55" t="str">
        <f>VLOOKUP(X145,原始參數_115!A:D,4,0)</f>
        <v>分行目標*110%</v>
      </c>
      <c r="J145" s="55">
        <f>VLOOKUP(C145,'115_分行業績'!A:N,14,0)</f>
        <v>51760000</v>
      </c>
      <c r="K145" s="55"/>
      <c r="L145" s="396">
        <f t="shared" si="16"/>
        <v>1312161</v>
      </c>
      <c r="M145" s="55">
        <f t="shared" si="17"/>
        <v>1312161</v>
      </c>
      <c r="N145" s="55">
        <f>VLOOKUP(C145,'116目標底稿ver1'!D:AC, 19,0)</f>
        <v>457839</v>
      </c>
      <c r="O145" s="362">
        <f>VLOOKUP(C145,'116目標底稿ver1'!D:AC, 22, 0)</f>
        <v>1770000</v>
      </c>
      <c r="P145" s="115">
        <v>40450000</v>
      </c>
      <c r="Q145" s="115">
        <v>35429081</v>
      </c>
      <c r="R145" s="375">
        <f t="shared" si="18"/>
        <v>0.88</v>
      </c>
      <c r="S145" s="356">
        <f t="shared" si="19"/>
        <v>-0.95624227441285536</v>
      </c>
      <c r="T145" s="356">
        <f t="shared" si="20"/>
        <v>-0.95004104114357357</v>
      </c>
      <c r="U145" s="115">
        <f t="shared" si="22"/>
        <v>973500.00000000012</v>
      </c>
      <c r="V145" s="362">
        <v>46900000</v>
      </c>
      <c r="W145" s="394">
        <f t="shared" si="21"/>
        <v>-45130000</v>
      </c>
      <c r="X145" s="45" t="str">
        <f t="shared" si="23"/>
        <v>TYPE_8</v>
      </c>
    </row>
    <row r="146" spans="1:24" ht="18.75" customHeight="1">
      <c r="A146" s="56">
        <v>142</v>
      </c>
      <c r="B146" s="55" t="s">
        <v>33</v>
      </c>
      <c r="C146" s="56">
        <v>600</v>
      </c>
      <c r="D146" s="55" t="s">
        <v>46</v>
      </c>
      <c r="E146" s="55">
        <f>VLOOKUP(C146,'115_分行業績'!A:J,8,0)</f>
        <v>79745143</v>
      </c>
      <c r="F146" s="55">
        <f>VLOOKUP(C146,'115_分行業績'!A:J,9,0)</f>
        <v>75270000</v>
      </c>
      <c r="G146" s="427">
        <f>VLOOKUP(C146, '115_分行業績'!A:G,7,0)</f>
        <v>1.0594545396001214</v>
      </c>
      <c r="H146" s="55" t="str">
        <f>VLOOKUP(X146,原始參數_115!A:D,2,0)</f>
        <v>100%以上，未達110%</v>
      </c>
      <c r="I146" s="55" t="str">
        <f>VLOOKUP(X146,原始參數_115!A:D,4,0)</f>
        <v>預估實績*105%</v>
      </c>
      <c r="J146" s="55">
        <f>VLOOKUP(C146,'115_分行業績'!A:N,14,0)</f>
        <v>83730000</v>
      </c>
      <c r="K146" s="55"/>
      <c r="L146" s="396">
        <f t="shared" si="16"/>
        <v>2010519</v>
      </c>
      <c r="M146" s="55">
        <f t="shared" si="17"/>
        <v>2010519</v>
      </c>
      <c r="N146" s="55">
        <f>VLOOKUP(C146,'116目標底稿ver1'!D:AC, 19,0)</f>
        <v>659481</v>
      </c>
      <c r="O146" s="362">
        <f>VLOOKUP(C146,'116目標底稿ver1'!D:AC, 22, 0)</f>
        <v>2670000</v>
      </c>
      <c r="P146" s="115">
        <v>59600000</v>
      </c>
      <c r="Q146" s="115">
        <v>69320143</v>
      </c>
      <c r="R146" s="375">
        <f t="shared" si="18"/>
        <v>1.1599999999999999</v>
      </c>
      <c r="S146" s="356">
        <f t="shared" si="19"/>
        <v>-0.95520134228187925</v>
      </c>
      <c r="T146" s="356">
        <f t="shared" si="20"/>
        <v>-0.96148305695214742</v>
      </c>
      <c r="U146" s="115">
        <f t="shared" si="22"/>
        <v>1468500.0000000002</v>
      </c>
      <c r="V146" s="362">
        <v>75080000</v>
      </c>
      <c r="W146" s="394">
        <f t="shared" si="21"/>
        <v>-72410000</v>
      </c>
      <c r="X146" s="45" t="str">
        <f t="shared" si="23"/>
        <v>TYPE_6</v>
      </c>
    </row>
    <row r="147" spans="1:24" ht="18.75" customHeight="1">
      <c r="A147" s="56">
        <v>143</v>
      </c>
      <c r="B147" s="55" t="s">
        <v>33</v>
      </c>
      <c r="C147" s="56">
        <v>601</v>
      </c>
      <c r="D147" s="55" t="s">
        <v>195</v>
      </c>
      <c r="E147" s="55">
        <f>VLOOKUP(C147,'115_分行業績'!A:J,8,0)</f>
        <v>72465355</v>
      </c>
      <c r="F147" s="55">
        <f>VLOOKUP(C147,'115_分行業績'!A:J,9,0)</f>
        <v>70850000</v>
      </c>
      <c r="G147" s="427">
        <f>VLOOKUP(C147, '115_分行業績'!A:G,7,0)</f>
        <v>1.0227996534307666</v>
      </c>
      <c r="H147" s="55" t="str">
        <f>VLOOKUP(X147,原始參數_115!A:D,2,0)</f>
        <v>100%以上，未達110%</v>
      </c>
      <c r="I147" s="55" t="str">
        <f>VLOOKUP(X147,原始參數_115!A:D,4,0)</f>
        <v>預估實績*105%</v>
      </c>
      <c r="J147" s="55">
        <f>VLOOKUP(C147,'115_分行業績'!A:N,14,0)</f>
        <v>76090000</v>
      </c>
      <c r="K147" s="55"/>
      <c r="L147" s="396">
        <f t="shared" si="16"/>
        <v>1972912</v>
      </c>
      <c r="M147" s="55">
        <f t="shared" si="17"/>
        <v>1972912</v>
      </c>
      <c r="N147" s="55">
        <f>VLOOKUP(C147,'116目標底稿ver1'!D:AC, 19,0)</f>
        <v>617088</v>
      </c>
      <c r="O147" s="362">
        <f>VLOOKUP(C147,'116目標底稿ver1'!D:AC, 22, 0)</f>
        <v>2590000</v>
      </c>
      <c r="P147" s="115">
        <v>59060000</v>
      </c>
      <c r="Q147" s="115">
        <v>63868780</v>
      </c>
      <c r="R147" s="375">
        <f t="shared" si="18"/>
        <v>1.08</v>
      </c>
      <c r="S147" s="356">
        <f t="shared" si="19"/>
        <v>-0.95614629190653577</v>
      </c>
      <c r="T147" s="356">
        <f t="shared" si="20"/>
        <v>-0.95944810594471974</v>
      </c>
      <c r="U147" s="115">
        <f t="shared" si="22"/>
        <v>1424500</v>
      </c>
      <c r="V147" s="362">
        <v>70670000</v>
      </c>
      <c r="W147" s="394">
        <f t="shared" si="21"/>
        <v>-68080000</v>
      </c>
      <c r="X147" s="45" t="str">
        <f t="shared" si="23"/>
        <v>TYPE_6</v>
      </c>
    </row>
    <row r="148" spans="1:24" ht="18.75" customHeight="1">
      <c r="A148" s="56">
        <v>144</v>
      </c>
      <c r="B148" s="55" t="s">
        <v>33</v>
      </c>
      <c r="C148" s="56">
        <v>602</v>
      </c>
      <c r="D148" s="55" t="s">
        <v>47</v>
      </c>
      <c r="E148" s="55">
        <f>VLOOKUP(C148,'115_分行業績'!A:J,8,0)</f>
        <v>45508119</v>
      </c>
      <c r="F148" s="55">
        <f>VLOOKUP(C148,'115_分行業績'!A:J,9,0)</f>
        <v>48500000</v>
      </c>
      <c r="G148" s="427">
        <f>VLOOKUP(C148, '115_分行業績'!A:G,7,0)</f>
        <v>0.93831172339813196</v>
      </c>
      <c r="H148" s="55" t="str">
        <f>VLOOKUP(X148,原始參數_115!A:D,2,0)</f>
        <v>90%以上，未達100%</v>
      </c>
      <c r="I148" s="55" t="str">
        <f>VLOOKUP(X148,原始參數_115!A:D,4,0)</f>
        <v>分行目標*105%</v>
      </c>
      <c r="J148" s="55">
        <f>VLOOKUP(C148,'115_分行業績'!A:N,14,0)</f>
        <v>50930000</v>
      </c>
      <c r="K148" s="55"/>
      <c r="L148" s="396">
        <f t="shared" si="16"/>
        <v>1252349</v>
      </c>
      <c r="M148" s="55">
        <f t="shared" si="17"/>
        <v>1252349</v>
      </c>
      <c r="N148" s="55">
        <f>VLOOKUP(C148,'116目標底稿ver1'!D:AC, 19,0)</f>
        <v>497651</v>
      </c>
      <c r="O148" s="362">
        <f>VLOOKUP(C148,'116目標底稿ver1'!D:AC, 22, 0)</f>
        <v>1750000</v>
      </c>
      <c r="P148" s="115">
        <v>38410000</v>
      </c>
      <c r="Q148" s="115">
        <v>49098402</v>
      </c>
      <c r="R148" s="375">
        <f t="shared" si="18"/>
        <v>1.28</v>
      </c>
      <c r="S148" s="356">
        <f t="shared" si="19"/>
        <v>-0.9544389481905754</v>
      </c>
      <c r="T148" s="356">
        <f t="shared" si="20"/>
        <v>-0.96435729211716503</v>
      </c>
      <c r="U148" s="115">
        <f t="shared" si="22"/>
        <v>962500.00000000012</v>
      </c>
      <c r="V148" s="362">
        <v>48380000</v>
      </c>
      <c r="W148" s="394">
        <f t="shared" si="21"/>
        <v>-46630000</v>
      </c>
      <c r="X148" s="45" t="str">
        <f t="shared" si="23"/>
        <v>TYPE_7</v>
      </c>
    </row>
    <row r="149" spans="1:24" ht="18.75" customHeight="1">
      <c r="A149" s="56">
        <v>145</v>
      </c>
      <c r="B149" s="55" t="s">
        <v>48</v>
      </c>
      <c r="C149" s="56">
        <v>620</v>
      </c>
      <c r="D149" s="55" t="s">
        <v>106</v>
      </c>
      <c r="E149" s="55">
        <f>VLOOKUP(C149,'115_分行業績'!A:J,8,0)</f>
        <v>76512317</v>
      </c>
      <c r="F149" s="55">
        <f>VLOOKUP(C149,'115_分行業績'!A:J,9,0)</f>
        <v>61950000</v>
      </c>
      <c r="G149" s="427">
        <f>VLOOKUP(C149, '115_分行業績'!A:G,7,0)</f>
        <v>1.235065654507097</v>
      </c>
      <c r="H149" s="55" t="str">
        <f>VLOOKUP(X149,原始參數_115!A:D,2,0)</f>
        <v>120%以上，未達130%</v>
      </c>
      <c r="I149" s="55" t="str">
        <f>VLOOKUP(X149,原始參數_115!A:D,4,0)</f>
        <v>預估實績*101%</v>
      </c>
      <c r="J149" s="55">
        <f>VLOOKUP(C149,'115_分行業績'!A:N,14,0)</f>
        <v>77280000</v>
      </c>
      <c r="K149" s="55"/>
      <c r="L149" s="396">
        <f t="shared" si="16"/>
        <v>1853006</v>
      </c>
      <c r="M149" s="55">
        <f t="shared" si="17"/>
        <v>1853006</v>
      </c>
      <c r="N149" s="55">
        <f>VLOOKUP(C149,'116目標底稿ver1'!D:AC, 19,0)</f>
        <v>636994</v>
      </c>
      <c r="O149" s="362">
        <f>VLOOKUP(C149,'116目標底稿ver1'!D:AC, 22, 0)</f>
        <v>2490000</v>
      </c>
      <c r="P149" s="115">
        <v>55690000</v>
      </c>
      <c r="Q149" s="115">
        <v>50050513</v>
      </c>
      <c r="R149" s="375">
        <f t="shared" si="18"/>
        <v>0.9</v>
      </c>
      <c r="S149" s="356">
        <f t="shared" si="19"/>
        <v>-0.95528820254982938</v>
      </c>
      <c r="T149" s="356">
        <f t="shared" si="20"/>
        <v>-0.95025026017215852</v>
      </c>
      <c r="U149" s="115">
        <f t="shared" si="22"/>
        <v>1369500</v>
      </c>
      <c r="V149" s="362">
        <v>61800000</v>
      </c>
      <c r="W149" s="394">
        <f t="shared" si="21"/>
        <v>-59310000</v>
      </c>
      <c r="X149" s="45" t="str">
        <f t="shared" si="23"/>
        <v>TYPE_4</v>
      </c>
    </row>
    <row r="150" spans="1:24" ht="18.75" customHeight="1">
      <c r="A150" s="56">
        <v>146</v>
      </c>
      <c r="B150" s="55" t="s">
        <v>48</v>
      </c>
      <c r="C150" s="56">
        <v>621</v>
      </c>
      <c r="D150" s="55" t="s">
        <v>49</v>
      </c>
      <c r="E150" s="55">
        <f>VLOOKUP(C150,'115_分行業績'!A:J,8,0)</f>
        <v>60267983</v>
      </c>
      <c r="F150" s="55">
        <f>VLOOKUP(C150,'115_分行業績'!A:J,9,0)</f>
        <v>85180000</v>
      </c>
      <c r="G150" s="427">
        <f>VLOOKUP(C150, '115_分行業績'!A:G,7,0)</f>
        <v>0.70753678246879004</v>
      </c>
      <c r="H150" s="55" t="str">
        <f>VLOOKUP(X150,原始參數_115!A:D,2,0)</f>
        <v>未達75%</v>
      </c>
      <c r="I150" s="55" t="str">
        <f>VLOOKUP(X150,原始參數_115!A:D,4,0)</f>
        <v>分行目標*115%</v>
      </c>
      <c r="J150" s="55">
        <f>VLOOKUP(C150,'115_分行業績'!A:N,14,0)</f>
        <v>97960000</v>
      </c>
      <c r="K150" s="55"/>
      <c r="L150" s="396">
        <f t="shared" si="16"/>
        <v>2602912</v>
      </c>
      <c r="M150" s="55">
        <f t="shared" si="17"/>
        <v>2602912</v>
      </c>
      <c r="N150" s="55">
        <f>VLOOKUP(C150,'116目標底稿ver1'!D:AC, 19,0)</f>
        <v>617088</v>
      </c>
      <c r="O150" s="362">
        <f>VLOOKUP(C150,'116目標底稿ver1'!D:AC, 22, 0)</f>
        <v>3220000</v>
      </c>
      <c r="P150" s="115">
        <v>76650000</v>
      </c>
      <c r="Q150" s="115">
        <v>75774864</v>
      </c>
      <c r="R150" s="375">
        <f t="shared" si="18"/>
        <v>0.99</v>
      </c>
      <c r="S150" s="356">
        <f t="shared" si="19"/>
        <v>-0.9579908675799087</v>
      </c>
      <c r="T150" s="356">
        <f t="shared" si="20"/>
        <v>-0.95750569740382507</v>
      </c>
      <c r="U150" s="115">
        <f t="shared" si="22"/>
        <v>1771000.0000000002</v>
      </c>
      <c r="V150" s="362">
        <v>84970000</v>
      </c>
      <c r="W150" s="394">
        <f t="shared" si="21"/>
        <v>-81750000</v>
      </c>
      <c r="X150" s="45" t="str">
        <f t="shared" si="23"/>
        <v>TYPE_9</v>
      </c>
    </row>
    <row r="151" spans="1:24" ht="18.75" customHeight="1">
      <c r="A151" s="56">
        <v>147</v>
      </c>
      <c r="B151" s="55" t="s">
        <v>48</v>
      </c>
      <c r="C151" s="56">
        <v>622</v>
      </c>
      <c r="D151" s="55" t="s">
        <v>107</v>
      </c>
      <c r="E151" s="55">
        <f>VLOOKUP(C151,'115_分行業績'!A:J,8,0)</f>
        <v>74977980</v>
      </c>
      <c r="F151" s="55">
        <f>VLOOKUP(C151,'115_分行業績'!A:J,9,0)</f>
        <v>75450000</v>
      </c>
      <c r="G151" s="427">
        <f>VLOOKUP(C151, '115_分行業績'!A:G,7,0)</f>
        <v>0.99374393000100913</v>
      </c>
      <c r="H151" s="55" t="str">
        <f>VLOOKUP(X151,原始參數_115!A:D,2,0)</f>
        <v>90%以上，未達100%</v>
      </c>
      <c r="I151" s="55" t="str">
        <f>VLOOKUP(X151,原始參數_115!A:D,4,0)</f>
        <v>分行目標*105%</v>
      </c>
      <c r="J151" s="55">
        <f>VLOOKUP(C151,'115_分行業績'!A:N,14,0)</f>
        <v>79220000</v>
      </c>
      <c r="K151" s="55"/>
      <c r="L151" s="396">
        <f t="shared" si="16"/>
        <v>1922724</v>
      </c>
      <c r="M151" s="55">
        <f t="shared" si="17"/>
        <v>1922724</v>
      </c>
      <c r="N151" s="55">
        <f>VLOOKUP(C151,'116目標底稿ver1'!D:AC, 19,0)</f>
        <v>577276</v>
      </c>
      <c r="O151" s="362">
        <f>VLOOKUP(C151,'116目標底稿ver1'!D:AC, 22, 0)</f>
        <v>2500000</v>
      </c>
      <c r="P151" s="115">
        <v>65160000</v>
      </c>
      <c r="Q151" s="115">
        <v>50548519</v>
      </c>
      <c r="R151" s="375">
        <f t="shared" si="18"/>
        <v>0.78</v>
      </c>
      <c r="S151" s="356">
        <f t="shared" si="19"/>
        <v>-0.96163290362185394</v>
      </c>
      <c r="T151" s="356">
        <f t="shared" si="20"/>
        <v>-0.95054256683563765</v>
      </c>
      <c r="U151" s="115">
        <f t="shared" si="22"/>
        <v>1375000</v>
      </c>
      <c r="V151" s="362">
        <v>75270000</v>
      </c>
      <c r="W151" s="394">
        <f t="shared" si="21"/>
        <v>-72770000</v>
      </c>
      <c r="X151" s="45" t="str">
        <f t="shared" si="23"/>
        <v>TYPE_7</v>
      </c>
    </row>
    <row r="152" spans="1:24" ht="18.75" customHeight="1">
      <c r="A152" s="56">
        <v>148</v>
      </c>
      <c r="B152" s="55" t="s">
        <v>48</v>
      </c>
      <c r="C152" s="56">
        <v>640</v>
      </c>
      <c r="D152" s="55" t="s">
        <v>50</v>
      </c>
      <c r="E152" s="55">
        <f>VLOOKUP(C152,'115_分行業績'!A:J,8,0)</f>
        <v>121347283</v>
      </c>
      <c r="F152" s="55">
        <f>VLOOKUP(C152,'115_分行業績'!A:J,9,0)</f>
        <v>101430000</v>
      </c>
      <c r="G152" s="427">
        <f>VLOOKUP(C152, '115_分行業績'!A:G,7,0)</f>
        <v>1.1963648151623194</v>
      </c>
      <c r="H152" s="55" t="str">
        <f>VLOOKUP(X152,原始參數_115!A:D,2,0)</f>
        <v>110%以上，未達120%</v>
      </c>
      <c r="I152" s="55" t="str">
        <f>VLOOKUP(X152,原始參數_115!A:D,4,0)</f>
        <v>預估實績*103%</v>
      </c>
      <c r="J152" s="55">
        <f>VLOOKUP(C152,'115_分行業績'!A:N,14,0)</f>
        <v>124990000</v>
      </c>
      <c r="K152" s="55"/>
      <c r="L152" s="396">
        <f t="shared" si="16"/>
        <v>2894412</v>
      </c>
      <c r="M152" s="55">
        <f t="shared" si="17"/>
        <v>2894412</v>
      </c>
      <c r="N152" s="55">
        <f>VLOOKUP(C152,'116目標底稿ver1'!D:AC, 19,0)</f>
        <v>885588</v>
      </c>
      <c r="O152" s="362">
        <f>VLOOKUP(C152,'116目標底稿ver1'!D:AC, 22, 0)</f>
        <v>3780000</v>
      </c>
      <c r="P152" s="115">
        <v>85570000</v>
      </c>
      <c r="Q152" s="115">
        <v>106534924</v>
      </c>
      <c r="R152" s="375">
        <f t="shared" si="18"/>
        <v>1.25</v>
      </c>
      <c r="S152" s="356">
        <f t="shared" si="19"/>
        <v>-0.95582563982704216</v>
      </c>
      <c r="T152" s="356">
        <f t="shared" si="20"/>
        <v>-0.96451867746204989</v>
      </c>
      <c r="U152" s="115">
        <f t="shared" si="22"/>
        <v>2079000.0000000002</v>
      </c>
      <c r="V152" s="362">
        <v>101190000</v>
      </c>
      <c r="W152" s="394">
        <f t="shared" si="21"/>
        <v>-97410000</v>
      </c>
      <c r="X152" s="45" t="str">
        <f t="shared" si="23"/>
        <v>TYPE_5</v>
      </c>
    </row>
    <row r="153" spans="1:24" ht="18.75" customHeight="1">
      <c r="A153" s="56">
        <v>149</v>
      </c>
      <c r="B153" s="55" t="s">
        <v>48</v>
      </c>
      <c r="C153" s="56">
        <v>642</v>
      </c>
      <c r="D153" s="55" t="s">
        <v>196</v>
      </c>
      <c r="E153" s="55">
        <f>VLOOKUP(C153,'115_分行業績'!A:J,8,0)</f>
        <v>74163500</v>
      </c>
      <c r="F153" s="55">
        <f>VLOOKUP(C153,'115_分行業績'!A:J,9,0)</f>
        <v>95940000</v>
      </c>
      <c r="G153" s="427">
        <f>VLOOKUP(C153, '115_分行業績'!A:G,7,0)</f>
        <v>0.77301960070891029</v>
      </c>
      <c r="H153" s="55" t="str">
        <f>VLOOKUP(X153,原始參數_115!A:D,2,0)</f>
        <v>75%以上，未達90%</v>
      </c>
      <c r="I153" s="55" t="str">
        <f>VLOOKUP(X153,原始參數_115!A:D,4,0)</f>
        <v>分行目標*110%</v>
      </c>
      <c r="J153" s="55">
        <f>VLOOKUP(C153,'115_分行業績'!A:N,14,0)</f>
        <v>105530000</v>
      </c>
      <c r="K153" s="55"/>
      <c r="L153" s="396">
        <f t="shared" si="16"/>
        <v>2702724</v>
      </c>
      <c r="M153" s="55">
        <f t="shared" si="17"/>
        <v>2702724</v>
      </c>
      <c r="N153" s="55">
        <f>VLOOKUP(C153,'116目標底稿ver1'!D:AC, 19,0)</f>
        <v>577276</v>
      </c>
      <c r="O153" s="362">
        <f>VLOOKUP(C153,'116目標底稿ver1'!D:AC, 22, 0)</f>
        <v>3280000</v>
      </c>
      <c r="P153" s="115">
        <v>81020000</v>
      </c>
      <c r="Q153" s="115">
        <v>87914452</v>
      </c>
      <c r="R153" s="375">
        <f t="shared" si="18"/>
        <v>1.0900000000000001</v>
      </c>
      <c r="S153" s="356">
        <f t="shared" si="19"/>
        <v>-0.95951616884719826</v>
      </c>
      <c r="T153" s="356">
        <f t="shared" si="20"/>
        <v>-0.96269100329488488</v>
      </c>
      <c r="U153" s="115">
        <f t="shared" si="22"/>
        <v>1804000.0000000002</v>
      </c>
      <c r="V153" s="362">
        <v>95720000</v>
      </c>
      <c r="W153" s="394">
        <f t="shared" si="21"/>
        <v>-92440000</v>
      </c>
      <c r="X153" s="45" t="str">
        <f t="shared" si="23"/>
        <v>TYPE_8</v>
      </c>
    </row>
    <row r="154" spans="1:24" ht="18.75" customHeight="1">
      <c r="A154" s="56">
        <v>150</v>
      </c>
      <c r="B154" s="55" t="s">
        <v>48</v>
      </c>
      <c r="C154" s="56">
        <v>643</v>
      </c>
      <c r="D154" s="55" t="s">
        <v>197</v>
      </c>
      <c r="E154" s="55">
        <f>VLOOKUP(C154,'115_分行業績'!A:J,8,0)</f>
        <v>55674017</v>
      </c>
      <c r="F154" s="55">
        <f>VLOOKUP(C154,'115_分行業績'!A:J,9,0)</f>
        <v>50950000</v>
      </c>
      <c r="G154" s="427">
        <f>VLOOKUP(C154, '115_分行業績'!A:G,7,0)</f>
        <v>1.0927186933021147</v>
      </c>
      <c r="H154" s="55" t="str">
        <f>VLOOKUP(X154,原始參數_115!A:D,2,0)</f>
        <v>100%以上，未達110%</v>
      </c>
      <c r="I154" s="55" t="str">
        <f>VLOOKUP(X154,原始參數_115!A:D,4,0)</f>
        <v>預估實績*105%</v>
      </c>
      <c r="J154" s="55">
        <f>VLOOKUP(C154,'115_分行業績'!A:N,14,0)</f>
        <v>58460000</v>
      </c>
      <c r="K154" s="55"/>
      <c r="L154" s="396">
        <f t="shared" si="16"/>
        <v>1392443</v>
      </c>
      <c r="M154" s="55">
        <f t="shared" si="17"/>
        <v>1392443</v>
      </c>
      <c r="N154" s="55">
        <f>VLOOKUP(C154,'116目標底稿ver1'!D:AC, 19,0)</f>
        <v>517557</v>
      </c>
      <c r="O154" s="362">
        <f>VLOOKUP(C154,'116目標底稿ver1'!D:AC, 22, 0)</f>
        <v>1910000</v>
      </c>
      <c r="P154" s="115">
        <v>43200000</v>
      </c>
      <c r="Q154" s="115">
        <v>45846344</v>
      </c>
      <c r="R154" s="375">
        <f t="shared" si="18"/>
        <v>1.06</v>
      </c>
      <c r="S154" s="356">
        <f t="shared" si="19"/>
        <v>-0.95578703703703705</v>
      </c>
      <c r="T154" s="356">
        <f t="shared" si="20"/>
        <v>-0.95833909896937475</v>
      </c>
      <c r="U154" s="115">
        <f t="shared" si="22"/>
        <v>1050500</v>
      </c>
      <c r="V154" s="362">
        <v>50790000</v>
      </c>
      <c r="W154" s="394">
        <f t="shared" si="21"/>
        <v>-48880000</v>
      </c>
      <c r="X154" s="45" t="str">
        <f t="shared" si="23"/>
        <v>TYPE_6</v>
      </c>
    </row>
    <row r="155" spans="1:24" ht="18.75" customHeight="1">
      <c r="A155" s="56">
        <v>151</v>
      </c>
      <c r="B155" s="55" t="s">
        <v>48</v>
      </c>
      <c r="C155" s="56">
        <v>644</v>
      </c>
      <c r="D155" s="55" t="s">
        <v>51</v>
      </c>
      <c r="E155" s="55">
        <f>VLOOKUP(C155,'115_分行業績'!A:J,8,0)</f>
        <v>47154352</v>
      </c>
      <c r="F155" s="55">
        <f>VLOOKUP(C155,'115_分行業績'!A:J,9,0)</f>
        <v>71900000</v>
      </c>
      <c r="G155" s="427">
        <f>VLOOKUP(C155, '115_分行業績'!A:G,7,0)</f>
        <v>0.65583243072958941</v>
      </c>
      <c r="H155" s="55" t="str">
        <f>VLOOKUP(X155,原始參數_115!A:D,2,0)</f>
        <v>未達75%</v>
      </c>
      <c r="I155" s="55" t="str">
        <f>VLOOKUP(X155,原始參數_115!A:D,4,0)</f>
        <v>分行目標*115%</v>
      </c>
      <c r="J155" s="55">
        <f>VLOOKUP(C155,'115_分行業績'!A:N,14,0)</f>
        <v>82690000</v>
      </c>
      <c r="K155" s="55"/>
      <c r="L155" s="396">
        <f t="shared" si="16"/>
        <v>1882724</v>
      </c>
      <c r="M155" s="55">
        <f t="shared" si="17"/>
        <v>1882724</v>
      </c>
      <c r="N155" s="55">
        <f>VLOOKUP(C155,'116目標底稿ver1'!D:AC, 19,0)</f>
        <v>577276</v>
      </c>
      <c r="O155" s="362">
        <f>VLOOKUP(C155,'116目標底稿ver1'!D:AC, 22, 0)</f>
        <v>2460000</v>
      </c>
      <c r="P155" s="115">
        <v>62020000</v>
      </c>
      <c r="Q155" s="115">
        <v>47177448</v>
      </c>
      <c r="R155" s="375">
        <f t="shared" si="18"/>
        <v>0.76</v>
      </c>
      <c r="S155" s="356">
        <f t="shared" si="19"/>
        <v>-0.96033537568526284</v>
      </c>
      <c r="T155" s="356">
        <f t="shared" si="20"/>
        <v>-0.9478564419169091</v>
      </c>
      <c r="U155" s="115">
        <f t="shared" si="22"/>
        <v>1353000</v>
      </c>
      <c r="V155" s="362">
        <v>71720000</v>
      </c>
      <c r="W155" s="394">
        <f t="shared" si="21"/>
        <v>-69260000</v>
      </c>
      <c r="X155" s="45" t="str">
        <f t="shared" si="23"/>
        <v>TYPE_9</v>
      </c>
    </row>
    <row r="156" spans="1:24" ht="18.75" customHeight="1">
      <c r="A156" s="56">
        <v>152</v>
      </c>
      <c r="B156" s="55" t="s">
        <v>48</v>
      </c>
      <c r="C156" s="56">
        <v>645</v>
      </c>
      <c r="D156" s="55" t="s">
        <v>198</v>
      </c>
      <c r="E156" s="55">
        <f>VLOOKUP(C156,'115_分行業績'!A:J,8,0)</f>
        <v>72888784</v>
      </c>
      <c r="F156" s="55">
        <f>VLOOKUP(C156,'115_分行業績'!A:J,9,0)</f>
        <v>71530000</v>
      </c>
      <c r="G156" s="427">
        <f>VLOOKUP(C156, '115_分行業績'!A:G,7,0)</f>
        <v>1.0189960050737108</v>
      </c>
      <c r="H156" s="55" t="str">
        <f>VLOOKUP(X156,原始參數_115!A:D,2,0)</f>
        <v>100%以上，未達110%</v>
      </c>
      <c r="I156" s="55" t="str">
        <f>VLOOKUP(X156,原始參數_115!A:D,4,0)</f>
        <v>預估實績*105%</v>
      </c>
      <c r="J156" s="55">
        <f>VLOOKUP(C156,'115_分行業績'!A:N,14,0)</f>
        <v>76530000</v>
      </c>
      <c r="K156" s="55"/>
      <c r="L156" s="396">
        <f t="shared" si="16"/>
        <v>2103100</v>
      </c>
      <c r="M156" s="55">
        <f t="shared" si="17"/>
        <v>2103100</v>
      </c>
      <c r="N156" s="55">
        <f>VLOOKUP(C156,'116目標底稿ver1'!D:AC, 19,0)</f>
        <v>656900</v>
      </c>
      <c r="O156" s="362">
        <f>VLOOKUP(C156,'116目標底稿ver1'!D:AC, 22, 0)</f>
        <v>2760000</v>
      </c>
      <c r="P156" s="115">
        <v>61470000</v>
      </c>
      <c r="Q156" s="115">
        <v>50429745</v>
      </c>
      <c r="R156" s="375">
        <f t="shared" si="18"/>
        <v>0.82</v>
      </c>
      <c r="S156" s="356">
        <f t="shared" si="19"/>
        <v>-0.95510004880429478</v>
      </c>
      <c r="T156" s="356">
        <f t="shared" si="20"/>
        <v>-0.94527039547790692</v>
      </c>
      <c r="U156" s="115">
        <f t="shared" si="22"/>
        <v>1518000.0000000002</v>
      </c>
      <c r="V156" s="362">
        <v>71330000</v>
      </c>
      <c r="W156" s="394">
        <f t="shared" si="21"/>
        <v>-68570000</v>
      </c>
      <c r="X156" s="45" t="str">
        <f t="shared" si="23"/>
        <v>TYPE_6</v>
      </c>
    </row>
    <row r="157" spans="1:24" ht="18.75" customHeight="1">
      <c r="A157" s="56">
        <v>153</v>
      </c>
      <c r="B157" s="55" t="s">
        <v>48</v>
      </c>
      <c r="C157" s="56">
        <v>646</v>
      </c>
      <c r="D157" s="55" t="s">
        <v>199</v>
      </c>
      <c r="E157" s="55">
        <f>VLOOKUP(C157,'115_分行業績'!A:J,8,0)</f>
        <v>37655999</v>
      </c>
      <c r="F157" s="55">
        <f>VLOOKUP(C157,'115_分行業績'!A:J,9,0)</f>
        <v>48300000</v>
      </c>
      <c r="G157" s="427">
        <f>VLOOKUP(C157, '115_分行業績'!A:G,7,0)</f>
        <v>0.77962731739358904</v>
      </c>
      <c r="H157" s="55" t="str">
        <f>VLOOKUP(X157,原始參數_115!A:D,2,0)</f>
        <v>75%以上，未達90%</v>
      </c>
      <c r="I157" s="55" t="str">
        <f>VLOOKUP(X157,原始參數_115!A:D,4,0)</f>
        <v>分行目標*110%</v>
      </c>
      <c r="J157" s="55">
        <f>VLOOKUP(C157,'115_分行業績'!A:N,14,0)</f>
        <v>53130000</v>
      </c>
      <c r="K157" s="55"/>
      <c r="L157" s="396">
        <f t="shared" si="16"/>
        <v>1462349</v>
      </c>
      <c r="M157" s="55">
        <f t="shared" si="17"/>
        <v>1462349</v>
      </c>
      <c r="N157" s="55">
        <f>VLOOKUP(C157,'116目標底稿ver1'!D:AC, 19,0)</f>
        <v>497651</v>
      </c>
      <c r="O157" s="362">
        <f>VLOOKUP(C157,'116目標底稿ver1'!D:AC, 22, 0)</f>
        <v>1960000</v>
      </c>
      <c r="P157" s="115">
        <v>41400000</v>
      </c>
      <c r="Q157" s="115">
        <v>37050196</v>
      </c>
      <c r="R157" s="375">
        <f t="shared" si="18"/>
        <v>0.89</v>
      </c>
      <c r="S157" s="356">
        <f t="shared" si="19"/>
        <v>-0.95265700483091786</v>
      </c>
      <c r="T157" s="356">
        <f t="shared" si="20"/>
        <v>-0.94709879537479369</v>
      </c>
      <c r="U157" s="115">
        <f t="shared" si="22"/>
        <v>1078000</v>
      </c>
      <c r="V157" s="362">
        <v>48160000</v>
      </c>
      <c r="W157" s="394">
        <f t="shared" si="21"/>
        <v>-46200000</v>
      </c>
      <c r="X157" s="45" t="str">
        <f t="shared" si="23"/>
        <v>TYPE_8</v>
      </c>
    </row>
    <row r="158" spans="1:24" ht="18.75" customHeight="1">
      <c r="A158" s="56">
        <v>154</v>
      </c>
      <c r="B158" s="55" t="s">
        <v>48</v>
      </c>
      <c r="C158" s="56">
        <v>647</v>
      </c>
      <c r="D158" s="55" t="s">
        <v>108</v>
      </c>
      <c r="E158" s="55">
        <f>VLOOKUP(C158,'115_分行業績'!A:J,8,0)</f>
        <v>64370511</v>
      </c>
      <c r="F158" s="55">
        <f>VLOOKUP(C158,'115_分行業績'!A:J,9,0)</f>
        <v>63960000</v>
      </c>
      <c r="G158" s="427">
        <f>VLOOKUP(C158, '115_分行業績'!A:G,7,0)</f>
        <v>1.0064182393667671</v>
      </c>
      <c r="H158" s="55" t="str">
        <f>VLOOKUP(X158,原始參數_115!A:D,2,0)</f>
        <v>100%以上，未達110%</v>
      </c>
      <c r="I158" s="55" t="str">
        <f>VLOOKUP(X158,原始參數_115!A:D,4,0)</f>
        <v>預估實績*105%</v>
      </c>
      <c r="J158" s="55">
        <f>VLOOKUP(C158,'115_分行業績'!A:N,14,0)</f>
        <v>67590000</v>
      </c>
      <c r="K158" s="55"/>
      <c r="L158" s="396">
        <f t="shared" si="16"/>
        <v>2082724</v>
      </c>
      <c r="M158" s="55">
        <f t="shared" si="17"/>
        <v>2082724</v>
      </c>
      <c r="N158" s="55">
        <f>VLOOKUP(C158,'116目標底稿ver1'!D:AC, 19,0)</f>
        <v>577276</v>
      </c>
      <c r="O158" s="362">
        <f>VLOOKUP(C158,'116目標底稿ver1'!D:AC, 22, 0)</f>
        <v>2660000</v>
      </c>
      <c r="P158" s="115">
        <v>57400000</v>
      </c>
      <c r="Q158" s="115">
        <v>56828782</v>
      </c>
      <c r="R158" s="375">
        <f t="shared" si="18"/>
        <v>0.99</v>
      </c>
      <c r="S158" s="356">
        <f t="shared" si="19"/>
        <v>-0.95365853658536581</v>
      </c>
      <c r="T158" s="356">
        <f t="shared" si="20"/>
        <v>-0.95319273251360548</v>
      </c>
      <c r="U158" s="115">
        <f t="shared" si="22"/>
        <v>1463000.0000000002</v>
      </c>
      <c r="V158" s="362">
        <v>63790000</v>
      </c>
      <c r="W158" s="394">
        <f t="shared" si="21"/>
        <v>-61130000</v>
      </c>
      <c r="X158" s="45" t="str">
        <f t="shared" si="23"/>
        <v>TYPE_6</v>
      </c>
    </row>
    <row r="159" spans="1:24" ht="18.75" customHeight="1">
      <c r="A159" s="56">
        <v>155</v>
      </c>
      <c r="B159" s="55" t="s">
        <v>48</v>
      </c>
      <c r="C159" s="56">
        <v>648</v>
      </c>
      <c r="D159" s="55" t="s">
        <v>200</v>
      </c>
      <c r="E159" s="55">
        <f>VLOOKUP(C159,'115_分行業績'!A:J,8,0)</f>
        <v>66452314</v>
      </c>
      <c r="F159" s="55">
        <f>VLOOKUP(C159,'115_分行業績'!A:J,9,0)</f>
        <v>49760000</v>
      </c>
      <c r="G159" s="427">
        <f>VLOOKUP(C159, '115_分行業績'!A:G,7,0)</f>
        <v>1.3354564693580881</v>
      </c>
      <c r="H159" s="55" t="str">
        <f>VLOOKUP(X159,原始參數_115!A:D,2,0)</f>
        <v>130%以上，未達150%</v>
      </c>
      <c r="I159" s="55" t="str">
        <f>VLOOKUP(X159,原始參數_115!A:D,4,0)</f>
        <v>預估實績*90%</v>
      </c>
      <c r="J159" s="55">
        <f>VLOOKUP(C159,'115_分行業績'!A:N,14,0)</f>
        <v>59810000</v>
      </c>
      <c r="K159" s="55"/>
      <c r="L159" s="396">
        <f t="shared" si="16"/>
        <v>1432536</v>
      </c>
      <c r="M159" s="55">
        <f t="shared" si="17"/>
        <v>1432536</v>
      </c>
      <c r="N159" s="55">
        <f>VLOOKUP(C159,'116目標底稿ver1'!D:AC, 19,0)</f>
        <v>537464</v>
      </c>
      <c r="O159" s="362">
        <f>VLOOKUP(C159,'116目標底稿ver1'!D:AC, 22, 0)</f>
        <v>1970000</v>
      </c>
      <c r="P159" s="115">
        <v>43810000</v>
      </c>
      <c r="Q159" s="115">
        <v>44741875</v>
      </c>
      <c r="R159" s="375">
        <f t="shared" si="18"/>
        <v>1.02</v>
      </c>
      <c r="S159" s="356">
        <f t="shared" si="19"/>
        <v>-0.95503309746633192</v>
      </c>
      <c r="T159" s="356">
        <f t="shared" si="20"/>
        <v>-0.95596965929568223</v>
      </c>
      <c r="U159" s="115">
        <f t="shared" si="22"/>
        <v>1083500</v>
      </c>
      <c r="V159" s="362">
        <v>49620000</v>
      </c>
      <c r="W159" s="394">
        <f t="shared" si="21"/>
        <v>-47650000</v>
      </c>
      <c r="X159" s="45" t="str">
        <f t="shared" si="23"/>
        <v>TYPE_3</v>
      </c>
    </row>
    <row r="160" spans="1:24" ht="18.75" customHeight="1">
      <c r="A160" s="56">
        <v>156</v>
      </c>
      <c r="B160" s="55" t="s">
        <v>48</v>
      </c>
      <c r="C160" s="56">
        <v>681</v>
      </c>
      <c r="D160" s="55" t="s">
        <v>52</v>
      </c>
      <c r="E160" s="55">
        <f>VLOOKUP(C160,'115_分行業績'!A:J,8,0)</f>
        <v>38567689</v>
      </c>
      <c r="F160" s="55">
        <f>VLOOKUP(C160,'115_分行業績'!A:J,9,0)</f>
        <v>55770000</v>
      </c>
      <c r="G160" s="427">
        <f>VLOOKUP(C160, '115_分行業績'!A:G,7,0)</f>
        <v>0.69154902336905821</v>
      </c>
      <c r="H160" s="55" t="str">
        <f>VLOOKUP(X160,原始參數_115!A:D,2,0)</f>
        <v>未達75%</v>
      </c>
      <c r="I160" s="55" t="str">
        <f>VLOOKUP(X160,原始參數_115!A:D,4,0)</f>
        <v>分行目標*115%</v>
      </c>
      <c r="J160" s="55">
        <f>VLOOKUP(C160,'115_分行業績'!A:N,14,0)</f>
        <v>64140000</v>
      </c>
      <c r="K160" s="55"/>
      <c r="L160" s="396">
        <f t="shared" si="16"/>
        <v>1792630</v>
      </c>
      <c r="M160" s="55">
        <f t="shared" si="17"/>
        <v>1792630</v>
      </c>
      <c r="N160" s="55">
        <f>VLOOKUP(C160,'116目標底稿ver1'!D:AC, 19,0)</f>
        <v>557370</v>
      </c>
      <c r="O160" s="362">
        <f>VLOOKUP(C160,'116目標底稿ver1'!D:AC, 22, 0)</f>
        <v>2350000</v>
      </c>
      <c r="P160" s="115">
        <v>47630000</v>
      </c>
      <c r="Q160" s="115">
        <v>38615880</v>
      </c>
      <c r="R160" s="375">
        <f t="shared" si="18"/>
        <v>0.81</v>
      </c>
      <c r="S160" s="356">
        <f t="shared" si="19"/>
        <v>-0.95066134788998535</v>
      </c>
      <c r="T160" s="356">
        <f t="shared" si="20"/>
        <v>-0.93914420699463541</v>
      </c>
      <c r="U160" s="115">
        <f t="shared" si="22"/>
        <v>1292500</v>
      </c>
      <c r="V160" s="362">
        <v>55600000</v>
      </c>
      <c r="W160" s="394">
        <f t="shared" si="21"/>
        <v>-53250000</v>
      </c>
      <c r="X160" s="45" t="str">
        <f t="shared" si="23"/>
        <v>TYPE_9</v>
      </c>
    </row>
    <row r="161" spans="1:24" ht="18.75" customHeight="1">
      <c r="A161" s="56">
        <v>157</v>
      </c>
      <c r="B161" s="55" t="s">
        <v>48</v>
      </c>
      <c r="C161" s="56">
        <v>700</v>
      </c>
      <c r="D161" s="55" t="s">
        <v>201</v>
      </c>
      <c r="E161" s="55">
        <f>VLOOKUP(C161,'115_分行業績'!A:J,8,0)</f>
        <v>109846893</v>
      </c>
      <c r="F161" s="55">
        <f>VLOOKUP(C161,'115_分行業績'!A:J,9,0)</f>
        <v>90010000</v>
      </c>
      <c r="G161" s="427">
        <f>VLOOKUP(C161, '115_分行業績'!A:G,7,0)</f>
        <v>1.2203854387919122</v>
      </c>
      <c r="H161" s="55" t="str">
        <f>VLOOKUP(X161,原始參數_115!A:D,2,0)</f>
        <v>120%以上，未達130%</v>
      </c>
      <c r="I161" s="55" t="str">
        <f>VLOOKUP(X161,原始參數_115!A:D,4,0)</f>
        <v>預估實績*101%</v>
      </c>
      <c r="J161" s="55">
        <f>VLOOKUP(C161,'115_分行業績'!A:N,14,0)</f>
        <v>110950000</v>
      </c>
      <c r="K161" s="55"/>
      <c r="L161" s="396">
        <f t="shared" si="16"/>
        <v>2360939</v>
      </c>
      <c r="M161" s="55">
        <f t="shared" si="17"/>
        <v>2360939</v>
      </c>
      <c r="N161" s="55">
        <f>VLOOKUP(C161,'116目標底稿ver1'!D:AC, 19,0)</f>
        <v>829061</v>
      </c>
      <c r="O161" s="362">
        <f>VLOOKUP(C161,'116目標底稿ver1'!D:AC, 22, 0)</f>
        <v>3190000</v>
      </c>
      <c r="P161" s="115">
        <v>73780000</v>
      </c>
      <c r="Q161" s="115">
        <v>82697707</v>
      </c>
      <c r="R161" s="375">
        <f t="shared" si="18"/>
        <v>1.1200000000000001</v>
      </c>
      <c r="S161" s="356">
        <f t="shared" si="19"/>
        <v>-0.95676335050149097</v>
      </c>
      <c r="T161" s="356">
        <f t="shared" si="20"/>
        <v>-0.96142577447764055</v>
      </c>
      <c r="U161" s="115">
        <f t="shared" si="22"/>
        <v>1754500.0000000002</v>
      </c>
      <c r="V161" s="362">
        <v>89750000</v>
      </c>
      <c r="W161" s="394">
        <f t="shared" si="21"/>
        <v>-86560000</v>
      </c>
      <c r="X161" s="45" t="str">
        <f t="shared" si="23"/>
        <v>TYPE_4</v>
      </c>
    </row>
    <row r="162" spans="1:24" ht="18.75" customHeight="1">
      <c r="A162" s="56">
        <v>158</v>
      </c>
      <c r="B162" s="55" t="s">
        <v>48</v>
      </c>
      <c r="C162" s="56">
        <v>701</v>
      </c>
      <c r="D162" s="55" t="s">
        <v>202</v>
      </c>
      <c r="E162" s="55">
        <f>VLOOKUP(C162,'115_分行業績'!A:J,8,0)</f>
        <v>57485302</v>
      </c>
      <c r="F162" s="55">
        <f>VLOOKUP(C162,'115_分行業績'!A:J,9,0)</f>
        <v>46630000</v>
      </c>
      <c r="G162" s="427">
        <f>VLOOKUP(C162, '115_分行業績'!A:G,7,0)</f>
        <v>1.2327965362216295</v>
      </c>
      <c r="H162" s="55" t="str">
        <f>VLOOKUP(X162,原始參數_115!A:D,2,0)</f>
        <v>120%以上，未達130%</v>
      </c>
      <c r="I162" s="55" t="str">
        <f>VLOOKUP(X162,原始參數_115!A:D,4,0)</f>
        <v>預估實績*101%</v>
      </c>
      <c r="J162" s="55">
        <f>VLOOKUP(C162,'115_分行業績'!A:N,14,0)</f>
        <v>58060000</v>
      </c>
      <c r="K162" s="55"/>
      <c r="L162" s="396">
        <f t="shared" si="16"/>
        <v>1412255</v>
      </c>
      <c r="M162" s="55">
        <f t="shared" si="17"/>
        <v>1412255</v>
      </c>
      <c r="N162" s="55">
        <f>VLOOKUP(C162,'116目標底稿ver1'!D:AC, 19,0)</f>
        <v>477745</v>
      </c>
      <c r="O162" s="362">
        <f>VLOOKUP(C162,'116目標底稿ver1'!D:AC, 22, 0)</f>
        <v>1890000</v>
      </c>
      <c r="P162" s="115">
        <v>41850000</v>
      </c>
      <c r="Q162" s="115">
        <v>37620366</v>
      </c>
      <c r="R162" s="375">
        <f t="shared" si="18"/>
        <v>0.9</v>
      </c>
      <c r="S162" s="356">
        <f t="shared" si="19"/>
        <v>-0.95483870967741935</v>
      </c>
      <c r="T162" s="356">
        <f t="shared" si="20"/>
        <v>-0.94976125431634562</v>
      </c>
      <c r="U162" s="115">
        <f t="shared" si="22"/>
        <v>1039500.0000000001</v>
      </c>
      <c r="V162" s="362">
        <v>46490000</v>
      </c>
      <c r="W162" s="394">
        <f t="shared" si="21"/>
        <v>-44600000</v>
      </c>
      <c r="X162" s="45" t="str">
        <f t="shared" si="23"/>
        <v>TYPE_4</v>
      </c>
    </row>
    <row r="163" spans="1:24" ht="18.75" customHeight="1">
      <c r="A163" s="56">
        <v>159</v>
      </c>
      <c r="B163" s="55" t="s">
        <v>48</v>
      </c>
      <c r="C163" s="56">
        <v>702</v>
      </c>
      <c r="D163" s="55" t="s">
        <v>203</v>
      </c>
      <c r="E163" s="55">
        <f>VLOOKUP(C163,'115_分行業績'!A:J,8,0)</f>
        <v>146683171</v>
      </c>
      <c r="F163" s="55">
        <f>VLOOKUP(C163,'115_分行業績'!A:J,9,0)</f>
        <v>68390000</v>
      </c>
      <c r="G163" s="427">
        <f>VLOOKUP(C163, '115_分行業績'!A:G,7,0)</f>
        <v>2.1448043664532888</v>
      </c>
      <c r="H163" s="55" t="str">
        <f>VLOOKUP(X163,原始參數_115!A:D,2,0)</f>
        <v>200%以上</v>
      </c>
      <c r="I163" s="55" t="str">
        <f>VLOOKUP(X163,原始參數_115!A:D,4,0)</f>
        <v>預估實績*70%</v>
      </c>
      <c r="J163" s="55">
        <f>VLOOKUP(C163,'115_分行業績'!A:N,14,0)</f>
        <v>102680000</v>
      </c>
      <c r="K163" s="55"/>
      <c r="L163" s="396">
        <f t="shared" si="16"/>
        <v>1142630</v>
      </c>
      <c r="M163" s="55">
        <f t="shared" si="17"/>
        <v>1142630</v>
      </c>
      <c r="N163" s="55">
        <f>VLOOKUP(C163,'116目標底稿ver1'!D:AC, 19,0)</f>
        <v>557370</v>
      </c>
      <c r="O163" s="362">
        <f>VLOOKUP(C163,'116目標底稿ver1'!D:AC, 22, 0)</f>
        <v>1700000</v>
      </c>
      <c r="P163" s="115">
        <v>37680000</v>
      </c>
      <c r="Q163" s="115">
        <v>94246442</v>
      </c>
      <c r="R163" s="375">
        <f t="shared" si="18"/>
        <v>2.5</v>
      </c>
      <c r="S163" s="356">
        <f t="shared" si="19"/>
        <v>-0.95488322717622076</v>
      </c>
      <c r="T163" s="356">
        <f t="shared" si="20"/>
        <v>-0.98196218378196176</v>
      </c>
      <c r="U163" s="115">
        <f t="shared" si="22"/>
        <v>935000.00000000012</v>
      </c>
      <c r="V163" s="362">
        <v>77700000</v>
      </c>
      <c r="W163" s="394">
        <f t="shared" si="21"/>
        <v>-76000000</v>
      </c>
      <c r="X163" s="45" t="str">
        <f t="shared" si="23"/>
        <v>TYPE_1</v>
      </c>
    </row>
    <row r="164" spans="1:24" ht="18.75" customHeight="1">
      <c r="A164" s="56">
        <v>160</v>
      </c>
      <c r="B164" s="55" t="s">
        <v>48</v>
      </c>
      <c r="C164" s="56">
        <v>703</v>
      </c>
      <c r="D164" s="55" t="s">
        <v>53</v>
      </c>
      <c r="E164" s="55">
        <f>VLOOKUP(C164,'115_分行業績'!A:J,8,0)</f>
        <v>31343682</v>
      </c>
      <c r="F164" s="55">
        <f>VLOOKUP(C164,'115_分行業績'!A:J,9,0)</f>
        <v>48810000</v>
      </c>
      <c r="G164" s="427">
        <f>VLOOKUP(C164, '115_分行業績'!A:G,7,0)</f>
        <v>0.6421569669552557</v>
      </c>
      <c r="H164" s="55" t="str">
        <f>VLOOKUP(X164,原始參數_115!A:D,2,0)</f>
        <v>未達75%</v>
      </c>
      <c r="I164" s="55" t="str">
        <f>VLOOKUP(X164,原始參數_115!A:D,4,0)</f>
        <v>分行目標*115%</v>
      </c>
      <c r="J164" s="55">
        <f>VLOOKUP(C164,'115_分行業績'!A:N,14,0)</f>
        <v>56130000</v>
      </c>
      <c r="K164" s="55"/>
      <c r="L164" s="396">
        <f t="shared" si="16"/>
        <v>1022630</v>
      </c>
      <c r="M164" s="55">
        <f t="shared" si="17"/>
        <v>1022630</v>
      </c>
      <c r="N164" s="55">
        <f>VLOOKUP(C164,'116目標底稿ver1'!D:AC, 19,0)</f>
        <v>557370</v>
      </c>
      <c r="O164" s="362">
        <f>VLOOKUP(C164,'116目標底稿ver1'!D:AC, 22, 0)</f>
        <v>1580000</v>
      </c>
      <c r="P164" s="115">
        <v>40370000</v>
      </c>
      <c r="Q164" s="115">
        <v>28276347</v>
      </c>
      <c r="R164" s="375">
        <f t="shared" si="18"/>
        <v>0.7</v>
      </c>
      <c r="S164" s="356">
        <f t="shared" si="19"/>
        <v>-0.96086202625712158</v>
      </c>
      <c r="T164" s="356">
        <f t="shared" si="20"/>
        <v>-0.94412290951161404</v>
      </c>
      <c r="U164" s="115">
        <f t="shared" si="22"/>
        <v>869000.00000000012</v>
      </c>
      <c r="V164" s="362">
        <v>48700000</v>
      </c>
      <c r="W164" s="394">
        <f t="shared" si="21"/>
        <v>-47120000</v>
      </c>
      <c r="X164" s="45" t="str">
        <f t="shared" si="23"/>
        <v>TYPE_9</v>
      </c>
    </row>
    <row r="165" spans="1:24" ht="18.75" customHeight="1">
      <c r="A165" s="56">
        <v>161</v>
      </c>
      <c r="B165" s="55" t="s">
        <v>48</v>
      </c>
      <c r="C165" s="56">
        <v>704</v>
      </c>
      <c r="D165" s="55" t="s">
        <v>54</v>
      </c>
      <c r="E165" s="55">
        <f>VLOOKUP(C165,'115_分行業績'!A:J,8,0)</f>
        <v>51467046</v>
      </c>
      <c r="F165" s="55">
        <f>VLOOKUP(C165,'115_分行業績'!A:J,9,0)</f>
        <v>46050000</v>
      </c>
      <c r="G165" s="427">
        <f>VLOOKUP(C165, '115_分行業績'!A:G,7,0)</f>
        <v>1.1176340050155704</v>
      </c>
      <c r="H165" s="55" t="str">
        <f>VLOOKUP(X165,原始參數_115!A:D,2,0)</f>
        <v>110%以上，未達120%</v>
      </c>
      <c r="I165" s="55" t="str">
        <f>VLOOKUP(X165,原始參數_115!A:D,4,0)</f>
        <v>預估實績*103%</v>
      </c>
      <c r="J165" s="55">
        <f>VLOOKUP(C165,'115_分行業績'!A:N,14,0)</f>
        <v>53010000</v>
      </c>
      <c r="K165" s="55"/>
      <c r="L165" s="396">
        <f t="shared" si="16"/>
        <v>1102536</v>
      </c>
      <c r="M165" s="55">
        <f t="shared" si="17"/>
        <v>1102536</v>
      </c>
      <c r="N165" s="55">
        <f>VLOOKUP(C165,'116目標底稿ver1'!D:AC, 19,0)</f>
        <v>537464</v>
      </c>
      <c r="O165" s="362">
        <f>VLOOKUP(C165,'116目標底稿ver1'!D:AC, 22, 0)</f>
        <v>1640000</v>
      </c>
      <c r="P165" s="115">
        <v>36550000</v>
      </c>
      <c r="Q165" s="115">
        <v>48580510</v>
      </c>
      <c r="R165" s="375">
        <f t="shared" si="18"/>
        <v>1.33</v>
      </c>
      <c r="S165" s="356">
        <f t="shared" si="19"/>
        <v>-0.95512995896032837</v>
      </c>
      <c r="T165" s="356">
        <f t="shared" si="20"/>
        <v>-0.96624160594444153</v>
      </c>
      <c r="U165" s="115">
        <f t="shared" si="22"/>
        <v>902000.00000000012</v>
      </c>
      <c r="V165" s="362">
        <v>51280000</v>
      </c>
      <c r="W165" s="394">
        <f t="shared" si="21"/>
        <v>-49640000</v>
      </c>
      <c r="X165" s="45" t="str">
        <f t="shared" si="23"/>
        <v>TYPE_5</v>
      </c>
    </row>
    <row r="166" spans="1:24" ht="18.75" customHeight="1">
      <c r="A166" s="56">
        <v>162</v>
      </c>
      <c r="B166" s="55" t="s">
        <v>48</v>
      </c>
      <c r="C166" s="56">
        <v>705</v>
      </c>
      <c r="D166" s="55" t="s">
        <v>109</v>
      </c>
      <c r="E166" s="55">
        <f>VLOOKUP(C166,'115_分行業績'!A:J,8,0)</f>
        <v>42513645</v>
      </c>
      <c r="F166" s="55">
        <f>VLOOKUP(C166,'115_分行業績'!A:J,9,0)</f>
        <v>40520000</v>
      </c>
      <c r="G166" s="427">
        <f>VLOOKUP(C166, '115_分行業績'!A:G,7,0)</f>
        <v>1.0492015175523752</v>
      </c>
      <c r="H166" s="55" t="str">
        <f>VLOOKUP(X166,原始參數_115!A:D,2,0)</f>
        <v>100%以上，未達110%</v>
      </c>
      <c r="I166" s="55" t="str">
        <f>VLOOKUP(X166,原始參數_115!A:D,4,0)</f>
        <v>預估實績*105%</v>
      </c>
      <c r="J166" s="55">
        <f>VLOOKUP(C166,'115_分行業績'!A:N,14,0)</f>
        <v>44640000</v>
      </c>
      <c r="K166" s="55"/>
      <c r="L166" s="396">
        <f t="shared" si="16"/>
        <v>1152067</v>
      </c>
      <c r="M166" s="55">
        <f t="shared" si="17"/>
        <v>1152067</v>
      </c>
      <c r="N166" s="55">
        <f>VLOOKUP(C166,'116目標底稿ver1'!D:AC, 19,0)</f>
        <v>437933</v>
      </c>
      <c r="O166" s="362">
        <f>VLOOKUP(C166,'116目標底稿ver1'!D:AC, 22, 0)</f>
        <v>1590000</v>
      </c>
      <c r="P166" s="115">
        <v>36340000</v>
      </c>
      <c r="Q166" s="115">
        <v>33412710</v>
      </c>
      <c r="R166" s="375">
        <f t="shared" si="18"/>
        <v>0.92</v>
      </c>
      <c r="S166" s="356">
        <f t="shared" si="19"/>
        <v>-0.95624656026417176</v>
      </c>
      <c r="T166" s="356">
        <f t="shared" si="20"/>
        <v>-0.9524133181654526</v>
      </c>
      <c r="U166" s="115">
        <f t="shared" si="22"/>
        <v>874500.00000000012</v>
      </c>
      <c r="V166" s="362">
        <v>40410000</v>
      </c>
      <c r="W166" s="394">
        <f t="shared" si="21"/>
        <v>-38820000</v>
      </c>
      <c r="X166" s="45" t="str">
        <f t="shared" si="23"/>
        <v>TYPE_6</v>
      </c>
    </row>
    <row r="167" spans="1:24" ht="18.75" customHeight="1">
      <c r="A167" s="56">
        <v>163</v>
      </c>
      <c r="B167" s="55" t="s">
        <v>48</v>
      </c>
      <c r="C167" s="56">
        <v>706</v>
      </c>
      <c r="D167" s="55" t="s">
        <v>55</v>
      </c>
      <c r="E167" s="55">
        <f>VLOOKUP(C167,'115_分行業績'!A:J,8,0)</f>
        <v>50941852</v>
      </c>
      <c r="F167" s="55">
        <f>VLOOKUP(C167,'115_分行業績'!A:J,9,0)</f>
        <v>63540000</v>
      </c>
      <c r="G167" s="427">
        <f>VLOOKUP(C167, '115_分行業績'!A:G,7,0)</f>
        <v>0.80172886694884804</v>
      </c>
      <c r="H167" s="55" t="str">
        <f>VLOOKUP(X167,原始參數_115!A:D,2,0)</f>
        <v>75%以上，未達90%</v>
      </c>
      <c r="I167" s="55" t="str">
        <f>VLOOKUP(X167,原始參數_115!A:D,4,0)</f>
        <v>分行目標*110%</v>
      </c>
      <c r="J167" s="55">
        <f>VLOOKUP(C167,'115_分行業績'!A:N,14,0)</f>
        <v>69890000</v>
      </c>
      <c r="K167" s="55"/>
      <c r="L167" s="396">
        <f t="shared" si="16"/>
        <v>1573006</v>
      </c>
      <c r="M167" s="55">
        <f t="shared" si="17"/>
        <v>1573006</v>
      </c>
      <c r="N167" s="55">
        <f>VLOOKUP(C167,'116目標底稿ver1'!D:AC, 19,0)</f>
        <v>636994</v>
      </c>
      <c r="O167" s="362">
        <f>VLOOKUP(C167,'116目標底稿ver1'!D:AC, 22, 0)</f>
        <v>2210000</v>
      </c>
      <c r="P167" s="115">
        <v>54760000</v>
      </c>
      <c r="Q167" s="115">
        <v>45193447</v>
      </c>
      <c r="R167" s="375">
        <f t="shared" si="18"/>
        <v>0.83</v>
      </c>
      <c r="S167" s="356">
        <f t="shared" si="19"/>
        <v>-0.95964207450693939</v>
      </c>
      <c r="T167" s="356">
        <f t="shared" si="20"/>
        <v>-0.95109910514238938</v>
      </c>
      <c r="U167" s="115">
        <f t="shared" si="22"/>
        <v>1215500</v>
      </c>
      <c r="V167" s="362">
        <v>63420000</v>
      </c>
      <c r="W167" s="394">
        <f t="shared" si="21"/>
        <v>-61210000</v>
      </c>
      <c r="X167" s="45" t="str">
        <f t="shared" si="23"/>
        <v>TYPE_8</v>
      </c>
    </row>
    <row r="168" spans="1:24" ht="18.75" customHeight="1">
      <c r="A168" s="56">
        <v>164</v>
      </c>
      <c r="B168" s="55" t="s">
        <v>48</v>
      </c>
      <c r="C168" s="56">
        <v>707</v>
      </c>
      <c r="D168" s="55" t="s">
        <v>110</v>
      </c>
      <c r="E168" s="55">
        <f>VLOOKUP(C168,'115_分行業績'!A:J,8,0)</f>
        <v>32597177</v>
      </c>
      <c r="F168" s="55">
        <f>VLOOKUP(C168,'115_分行業績'!A:J,9,0)</f>
        <v>37970000</v>
      </c>
      <c r="G168" s="427">
        <f>VLOOKUP(C168, '115_分行業績'!A:G,7,0)</f>
        <v>0.85849820628552331</v>
      </c>
      <c r="H168" s="55" t="str">
        <f>VLOOKUP(X168,原始參數_115!A:D,2,0)</f>
        <v>75%以上，未達90%</v>
      </c>
      <c r="I168" s="55" t="str">
        <f>VLOOKUP(X168,原始參數_115!A:D,4,0)</f>
        <v>分行目標*110%</v>
      </c>
      <c r="J168" s="55">
        <f>VLOOKUP(C168,'115_分行業績'!A:N,14,0)</f>
        <v>41770000</v>
      </c>
      <c r="K168" s="55"/>
      <c r="L168" s="396">
        <f t="shared" si="16"/>
        <v>932067</v>
      </c>
      <c r="M168" s="55">
        <f t="shared" si="17"/>
        <v>932067</v>
      </c>
      <c r="N168" s="55">
        <f>VLOOKUP(C168,'116目標底稿ver1'!D:AC, 19,0)</f>
        <v>437933</v>
      </c>
      <c r="O168" s="362">
        <f>VLOOKUP(C168,'116目標底稿ver1'!D:AC, 22, 0)</f>
        <v>1370000</v>
      </c>
      <c r="P168" s="115">
        <v>29690000</v>
      </c>
      <c r="Q168" s="115">
        <v>44981817</v>
      </c>
      <c r="R168" s="375">
        <f t="shared" si="18"/>
        <v>1.52</v>
      </c>
      <c r="S168" s="356">
        <f t="shared" si="19"/>
        <v>-0.95385651734590771</v>
      </c>
      <c r="T168" s="356">
        <f t="shared" si="20"/>
        <v>-0.96954324899770061</v>
      </c>
      <c r="U168" s="115">
        <f t="shared" si="22"/>
        <v>753500.00000000012</v>
      </c>
      <c r="V168" s="362">
        <v>37820000</v>
      </c>
      <c r="W168" s="394">
        <f t="shared" si="21"/>
        <v>-36450000</v>
      </c>
      <c r="X168" s="45" t="str">
        <f t="shared" si="23"/>
        <v>TYPE_8</v>
      </c>
    </row>
    <row r="169" spans="1:24" ht="18.75" customHeight="1">
      <c r="A169" s="56">
        <v>165</v>
      </c>
      <c r="B169" s="55" t="s">
        <v>48</v>
      </c>
      <c r="C169" s="56">
        <v>708</v>
      </c>
      <c r="D169" s="55" t="s">
        <v>56</v>
      </c>
      <c r="E169" s="55">
        <f>VLOOKUP(C169,'115_分行業績'!A:J,8,0)</f>
        <v>33281232</v>
      </c>
      <c r="F169" s="55">
        <f>VLOOKUP(C169,'115_分行業績'!A:J,9,0)</f>
        <v>53240000</v>
      </c>
      <c r="G169" s="427">
        <f>VLOOKUP(C169, '115_分行業績'!A:G,7,0)</f>
        <v>0.6251170518440865</v>
      </c>
      <c r="H169" s="55" t="str">
        <f>VLOOKUP(X169,原始參數_115!A:D,2,0)</f>
        <v>未達75%</v>
      </c>
      <c r="I169" s="55" t="str">
        <f>VLOOKUP(X169,原始參數_115!A:D,4,0)</f>
        <v>分行目標*115%</v>
      </c>
      <c r="J169" s="55">
        <f>VLOOKUP(C169,'115_分行業績'!A:N,14,0)</f>
        <v>61230000</v>
      </c>
      <c r="K169" s="55"/>
      <c r="L169" s="396">
        <f t="shared" si="16"/>
        <v>1225889</v>
      </c>
      <c r="M169" s="55">
        <f t="shared" si="17"/>
        <v>1225889</v>
      </c>
      <c r="N169" s="55">
        <f>VLOOKUP(C169,'116目標底稿ver1'!D:AC, 19,0)</f>
        <v>584111</v>
      </c>
      <c r="O169" s="362">
        <f>VLOOKUP(C169,'116目標底稿ver1'!D:AC, 22, 0)</f>
        <v>1810000</v>
      </c>
      <c r="P169" s="115">
        <v>45920000</v>
      </c>
      <c r="Q169" s="115">
        <v>35774324</v>
      </c>
      <c r="R169" s="375">
        <f t="shared" si="18"/>
        <v>0.78</v>
      </c>
      <c r="S169" s="356">
        <f t="shared" si="19"/>
        <v>-0.9605836236933798</v>
      </c>
      <c r="T169" s="356">
        <f t="shared" si="20"/>
        <v>-0.94940505374748663</v>
      </c>
      <c r="U169" s="115">
        <f t="shared" si="22"/>
        <v>995500.00000000012</v>
      </c>
      <c r="V169" s="362">
        <v>53160000</v>
      </c>
      <c r="W169" s="394">
        <f t="shared" si="21"/>
        <v>-51350000</v>
      </c>
      <c r="X169" s="45" t="str">
        <f t="shared" si="23"/>
        <v>TYPE_9</v>
      </c>
    </row>
    <row r="170" spans="1:24" ht="18.75" customHeight="1">
      <c r="A170" s="56">
        <v>166</v>
      </c>
      <c r="B170" s="55" t="s">
        <v>48</v>
      </c>
      <c r="C170" s="56">
        <v>709</v>
      </c>
      <c r="D170" s="55" t="s">
        <v>204</v>
      </c>
      <c r="E170" s="55">
        <f>VLOOKUP(C170,'115_分行業績'!A:J,8,0)</f>
        <v>69568535</v>
      </c>
      <c r="F170" s="55">
        <f>VLOOKUP(C170,'115_分行業績'!A:J,9,0)</f>
        <v>59170000</v>
      </c>
      <c r="G170" s="427">
        <f>VLOOKUP(C170, '115_分行業績'!A:G,7,0)</f>
        <v>1.1757399830617496</v>
      </c>
      <c r="H170" s="55" t="str">
        <f>VLOOKUP(X170,原始參數_115!A:D,2,0)</f>
        <v>110%以上，未達120%</v>
      </c>
      <c r="I170" s="55" t="str">
        <f>VLOOKUP(X170,原始參數_115!A:D,4,0)</f>
        <v>預估實績*103%</v>
      </c>
      <c r="J170" s="55">
        <f>VLOOKUP(C170,'115_分行業績'!A:N,14,0)</f>
        <v>71660000</v>
      </c>
      <c r="K170" s="55"/>
      <c r="L170" s="396">
        <f t="shared" si="16"/>
        <v>1542724</v>
      </c>
      <c r="M170" s="55">
        <f t="shared" si="17"/>
        <v>1542724</v>
      </c>
      <c r="N170" s="55">
        <f>VLOOKUP(C170,'116目標底稿ver1'!D:AC, 19,0)</f>
        <v>577276</v>
      </c>
      <c r="O170" s="362">
        <f>VLOOKUP(C170,'116目標底稿ver1'!D:AC, 22, 0)</f>
        <v>2120000</v>
      </c>
      <c r="P170" s="115">
        <v>46490000</v>
      </c>
      <c r="Q170" s="115">
        <v>70591332</v>
      </c>
      <c r="R170" s="375">
        <f t="shared" si="18"/>
        <v>1.52</v>
      </c>
      <c r="S170" s="356">
        <f t="shared" si="19"/>
        <v>-0.9543987954398796</v>
      </c>
      <c r="T170" s="356">
        <f t="shared" si="20"/>
        <v>-0.96996798417120111</v>
      </c>
      <c r="U170" s="115">
        <f t="shared" si="22"/>
        <v>1166000</v>
      </c>
      <c r="V170" s="362">
        <v>59080000</v>
      </c>
      <c r="W170" s="394">
        <f t="shared" si="21"/>
        <v>-56960000</v>
      </c>
      <c r="X170" s="45" t="str">
        <f t="shared" si="23"/>
        <v>TYPE_5</v>
      </c>
    </row>
    <row r="171" spans="1:24" ht="18.75" customHeight="1">
      <c r="A171" s="56">
        <v>167</v>
      </c>
      <c r="B171" s="55" t="s">
        <v>48</v>
      </c>
      <c r="C171" s="56">
        <v>710</v>
      </c>
      <c r="D171" s="55" t="s">
        <v>111</v>
      </c>
      <c r="E171" s="55">
        <f>VLOOKUP(C171,'115_分行業績'!A:J,8,0)</f>
        <v>92895749</v>
      </c>
      <c r="F171" s="55">
        <f>VLOOKUP(C171,'115_分行業績'!A:J,9,0)</f>
        <v>68300000</v>
      </c>
      <c r="G171" s="427">
        <f>VLOOKUP(C171, '115_分行業績'!A:G,7,0)</f>
        <v>1.3601134498262824</v>
      </c>
      <c r="H171" s="55" t="str">
        <f>VLOOKUP(X171,原始參數_115!A:D,2,0)</f>
        <v>130%以上，未達150%</v>
      </c>
      <c r="I171" s="55" t="str">
        <f>VLOOKUP(X171,原始參數_115!A:D,4,0)</f>
        <v>預估實績*90%</v>
      </c>
      <c r="J171" s="55">
        <f>VLOOKUP(C171,'115_分行業績'!A:N,14,0)</f>
        <v>83610000</v>
      </c>
      <c r="K171" s="55"/>
      <c r="L171" s="396">
        <f t="shared" si="16"/>
        <v>1953006</v>
      </c>
      <c r="M171" s="55">
        <f t="shared" si="17"/>
        <v>1953006</v>
      </c>
      <c r="N171" s="55">
        <f>VLOOKUP(C171,'116目標底稿ver1'!D:AC, 19,0)</f>
        <v>636994</v>
      </c>
      <c r="O171" s="362">
        <f>VLOOKUP(C171,'116目標底稿ver1'!D:AC, 22, 0)</f>
        <v>2590000</v>
      </c>
      <c r="P171" s="115">
        <v>61420000</v>
      </c>
      <c r="Q171" s="115">
        <v>55939849</v>
      </c>
      <c r="R171" s="375">
        <f t="shared" si="18"/>
        <v>0.91</v>
      </c>
      <c r="S171" s="356">
        <f t="shared" si="19"/>
        <v>-0.95783132530120485</v>
      </c>
      <c r="T171" s="356">
        <f t="shared" si="20"/>
        <v>-0.95370026830068844</v>
      </c>
      <c r="U171" s="115">
        <f t="shared" si="22"/>
        <v>1424500</v>
      </c>
      <c r="V171" s="362">
        <v>68120000</v>
      </c>
      <c r="W171" s="394">
        <f t="shared" si="21"/>
        <v>-65530000</v>
      </c>
      <c r="X171" s="45" t="str">
        <f t="shared" si="23"/>
        <v>TYPE_3</v>
      </c>
    </row>
    <row r="172" spans="1:24" ht="18.75" customHeight="1">
      <c r="A172" s="56">
        <v>168</v>
      </c>
      <c r="B172" s="55" t="s">
        <v>48</v>
      </c>
      <c r="C172" s="56">
        <v>711</v>
      </c>
      <c r="D172" s="55" t="s">
        <v>205</v>
      </c>
      <c r="E172" s="55">
        <f>VLOOKUP(C172,'115_分行業績'!A:J,8,0)</f>
        <v>52915593</v>
      </c>
      <c r="F172" s="55">
        <f>VLOOKUP(C172,'115_分行業績'!A:J,9,0)</f>
        <v>52650000</v>
      </c>
      <c r="G172" s="427">
        <f>VLOOKUP(C172, '115_分行業績'!A:G,7,0)</f>
        <v>1.0050445050495311</v>
      </c>
      <c r="H172" s="55" t="str">
        <f>VLOOKUP(X172,原始參數_115!A:D,2,0)</f>
        <v>100%以上，未達110%</v>
      </c>
      <c r="I172" s="55" t="str">
        <f>VLOOKUP(X172,原始參數_115!A:D,4,0)</f>
        <v>預估實績*105%</v>
      </c>
      <c r="J172" s="55">
        <f>VLOOKUP(C172,'115_分行業績'!A:N,14,0)</f>
        <v>55560000</v>
      </c>
      <c r="K172" s="55"/>
      <c r="L172" s="396">
        <f t="shared" si="16"/>
        <v>1502630</v>
      </c>
      <c r="M172" s="55">
        <f t="shared" si="17"/>
        <v>1502630</v>
      </c>
      <c r="N172" s="55">
        <f>VLOOKUP(C172,'116目標底稿ver1'!D:AC, 19,0)</f>
        <v>557370</v>
      </c>
      <c r="O172" s="362">
        <f>VLOOKUP(C172,'116目標底稿ver1'!D:AC, 22, 0)</f>
        <v>2060000</v>
      </c>
      <c r="P172" s="115">
        <v>46610000</v>
      </c>
      <c r="Q172" s="115">
        <v>47318417</v>
      </c>
      <c r="R172" s="375">
        <f t="shared" si="18"/>
        <v>1.02</v>
      </c>
      <c r="S172" s="356">
        <f t="shared" si="19"/>
        <v>-0.95580347564900237</v>
      </c>
      <c r="T172" s="356">
        <f t="shared" si="20"/>
        <v>-0.95646515393784204</v>
      </c>
      <c r="U172" s="115">
        <f t="shared" si="22"/>
        <v>1133000</v>
      </c>
      <c r="V172" s="362">
        <v>52510000</v>
      </c>
      <c r="W172" s="394">
        <f t="shared" si="21"/>
        <v>-50450000</v>
      </c>
      <c r="X172" s="45" t="str">
        <f t="shared" si="23"/>
        <v>TYPE_6</v>
      </c>
    </row>
    <row r="173" spans="1:24" ht="18.75" customHeight="1">
      <c r="A173" s="56">
        <v>169</v>
      </c>
      <c r="B173" s="55" t="s">
        <v>48</v>
      </c>
      <c r="C173" s="56">
        <v>712</v>
      </c>
      <c r="D173" s="55" t="s">
        <v>206</v>
      </c>
      <c r="E173" s="55">
        <f>VLOOKUP(C173,'115_分行業績'!A:J,8,0)</f>
        <v>19857528</v>
      </c>
      <c r="F173" s="55">
        <f>VLOOKUP(C173,'115_分行業績'!A:J,9,0)</f>
        <v>22360000</v>
      </c>
      <c r="G173" s="427">
        <f>VLOOKUP(C173, '115_分行業績'!A:G,7,0)</f>
        <v>0.88808263895985917</v>
      </c>
      <c r="H173" s="55" t="str">
        <f>VLOOKUP(X173,原始參數_115!A:D,2,0)</f>
        <v>75%以上，未達90%</v>
      </c>
      <c r="I173" s="55" t="str">
        <f>VLOOKUP(X173,原始參數_115!A:D,4,0)</f>
        <v>分行目標*110%</v>
      </c>
      <c r="J173" s="55">
        <f>VLOOKUP(C173,'115_分行業績'!A:N,14,0)</f>
        <v>24600000</v>
      </c>
      <c r="K173" s="55"/>
      <c r="L173" s="396">
        <f t="shared" si="16"/>
        <v>581879</v>
      </c>
      <c r="M173" s="55">
        <f t="shared" si="17"/>
        <v>581879</v>
      </c>
      <c r="N173" s="55">
        <f>VLOOKUP(C173,'116目標底稿ver1'!D:AC, 19,0)</f>
        <v>398121</v>
      </c>
      <c r="O173" s="362">
        <f>VLOOKUP(C173,'116目標底稿ver1'!D:AC, 22, 0)</f>
        <v>980000</v>
      </c>
      <c r="P173" s="115">
        <v>18770000</v>
      </c>
      <c r="Q173" s="115">
        <v>19120999</v>
      </c>
      <c r="R173" s="375">
        <f t="shared" si="18"/>
        <v>1.02</v>
      </c>
      <c r="S173" s="356">
        <f t="shared" si="19"/>
        <v>-0.94778902503995743</v>
      </c>
      <c r="T173" s="356">
        <f t="shared" si="20"/>
        <v>-0.94874744776671971</v>
      </c>
      <c r="U173" s="115">
        <f t="shared" si="22"/>
        <v>539000</v>
      </c>
      <c r="V173" s="362">
        <v>22240000</v>
      </c>
      <c r="W173" s="394">
        <f t="shared" si="21"/>
        <v>-21260000</v>
      </c>
      <c r="X173" s="45" t="str">
        <f t="shared" si="23"/>
        <v>TYPE_8</v>
      </c>
    </row>
    <row r="174" spans="1:24" ht="18.75" customHeight="1">
      <c r="A174" s="56">
        <v>170</v>
      </c>
      <c r="B174" s="55" t="s">
        <v>48</v>
      </c>
      <c r="C174" s="56">
        <v>719</v>
      </c>
      <c r="D174" s="55" t="s">
        <v>59</v>
      </c>
      <c r="E174" s="55">
        <f>VLOOKUP(C174,'115_分行業績'!A:J,8,0)</f>
        <v>83251115</v>
      </c>
      <c r="F174" s="55">
        <f>VLOOKUP(C174,'115_分行業績'!A:J,9,0)</f>
        <v>76510000</v>
      </c>
      <c r="G174" s="427">
        <f>VLOOKUP(C174, '115_分行業績'!A:G,7,0)</f>
        <v>1.0881076343069447</v>
      </c>
      <c r="H174" s="55" t="str">
        <f>VLOOKUP(X174,原始參數_115!A:D,2,0)</f>
        <v>100%以上，未達110%</v>
      </c>
      <c r="I174" s="55" t="str">
        <f>VLOOKUP(X174,原始參數_115!A:D,4,0)</f>
        <v>預估實績*105%</v>
      </c>
      <c r="J174" s="55">
        <f>VLOOKUP(C174,'115_分行業績'!A:N,14,0)</f>
        <v>87410000</v>
      </c>
      <c r="K174" s="55"/>
      <c r="L174" s="396">
        <f t="shared" si="16"/>
        <v>2083288</v>
      </c>
      <c r="M174" s="55">
        <f t="shared" si="17"/>
        <v>2083288</v>
      </c>
      <c r="N174" s="55">
        <f>VLOOKUP(C174,'116目標底稿ver1'!D:AC, 19,0)</f>
        <v>696712</v>
      </c>
      <c r="O174" s="362">
        <f>VLOOKUP(C174,'116目標底稿ver1'!D:AC, 22, 0)</f>
        <v>2780000</v>
      </c>
      <c r="P174" s="115">
        <v>62760000</v>
      </c>
      <c r="Q174" s="115">
        <v>70369386</v>
      </c>
      <c r="R174" s="375">
        <f t="shared" si="18"/>
        <v>1.1200000000000001</v>
      </c>
      <c r="S174" s="356">
        <f t="shared" si="19"/>
        <v>-0.95570427023581894</v>
      </c>
      <c r="T174" s="356">
        <f t="shared" si="20"/>
        <v>-0.96049418421812005</v>
      </c>
      <c r="U174" s="115">
        <f t="shared" si="22"/>
        <v>1529000.0000000002</v>
      </c>
      <c r="V174" s="362">
        <v>76310000</v>
      </c>
      <c r="W174" s="394">
        <f t="shared" si="21"/>
        <v>-73530000</v>
      </c>
      <c r="X174" s="45" t="str">
        <f t="shared" si="23"/>
        <v>TYPE_6</v>
      </c>
    </row>
    <row r="175" spans="1:24" ht="18.75" customHeight="1">
      <c r="A175" s="56">
        <v>171</v>
      </c>
      <c r="B175" s="55" t="s">
        <v>48</v>
      </c>
      <c r="C175" s="56">
        <v>720</v>
      </c>
      <c r="D175" s="55" t="s">
        <v>112</v>
      </c>
      <c r="E175" s="55">
        <f>VLOOKUP(C175,'115_分行業績'!A:J,8,0)</f>
        <v>69404412</v>
      </c>
      <c r="F175" s="55">
        <f>VLOOKUP(C175,'115_分行業績'!A:J,9,0)</f>
        <v>65890000</v>
      </c>
      <c r="G175" s="427">
        <f>VLOOKUP(C175, '115_分行業績'!A:G,7,0)</f>
        <v>1.0533375608628659</v>
      </c>
      <c r="H175" s="55" t="str">
        <f>VLOOKUP(X175,原始參數_115!A:D,2,0)</f>
        <v>100%以上，未達110%</v>
      </c>
      <c r="I175" s="55" t="str">
        <f>VLOOKUP(X175,原始參數_115!A:D,4,0)</f>
        <v>預估實績*105%</v>
      </c>
      <c r="J175" s="55">
        <f>VLOOKUP(C175,'115_分行業績'!A:N,14,0)</f>
        <v>72870000</v>
      </c>
      <c r="K175" s="55"/>
      <c r="L175" s="396">
        <f t="shared" si="16"/>
        <v>1872536</v>
      </c>
      <c r="M175" s="55">
        <f t="shared" si="17"/>
        <v>1872536</v>
      </c>
      <c r="N175" s="55">
        <f>VLOOKUP(C175,'116目標底稿ver1'!D:AC, 19,0)</f>
        <v>537464</v>
      </c>
      <c r="O175" s="362">
        <f>VLOOKUP(C175,'116目標底稿ver1'!D:AC, 22, 0)</f>
        <v>2410000</v>
      </c>
      <c r="P175" s="115">
        <v>53530000</v>
      </c>
      <c r="Q175" s="115">
        <v>61490091</v>
      </c>
      <c r="R175" s="375">
        <f t="shared" si="18"/>
        <v>1.1499999999999999</v>
      </c>
      <c r="S175" s="356">
        <f t="shared" si="19"/>
        <v>-0.95497851671959644</v>
      </c>
      <c r="T175" s="356">
        <f t="shared" si="20"/>
        <v>-0.96080669322801948</v>
      </c>
      <c r="U175" s="115">
        <f t="shared" si="22"/>
        <v>1325500</v>
      </c>
      <c r="V175" s="362">
        <v>65720000</v>
      </c>
      <c r="W175" s="394">
        <f t="shared" si="21"/>
        <v>-63310000</v>
      </c>
      <c r="X175" s="45" t="str">
        <f t="shared" si="23"/>
        <v>TYPE_6</v>
      </c>
    </row>
    <row r="176" spans="1:24" ht="18.75" customHeight="1">
      <c r="A176" s="56">
        <v>172</v>
      </c>
      <c r="B176" s="55" t="s">
        <v>48</v>
      </c>
      <c r="C176" s="56">
        <v>721</v>
      </c>
      <c r="D176" s="55" t="s">
        <v>60</v>
      </c>
      <c r="E176" s="55">
        <f>VLOOKUP(C176,'115_分行業績'!A:J,8,0)</f>
        <v>43329357</v>
      </c>
      <c r="F176" s="55">
        <f>VLOOKUP(C176,'115_分行業績'!A:J,9,0)</f>
        <v>54870000</v>
      </c>
      <c r="G176" s="427">
        <f>VLOOKUP(C176, '115_分行業績'!A:G,7,0)</f>
        <v>0.78967298552333387</v>
      </c>
      <c r="H176" s="55" t="str">
        <f>VLOOKUP(X176,原始參數_115!A:D,2,0)</f>
        <v>75%以上，未達90%</v>
      </c>
      <c r="I176" s="55" t="str">
        <f>VLOOKUP(X176,原始參數_115!A:D,4,0)</f>
        <v>分行目標*110%</v>
      </c>
      <c r="J176" s="55">
        <f>VLOOKUP(C176,'115_分行業績'!A:N,14,0)</f>
        <v>60360000</v>
      </c>
      <c r="K176" s="55"/>
      <c r="L176" s="396">
        <f t="shared" si="16"/>
        <v>1682630</v>
      </c>
      <c r="M176" s="55">
        <f t="shared" si="17"/>
        <v>1682630</v>
      </c>
      <c r="N176" s="55">
        <f>VLOOKUP(C176,'116目標底稿ver1'!D:AC, 19,0)</f>
        <v>557370</v>
      </c>
      <c r="O176" s="362">
        <f>VLOOKUP(C176,'116目標底稿ver1'!D:AC, 22, 0)</f>
        <v>2240000</v>
      </c>
      <c r="P176" s="115">
        <v>45030000</v>
      </c>
      <c r="Q176" s="115">
        <v>50238262</v>
      </c>
      <c r="R176" s="375">
        <f t="shared" si="18"/>
        <v>1.1200000000000001</v>
      </c>
      <c r="S176" s="356">
        <f t="shared" si="19"/>
        <v>-0.9502553852986898</v>
      </c>
      <c r="T176" s="356">
        <f t="shared" si="20"/>
        <v>-0.95541247028012233</v>
      </c>
      <c r="U176" s="115">
        <f t="shared" si="22"/>
        <v>1232000</v>
      </c>
      <c r="V176" s="362">
        <v>54720000</v>
      </c>
      <c r="W176" s="394">
        <f t="shared" si="21"/>
        <v>-52480000</v>
      </c>
      <c r="X176" s="45" t="str">
        <f t="shared" si="23"/>
        <v>TYPE_8</v>
      </c>
    </row>
    <row r="177" spans="1:24" ht="18.75" customHeight="1">
      <c r="A177" s="56">
        <v>173</v>
      </c>
      <c r="B177" s="55" t="s">
        <v>48</v>
      </c>
      <c r="C177" s="56">
        <v>722</v>
      </c>
      <c r="D177" s="55" t="s">
        <v>61</v>
      </c>
      <c r="E177" s="55">
        <f>VLOOKUP(C177,'115_分行業績'!A:J,8,0)</f>
        <v>32593644</v>
      </c>
      <c r="F177" s="55">
        <f>VLOOKUP(C177,'115_分行業績'!A:J,9,0)</f>
        <v>33480000</v>
      </c>
      <c r="G177" s="427">
        <f>VLOOKUP(C177, '115_分行業績'!A:G,7,0)</f>
        <v>0.97352579839260001</v>
      </c>
      <c r="H177" s="55" t="str">
        <f>VLOOKUP(X177,原始參數_115!A:D,2,0)</f>
        <v>90%以上，未達100%</v>
      </c>
      <c r="I177" s="55" t="str">
        <f>VLOOKUP(X177,原始參數_115!A:D,4,0)</f>
        <v>分行目標*105%</v>
      </c>
      <c r="J177" s="55">
        <f>VLOOKUP(C177,'115_分行業績'!A:N,14,0)</f>
        <v>35150000</v>
      </c>
      <c r="K177" s="55"/>
      <c r="L177" s="396">
        <f t="shared" si="16"/>
        <v>902443</v>
      </c>
      <c r="M177" s="55">
        <f t="shared" si="17"/>
        <v>902443</v>
      </c>
      <c r="N177" s="55">
        <f>VLOOKUP(C177,'116目標底稿ver1'!D:AC, 19,0)</f>
        <v>517557</v>
      </c>
      <c r="O177" s="362">
        <f>VLOOKUP(C177,'116目標底稿ver1'!D:AC, 22, 0)</f>
        <v>1420000</v>
      </c>
      <c r="P177" s="115">
        <v>28640000</v>
      </c>
      <c r="Q177" s="115">
        <v>24082292</v>
      </c>
      <c r="R177" s="375">
        <f t="shared" si="18"/>
        <v>0.84</v>
      </c>
      <c r="S177" s="356">
        <f t="shared" si="19"/>
        <v>-0.95041899441340782</v>
      </c>
      <c r="T177" s="356">
        <f t="shared" si="20"/>
        <v>-0.94103551273275821</v>
      </c>
      <c r="U177" s="115">
        <f t="shared" si="22"/>
        <v>781000.00000000012</v>
      </c>
      <c r="V177" s="362">
        <v>33360000</v>
      </c>
      <c r="W177" s="394">
        <f t="shared" si="21"/>
        <v>-31940000</v>
      </c>
      <c r="X177" s="45" t="str">
        <f t="shared" si="23"/>
        <v>TYPE_7</v>
      </c>
    </row>
    <row r="178" spans="1:24" ht="18.75" customHeight="1">
      <c r="A178" s="56">
        <v>174</v>
      </c>
      <c r="B178" s="55" t="s">
        <v>48</v>
      </c>
      <c r="C178" s="56">
        <v>751</v>
      </c>
      <c r="D178" s="55" t="s">
        <v>62</v>
      </c>
      <c r="E178" s="55">
        <f>VLOOKUP(C178,'115_分行業績'!A:J,8,0)</f>
        <v>39118611</v>
      </c>
      <c r="F178" s="55">
        <f>VLOOKUP(C178,'115_分行業績'!A:J,9,0)</f>
        <v>43230000</v>
      </c>
      <c r="G178" s="427">
        <f>VLOOKUP(C178, '115_分行業績'!A:G,7,0)</f>
        <v>0.90489500205483475</v>
      </c>
      <c r="H178" s="55" t="str">
        <f>VLOOKUP(X178,原始參數_115!A:D,2,0)</f>
        <v>90%以上，未達100%</v>
      </c>
      <c r="I178" s="55" t="str">
        <f>VLOOKUP(X178,原始參數_115!A:D,4,0)</f>
        <v>分行目標*105%</v>
      </c>
      <c r="J178" s="55">
        <f>VLOOKUP(C178,'115_分行業績'!A:N,14,0)</f>
        <v>45390000</v>
      </c>
      <c r="K178" s="55"/>
      <c r="L178" s="396">
        <f t="shared" si="16"/>
        <v>1232161</v>
      </c>
      <c r="M178" s="55">
        <f t="shared" si="17"/>
        <v>1232161</v>
      </c>
      <c r="N178" s="55">
        <f>VLOOKUP(C178,'116目標底稿ver1'!D:AC, 19,0)</f>
        <v>457839</v>
      </c>
      <c r="O178" s="362">
        <f>VLOOKUP(C178,'116目標底稿ver1'!D:AC, 22, 0)</f>
        <v>1690000</v>
      </c>
      <c r="P178" s="115">
        <v>37040000</v>
      </c>
      <c r="Q178" s="115">
        <v>31741526</v>
      </c>
      <c r="R178" s="375">
        <f t="shared" si="18"/>
        <v>0.86</v>
      </c>
      <c r="S178" s="356">
        <f t="shared" si="19"/>
        <v>-0.95437365010799136</v>
      </c>
      <c r="T178" s="356">
        <f t="shared" si="20"/>
        <v>-0.94675744323067512</v>
      </c>
      <c r="U178" s="115">
        <f t="shared" si="22"/>
        <v>929500.00000000012</v>
      </c>
      <c r="V178" s="362">
        <v>43100000</v>
      </c>
      <c r="W178" s="394">
        <f t="shared" si="21"/>
        <v>-41410000</v>
      </c>
      <c r="X178" s="45" t="str">
        <f t="shared" si="23"/>
        <v>TYPE_7</v>
      </c>
    </row>
    <row r="179" spans="1:24" ht="18.75" customHeight="1">
      <c r="A179" s="56">
        <v>175</v>
      </c>
      <c r="B179" s="55" t="s">
        <v>48</v>
      </c>
      <c r="C179" s="56">
        <v>752</v>
      </c>
      <c r="D179" s="55" t="s">
        <v>63</v>
      </c>
      <c r="E179" s="55">
        <f>VLOOKUP(C179,'115_分行業績'!A:J,8,0)</f>
        <v>68646329</v>
      </c>
      <c r="F179" s="55">
        <f>VLOOKUP(C179,'115_分行業績'!A:J,9,0)</f>
        <v>60470000</v>
      </c>
      <c r="G179" s="427">
        <f>VLOOKUP(C179, '115_分行業績'!A:G,7,0)</f>
        <v>1.1352129822904864</v>
      </c>
      <c r="H179" s="55" t="str">
        <f>VLOOKUP(X179,原始參數_115!A:D,2,0)</f>
        <v>110%以上，未達120%</v>
      </c>
      <c r="I179" s="55" t="str">
        <f>VLOOKUP(X179,原始參數_115!A:D,4,0)</f>
        <v>預估實績*103%</v>
      </c>
      <c r="J179" s="55">
        <f>VLOOKUP(C179,'115_分行業績'!A:N,14,0)</f>
        <v>70710000</v>
      </c>
      <c r="K179" s="55"/>
      <c r="L179" s="396">
        <f t="shared" si="16"/>
        <v>1692630</v>
      </c>
      <c r="M179" s="55">
        <f t="shared" si="17"/>
        <v>1692630</v>
      </c>
      <c r="N179" s="55">
        <f>VLOOKUP(C179,'116目標底稿ver1'!D:AC, 19,0)</f>
        <v>557370</v>
      </c>
      <c r="O179" s="362">
        <f>VLOOKUP(C179,'116目標底稿ver1'!D:AC, 22, 0)</f>
        <v>2250000</v>
      </c>
      <c r="P179" s="115">
        <v>50180000</v>
      </c>
      <c r="Q179" s="115">
        <v>55582413</v>
      </c>
      <c r="R179" s="375">
        <f t="shared" si="18"/>
        <v>1.1100000000000001</v>
      </c>
      <c r="S179" s="356">
        <f t="shared" si="19"/>
        <v>-0.9551614188919888</v>
      </c>
      <c r="T179" s="356">
        <f t="shared" si="20"/>
        <v>-0.95951956961638207</v>
      </c>
      <c r="U179" s="115">
        <f t="shared" si="22"/>
        <v>1237500</v>
      </c>
      <c r="V179" s="362">
        <v>60330000</v>
      </c>
      <c r="W179" s="394">
        <f t="shared" si="21"/>
        <v>-58080000</v>
      </c>
      <c r="X179" s="45" t="str">
        <f t="shared" si="23"/>
        <v>TYPE_5</v>
      </c>
    </row>
    <row r="180" spans="1:24" ht="18.75" customHeight="1">
      <c r="A180" s="56">
        <v>176</v>
      </c>
      <c r="B180" s="55" t="s">
        <v>48</v>
      </c>
      <c r="C180" s="56">
        <v>753</v>
      </c>
      <c r="D180" s="55" t="s">
        <v>207</v>
      </c>
      <c r="E180" s="55">
        <f>VLOOKUP(C180,'115_分行業績'!A:J,8,0)</f>
        <v>62337850</v>
      </c>
      <c r="F180" s="55">
        <f>VLOOKUP(C180,'115_分行業績'!A:J,9,0)</f>
        <v>42620000</v>
      </c>
      <c r="G180" s="427">
        <f>VLOOKUP(C180, '115_分行業績'!A:G,7,0)</f>
        <v>1.4626431190830604</v>
      </c>
      <c r="H180" s="55" t="str">
        <f>VLOOKUP(X180,原始參數_115!A:D,2,0)</f>
        <v>130%以上，未達150%</v>
      </c>
      <c r="I180" s="55" t="str">
        <f>VLOOKUP(X180,原始參數_115!A:D,4,0)</f>
        <v>預估實績*90%</v>
      </c>
      <c r="J180" s="55">
        <f>VLOOKUP(C180,'115_分行業績'!A:N,14,0)</f>
        <v>56100000</v>
      </c>
      <c r="K180" s="55"/>
      <c r="L180" s="396">
        <f t="shared" si="16"/>
        <v>1192349</v>
      </c>
      <c r="M180" s="55">
        <f t="shared" si="17"/>
        <v>1192349</v>
      </c>
      <c r="N180" s="55">
        <f>VLOOKUP(C180,'116目標底稿ver1'!D:AC, 19,0)</f>
        <v>497651</v>
      </c>
      <c r="O180" s="362">
        <f>VLOOKUP(C180,'116目標底稿ver1'!D:AC, 22, 0)</f>
        <v>1690000</v>
      </c>
      <c r="P180" s="115">
        <v>38270000</v>
      </c>
      <c r="Q180" s="115">
        <v>37944440</v>
      </c>
      <c r="R180" s="375">
        <f t="shared" si="18"/>
        <v>0.99</v>
      </c>
      <c r="S180" s="356">
        <f t="shared" si="19"/>
        <v>-0.95584008361640971</v>
      </c>
      <c r="T180" s="356">
        <f t="shared" si="20"/>
        <v>-0.95546119536880769</v>
      </c>
      <c r="U180" s="115">
        <f t="shared" si="22"/>
        <v>929500.00000000012</v>
      </c>
      <c r="V180" s="362">
        <v>42510000</v>
      </c>
      <c r="W180" s="394">
        <f t="shared" si="21"/>
        <v>-40820000</v>
      </c>
      <c r="X180" s="45" t="str">
        <f t="shared" si="23"/>
        <v>TYPE_3</v>
      </c>
    </row>
    <row r="181" spans="1:24" ht="18.75" customHeight="1">
      <c r="A181" s="56">
        <v>177</v>
      </c>
      <c r="B181" s="55" t="s">
        <v>48</v>
      </c>
      <c r="C181" s="56">
        <v>760</v>
      </c>
      <c r="D181" s="55" t="s">
        <v>64</v>
      </c>
      <c r="E181" s="55">
        <f>VLOOKUP(C181,'115_分行業績'!A:J,8,0)</f>
        <v>73417344</v>
      </c>
      <c r="F181" s="55">
        <f>VLOOKUP(C181,'115_分行業績'!A:J,9,0)</f>
        <v>88420000</v>
      </c>
      <c r="G181" s="427">
        <f>VLOOKUP(C181, '115_分行業績'!A:G,7,0)</f>
        <v>0.83032508357844903</v>
      </c>
      <c r="H181" s="55" t="str">
        <f>VLOOKUP(X181,原始參數_115!A:D,2,0)</f>
        <v>75%以上，未達90%</v>
      </c>
      <c r="I181" s="55" t="str">
        <f>VLOOKUP(X181,原始參數_115!A:D,4,0)</f>
        <v>分行目標*110%</v>
      </c>
      <c r="J181" s="55">
        <f>VLOOKUP(C181,'115_分行業績'!A:N,14,0)</f>
        <v>97260000</v>
      </c>
      <c r="K181" s="55"/>
      <c r="L181" s="396">
        <f t="shared" si="16"/>
        <v>2462630</v>
      </c>
      <c r="M181" s="55">
        <f t="shared" si="17"/>
        <v>2462630</v>
      </c>
      <c r="N181" s="55">
        <f>VLOOKUP(C181,'116目標底稿ver1'!D:AC, 19,0)</f>
        <v>557370</v>
      </c>
      <c r="O181" s="362">
        <f>VLOOKUP(C181,'116目標底稿ver1'!D:AC, 22, 0)</f>
        <v>3020000</v>
      </c>
      <c r="P181" s="115">
        <v>40960000</v>
      </c>
      <c r="Q181" s="115">
        <v>30240984</v>
      </c>
      <c r="R181" s="375">
        <f t="shared" si="18"/>
        <v>0.74</v>
      </c>
      <c r="S181" s="356">
        <f t="shared" si="19"/>
        <v>-0.92626953125</v>
      </c>
      <c r="T181" s="356">
        <f t="shared" si="20"/>
        <v>-0.90013552469059865</v>
      </c>
      <c r="U181" s="115">
        <f t="shared" si="22"/>
        <v>1661000.0000000002</v>
      </c>
      <c r="V181" s="362">
        <v>49990000</v>
      </c>
      <c r="W181" s="394">
        <f t="shared" si="21"/>
        <v>-46970000</v>
      </c>
      <c r="X181" s="45" t="str">
        <f t="shared" si="23"/>
        <v>TYPE_8</v>
      </c>
    </row>
    <row r="182" spans="1:24" ht="18.75" customHeight="1">
      <c r="A182" s="56">
        <v>178</v>
      </c>
      <c r="B182" s="55" t="s">
        <v>48</v>
      </c>
      <c r="C182" s="56">
        <v>800</v>
      </c>
      <c r="D182" s="55" t="s">
        <v>66</v>
      </c>
      <c r="E182" s="55">
        <f>VLOOKUP(C182,'115_分行業績'!A:J,8,0)</f>
        <v>68532195</v>
      </c>
      <c r="F182" s="55">
        <f>VLOOKUP(C182,'115_分行業績'!A:J,9,0)</f>
        <v>61600000</v>
      </c>
      <c r="G182" s="427">
        <f>VLOOKUP(C182, '115_分行業績'!A:G,7,0)</f>
        <v>1.1125356346066675</v>
      </c>
      <c r="H182" s="55" t="str">
        <f>VLOOKUP(X182,原始參數_115!A:D,2,0)</f>
        <v>110%以上，未達120%</v>
      </c>
      <c r="I182" s="55" t="str">
        <f>VLOOKUP(X182,原始參數_115!A:D,4,0)</f>
        <v>預估實績*103%</v>
      </c>
      <c r="J182" s="55">
        <f>VLOOKUP(C182,'115_分行業績'!A:N,14,0)</f>
        <v>70590000</v>
      </c>
      <c r="K182" s="55"/>
      <c r="L182" s="396">
        <f t="shared" si="16"/>
        <v>1652630</v>
      </c>
      <c r="M182" s="55">
        <f t="shared" si="17"/>
        <v>1652630</v>
      </c>
      <c r="N182" s="55">
        <f>VLOOKUP(C182,'116目標底稿ver1'!D:AC, 19,0)</f>
        <v>557370</v>
      </c>
      <c r="O182" s="362">
        <f>VLOOKUP(C182,'116目標底稿ver1'!D:AC, 22, 0)</f>
        <v>2210000</v>
      </c>
      <c r="P182" s="115">
        <v>55450000</v>
      </c>
      <c r="Q182" s="115">
        <v>51330584</v>
      </c>
      <c r="R182" s="375">
        <f t="shared" si="18"/>
        <v>0.93</v>
      </c>
      <c r="S182" s="356">
        <f t="shared" si="19"/>
        <v>-0.96014427412082959</v>
      </c>
      <c r="T182" s="356">
        <f t="shared" si="20"/>
        <v>-0.95694574602930682</v>
      </c>
      <c r="U182" s="115">
        <f t="shared" si="22"/>
        <v>1215500</v>
      </c>
      <c r="V182" s="362">
        <v>61410000</v>
      </c>
      <c r="W182" s="394">
        <f t="shared" si="21"/>
        <v>-59200000</v>
      </c>
      <c r="X182" s="45" t="str">
        <f t="shared" si="23"/>
        <v>TYPE_5</v>
      </c>
    </row>
    <row r="183" spans="1:24" ht="18.75" customHeight="1">
      <c r="A183" s="56">
        <v>179</v>
      </c>
      <c r="B183" s="55" t="s">
        <v>48</v>
      </c>
      <c r="C183" s="56">
        <v>801</v>
      </c>
      <c r="D183" s="55" t="s">
        <v>67</v>
      </c>
      <c r="E183" s="55">
        <f>VLOOKUP(C183,'115_分行業績'!A:J,8,0)</f>
        <v>104230093</v>
      </c>
      <c r="F183" s="55">
        <f>VLOOKUP(C183,'115_分行業績'!A:J,9,0)</f>
        <v>90250000</v>
      </c>
      <c r="G183" s="427">
        <f>VLOOKUP(C183, '115_分行業績'!A:G,7,0)</f>
        <v>1.1549040771307257</v>
      </c>
      <c r="H183" s="55" t="str">
        <f>VLOOKUP(X183,原始參數_115!A:D,2,0)</f>
        <v>110%以上，未達120%</v>
      </c>
      <c r="I183" s="55" t="str">
        <f>VLOOKUP(X183,原始參數_115!A:D,4,0)</f>
        <v>預估實績*103%</v>
      </c>
      <c r="J183" s="55">
        <f>VLOOKUP(C183,'115_分行業績'!A:N,14,0)</f>
        <v>107360000</v>
      </c>
      <c r="K183" s="55"/>
      <c r="L183" s="396">
        <f t="shared" si="16"/>
        <v>2382912</v>
      </c>
      <c r="M183" s="55">
        <f t="shared" si="17"/>
        <v>2382912</v>
      </c>
      <c r="N183" s="55">
        <f>VLOOKUP(C183,'116目標底稿ver1'!D:AC, 19,0)</f>
        <v>617088</v>
      </c>
      <c r="O183" s="362">
        <f>VLOOKUP(C183,'116目標底稿ver1'!D:AC, 22, 0)</f>
        <v>3000000</v>
      </c>
      <c r="P183" s="115">
        <v>73230000</v>
      </c>
      <c r="Q183" s="115">
        <v>83276808</v>
      </c>
      <c r="R183" s="375">
        <f t="shared" si="18"/>
        <v>1.1399999999999999</v>
      </c>
      <c r="S183" s="356">
        <f t="shared" si="19"/>
        <v>-0.95903318312167141</v>
      </c>
      <c r="T183" s="356">
        <f t="shared" si="20"/>
        <v>-0.96397556448128996</v>
      </c>
      <c r="U183" s="115">
        <f t="shared" si="22"/>
        <v>1650000.0000000002</v>
      </c>
      <c r="V183" s="362">
        <v>90050000</v>
      </c>
      <c r="W183" s="394">
        <f t="shared" si="21"/>
        <v>-87050000</v>
      </c>
      <c r="X183" s="45" t="str">
        <f t="shared" si="23"/>
        <v>TYPE_5</v>
      </c>
    </row>
    <row r="184" spans="1:24" ht="18.75" customHeight="1">
      <c r="A184" s="56">
        <v>180</v>
      </c>
      <c r="B184" s="55" t="s">
        <v>48</v>
      </c>
      <c r="C184" s="56">
        <v>802</v>
      </c>
      <c r="D184" s="55" t="s">
        <v>68</v>
      </c>
      <c r="E184" s="55">
        <f>VLOOKUP(C184,'115_分行業績'!A:J,8,0)</f>
        <v>75058617</v>
      </c>
      <c r="F184" s="55">
        <f>VLOOKUP(C184,'115_分行業績'!A:J,9,0)</f>
        <v>96520000</v>
      </c>
      <c r="G184" s="427">
        <f>VLOOKUP(C184, '115_分行業績'!A:G,7,0)</f>
        <v>0.77764833112060472</v>
      </c>
      <c r="H184" s="55" t="str">
        <f>VLOOKUP(X184,原始參數_115!A:D,2,0)</f>
        <v>75%以上，未達90%</v>
      </c>
      <c r="I184" s="55" t="str">
        <f>VLOOKUP(X184,原始參數_115!A:D,4,0)</f>
        <v>分行目標*110%</v>
      </c>
      <c r="J184" s="55">
        <f>VLOOKUP(C184,'115_分行業績'!A:N,14,0)</f>
        <v>106170000</v>
      </c>
      <c r="K184" s="55"/>
      <c r="L184" s="396">
        <f t="shared" si="16"/>
        <v>2702630</v>
      </c>
      <c r="M184" s="55">
        <f t="shared" si="17"/>
        <v>2702630</v>
      </c>
      <c r="N184" s="55">
        <f>VLOOKUP(C184,'116目標底稿ver1'!D:AC, 19,0)</f>
        <v>557370</v>
      </c>
      <c r="O184" s="362">
        <f>VLOOKUP(C184,'116目標底稿ver1'!D:AC, 22, 0)</f>
        <v>3260000</v>
      </c>
      <c r="P184" s="115">
        <v>50050000</v>
      </c>
      <c r="Q184" s="115">
        <v>48419690</v>
      </c>
      <c r="R184" s="375">
        <f t="shared" si="18"/>
        <v>0.97</v>
      </c>
      <c r="S184" s="356">
        <f t="shared" si="19"/>
        <v>-0.93486513486513489</v>
      </c>
      <c r="T184" s="356">
        <f t="shared" si="20"/>
        <v>-0.93267201834625546</v>
      </c>
      <c r="U184" s="115">
        <f t="shared" si="22"/>
        <v>1793000.0000000002</v>
      </c>
      <c r="V184" s="362">
        <v>55480000</v>
      </c>
      <c r="W184" s="394">
        <f t="shared" si="21"/>
        <v>-52220000</v>
      </c>
      <c r="X184" s="45" t="str">
        <f t="shared" si="23"/>
        <v>TYPE_8</v>
      </c>
    </row>
    <row r="185" spans="1:24" ht="18.75" customHeight="1">
      <c r="A185" s="56">
        <v>181</v>
      </c>
      <c r="B185" s="55" t="s">
        <v>7</v>
      </c>
      <c r="C185" s="56">
        <v>820</v>
      </c>
      <c r="D185" s="55" t="s">
        <v>70</v>
      </c>
      <c r="E185" s="55">
        <f>VLOOKUP(C185,'115_分行業績'!A:J,8,0)</f>
        <v>69628302</v>
      </c>
      <c r="F185" s="55">
        <f>VLOOKUP(C185,'115_分行業績'!A:J,9,0)</f>
        <v>57880000</v>
      </c>
      <c r="G185" s="427">
        <f>VLOOKUP(C185, '115_分行業績'!A:G,7,0)</f>
        <v>1.2029768871399131</v>
      </c>
      <c r="H185" s="55" t="str">
        <f>VLOOKUP(X185,原始參數_115!A:D,2,0)</f>
        <v>120%以上，未達130%</v>
      </c>
      <c r="I185" s="55" t="str">
        <f>VLOOKUP(X185,原始參數_115!A:D,4,0)</f>
        <v>預估實績*101%</v>
      </c>
      <c r="J185" s="55">
        <f>VLOOKUP(C185,'115_分行業績'!A:N,14,0)</f>
        <v>70320000</v>
      </c>
      <c r="K185" s="55"/>
      <c r="L185" s="396">
        <f t="shared" si="16"/>
        <v>1342536</v>
      </c>
      <c r="M185" s="55">
        <f t="shared" si="17"/>
        <v>1342536</v>
      </c>
      <c r="N185" s="55">
        <f>VLOOKUP(C185,'116目標底稿ver1'!D:AC, 19,0)</f>
        <v>537464</v>
      </c>
      <c r="O185" s="362">
        <f>VLOOKUP(C185,'116目標底稿ver1'!D:AC, 22, 0)</f>
        <v>1880000</v>
      </c>
      <c r="P185" s="115">
        <v>46950000</v>
      </c>
      <c r="Q185" s="115">
        <v>54716806</v>
      </c>
      <c r="R185" s="375">
        <f t="shared" si="18"/>
        <v>1.17</v>
      </c>
      <c r="S185" s="356">
        <f t="shared" si="19"/>
        <v>-0.95995740149094777</v>
      </c>
      <c r="T185" s="356">
        <f t="shared" si="20"/>
        <v>-0.96564126933871108</v>
      </c>
      <c r="U185" s="115">
        <f t="shared" si="22"/>
        <v>1034000.0000000001</v>
      </c>
      <c r="V185" s="362">
        <v>57730000</v>
      </c>
      <c r="W185" s="394">
        <f t="shared" si="21"/>
        <v>-55850000</v>
      </c>
      <c r="X185" s="45" t="str">
        <f t="shared" si="23"/>
        <v>TYPE_4</v>
      </c>
    </row>
    <row r="186" spans="1:24" ht="18.75" customHeight="1">
      <c r="A186" s="56">
        <v>182</v>
      </c>
      <c r="B186" s="55" t="s">
        <v>48</v>
      </c>
      <c r="C186" s="56">
        <v>830</v>
      </c>
      <c r="D186" s="55" t="s">
        <v>71</v>
      </c>
      <c r="E186" s="55">
        <f>VLOOKUP(C186,'115_分行業績'!A:J,8,0)</f>
        <v>22284373</v>
      </c>
      <c r="F186" s="55">
        <f>VLOOKUP(C186,'115_分行業績'!A:J,9,0)</f>
        <v>38100000</v>
      </c>
      <c r="G186" s="427">
        <f>VLOOKUP(C186, '115_分行業績'!A:G,7,0)</f>
        <v>0.58489167626977512</v>
      </c>
      <c r="H186" s="55" t="str">
        <f>VLOOKUP(X186,原始參數_115!A:D,2,0)</f>
        <v>未達75%</v>
      </c>
      <c r="I186" s="55" t="str">
        <f>VLOOKUP(X186,原始參數_115!A:D,4,0)</f>
        <v>分行目標*115%</v>
      </c>
      <c r="J186" s="55">
        <f>VLOOKUP(C186,'115_分行業績'!A:N,14,0)</f>
        <v>43820000</v>
      </c>
      <c r="K186" s="55"/>
      <c r="L186" s="396">
        <f t="shared" si="16"/>
        <v>1202536</v>
      </c>
      <c r="M186" s="55">
        <f t="shared" si="17"/>
        <v>1202536</v>
      </c>
      <c r="N186" s="55">
        <f>VLOOKUP(C186,'116目標底稿ver1'!D:AC, 19,0)</f>
        <v>537464</v>
      </c>
      <c r="O186" s="362">
        <f>VLOOKUP(C186,'116目標底稿ver1'!D:AC, 22, 0)</f>
        <v>1740000</v>
      </c>
      <c r="P186" s="115">
        <v>30920000</v>
      </c>
      <c r="Q186" s="115">
        <v>21689714</v>
      </c>
      <c r="R186" s="375">
        <f t="shared" si="18"/>
        <v>0.7</v>
      </c>
      <c r="S186" s="356">
        <f t="shared" si="19"/>
        <v>-0.94372574385510999</v>
      </c>
      <c r="T186" s="356">
        <f t="shared" si="20"/>
        <v>-0.91977764206572754</v>
      </c>
      <c r="U186" s="115">
        <f t="shared" si="22"/>
        <v>957000.00000000012</v>
      </c>
      <c r="V186" s="362">
        <v>37970000</v>
      </c>
      <c r="W186" s="394">
        <f t="shared" si="21"/>
        <v>-36230000</v>
      </c>
      <c r="X186" s="45" t="str">
        <f t="shared" si="23"/>
        <v>TYPE_9</v>
      </c>
    </row>
    <row r="187" spans="1:24" ht="18.75" customHeight="1">
      <c r="A187" s="56">
        <v>183</v>
      </c>
      <c r="B187" s="55" t="s">
        <v>400</v>
      </c>
      <c r="C187" s="56">
        <v>888</v>
      </c>
      <c r="D187" s="55" t="s">
        <v>209</v>
      </c>
      <c r="E187" s="55">
        <f>VLOOKUP(C187,'115_分行業績'!A:J,8,0)</f>
        <v>23269991</v>
      </c>
      <c r="F187" s="55">
        <f>VLOOKUP(C187,'115_分行業績'!A:J,9,0)</f>
        <v>17160000</v>
      </c>
      <c r="G187" s="427">
        <f>VLOOKUP(C187, '115_分行業績'!A:G,7,0)</f>
        <v>1.3560600554118951</v>
      </c>
      <c r="H187" s="55" t="str">
        <f>VLOOKUP(X187,原始參數_115!A:D,2,0)</f>
        <v>130%以上，未達150%</v>
      </c>
      <c r="I187" s="55" t="str">
        <f>VLOOKUP(X187,原始參數_115!A:D,4,0)</f>
        <v>預估實績*90%</v>
      </c>
      <c r="J187" s="55">
        <f>VLOOKUP(C187,'115_分行業績'!A:N,14,0)</f>
        <v>20940000</v>
      </c>
      <c r="K187" s="55"/>
      <c r="L187" s="396">
        <f t="shared" si="16"/>
        <v>622067</v>
      </c>
      <c r="M187" s="55">
        <f t="shared" si="17"/>
        <v>622067</v>
      </c>
      <c r="N187" s="55">
        <f>VLOOKUP(C187,'116目標底稿ver1'!D:AC, 19,0)</f>
        <v>437933</v>
      </c>
      <c r="O187" s="362">
        <f>VLOOKUP(C187,'116目標底稿ver1'!D:AC, 22, 0)</f>
        <v>1060000</v>
      </c>
      <c r="P187" s="115">
        <v>14290000</v>
      </c>
      <c r="Q187" s="115">
        <v>11645179</v>
      </c>
      <c r="R187" s="375">
        <f t="shared" si="18"/>
        <v>0.81</v>
      </c>
      <c r="S187" s="356">
        <f t="shared" si="19"/>
        <v>-0.92582225332400281</v>
      </c>
      <c r="T187" s="356">
        <f t="shared" si="20"/>
        <v>-0.90897520768036277</v>
      </c>
      <c r="U187" s="115">
        <f t="shared" si="22"/>
        <v>583000</v>
      </c>
      <c r="V187" s="362">
        <v>17130000</v>
      </c>
      <c r="W187" s="394">
        <f t="shared" si="21"/>
        <v>-16070000</v>
      </c>
      <c r="X187" s="45" t="str">
        <f t="shared" si="23"/>
        <v>TYPE_3</v>
      </c>
    </row>
    <row r="188" spans="1:24" s="41" customFormat="1" ht="18.75" customHeight="1">
      <c r="A188" s="516" t="s">
        <v>419</v>
      </c>
      <c r="B188" s="517"/>
      <c r="C188" s="517"/>
      <c r="D188" s="518"/>
      <c r="E188" s="55">
        <f>SUM(E5:E187)</f>
        <v>12485599369</v>
      </c>
      <c r="F188" s="55">
        <f>SUM(F5:F187)</f>
        <v>11785380000</v>
      </c>
      <c r="G188" s="428">
        <f>'115_分行業績'!G1</f>
        <v>1.0593381482443773</v>
      </c>
      <c r="H188" s="292" t="s">
        <v>643</v>
      </c>
      <c r="I188" s="55" t="s">
        <v>643</v>
      </c>
      <c r="J188" s="374">
        <f>SUM(J5:J187)</f>
        <v>13610270000</v>
      </c>
      <c r="K188" s="374"/>
      <c r="L188" s="374" t="e">
        <f>SUM(#REF!)</f>
        <v>#REF!</v>
      </c>
      <c r="M188" s="374" t="e">
        <f>SUM(#REF!)</f>
        <v>#REF!</v>
      </c>
      <c r="N188" s="374" t="e">
        <f>SUM(#REF!)</f>
        <v>#REF!</v>
      </c>
      <c r="O188" s="362" t="e">
        <f>SUM(#REF!)</f>
        <v>#REF!</v>
      </c>
      <c r="P188" s="115" t="e">
        <f>SUM(#REF!)</f>
        <v>#REF!</v>
      </c>
      <c r="Q188" s="115" t="e">
        <f>SUM(#REF!)</f>
        <v>#REF!</v>
      </c>
      <c r="R188" s="375" t="e">
        <f t="shared" si="18"/>
        <v>#REF!</v>
      </c>
      <c r="S188" s="356" t="e">
        <f t="shared" si="19"/>
        <v>#REF!</v>
      </c>
      <c r="T188" s="356" t="e">
        <f t="shared" si="20"/>
        <v>#REF!</v>
      </c>
      <c r="U188" s="115" t="e">
        <f>SUM(#REF!)</f>
        <v>#REF!</v>
      </c>
      <c r="V188" s="362">
        <v>11800000000</v>
      </c>
      <c r="W188" s="394"/>
    </row>
    <row r="189" spans="1:24" ht="16.5" customHeight="1">
      <c r="B189" s="186"/>
      <c r="C189" s="186"/>
      <c r="D189" s="186"/>
      <c r="E189" s="186"/>
      <c r="F189" s="186"/>
      <c r="G189" s="186"/>
      <c r="H189" s="186"/>
      <c r="I189" s="186"/>
      <c r="J189" s="186"/>
      <c r="K189" s="186"/>
      <c r="L189" s="186"/>
      <c r="M189" s="186"/>
      <c r="N189" s="186"/>
    </row>
  </sheetData>
  <mergeCells count="6">
    <mergeCell ref="A188:D188"/>
    <mergeCell ref="A1:U1"/>
    <mergeCell ref="A3:A4"/>
    <mergeCell ref="B3:B4"/>
    <mergeCell ref="C3:C4"/>
    <mergeCell ref="D3:D4"/>
  </mergeCells>
  <phoneticPr fontId="13" type="noConversion"/>
  <conditionalFormatting sqref="S5:T188">
    <cfRule type="cellIs" dxfId="25" priority="4" operator="lessThan">
      <formula>0</formula>
    </cfRule>
  </conditionalFormatting>
  <printOptions horizontalCentered="1"/>
  <pageMargins left="0.55118110236220474" right="0.55118110236220474" top="0.78740157480314965" bottom="0.78740157480314965" header="0.51181102362204722" footer="0.39370078740157483"/>
  <pageSetup paperSize="8" scale="45" fitToHeight="6" orientation="landscape" r:id="rId1"/>
  <headerFooter alignWithMargins="0">
    <oddHeader>&amp;R&amp;"標楷體,標準"附件一</oddHeader>
    <oddFooter>&amp;C&amp;"標楷體,標準"第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95"/>
  <sheetViews>
    <sheetView view="pageBreakPreview" zoomScale="115" zoomScaleNormal="100" zoomScaleSheetLayoutView="115" workbookViewId="0">
      <selection activeCell="D171" sqref="D171"/>
    </sheetView>
  </sheetViews>
  <sheetFormatPr defaultRowHeight="16.5"/>
  <cols>
    <col min="1" max="1" width="21.875" style="45" customWidth="1"/>
    <col min="2" max="3" width="21.875" customWidth="1"/>
    <col min="4" max="4" width="25.25" style="18" bestFit="1" customWidth="1"/>
    <col min="5" max="5" width="23.625" style="18" customWidth="1"/>
    <col min="6" max="6" width="9" customWidth="1"/>
    <col min="8" max="8" width="10.125" bestFit="1" customWidth="1"/>
    <col min="9" max="9" width="17.125" bestFit="1" customWidth="1"/>
  </cols>
  <sheetData>
    <row r="1" spans="1:9" ht="25.5" customHeight="1">
      <c r="A1" s="519" t="s">
        <v>1859</v>
      </c>
      <c r="B1" s="519"/>
      <c r="C1" s="519"/>
      <c r="D1" s="519"/>
      <c r="E1" s="352"/>
    </row>
    <row r="2" spans="1:9" ht="17.100000000000001" customHeight="1">
      <c r="B2" s="45"/>
      <c r="C2" s="45"/>
      <c r="D2" s="118" t="s">
        <v>409</v>
      </c>
      <c r="F2" s="141"/>
    </row>
    <row r="3" spans="1:9" ht="46.5" customHeight="1">
      <c r="A3" s="51" t="s">
        <v>414</v>
      </c>
      <c r="B3" s="52" t="s">
        <v>421</v>
      </c>
      <c r="C3" s="53" t="s">
        <v>129</v>
      </c>
      <c r="D3" s="54" t="s">
        <v>413</v>
      </c>
      <c r="E3" s="53" t="s">
        <v>415</v>
      </c>
      <c r="H3" s="239" t="s">
        <v>1263</v>
      </c>
      <c r="I3" t="s">
        <v>1280</v>
      </c>
    </row>
    <row r="4" spans="1:9" ht="18.75" customHeight="1">
      <c r="A4" s="55" t="s">
        <v>0</v>
      </c>
      <c r="B4" s="56">
        <v>100</v>
      </c>
      <c r="C4" s="55" t="s">
        <v>131</v>
      </c>
      <c r="D4" s="115">
        <f>VLOOKUP(B4,'116目標底稿ver1'!D:AC, 22,0)</f>
        <v>4150000</v>
      </c>
      <c r="E4" s="116">
        <f>VLOOKUP(B4,全年KPI!B:J, 9,0)</f>
        <v>99769000</v>
      </c>
      <c r="F4" s="2"/>
      <c r="G4" s="2"/>
      <c r="H4" s="240" t="s">
        <v>0</v>
      </c>
      <c r="I4">
        <v>46</v>
      </c>
    </row>
    <row r="5" spans="1:9" ht="18.75" customHeight="1">
      <c r="A5" s="55" t="s">
        <v>0</v>
      </c>
      <c r="B5" s="56">
        <v>101</v>
      </c>
      <c r="C5" s="55" t="s">
        <v>132</v>
      </c>
      <c r="D5" s="115">
        <f>VLOOKUP(B5,'116目標底稿ver1'!D:AC, 22,0)</f>
        <v>1690000</v>
      </c>
      <c r="E5" s="116">
        <f>VLOOKUP(B5,全年KPI!B:J, 9,0)</f>
        <v>34522000</v>
      </c>
      <c r="F5" s="2"/>
      <c r="G5" s="2"/>
      <c r="H5" s="240" t="s">
        <v>7</v>
      </c>
      <c r="I5">
        <v>36</v>
      </c>
    </row>
    <row r="6" spans="1:9" ht="18.75" customHeight="1">
      <c r="A6" s="55" t="s">
        <v>0</v>
      </c>
      <c r="B6" s="56">
        <v>103</v>
      </c>
      <c r="C6" s="55" t="s">
        <v>133</v>
      </c>
      <c r="D6" s="115">
        <f>VLOOKUP(B6,'116目標底稿ver1'!D:AC, 22,0)</f>
        <v>1700000</v>
      </c>
      <c r="E6" s="116">
        <f>VLOOKUP(B6,全年KPI!B:J, 9,0)</f>
        <v>42487000</v>
      </c>
      <c r="F6" s="2"/>
      <c r="G6" s="2"/>
      <c r="H6" s="240" t="s">
        <v>11</v>
      </c>
      <c r="I6">
        <v>33</v>
      </c>
    </row>
    <row r="7" spans="1:9" ht="18.75" customHeight="1">
      <c r="A7" s="55" t="s">
        <v>0</v>
      </c>
      <c r="B7" s="56">
        <v>104</v>
      </c>
      <c r="C7" s="55" t="s">
        <v>134</v>
      </c>
      <c r="D7" s="115">
        <f>VLOOKUP(B7,'116目標底稿ver1'!D:AC, 22,0)</f>
        <v>2820000</v>
      </c>
      <c r="E7" s="116">
        <f>VLOOKUP(B7,全年KPI!B:J, 9,0)</f>
        <v>72627000</v>
      </c>
      <c r="F7" s="2"/>
      <c r="G7" s="2"/>
      <c r="H7" s="240" t="s">
        <v>33</v>
      </c>
      <c r="I7">
        <v>31</v>
      </c>
    </row>
    <row r="8" spans="1:9" ht="18.75" customHeight="1">
      <c r="A8" s="55" t="s">
        <v>0</v>
      </c>
      <c r="B8" s="56">
        <v>105</v>
      </c>
      <c r="C8" s="55" t="s">
        <v>135</v>
      </c>
      <c r="D8" s="115">
        <f>VLOOKUP(B8,'116目標底稿ver1'!D:AC, 22,0)</f>
        <v>2350000</v>
      </c>
      <c r="E8" s="116">
        <f>VLOOKUP(B8,全年KPI!B:J, 9,0)</f>
        <v>54900000</v>
      </c>
      <c r="F8" s="2"/>
      <c r="G8" s="2"/>
      <c r="H8" s="240" t="s">
        <v>48</v>
      </c>
      <c r="I8">
        <v>39</v>
      </c>
    </row>
    <row r="9" spans="1:9" ht="18.75" customHeight="1">
      <c r="A9" s="55" t="s">
        <v>0</v>
      </c>
      <c r="B9" s="56">
        <v>106</v>
      </c>
      <c r="C9" s="55" t="s">
        <v>136</v>
      </c>
      <c r="D9" s="115">
        <f>VLOOKUP(B9,'116目標底稿ver1'!D:AC, 22,0)</f>
        <v>3540000</v>
      </c>
      <c r="E9" s="116">
        <f>VLOOKUP(B9,全年KPI!B:J, 9,0)</f>
        <v>95388000</v>
      </c>
      <c r="F9" s="2"/>
      <c r="G9" s="2"/>
      <c r="H9" s="240" t="s">
        <v>208</v>
      </c>
      <c r="I9">
        <v>185</v>
      </c>
    </row>
    <row r="10" spans="1:9" ht="18.75" customHeight="1">
      <c r="A10" s="55" t="s">
        <v>0</v>
      </c>
      <c r="B10" s="56">
        <v>107</v>
      </c>
      <c r="C10" s="55" t="s">
        <v>73</v>
      </c>
      <c r="D10" s="115">
        <f>VLOOKUP(B10,'116目標底稿ver1'!D:AC, 22,0)</f>
        <v>4600000</v>
      </c>
      <c r="E10" s="116">
        <f>VLOOKUP(B10,全年KPI!B:J, 9,0)</f>
        <v>113470000</v>
      </c>
      <c r="F10" s="2"/>
      <c r="G10" s="2"/>
    </row>
    <row r="11" spans="1:9" ht="18.75" customHeight="1">
      <c r="A11" s="55" t="s">
        <v>0</v>
      </c>
      <c r="B11" s="56">
        <v>108</v>
      </c>
      <c r="C11" s="55" t="s">
        <v>1</v>
      </c>
      <c r="D11" s="115">
        <f>VLOOKUP(B11,'116目標底稿ver1'!D:AC, 22,0)</f>
        <v>4370000</v>
      </c>
      <c r="E11" s="116">
        <f>VLOOKUP(B11,全年KPI!B:J, 9,0)</f>
        <v>122982000</v>
      </c>
      <c r="F11" s="2"/>
      <c r="G11" s="2"/>
    </row>
    <row r="12" spans="1:9" ht="18.75" customHeight="1">
      <c r="A12" s="55" t="s">
        <v>0</v>
      </c>
      <c r="B12" s="56">
        <v>109</v>
      </c>
      <c r="C12" s="55" t="s">
        <v>2</v>
      </c>
      <c r="D12" s="115">
        <f>VLOOKUP(B12,'116目標底稿ver1'!D:AC, 22,0)</f>
        <v>1710000</v>
      </c>
      <c r="E12" s="116">
        <f>VLOOKUP(B12,全年KPI!B:J, 9,0)</f>
        <v>36491000</v>
      </c>
      <c r="F12" s="2"/>
      <c r="G12" s="2"/>
    </row>
    <row r="13" spans="1:9" ht="18.75" customHeight="1">
      <c r="A13" s="55" t="s">
        <v>0</v>
      </c>
      <c r="B13" s="56">
        <v>110</v>
      </c>
      <c r="C13" s="55" t="s">
        <v>74</v>
      </c>
      <c r="D13" s="115">
        <f>VLOOKUP(B13,'116目標底稿ver1'!D:AC, 22,0)</f>
        <v>2120000</v>
      </c>
      <c r="E13" s="116">
        <f>VLOOKUP(B13,全年KPI!B:J, 9,0)</f>
        <v>57148000</v>
      </c>
      <c r="F13" s="2"/>
      <c r="G13" s="2"/>
    </row>
    <row r="14" spans="1:9" ht="18.75" customHeight="1">
      <c r="A14" s="55" t="s">
        <v>0</v>
      </c>
      <c r="B14" s="56">
        <v>111</v>
      </c>
      <c r="C14" s="55" t="s">
        <v>75</v>
      </c>
      <c r="D14" s="115">
        <f>VLOOKUP(B14,'116目標底稿ver1'!D:AC, 22,0)</f>
        <v>3580000</v>
      </c>
      <c r="E14" s="116">
        <f>VLOOKUP(B14,全年KPI!B:J, 9,0)</f>
        <v>97848000</v>
      </c>
      <c r="F14" s="2"/>
      <c r="G14" s="2"/>
    </row>
    <row r="15" spans="1:9" ht="18.75" customHeight="1">
      <c r="A15" s="55" t="s">
        <v>0</v>
      </c>
      <c r="B15" s="56">
        <v>112</v>
      </c>
      <c r="C15" s="55" t="s">
        <v>137</v>
      </c>
      <c r="D15" s="115">
        <f>VLOOKUP(B15,'116目標底稿ver1'!D:AC, 22,0)</f>
        <v>3440000</v>
      </c>
      <c r="E15" s="116">
        <f>VLOOKUP(B15,全年KPI!B:J, 9,0)</f>
        <v>65306000</v>
      </c>
      <c r="F15" s="2"/>
      <c r="G15" s="2"/>
    </row>
    <row r="16" spans="1:9" ht="18.75" customHeight="1">
      <c r="A16" s="55" t="s">
        <v>0</v>
      </c>
      <c r="B16" s="56">
        <v>113</v>
      </c>
      <c r="C16" s="55" t="s">
        <v>3</v>
      </c>
      <c r="D16" s="115">
        <f>VLOOKUP(B16,'116目標底稿ver1'!D:AC, 22,0)</f>
        <v>3130000</v>
      </c>
      <c r="E16" s="116">
        <f>VLOOKUP(B16,全年KPI!B:J, 9,0)</f>
        <v>87721000</v>
      </c>
      <c r="F16" s="2"/>
      <c r="G16" s="2"/>
    </row>
    <row r="17" spans="1:7" ht="18.75" customHeight="1">
      <c r="A17" s="55" t="s">
        <v>0</v>
      </c>
      <c r="B17" s="56">
        <v>114</v>
      </c>
      <c r="C17" s="55" t="s">
        <v>138</v>
      </c>
      <c r="D17" s="115">
        <f>VLOOKUP(B17,'116目標底稿ver1'!D:AC, 22,0)</f>
        <v>2980000</v>
      </c>
      <c r="E17" s="116">
        <f>VLOOKUP(B17,全年KPI!B:J, 9,0)</f>
        <v>80112000</v>
      </c>
      <c r="F17" s="2"/>
      <c r="G17" s="2"/>
    </row>
    <row r="18" spans="1:7" ht="18.75" customHeight="1">
      <c r="A18" s="55" t="s">
        <v>0</v>
      </c>
      <c r="B18" s="56">
        <v>115</v>
      </c>
      <c r="C18" s="55" t="s">
        <v>139</v>
      </c>
      <c r="D18" s="115">
        <f>VLOOKUP(B18,'116目標底稿ver1'!D:AC, 22,0)</f>
        <v>2100000</v>
      </c>
      <c r="E18" s="116">
        <f>VLOOKUP(B18,全年KPI!B:J, 9,0)</f>
        <v>69139000</v>
      </c>
      <c r="F18" s="2"/>
      <c r="G18" s="2"/>
    </row>
    <row r="19" spans="1:7" ht="18.75" customHeight="1">
      <c r="A19" s="55" t="s">
        <v>0</v>
      </c>
      <c r="B19" s="56">
        <v>116</v>
      </c>
      <c r="C19" s="55" t="s">
        <v>140</v>
      </c>
      <c r="D19" s="115">
        <f>VLOOKUP(B19,'116目標底稿ver1'!D:AC, 22,0)</f>
        <v>2080000</v>
      </c>
      <c r="E19" s="116">
        <f>VLOOKUP(B19,全年KPI!B:J, 9,0)</f>
        <v>48107000</v>
      </c>
      <c r="F19" s="2"/>
      <c r="G19" s="2"/>
    </row>
    <row r="20" spans="1:7" ht="18.75" customHeight="1">
      <c r="A20" s="55" t="s">
        <v>0</v>
      </c>
      <c r="B20" s="56">
        <v>117</v>
      </c>
      <c r="C20" s="55" t="s">
        <v>399</v>
      </c>
      <c r="D20" s="115">
        <f>VLOOKUP(B20,'116目標底稿ver1'!D:AC, 22,0)</f>
        <v>2900000</v>
      </c>
      <c r="E20" s="116">
        <f>VLOOKUP(B20,全年KPI!B:J, 9,0)</f>
        <v>73078000</v>
      </c>
      <c r="F20" s="2"/>
      <c r="G20" s="2"/>
    </row>
    <row r="21" spans="1:7" ht="18.75" customHeight="1">
      <c r="A21" s="55" t="s">
        <v>0</v>
      </c>
      <c r="B21" s="56">
        <v>118</v>
      </c>
      <c r="C21" s="55" t="s">
        <v>141</v>
      </c>
      <c r="D21" s="115">
        <f>VLOOKUP(B21,'116目標底稿ver1'!D:AC, 22,0)</f>
        <v>2570000</v>
      </c>
      <c r="E21" s="116">
        <f>VLOOKUP(B21,全年KPI!B:J, 9,0)</f>
        <v>70773000</v>
      </c>
      <c r="F21" s="2"/>
      <c r="G21" s="2"/>
    </row>
    <row r="22" spans="1:7" ht="18.75" customHeight="1">
      <c r="A22" s="55" t="s">
        <v>0</v>
      </c>
      <c r="B22" s="56">
        <v>119</v>
      </c>
      <c r="C22" s="55" t="s">
        <v>76</v>
      </c>
      <c r="D22" s="115">
        <f>VLOOKUP(B22,'116目標底稿ver1'!D:AC, 22,0)</f>
        <v>1770000</v>
      </c>
      <c r="E22" s="116">
        <f>VLOOKUP(B22,全年KPI!B:J, 9,0)</f>
        <v>48405000</v>
      </c>
      <c r="F22" s="2"/>
      <c r="G22" s="2"/>
    </row>
    <row r="23" spans="1:7" ht="18.75" customHeight="1">
      <c r="A23" s="55" t="s">
        <v>0</v>
      </c>
      <c r="B23" s="56">
        <v>120</v>
      </c>
      <c r="C23" s="55" t="s">
        <v>142</v>
      </c>
      <c r="D23" s="115">
        <f>VLOOKUP(B23,'116目標底稿ver1'!D:AC, 22,0)</f>
        <v>3450000</v>
      </c>
      <c r="E23" s="116">
        <f>VLOOKUP(B23,全年KPI!B:J, 9,0)</f>
        <v>86366000</v>
      </c>
      <c r="F23" s="2"/>
      <c r="G23" s="2"/>
    </row>
    <row r="24" spans="1:7" ht="18.75" customHeight="1">
      <c r="A24" s="55" t="s">
        <v>0</v>
      </c>
      <c r="B24" s="56">
        <v>121</v>
      </c>
      <c r="C24" s="55" t="s">
        <v>4</v>
      </c>
      <c r="D24" s="115">
        <f>VLOOKUP(B24,'116目標底稿ver1'!D:AC, 22,0)</f>
        <v>2640000</v>
      </c>
      <c r="E24" s="116">
        <f>VLOOKUP(B24,全年KPI!B:J, 9,0)</f>
        <v>69850000</v>
      </c>
      <c r="F24" s="2"/>
      <c r="G24" s="2"/>
    </row>
    <row r="25" spans="1:7" ht="18.75" customHeight="1">
      <c r="A25" s="55" t="s">
        <v>0</v>
      </c>
      <c r="B25" s="56">
        <v>122</v>
      </c>
      <c r="C25" s="55" t="s">
        <v>77</v>
      </c>
      <c r="D25" s="115">
        <f>VLOOKUP(B25,'116目標底稿ver1'!D:AC, 22,0)</f>
        <v>3000000</v>
      </c>
      <c r="E25" s="116">
        <f>VLOOKUP(B25,全年KPI!B:J, 9,0)</f>
        <v>77517000</v>
      </c>
      <c r="F25" s="2"/>
      <c r="G25" s="2"/>
    </row>
    <row r="26" spans="1:7" ht="18.75" customHeight="1">
      <c r="A26" s="55" t="s">
        <v>0</v>
      </c>
      <c r="B26" s="56">
        <v>123</v>
      </c>
      <c r="C26" s="55" t="s">
        <v>5</v>
      </c>
      <c r="D26" s="115">
        <f>VLOOKUP(B26,'116目標底稿ver1'!D:AC, 22,0)</f>
        <v>3200000</v>
      </c>
      <c r="E26" s="116">
        <f>VLOOKUP(B26,全年KPI!B:J, 9,0)</f>
        <v>90238000</v>
      </c>
      <c r="F26" s="2"/>
      <c r="G26" s="2"/>
    </row>
    <row r="27" spans="1:7" ht="18.75" customHeight="1">
      <c r="A27" s="55" t="s">
        <v>0</v>
      </c>
      <c r="B27" s="56">
        <v>124</v>
      </c>
      <c r="C27" s="55" t="s">
        <v>143</v>
      </c>
      <c r="D27" s="115">
        <f>VLOOKUP(B27,'116目標底稿ver1'!D:AC, 22,0)</f>
        <v>2050000</v>
      </c>
      <c r="E27" s="116">
        <f>VLOOKUP(B27,全年KPI!B:J, 9,0)</f>
        <v>40824000</v>
      </c>
      <c r="F27" s="2"/>
      <c r="G27" s="2"/>
    </row>
    <row r="28" spans="1:7" ht="18.75" customHeight="1">
      <c r="A28" s="55" t="s">
        <v>0</v>
      </c>
      <c r="B28" s="56">
        <v>125</v>
      </c>
      <c r="C28" s="55" t="s">
        <v>144</v>
      </c>
      <c r="D28" s="115">
        <f>VLOOKUP(B28,'116目標底稿ver1'!D:AC, 22,0)</f>
        <v>2720000</v>
      </c>
      <c r="E28" s="116">
        <f>VLOOKUP(B28,全年KPI!B:J, 9,0)</f>
        <v>81313000</v>
      </c>
      <c r="F28" s="2"/>
      <c r="G28" s="2"/>
    </row>
    <row r="29" spans="1:7" ht="18.75" customHeight="1">
      <c r="A29" s="55" t="s">
        <v>0</v>
      </c>
      <c r="B29" s="56">
        <v>126</v>
      </c>
      <c r="C29" s="55" t="s">
        <v>145</v>
      </c>
      <c r="D29" s="115">
        <f>VLOOKUP(B29,'116目標底稿ver1'!D:AC, 22,0)</f>
        <v>3470000</v>
      </c>
      <c r="E29" s="116">
        <f>VLOOKUP(B29,全年KPI!B:J, 9,0)</f>
        <v>85905000</v>
      </c>
      <c r="F29" s="2"/>
      <c r="G29" s="2"/>
    </row>
    <row r="30" spans="1:7" ht="18.75" customHeight="1">
      <c r="A30" s="55" t="s">
        <v>0</v>
      </c>
      <c r="B30" s="56">
        <v>127</v>
      </c>
      <c r="C30" s="55" t="s">
        <v>146</v>
      </c>
      <c r="D30" s="115">
        <f>VLOOKUP(B30,'116目標底稿ver1'!D:AC, 22,0)</f>
        <v>2730000</v>
      </c>
      <c r="E30" s="116">
        <f>VLOOKUP(B30,全年KPI!B:J, 9,0)</f>
        <v>66113000</v>
      </c>
      <c r="F30" s="2"/>
      <c r="G30" s="2"/>
    </row>
    <row r="31" spans="1:7" ht="18.75" customHeight="1">
      <c r="A31" s="55" t="s">
        <v>0</v>
      </c>
      <c r="B31" s="56">
        <v>128</v>
      </c>
      <c r="C31" s="55" t="s">
        <v>78</v>
      </c>
      <c r="D31" s="115">
        <f>VLOOKUP(B31,'116目標底稿ver1'!D:AC, 22,0)</f>
        <v>1950000</v>
      </c>
      <c r="E31" s="116">
        <f>VLOOKUP(B31,全年KPI!B:J, 9,0)</f>
        <v>45340000</v>
      </c>
      <c r="F31" s="2"/>
      <c r="G31" s="2"/>
    </row>
    <row r="32" spans="1:7" ht="18.75" customHeight="1">
      <c r="A32" s="55" t="s">
        <v>0</v>
      </c>
      <c r="B32" s="56">
        <v>129</v>
      </c>
      <c r="C32" s="55" t="s">
        <v>79</v>
      </c>
      <c r="D32" s="115">
        <f>VLOOKUP(B32,'116目標底稿ver1'!D:AC, 22,0)</f>
        <v>2200000</v>
      </c>
      <c r="E32" s="116">
        <f>VLOOKUP(B32,全年KPI!B:J, 9,0)</f>
        <v>57571000</v>
      </c>
      <c r="F32" s="2"/>
      <c r="G32" s="2"/>
    </row>
    <row r="33" spans="1:7" ht="18.75" customHeight="1">
      <c r="A33" s="55" t="s">
        <v>0</v>
      </c>
      <c r="B33" s="56">
        <v>130</v>
      </c>
      <c r="C33" s="55" t="s">
        <v>147</v>
      </c>
      <c r="D33" s="115">
        <f>VLOOKUP(B33,'116目標底稿ver1'!D:AC, 22,0)</f>
        <v>2190000</v>
      </c>
      <c r="E33" s="116">
        <f>VLOOKUP(B33,全年KPI!B:J, 9,0)</f>
        <v>45494000</v>
      </c>
      <c r="F33" s="2"/>
      <c r="G33" s="2"/>
    </row>
    <row r="34" spans="1:7" ht="18.75" customHeight="1">
      <c r="A34" s="55" t="s">
        <v>0</v>
      </c>
      <c r="B34" s="56">
        <v>132</v>
      </c>
      <c r="C34" s="55" t="s">
        <v>6</v>
      </c>
      <c r="D34" s="115">
        <f>VLOOKUP(B34,'116目標底稿ver1'!D:AC, 22,0)</f>
        <v>1130000</v>
      </c>
      <c r="E34" s="116">
        <f>VLOOKUP(B34,全年KPI!B:J, 9,0)</f>
        <v>23665000</v>
      </c>
      <c r="F34" s="2"/>
      <c r="G34" s="2"/>
    </row>
    <row r="35" spans="1:7" ht="18.75" customHeight="1">
      <c r="A35" s="55" t="s">
        <v>0</v>
      </c>
      <c r="B35" s="56">
        <v>133</v>
      </c>
      <c r="C35" s="55" t="s">
        <v>148</v>
      </c>
      <c r="D35" s="115">
        <f>VLOOKUP(B35,'116目標底稿ver1'!D:AC, 22,0)</f>
        <v>1860000</v>
      </c>
      <c r="E35" s="116">
        <f>VLOOKUP(B35,全年KPI!B:J, 9,0)</f>
        <v>48828000</v>
      </c>
      <c r="F35" s="2"/>
      <c r="G35" s="2"/>
    </row>
    <row r="36" spans="1:7" ht="18.75" customHeight="1">
      <c r="A36" s="55" t="s">
        <v>7</v>
      </c>
      <c r="B36" s="56">
        <v>134</v>
      </c>
      <c r="C36" s="55" t="s">
        <v>149</v>
      </c>
      <c r="D36" s="115">
        <f>VLOOKUP(B36,'116目標底稿ver1'!D:AC, 22,0)</f>
        <v>2620000</v>
      </c>
      <c r="E36" s="116">
        <f>VLOOKUP(B36,全年KPI!B:J, 9,0)</f>
        <v>72848000</v>
      </c>
      <c r="F36" s="2"/>
      <c r="G36" s="2"/>
    </row>
    <row r="37" spans="1:7" ht="18.75" customHeight="1">
      <c r="A37" s="55" t="s">
        <v>0</v>
      </c>
      <c r="B37" s="56">
        <v>136</v>
      </c>
      <c r="C37" s="55" t="s">
        <v>150</v>
      </c>
      <c r="D37" s="115">
        <f>VLOOKUP(B37,'116目標底稿ver1'!D:AC, 22,0)</f>
        <v>1190000</v>
      </c>
      <c r="E37" s="116">
        <f>VLOOKUP(B37,全年KPI!B:J, 9,0)</f>
        <v>33369000</v>
      </c>
      <c r="F37" s="2"/>
      <c r="G37" s="2"/>
    </row>
    <row r="38" spans="1:7" ht="18.75" customHeight="1">
      <c r="A38" s="55" t="s">
        <v>7</v>
      </c>
      <c r="B38" s="56">
        <v>137</v>
      </c>
      <c r="C38" s="55" t="s">
        <v>151</v>
      </c>
      <c r="D38" s="115">
        <f>VLOOKUP(B38,'116目標底稿ver1'!D:AC, 22,0)</f>
        <v>1780000</v>
      </c>
      <c r="E38" s="116">
        <f>VLOOKUP(B38,全年KPI!B:J, 9,0)</f>
        <v>45234000</v>
      </c>
      <c r="F38" s="2"/>
      <c r="G38" s="2"/>
    </row>
    <row r="39" spans="1:7" ht="18.75" customHeight="1">
      <c r="A39" s="55" t="s">
        <v>7</v>
      </c>
      <c r="B39" s="56">
        <v>143</v>
      </c>
      <c r="C39" s="55" t="s">
        <v>80</v>
      </c>
      <c r="D39" s="115">
        <f>VLOOKUP(B39,'116目標底稿ver1'!D:AC, 22,0)</f>
        <v>1500000</v>
      </c>
      <c r="E39" s="116">
        <f>VLOOKUP(B39,全年KPI!B:J, 9,0)</f>
        <v>43236000</v>
      </c>
      <c r="F39" s="2"/>
      <c r="G39" s="2"/>
    </row>
    <row r="40" spans="1:7" ht="18.75" customHeight="1">
      <c r="A40" s="55" t="s">
        <v>0</v>
      </c>
      <c r="B40" s="56">
        <v>145</v>
      </c>
      <c r="C40" s="55" t="s">
        <v>81</v>
      </c>
      <c r="D40" s="115">
        <f>VLOOKUP(B40,'116目標底稿ver1'!D:AC, 22,0)</f>
        <v>1430000</v>
      </c>
      <c r="E40" s="116">
        <f>VLOOKUP(B40,全年KPI!B:J, 9,0)</f>
        <v>30371000</v>
      </c>
      <c r="F40" s="2"/>
      <c r="G40" s="2"/>
    </row>
    <row r="41" spans="1:7" ht="18.75" customHeight="1">
      <c r="A41" s="55" t="s">
        <v>0</v>
      </c>
      <c r="B41" s="56">
        <v>147</v>
      </c>
      <c r="C41" s="55" t="s">
        <v>152</v>
      </c>
      <c r="D41" s="115">
        <f>VLOOKUP(B41,'116目標底稿ver1'!D:AC, 22,0)</f>
        <v>2700000</v>
      </c>
      <c r="E41" s="116">
        <f>VLOOKUP(B41,全年KPI!B:J, 9,0)</f>
        <v>63711000</v>
      </c>
      <c r="F41" s="2"/>
      <c r="G41" s="2"/>
    </row>
    <row r="42" spans="1:7" ht="18.75" customHeight="1">
      <c r="A42" s="55" t="s">
        <v>0</v>
      </c>
      <c r="B42" s="56">
        <v>148</v>
      </c>
      <c r="C42" s="55" t="s">
        <v>82</v>
      </c>
      <c r="D42" s="115">
        <f>VLOOKUP(B42,'116目標底稿ver1'!D:AC, 22,0)</f>
        <v>1620000</v>
      </c>
      <c r="E42" s="116">
        <f>VLOOKUP(B42,全年KPI!B:J, 9,0)</f>
        <v>42640000</v>
      </c>
      <c r="F42" s="2"/>
      <c r="G42" s="2"/>
    </row>
    <row r="43" spans="1:7" ht="18.75" customHeight="1">
      <c r="A43" s="55" t="s">
        <v>0</v>
      </c>
      <c r="B43" s="56">
        <v>149</v>
      </c>
      <c r="C43" s="55" t="s">
        <v>153</v>
      </c>
      <c r="D43" s="115">
        <f>VLOOKUP(B43,'116目標底稿ver1'!D:AC, 22,0)</f>
        <v>2240000</v>
      </c>
      <c r="E43" s="116">
        <f>VLOOKUP(B43,全年KPI!B:J, 9,0)</f>
        <v>59531000</v>
      </c>
      <c r="F43" s="2"/>
      <c r="G43" s="2"/>
    </row>
    <row r="44" spans="1:7" ht="18.75" customHeight="1">
      <c r="A44" s="55" t="s">
        <v>7</v>
      </c>
      <c r="B44" s="56">
        <v>151</v>
      </c>
      <c r="C44" s="55" t="s">
        <v>154</v>
      </c>
      <c r="D44" s="115">
        <f>VLOOKUP(B44,'116目標底稿ver1'!D:AC, 22,0)</f>
        <v>2850000</v>
      </c>
      <c r="E44" s="116">
        <f>VLOOKUP(B44,全年KPI!B:J, 9,0)</f>
        <v>79362000</v>
      </c>
      <c r="F44" s="2"/>
      <c r="G44" s="2"/>
    </row>
    <row r="45" spans="1:7" ht="18.75" customHeight="1">
      <c r="A45" s="55" t="s">
        <v>0</v>
      </c>
      <c r="B45" s="56">
        <v>152</v>
      </c>
      <c r="C45" s="55" t="s">
        <v>155</v>
      </c>
      <c r="D45" s="115">
        <f>VLOOKUP(B45,'116目標底稿ver1'!D:AC, 22,0)</f>
        <v>2920000</v>
      </c>
      <c r="E45" s="116">
        <f>VLOOKUP(B45,全年KPI!B:J, 9,0)</f>
        <v>73732000</v>
      </c>
      <c r="F45" s="2"/>
      <c r="G45" s="2"/>
    </row>
    <row r="46" spans="1:7" ht="18.75" customHeight="1">
      <c r="A46" s="55" t="s">
        <v>0</v>
      </c>
      <c r="B46" s="56">
        <v>153</v>
      </c>
      <c r="C46" s="55" t="s">
        <v>156</v>
      </c>
      <c r="D46" s="115">
        <f>VLOOKUP(B46,'116目標底稿ver1'!D:AC, 22,0)</f>
        <v>2530000</v>
      </c>
      <c r="E46" s="116">
        <f>VLOOKUP(B46,全年KPI!B:J, 9,0)</f>
        <v>67583000</v>
      </c>
      <c r="F46" s="2"/>
      <c r="G46" s="2"/>
    </row>
    <row r="47" spans="1:7" ht="18.75" customHeight="1">
      <c r="A47" s="55" t="s">
        <v>0</v>
      </c>
      <c r="B47" s="56">
        <v>154</v>
      </c>
      <c r="C47" s="55" t="s">
        <v>8</v>
      </c>
      <c r="D47" s="115">
        <f>VLOOKUP(B47,'116目標底稿ver1'!D:AC, 22,0)</f>
        <v>1590000</v>
      </c>
      <c r="E47" s="116">
        <f>VLOOKUP(B47,全年KPI!B:J, 9,0)</f>
        <v>37058000</v>
      </c>
      <c r="F47" s="2"/>
      <c r="G47" s="2"/>
    </row>
    <row r="48" spans="1:7" ht="18.75" customHeight="1">
      <c r="A48" s="55" t="s">
        <v>0</v>
      </c>
      <c r="B48" s="56">
        <v>156</v>
      </c>
      <c r="C48" s="55" t="s">
        <v>157</v>
      </c>
      <c r="D48" s="115">
        <f>VLOOKUP(B48,'116目標底稿ver1'!D:AC, 22,0)</f>
        <v>1980000</v>
      </c>
      <c r="E48" s="116">
        <f>VLOOKUP(B48,全年KPI!B:J, 9,0)</f>
        <v>48914000</v>
      </c>
      <c r="F48" s="2"/>
      <c r="G48" s="2"/>
    </row>
    <row r="49" spans="1:7" ht="18.75" customHeight="1">
      <c r="A49" s="55" t="s">
        <v>0</v>
      </c>
      <c r="B49" s="56">
        <v>157</v>
      </c>
      <c r="C49" s="55" t="s">
        <v>158</v>
      </c>
      <c r="D49" s="115">
        <f>VLOOKUP(B49,'116目標底稿ver1'!D:AC, 22,0)</f>
        <v>1840000</v>
      </c>
      <c r="E49" s="116">
        <f>VLOOKUP(B49,全年KPI!B:J, 9,0)</f>
        <v>36059000</v>
      </c>
      <c r="F49" s="2"/>
      <c r="G49" s="2"/>
    </row>
    <row r="50" spans="1:7" ht="18.75" customHeight="1">
      <c r="A50" s="55" t="s">
        <v>7</v>
      </c>
      <c r="B50" s="56">
        <v>158</v>
      </c>
      <c r="C50" s="55" t="s">
        <v>159</v>
      </c>
      <c r="D50" s="115">
        <f>VLOOKUP(B50,'116目標底稿ver1'!D:AC, 22,0)</f>
        <v>2570000</v>
      </c>
      <c r="E50" s="116">
        <f>VLOOKUP(B50,全年KPI!B:J, 9,0)</f>
        <v>63499000</v>
      </c>
      <c r="F50" s="2"/>
      <c r="G50" s="2"/>
    </row>
    <row r="51" spans="1:7" ht="18.75" customHeight="1">
      <c r="A51" s="55" t="s">
        <v>7</v>
      </c>
      <c r="B51" s="56">
        <v>159</v>
      </c>
      <c r="C51" s="55" t="s">
        <v>83</v>
      </c>
      <c r="D51" s="115">
        <f>VLOOKUP(B51,'116目標底稿ver1'!D:AC, 22,0)</f>
        <v>4030000</v>
      </c>
      <c r="E51" s="116">
        <f>VLOOKUP(B51,全年KPI!B:J, 9,0)</f>
        <v>114335000</v>
      </c>
      <c r="F51" s="2"/>
      <c r="G51" s="2"/>
    </row>
    <row r="52" spans="1:7" ht="18.75" customHeight="1">
      <c r="A52" s="55" t="s">
        <v>7</v>
      </c>
      <c r="B52" s="56">
        <v>160</v>
      </c>
      <c r="C52" s="55" t="s">
        <v>9</v>
      </c>
      <c r="D52" s="115">
        <f>VLOOKUP(B52,'116目標底稿ver1'!D:AC, 22,0)</f>
        <v>2650000</v>
      </c>
      <c r="E52" s="116">
        <f>VLOOKUP(B52,全年KPI!B:J, 9,0)</f>
        <v>76778000</v>
      </c>
      <c r="F52" s="2"/>
      <c r="G52" s="2"/>
    </row>
    <row r="53" spans="1:7" ht="18.75" customHeight="1">
      <c r="A53" s="55" t="s">
        <v>7</v>
      </c>
      <c r="B53" s="56">
        <v>161</v>
      </c>
      <c r="C53" s="55" t="s">
        <v>160</v>
      </c>
      <c r="D53" s="115">
        <f>VLOOKUP(B53,'116目標底稿ver1'!D:AC, 22,0)</f>
        <v>1870000</v>
      </c>
      <c r="E53" s="116">
        <f>VLOOKUP(B53,全年KPI!B:J, 9,0)</f>
        <v>49846000</v>
      </c>
      <c r="F53" s="2"/>
      <c r="G53" s="2"/>
    </row>
    <row r="54" spans="1:7" ht="18.75" customHeight="1">
      <c r="A54" s="55" t="s">
        <v>7</v>
      </c>
      <c r="B54" s="56">
        <v>162</v>
      </c>
      <c r="C54" s="55" t="s">
        <v>10</v>
      </c>
      <c r="D54" s="115">
        <f>VLOOKUP(B54,'116目標底稿ver1'!D:AC, 22,0)</f>
        <v>3820000</v>
      </c>
      <c r="E54" s="116">
        <f>VLOOKUP(B54,全年KPI!B:J, 9,0)</f>
        <v>106889000</v>
      </c>
      <c r="F54" s="2"/>
      <c r="G54" s="2"/>
    </row>
    <row r="55" spans="1:7" ht="18.75" customHeight="1">
      <c r="A55" s="55" t="s">
        <v>11</v>
      </c>
      <c r="B55" s="56">
        <v>163</v>
      </c>
      <c r="C55" s="55" t="s">
        <v>12</v>
      </c>
      <c r="D55" s="115">
        <f>VLOOKUP(B55,'116目標底稿ver1'!D:AC, 22,0)</f>
        <v>2200000</v>
      </c>
      <c r="E55" s="116">
        <f>VLOOKUP(B55,全年KPI!B:J, 9,0)</f>
        <v>55496000</v>
      </c>
      <c r="F55" s="2"/>
      <c r="G55" s="2"/>
    </row>
    <row r="56" spans="1:7" ht="18.75" customHeight="1">
      <c r="A56" s="55" t="s">
        <v>7</v>
      </c>
      <c r="B56" s="56">
        <v>164</v>
      </c>
      <c r="C56" s="55" t="s">
        <v>161</v>
      </c>
      <c r="D56" s="115">
        <f>VLOOKUP(B56,'116目標底稿ver1'!D:AC, 22,0)</f>
        <v>2490000</v>
      </c>
      <c r="E56" s="116">
        <f>VLOOKUP(B56,全年KPI!B:J, 9,0)</f>
        <v>68649000</v>
      </c>
      <c r="F56" s="2"/>
      <c r="G56" s="2"/>
    </row>
    <row r="57" spans="1:7" ht="18.75" customHeight="1">
      <c r="A57" s="55" t="s">
        <v>7</v>
      </c>
      <c r="B57" s="56">
        <v>165</v>
      </c>
      <c r="C57" s="55" t="s">
        <v>13</v>
      </c>
      <c r="D57" s="115">
        <f>VLOOKUP(B57,'116目標底稿ver1'!D:AC, 22,0)</f>
        <v>3070000</v>
      </c>
      <c r="E57" s="116">
        <f>VLOOKUP(B57,全年KPI!B:J, 9,0)</f>
        <v>82139000</v>
      </c>
      <c r="F57" s="2"/>
      <c r="G57" s="2"/>
    </row>
    <row r="58" spans="1:7" ht="18.75" customHeight="1">
      <c r="A58" s="55" t="s">
        <v>7</v>
      </c>
      <c r="B58" s="56">
        <v>166</v>
      </c>
      <c r="C58" s="55" t="s">
        <v>84</v>
      </c>
      <c r="D58" s="115">
        <f>VLOOKUP(B58,'116目標底稿ver1'!D:AC, 22,0)</f>
        <v>2760000</v>
      </c>
      <c r="E58" s="116">
        <f>VLOOKUP(B58,全年KPI!B:J, 9,0)</f>
        <v>62308000</v>
      </c>
      <c r="F58" s="2"/>
      <c r="G58" s="2"/>
    </row>
    <row r="59" spans="1:7" ht="18.75" customHeight="1">
      <c r="A59" s="55" t="s">
        <v>7</v>
      </c>
      <c r="B59" s="56">
        <v>167</v>
      </c>
      <c r="C59" s="55" t="s">
        <v>162</v>
      </c>
      <c r="D59" s="115">
        <f>VLOOKUP(B59,'116目標底稿ver1'!D:AC, 22,0)</f>
        <v>3430000</v>
      </c>
      <c r="E59" s="116">
        <f>VLOOKUP(B59,全年KPI!B:J, 9,0)</f>
        <v>96954000</v>
      </c>
      <c r="F59" s="2"/>
      <c r="G59" s="2"/>
    </row>
    <row r="60" spans="1:7" ht="18.75" customHeight="1">
      <c r="A60" s="55" t="s">
        <v>7</v>
      </c>
      <c r="B60" s="56">
        <v>168</v>
      </c>
      <c r="C60" s="55" t="s">
        <v>163</v>
      </c>
      <c r="D60" s="115">
        <f>VLOOKUP(B60,'116目標底稿ver1'!D:AC, 22,0)</f>
        <v>3230000</v>
      </c>
      <c r="E60" s="116">
        <f>VLOOKUP(B60,全年KPI!B:J, 9,0)</f>
        <v>90229000</v>
      </c>
      <c r="F60" s="2"/>
      <c r="G60" s="2"/>
    </row>
    <row r="61" spans="1:7" ht="18.75" customHeight="1">
      <c r="A61" s="55" t="s">
        <v>7</v>
      </c>
      <c r="B61" s="56">
        <v>169</v>
      </c>
      <c r="C61" s="55" t="s">
        <v>85</v>
      </c>
      <c r="D61" s="115">
        <f>VLOOKUP(B61,'116目標底稿ver1'!D:AC, 22,0)</f>
        <v>2690000</v>
      </c>
      <c r="E61" s="116">
        <f>VLOOKUP(B61,全年KPI!B:J, 9,0)</f>
        <v>72185000</v>
      </c>
      <c r="F61" s="2"/>
      <c r="G61" s="2"/>
    </row>
    <row r="62" spans="1:7" ht="18.75" customHeight="1">
      <c r="A62" s="55" t="s">
        <v>7</v>
      </c>
      <c r="B62" s="56">
        <v>170</v>
      </c>
      <c r="C62" s="55" t="s">
        <v>164</v>
      </c>
      <c r="D62" s="115">
        <f>VLOOKUP(B62,'116目標底稿ver1'!D:AC, 22,0)</f>
        <v>2430000</v>
      </c>
      <c r="E62" s="116">
        <f>VLOOKUP(B62,全年KPI!B:J, 9,0)</f>
        <v>61818000</v>
      </c>
      <c r="F62" s="2"/>
      <c r="G62" s="2"/>
    </row>
    <row r="63" spans="1:7" ht="18.75" customHeight="1">
      <c r="A63" s="55" t="s">
        <v>7</v>
      </c>
      <c r="B63" s="56">
        <v>171</v>
      </c>
      <c r="C63" s="55" t="s">
        <v>86</v>
      </c>
      <c r="D63" s="115">
        <f>VLOOKUP(B63,'116目標底稿ver1'!D:AC, 22,0)</f>
        <v>2310000</v>
      </c>
      <c r="E63" s="116">
        <f>VLOOKUP(B63,全年KPI!B:J, 9,0)</f>
        <v>58820000</v>
      </c>
      <c r="F63" s="2"/>
      <c r="G63" s="2"/>
    </row>
    <row r="64" spans="1:7" ht="18.75" customHeight="1">
      <c r="A64" s="55" t="s">
        <v>7</v>
      </c>
      <c r="B64" s="56">
        <v>172</v>
      </c>
      <c r="C64" s="55" t="s">
        <v>14</v>
      </c>
      <c r="D64" s="115">
        <f>VLOOKUP(B64,'116目標底稿ver1'!D:AC, 22,0)</f>
        <v>1820000</v>
      </c>
      <c r="E64" s="116">
        <f>VLOOKUP(B64,全年KPI!B:J, 9,0)</f>
        <v>36664000</v>
      </c>
      <c r="F64" s="2"/>
      <c r="G64" s="2"/>
    </row>
    <row r="65" spans="1:7" ht="18.75" customHeight="1">
      <c r="A65" s="55" t="s">
        <v>11</v>
      </c>
      <c r="B65" s="56">
        <v>173</v>
      </c>
      <c r="C65" s="55" t="s">
        <v>15</v>
      </c>
      <c r="D65" s="115">
        <f>VLOOKUP(B65,'116目標底稿ver1'!D:AC, 22,0)</f>
        <v>1970000</v>
      </c>
      <c r="E65" s="116">
        <f>VLOOKUP(B65,全年KPI!B:J, 9,0)</f>
        <v>49193000</v>
      </c>
      <c r="F65" s="2"/>
      <c r="G65" s="2"/>
    </row>
    <row r="66" spans="1:7" ht="18.75" customHeight="1">
      <c r="A66" s="55" t="s">
        <v>7</v>
      </c>
      <c r="B66" s="56">
        <v>174</v>
      </c>
      <c r="C66" s="55" t="s">
        <v>16</v>
      </c>
      <c r="D66" s="115">
        <f>VLOOKUP(B66,'116目標底稿ver1'!D:AC, 22,0)</f>
        <v>3700000</v>
      </c>
      <c r="E66" s="116">
        <f>VLOOKUP(B66,全年KPI!B:J, 9,0)</f>
        <v>100769000</v>
      </c>
      <c r="F66" s="2"/>
      <c r="G66" s="2"/>
    </row>
    <row r="67" spans="1:7" ht="18.75" customHeight="1">
      <c r="A67" s="55" t="s">
        <v>7</v>
      </c>
      <c r="B67" s="56">
        <v>175</v>
      </c>
      <c r="C67" s="55" t="s">
        <v>165</v>
      </c>
      <c r="D67" s="115">
        <f>VLOOKUP(B67,'116目標底稿ver1'!D:AC, 22,0)</f>
        <v>2590000</v>
      </c>
      <c r="E67" s="116">
        <f>VLOOKUP(B67,全年KPI!B:J, 9,0)</f>
        <v>68582000</v>
      </c>
      <c r="F67" s="2"/>
      <c r="G67" s="2"/>
    </row>
    <row r="68" spans="1:7" ht="18.75" customHeight="1">
      <c r="A68" s="55" t="s">
        <v>11</v>
      </c>
      <c r="B68" s="56">
        <v>176</v>
      </c>
      <c r="C68" s="55" t="s">
        <v>166</v>
      </c>
      <c r="D68" s="115">
        <f>VLOOKUP(B68,'116目標底稿ver1'!D:AC, 22,0)</f>
        <v>1830000</v>
      </c>
      <c r="E68" s="116">
        <f>VLOOKUP(B68,全年KPI!B:J, 9,0)</f>
        <v>40680000</v>
      </c>
      <c r="F68" s="2"/>
      <c r="G68" s="2"/>
    </row>
    <row r="69" spans="1:7" ht="18.75" customHeight="1">
      <c r="A69" s="55" t="s">
        <v>400</v>
      </c>
      <c r="B69" s="56">
        <v>177</v>
      </c>
      <c r="C69" s="55" t="s">
        <v>648</v>
      </c>
      <c r="D69" s="115">
        <f>VLOOKUP(B69,'116目標底稿ver1'!D:AC, 22,0)</f>
        <v>580000</v>
      </c>
      <c r="E69" s="116">
        <f>VLOOKUP(B69,全年KPI!B:J, 9,0)</f>
        <v>15142000</v>
      </c>
      <c r="F69" s="2"/>
      <c r="G69" s="2"/>
    </row>
    <row r="70" spans="1:7" ht="18.75" customHeight="1">
      <c r="A70" s="55" t="s">
        <v>0</v>
      </c>
      <c r="B70" s="56">
        <v>178</v>
      </c>
      <c r="C70" s="55" t="s">
        <v>17</v>
      </c>
      <c r="D70" s="115">
        <f>VLOOKUP(B70,'116目標底稿ver1'!D:AC, 22,0)</f>
        <v>2800000</v>
      </c>
      <c r="E70" s="116">
        <f>VLOOKUP(B70,全年KPI!B:J, 9,0)</f>
        <v>66132000</v>
      </c>
      <c r="F70" s="2"/>
      <c r="G70" s="2"/>
    </row>
    <row r="71" spans="1:7" ht="18.75" customHeight="1">
      <c r="A71" s="55" t="s">
        <v>7</v>
      </c>
      <c r="B71" s="56">
        <v>179</v>
      </c>
      <c r="C71" s="55" t="s">
        <v>167</v>
      </c>
      <c r="D71" s="115">
        <f>VLOOKUP(B71,'116目標底稿ver1'!D:AC, 22,0)</f>
        <v>2790000</v>
      </c>
      <c r="E71" s="116">
        <f>VLOOKUP(B71,全年KPI!B:J, 9,0)</f>
        <v>74433000</v>
      </c>
      <c r="F71" s="2"/>
      <c r="G71" s="2"/>
    </row>
    <row r="72" spans="1:7" ht="18.75" customHeight="1">
      <c r="A72" s="55" t="s">
        <v>7</v>
      </c>
      <c r="B72" s="56">
        <v>180</v>
      </c>
      <c r="C72" s="55" t="s">
        <v>168</v>
      </c>
      <c r="D72" s="115">
        <f>VLOOKUP(B72,'116目標底稿ver1'!D:AC, 22,0)</f>
        <v>2890000</v>
      </c>
      <c r="E72" s="116">
        <f>VLOOKUP(B72,全年KPI!B:J, 9,0)</f>
        <v>79689000</v>
      </c>
      <c r="F72" s="2"/>
      <c r="G72" s="2"/>
    </row>
    <row r="73" spans="1:7" ht="18.75" customHeight="1">
      <c r="A73" s="55" t="s">
        <v>7</v>
      </c>
      <c r="B73" s="56">
        <v>182</v>
      </c>
      <c r="C73" s="55" t="s">
        <v>169</v>
      </c>
      <c r="D73" s="115">
        <f>VLOOKUP(B73,'116目標底稿ver1'!D:AC, 22,0)</f>
        <v>1560000</v>
      </c>
      <c r="E73" s="116">
        <f>VLOOKUP(B73,全年KPI!B:J, 9,0)</f>
        <v>41958000</v>
      </c>
      <c r="F73" s="2"/>
      <c r="G73" s="2"/>
    </row>
    <row r="74" spans="1:7" ht="18.75" customHeight="1">
      <c r="A74" s="55" t="s">
        <v>7</v>
      </c>
      <c r="B74" s="56">
        <v>183</v>
      </c>
      <c r="C74" s="55" t="s">
        <v>18</v>
      </c>
      <c r="D74" s="115">
        <f>VLOOKUP(B74,'116目標底稿ver1'!D:AC, 22,0)</f>
        <v>1690000</v>
      </c>
      <c r="E74" s="116">
        <f>VLOOKUP(B74,全年KPI!B:J, 9,0)</f>
        <v>37260000</v>
      </c>
      <c r="F74" s="2"/>
      <c r="G74" s="2"/>
    </row>
    <row r="75" spans="1:7" ht="18.75" customHeight="1">
      <c r="A75" s="55" t="s">
        <v>7</v>
      </c>
      <c r="B75" s="56">
        <v>184</v>
      </c>
      <c r="C75" s="55" t="s">
        <v>19</v>
      </c>
      <c r="D75" s="115">
        <f>VLOOKUP(B75,'116目標底稿ver1'!D:AC, 22,0)</f>
        <v>1970000</v>
      </c>
      <c r="E75" s="116">
        <f>VLOOKUP(B75,全年KPI!B:J, 9,0)</f>
        <v>55121000</v>
      </c>
      <c r="F75" s="2"/>
      <c r="G75" s="2"/>
    </row>
    <row r="76" spans="1:7" ht="18.75" customHeight="1">
      <c r="A76" s="55" t="s">
        <v>7</v>
      </c>
      <c r="B76" s="56">
        <v>185</v>
      </c>
      <c r="C76" s="55" t="s">
        <v>170</v>
      </c>
      <c r="D76" s="115">
        <f>VLOOKUP(B76,'116目標底稿ver1'!D:AC, 22,0)</f>
        <v>2950000</v>
      </c>
      <c r="E76" s="116">
        <f>VLOOKUP(B76,全年KPI!B:J, 9,0)</f>
        <v>78911000</v>
      </c>
      <c r="F76" s="2"/>
      <c r="G76" s="2"/>
    </row>
    <row r="77" spans="1:7" ht="18.75" customHeight="1">
      <c r="A77" s="55" t="s">
        <v>11</v>
      </c>
      <c r="B77" s="56">
        <v>186</v>
      </c>
      <c r="C77" s="55" t="s">
        <v>87</v>
      </c>
      <c r="D77" s="115">
        <f>VLOOKUP(B77,'116目標底稿ver1'!D:AC, 22,0)</f>
        <v>2670000</v>
      </c>
      <c r="E77" s="116">
        <f>VLOOKUP(B77,全年KPI!B:J, 9,0)</f>
        <v>74183000</v>
      </c>
      <c r="F77" s="2"/>
      <c r="G77" s="2"/>
    </row>
    <row r="78" spans="1:7" ht="18.75" customHeight="1">
      <c r="A78" s="55" t="s">
        <v>7</v>
      </c>
      <c r="B78" s="56">
        <v>187</v>
      </c>
      <c r="C78" s="55" t="s">
        <v>171</v>
      </c>
      <c r="D78" s="115">
        <f>VLOOKUP(B78,'116目標底稿ver1'!D:AC, 22,0)</f>
        <v>2070000</v>
      </c>
      <c r="E78" s="116">
        <f>VLOOKUP(B78,全年KPI!B:J, 9,0)</f>
        <v>55083000</v>
      </c>
      <c r="F78" s="2"/>
      <c r="G78" s="2"/>
    </row>
    <row r="79" spans="1:7" ht="18.75" customHeight="1">
      <c r="A79" s="55" t="s">
        <v>0</v>
      </c>
      <c r="B79" s="56">
        <v>189</v>
      </c>
      <c r="C79" s="55" t="s">
        <v>172</v>
      </c>
      <c r="D79" s="115">
        <f>VLOOKUP(B79,'116目標底稿ver1'!D:AC, 22,0)</f>
        <v>2720000</v>
      </c>
      <c r="E79" s="116">
        <f>VLOOKUP(B79,全年KPI!B:J, 9,0)</f>
        <v>77335000</v>
      </c>
      <c r="F79" s="2"/>
      <c r="G79" s="2"/>
    </row>
    <row r="80" spans="1:7" ht="18.75" customHeight="1">
      <c r="A80" s="55" t="s">
        <v>7</v>
      </c>
      <c r="B80" s="56">
        <v>190</v>
      </c>
      <c r="C80" s="55" t="s">
        <v>173</v>
      </c>
      <c r="D80" s="115">
        <f>VLOOKUP(B80,'116目標底稿ver1'!D:AC, 22,0)</f>
        <v>2270000</v>
      </c>
      <c r="E80" s="116">
        <f>VLOOKUP(B80,全年KPI!B:J, 9,0)</f>
        <v>56783000</v>
      </c>
      <c r="F80" s="2"/>
      <c r="G80" s="2"/>
    </row>
    <row r="81" spans="1:7" ht="18.75" customHeight="1">
      <c r="A81" s="55" t="s">
        <v>11</v>
      </c>
      <c r="B81" s="56">
        <v>191</v>
      </c>
      <c r="C81" s="55" t="s">
        <v>20</v>
      </c>
      <c r="D81" s="115">
        <f>VLOOKUP(B81,'116目標底稿ver1'!D:AC, 22,0)</f>
        <v>2790000</v>
      </c>
      <c r="E81" s="116">
        <f>VLOOKUP(B81,全年KPI!B:J, 9,0)</f>
        <v>72733000</v>
      </c>
      <c r="F81" s="2"/>
      <c r="G81" s="2"/>
    </row>
    <row r="82" spans="1:7" ht="18.75" customHeight="1">
      <c r="A82" s="55" t="s">
        <v>7</v>
      </c>
      <c r="B82" s="56">
        <v>192</v>
      </c>
      <c r="C82" s="55" t="s">
        <v>174</v>
      </c>
      <c r="D82" s="115">
        <f>VLOOKUP(B82,'116目標底稿ver1'!D:AC, 22,0)</f>
        <v>2680000</v>
      </c>
      <c r="E82" s="116">
        <f>VLOOKUP(B82,全年KPI!B:J, 9,0)</f>
        <v>74366000</v>
      </c>
      <c r="F82" s="2"/>
      <c r="G82" s="2"/>
    </row>
    <row r="83" spans="1:7" ht="18.75" customHeight="1">
      <c r="A83" s="55" t="s">
        <v>11</v>
      </c>
      <c r="B83" s="56">
        <v>193</v>
      </c>
      <c r="C83" s="55" t="s">
        <v>21</v>
      </c>
      <c r="D83" s="115">
        <f>VLOOKUP(B83,'116目標底稿ver1'!D:AC, 22,0)</f>
        <v>2550000</v>
      </c>
      <c r="E83" s="116">
        <f>VLOOKUP(B83,全年KPI!B:J, 9,0)</f>
        <v>54007000</v>
      </c>
      <c r="F83" s="2"/>
      <c r="G83" s="2"/>
    </row>
    <row r="84" spans="1:7" ht="18.75" customHeight="1">
      <c r="A84" s="55" t="s">
        <v>11</v>
      </c>
      <c r="B84" s="56">
        <v>194</v>
      </c>
      <c r="C84" s="55" t="s">
        <v>175</v>
      </c>
      <c r="D84" s="115">
        <f>VLOOKUP(B84,'116目標底稿ver1'!D:AC, 22,0)</f>
        <v>2090000</v>
      </c>
      <c r="E84" s="116">
        <f>VLOOKUP(B84,全年KPI!B:J, 9,0)</f>
        <v>47137000</v>
      </c>
      <c r="F84" s="2"/>
      <c r="G84" s="2"/>
    </row>
    <row r="85" spans="1:7" ht="18.75" customHeight="1">
      <c r="A85" s="55" t="s">
        <v>7</v>
      </c>
      <c r="B85" s="56">
        <v>195</v>
      </c>
      <c r="C85" s="55" t="s">
        <v>22</v>
      </c>
      <c r="D85" s="115">
        <f>VLOOKUP(B85,'116目標底稿ver1'!D:AC, 22,0)</f>
        <v>1640000</v>
      </c>
      <c r="E85" s="116">
        <f>VLOOKUP(B85,全年KPI!B:J, 9,0)</f>
        <v>45484000</v>
      </c>
      <c r="F85" s="2"/>
      <c r="G85" s="2"/>
    </row>
    <row r="86" spans="1:7" ht="18.75" customHeight="1">
      <c r="A86" s="55" t="s">
        <v>11</v>
      </c>
      <c r="B86" s="56">
        <v>196</v>
      </c>
      <c r="C86" s="55" t="s">
        <v>88</v>
      </c>
      <c r="D86" s="115">
        <f>VLOOKUP(B86,'116目標底稿ver1'!D:AC, 22,0)</f>
        <v>2030000</v>
      </c>
      <c r="E86" s="116">
        <f>VLOOKUP(B86,全年KPI!B:J, 9,0)</f>
        <v>51806000</v>
      </c>
      <c r="F86" s="2"/>
      <c r="G86" s="2"/>
    </row>
    <row r="87" spans="1:7" ht="18.75" customHeight="1">
      <c r="A87" s="55" t="s">
        <v>11</v>
      </c>
      <c r="B87" s="56">
        <v>197</v>
      </c>
      <c r="C87" s="55" t="s">
        <v>23</v>
      </c>
      <c r="D87" s="115">
        <f>VLOOKUP(B87,'116目標底稿ver1'!D:AC, 22,0)</f>
        <v>1260000</v>
      </c>
      <c r="E87" s="116">
        <f>VLOOKUP(B87,全年KPI!B:J, 9,0)</f>
        <v>32187000</v>
      </c>
      <c r="F87" s="2"/>
      <c r="G87" s="2"/>
    </row>
    <row r="88" spans="1:7" ht="18.75" customHeight="1">
      <c r="A88" s="55" t="s">
        <v>11</v>
      </c>
      <c r="B88" s="56">
        <v>199</v>
      </c>
      <c r="C88" s="55" t="s">
        <v>24</v>
      </c>
      <c r="D88" s="115">
        <f>VLOOKUP(B88,'116目標底稿ver1'!D:AC, 22,0)</f>
        <v>1670000</v>
      </c>
      <c r="E88" s="116">
        <f>VLOOKUP(B88,全年KPI!B:J, 9,0)</f>
        <v>40459000</v>
      </c>
      <c r="F88" s="2"/>
      <c r="G88" s="2"/>
    </row>
    <row r="89" spans="1:7" ht="18.75" customHeight="1">
      <c r="A89" s="55" t="s">
        <v>7</v>
      </c>
      <c r="B89" s="56">
        <v>200</v>
      </c>
      <c r="C89" s="55" t="s">
        <v>89</v>
      </c>
      <c r="D89" s="115">
        <f>VLOOKUP(B89,'116目標底稿ver1'!D:AC, 22,0)</f>
        <v>1760000</v>
      </c>
      <c r="E89" s="116">
        <f>VLOOKUP(B89,全年KPI!B:J, 9,0)</f>
        <v>44379000</v>
      </c>
      <c r="F89" s="2"/>
      <c r="G89" s="2"/>
    </row>
    <row r="90" spans="1:7" ht="18.75" customHeight="1">
      <c r="A90" s="55" t="s">
        <v>7</v>
      </c>
      <c r="B90" s="56">
        <v>201</v>
      </c>
      <c r="C90" s="55" t="s">
        <v>90</v>
      </c>
      <c r="D90" s="115">
        <f>VLOOKUP(B90,'116目標底稿ver1'!D:AC, 22,0)</f>
        <v>1880000</v>
      </c>
      <c r="E90" s="116">
        <f>VLOOKUP(B90,全年KPI!B:J, 9,0)</f>
        <v>49846000</v>
      </c>
      <c r="F90" s="2"/>
      <c r="G90" s="2"/>
    </row>
    <row r="91" spans="1:7" ht="18.75" customHeight="1">
      <c r="A91" s="55" t="s">
        <v>7</v>
      </c>
      <c r="B91" s="56">
        <v>211</v>
      </c>
      <c r="C91" s="55" t="s">
        <v>25</v>
      </c>
      <c r="D91" s="115">
        <f>VLOOKUP(B91,'116目標底稿ver1'!D:AC, 22,0)</f>
        <v>2010000</v>
      </c>
      <c r="E91" s="116">
        <f>VLOOKUP(B91,全年KPI!B:J, 9,0)</f>
        <v>51643000</v>
      </c>
      <c r="F91" s="2"/>
      <c r="G91" s="2"/>
    </row>
    <row r="92" spans="1:7" ht="18.75" customHeight="1">
      <c r="A92" s="55" t="s">
        <v>7</v>
      </c>
      <c r="B92" s="56">
        <v>220</v>
      </c>
      <c r="C92" s="55" t="s">
        <v>26</v>
      </c>
      <c r="D92" s="115">
        <f>VLOOKUP(B92,'116目標底稿ver1'!D:AC, 22,0)</f>
        <v>1670000</v>
      </c>
      <c r="E92" s="116">
        <f>VLOOKUP(B92,全年KPI!B:J, 9,0)</f>
        <v>41055000</v>
      </c>
      <c r="F92" s="2"/>
      <c r="G92" s="2"/>
    </row>
    <row r="93" spans="1:7" ht="18.75" customHeight="1">
      <c r="A93" s="55" t="s">
        <v>7</v>
      </c>
      <c r="B93" s="56">
        <v>221</v>
      </c>
      <c r="C93" s="55" t="s">
        <v>27</v>
      </c>
      <c r="D93" s="115">
        <f>VLOOKUP(B93,'116目標底稿ver1'!D:AC, 22,0)</f>
        <v>1600000</v>
      </c>
      <c r="E93" s="116">
        <f>VLOOKUP(B93,全年KPI!B:J, 9,0)</f>
        <v>41151000</v>
      </c>
      <c r="F93" s="2"/>
      <c r="G93" s="2"/>
    </row>
    <row r="94" spans="1:7" ht="18.75" customHeight="1">
      <c r="A94" s="55" t="s">
        <v>11</v>
      </c>
      <c r="B94" s="56">
        <v>240</v>
      </c>
      <c r="C94" s="55" t="s">
        <v>177</v>
      </c>
      <c r="D94" s="115">
        <f>VLOOKUP(B94,'116目標底稿ver1'!D:AC, 22,0)</f>
        <v>3170000</v>
      </c>
      <c r="E94" s="116">
        <f>VLOOKUP(B94,全年KPI!B:J, 9,0)</f>
        <v>85386000</v>
      </c>
      <c r="F94" s="2"/>
      <c r="G94" s="2"/>
    </row>
    <row r="95" spans="1:7" ht="18.75" customHeight="1">
      <c r="A95" s="55" t="s">
        <v>11</v>
      </c>
      <c r="B95" s="56">
        <v>241</v>
      </c>
      <c r="C95" s="55" t="s">
        <v>91</v>
      </c>
      <c r="D95" s="115">
        <f>VLOOKUP(B95,'116目標底稿ver1'!D:AC, 22,0)</f>
        <v>3300000</v>
      </c>
      <c r="E95" s="116">
        <f>VLOOKUP(B95,全年KPI!B:J, 9,0)</f>
        <v>92073000</v>
      </c>
      <c r="F95" s="2"/>
      <c r="G95" s="2"/>
    </row>
    <row r="96" spans="1:7" ht="18.75" customHeight="1">
      <c r="A96" s="55" t="s">
        <v>11</v>
      </c>
      <c r="B96" s="56">
        <v>242</v>
      </c>
      <c r="C96" s="55" t="s">
        <v>28</v>
      </c>
      <c r="D96" s="115">
        <f>VLOOKUP(B96,'116目標底稿ver1'!D:AC, 22,0)</f>
        <v>3240000</v>
      </c>
      <c r="E96" s="116">
        <f>VLOOKUP(B96,全年KPI!B:J, 9,0)</f>
        <v>87202000</v>
      </c>
      <c r="F96" s="2"/>
      <c r="G96" s="2"/>
    </row>
    <row r="97" spans="1:7" ht="18.75" customHeight="1">
      <c r="A97" s="55" t="s">
        <v>11</v>
      </c>
      <c r="B97" s="56">
        <v>243</v>
      </c>
      <c r="C97" s="55" t="s">
        <v>92</v>
      </c>
      <c r="D97" s="115">
        <f>VLOOKUP(B97,'116目標底稿ver1'!D:AC, 22,0)</f>
        <v>2300000</v>
      </c>
      <c r="E97" s="116">
        <f>VLOOKUP(B97,全年KPI!B:J, 9,0)</f>
        <v>63672000</v>
      </c>
      <c r="F97" s="2"/>
      <c r="G97" s="2"/>
    </row>
    <row r="98" spans="1:7" ht="18.75" customHeight="1">
      <c r="A98" s="55" t="s">
        <v>11</v>
      </c>
      <c r="B98" s="56">
        <v>244</v>
      </c>
      <c r="C98" s="55" t="s">
        <v>29</v>
      </c>
      <c r="D98" s="115">
        <f>VLOOKUP(B98,'116目標底稿ver1'!D:AC, 22,0)</f>
        <v>2880000</v>
      </c>
      <c r="E98" s="116">
        <f>VLOOKUP(B98,全年KPI!B:J, 9,0)</f>
        <v>83292000</v>
      </c>
      <c r="F98" s="2"/>
      <c r="G98" s="2"/>
    </row>
    <row r="99" spans="1:7" ht="18.75" customHeight="1">
      <c r="A99" s="55" t="s">
        <v>11</v>
      </c>
      <c r="B99" s="56">
        <v>245</v>
      </c>
      <c r="C99" s="55" t="s">
        <v>93</v>
      </c>
      <c r="D99" s="115">
        <f>VLOOKUP(B99,'116目標底稿ver1'!D:AC, 22,0)</f>
        <v>2120000</v>
      </c>
      <c r="E99" s="116">
        <f>VLOOKUP(B99,全年KPI!B:J, 9,0)</f>
        <v>51681000</v>
      </c>
      <c r="F99" s="2"/>
      <c r="G99" s="2"/>
    </row>
    <row r="100" spans="1:7" ht="18.75" customHeight="1">
      <c r="A100" s="55" t="s">
        <v>11</v>
      </c>
      <c r="B100" s="56">
        <v>246</v>
      </c>
      <c r="C100" s="55" t="s">
        <v>178</v>
      </c>
      <c r="D100" s="115">
        <f>VLOOKUP(B100,'116目標底稿ver1'!D:AC, 22,0)</f>
        <v>2200000</v>
      </c>
      <c r="E100" s="116">
        <f>VLOOKUP(B100,全年KPI!B:J, 9,0)</f>
        <v>56447000</v>
      </c>
      <c r="F100" s="2"/>
      <c r="G100" s="2"/>
    </row>
    <row r="101" spans="1:7" ht="18.75" customHeight="1">
      <c r="A101" s="55" t="s">
        <v>11</v>
      </c>
      <c r="B101" s="56">
        <v>247</v>
      </c>
      <c r="C101" s="55" t="s">
        <v>179</v>
      </c>
      <c r="D101" s="115">
        <f>VLOOKUP(B101,'116目標底稿ver1'!D:AC, 22,0)</f>
        <v>2400000</v>
      </c>
      <c r="E101" s="116">
        <f>VLOOKUP(B101,全年KPI!B:J, 9,0)</f>
        <v>57456000</v>
      </c>
      <c r="F101" s="2"/>
      <c r="G101" s="2"/>
    </row>
    <row r="102" spans="1:7" ht="18.75" customHeight="1">
      <c r="A102" s="55" t="s">
        <v>11</v>
      </c>
      <c r="B102" s="56">
        <v>248</v>
      </c>
      <c r="C102" s="55" t="s">
        <v>94</v>
      </c>
      <c r="D102" s="115">
        <f>VLOOKUP(B102,'116目標底稿ver1'!D:AC, 22,0)</f>
        <v>2270000</v>
      </c>
      <c r="E102" s="116">
        <f>VLOOKUP(B102,全年KPI!B:J, 9,0)</f>
        <v>60156000</v>
      </c>
      <c r="F102" s="2"/>
      <c r="G102" s="2"/>
    </row>
    <row r="103" spans="1:7" ht="18.75" customHeight="1">
      <c r="A103" s="55" t="s">
        <v>11</v>
      </c>
      <c r="B103" s="56">
        <v>249</v>
      </c>
      <c r="C103" s="55" t="s">
        <v>30</v>
      </c>
      <c r="D103" s="115">
        <f>VLOOKUP(B103,'116目標底稿ver1'!D:AC, 22,0)</f>
        <v>1620000</v>
      </c>
      <c r="E103" s="116">
        <f>VLOOKUP(B103,全年KPI!B:J, 9,0)</f>
        <v>46916000</v>
      </c>
      <c r="F103" s="2"/>
      <c r="G103" s="2"/>
    </row>
    <row r="104" spans="1:7" ht="18.75" customHeight="1">
      <c r="A104" s="55" t="s">
        <v>11</v>
      </c>
      <c r="B104" s="56">
        <v>250</v>
      </c>
      <c r="C104" s="55" t="s">
        <v>180</v>
      </c>
      <c r="D104" s="115">
        <f>VLOOKUP(B104,'116目標底稿ver1'!D:AC, 22,0)</f>
        <v>1430000</v>
      </c>
      <c r="E104" s="116">
        <f>VLOOKUP(B104,全年KPI!B:J, 9,0)</f>
        <v>35156000</v>
      </c>
      <c r="F104" s="2"/>
      <c r="G104" s="2"/>
    </row>
    <row r="105" spans="1:7" ht="18.75" customHeight="1">
      <c r="A105" s="55" t="s">
        <v>11</v>
      </c>
      <c r="B105" s="56">
        <v>251</v>
      </c>
      <c r="C105" s="55" t="s">
        <v>181</v>
      </c>
      <c r="D105" s="115">
        <f>VLOOKUP(B105,'116目標底稿ver1'!D:AC, 22,0)</f>
        <v>1680000</v>
      </c>
      <c r="E105" s="116">
        <f>VLOOKUP(B105,全年KPI!B:J, 9,0)</f>
        <v>38912000</v>
      </c>
      <c r="F105" s="2"/>
      <c r="G105" s="2"/>
    </row>
    <row r="106" spans="1:7" ht="18.75" customHeight="1">
      <c r="A106" s="55" t="s">
        <v>11</v>
      </c>
      <c r="B106" s="56">
        <v>252</v>
      </c>
      <c r="C106" s="55" t="s">
        <v>95</v>
      </c>
      <c r="D106" s="115">
        <f>VLOOKUP(B106,'116目標底稿ver1'!D:AC, 22,0)</f>
        <v>2420000</v>
      </c>
      <c r="E106" s="116">
        <f>VLOOKUP(B106,全年KPI!B:J, 9,0)</f>
        <v>58887000</v>
      </c>
      <c r="F106" s="2"/>
      <c r="G106" s="2"/>
    </row>
    <row r="107" spans="1:7" ht="18.75" customHeight="1">
      <c r="A107" s="55" t="s">
        <v>11</v>
      </c>
      <c r="B107" s="56">
        <v>260</v>
      </c>
      <c r="C107" s="55" t="s">
        <v>96</v>
      </c>
      <c r="D107" s="115">
        <f>VLOOKUP(B107,'116目標底稿ver1'!D:AC, 22,0)</f>
        <v>2820000</v>
      </c>
      <c r="E107" s="116">
        <f>VLOOKUP(B107,全年KPI!B:J, 9,0)</f>
        <v>74443000</v>
      </c>
      <c r="F107" s="2"/>
      <c r="G107" s="2"/>
    </row>
    <row r="108" spans="1:7" ht="18.75" customHeight="1">
      <c r="A108" s="55" t="s">
        <v>11</v>
      </c>
      <c r="B108" s="56">
        <v>262</v>
      </c>
      <c r="C108" s="55" t="s">
        <v>97</v>
      </c>
      <c r="D108" s="115">
        <f>VLOOKUP(B108,'116目標底稿ver1'!D:AC, 22,0)</f>
        <v>2150000</v>
      </c>
      <c r="E108" s="116">
        <f>VLOOKUP(B108,全年KPI!B:J, 9,0)</f>
        <v>20138000</v>
      </c>
      <c r="F108" s="2"/>
      <c r="G108" s="2"/>
    </row>
    <row r="109" spans="1:7" ht="18.75" customHeight="1">
      <c r="A109" s="55" t="s">
        <v>11</v>
      </c>
      <c r="B109" s="56">
        <v>268</v>
      </c>
      <c r="C109" s="55" t="s">
        <v>1469</v>
      </c>
      <c r="D109" s="115">
        <f>VLOOKUP(B109,'116目標底稿ver1'!D:AC, 22,0)</f>
        <v>670000</v>
      </c>
      <c r="E109" s="116">
        <f>VLOOKUP(B109,全年KPI!B:J, 9,0)</f>
        <v>57196000</v>
      </c>
      <c r="F109" s="2"/>
      <c r="G109" s="2"/>
    </row>
    <row r="110" spans="1:7" ht="18.75" customHeight="1">
      <c r="A110" s="55" t="s">
        <v>11</v>
      </c>
      <c r="B110" s="56">
        <v>300</v>
      </c>
      <c r="C110" s="55" t="s">
        <v>98</v>
      </c>
      <c r="D110" s="115">
        <f>VLOOKUP(B110,'116目標底稿ver1'!D:AC, 22,0)</f>
        <v>2820000</v>
      </c>
      <c r="E110" s="116">
        <f>VLOOKUP(B110,全年KPI!B:J, 9,0)</f>
        <v>72982000</v>
      </c>
      <c r="F110" s="2"/>
      <c r="G110" s="2"/>
    </row>
    <row r="111" spans="1:7" ht="18.75" customHeight="1">
      <c r="A111" s="55" t="s">
        <v>11</v>
      </c>
      <c r="B111" s="56">
        <v>301</v>
      </c>
      <c r="C111" s="55" t="s">
        <v>99</v>
      </c>
      <c r="D111" s="115">
        <f>VLOOKUP(B111,'116目標底稿ver1'!D:AC, 22,0)</f>
        <v>2090000</v>
      </c>
      <c r="E111" s="116">
        <f>VLOOKUP(B111,全年KPI!B:J, 9,0)</f>
        <v>60136000</v>
      </c>
      <c r="F111" s="2"/>
      <c r="G111" s="2"/>
    </row>
    <row r="112" spans="1:7" s="50" customFormat="1" ht="18.75" customHeight="1">
      <c r="A112" s="55" t="s">
        <v>11</v>
      </c>
      <c r="B112" s="56">
        <v>302</v>
      </c>
      <c r="C112" s="55" t="s">
        <v>31</v>
      </c>
      <c r="D112" s="115">
        <f>VLOOKUP(B112,'116目標底稿ver1'!D:AC, 22,0)</f>
        <v>1830000</v>
      </c>
      <c r="E112" s="116">
        <f>VLOOKUP(B112,全年KPI!B:J, 9,0)</f>
        <v>48078000</v>
      </c>
      <c r="F112" s="2"/>
      <c r="G112" s="2"/>
    </row>
    <row r="113" spans="1:7" ht="18.75" customHeight="1">
      <c r="A113" s="55" t="s">
        <v>11</v>
      </c>
      <c r="B113" s="56">
        <v>310</v>
      </c>
      <c r="C113" s="55" t="s">
        <v>32</v>
      </c>
      <c r="D113" s="115">
        <f>VLOOKUP(B113,'116目標底稿ver1'!D:AC, 22,0)</f>
        <v>2050000</v>
      </c>
      <c r="E113" s="116">
        <f>VLOOKUP(B113,全年KPI!B:J, 9,0)</f>
        <v>54631000</v>
      </c>
      <c r="F113" s="2"/>
      <c r="G113" s="2"/>
    </row>
    <row r="114" spans="1:7" ht="18.75" customHeight="1">
      <c r="A114" s="55" t="s">
        <v>11</v>
      </c>
      <c r="B114" s="56">
        <v>313</v>
      </c>
      <c r="C114" s="55" t="s">
        <v>182</v>
      </c>
      <c r="D114" s="115">
        <f>VLOOKUP(B114,'116目標底稿ver1'!D:AC, 22,0)</f>
        <v>1220000</v>
      </c>
      <c r="E114" s="116">
        <f>VLOOKUP(B114,全年KPI!B:J, 9,0)</f>
        <v>29429000</v>
      </c>
      <c r="F114" s="2"/>
      <c r="G114" s="2"/>
    </row>
    <row r="115" spans="1:7" ht="18.75" customHeight="1">
      <c r="A115" s="55" t="s">
        <v>33</v>
      </c>
      <c r="B115" s="56">
        <v>320</v>
      </c>
      <c r="C115" s="55" t="s">
        <v>183</v>
      </c>
      <c r="D115" s="115">
        <f>VLOOKUP(B115,'116目標底稿ver1'!D:AC, 22,0)</f>
        <v>2370000</v>
      </c>
      <c r="E115" s="116">
        <f>VLOOKUP(B115,全年KPI!B:J, 9,0)</f>
        <v>61568000</v>
      </c>
      <c r="F115" s="2"/>
      <c r="G115" s="2"/>
    </row>
    <row r="116" spans="1:7" ht="18.75" customHeight="1">
      <c r="A116" s="55" t="s">
        <v>33</v>
      </c>
      <c r="B116" s="56">
        <v>321</v>
      </c>
      <c r="C116" s="55" t="s">
        <v>184</v>
      </c>
      <c r="D116" s="115">
        <f>VLOOKUP(B116,'116目標底稿ver1'!D:AC, 22,0)</f>
        <v>2380000</v>
      </c>
      <c r="E116" s="116">
        <f>VLOOKUP(B116,全年KPI!B:J, 9,0)</f>
        <v>71291000</v>
      </c>
      <c r="F116" s="2"/>
      <c r="G116" s="2"/>
    </row>
    <row r="117" spans="1:7" ht="18.75" customHeight="1">
      <c r="A117" s="55" t="s">
        <v>33</v>
      </c>
      <c r="B117" s="56">
        <v>322</v>
      </c>
      <c r="C117" s="55" t="s">
        <v>34</v>
      </c>
      <c r="D117" s="115">
        <f>VLOOKUP(B117,'116目標底稿ver1'!D:AC, 22,0)</f>
        <v>1680000</v>
      </c>
      <c r="E117" s="116">
        <f>VLOOKUP(B117,全年KPI!B:J, 9,0)</f>
        <v>43649000</v>
      </c>
      <c r="F117" s="2"/>
      <c r="G117" s="2"/>
    </row>
    <row r="118" spans="1:7" ht="18.75" customHeight="1">
      <c r="A118" s="55" t="s">
        <v>11</v>
      </c>
      <c r="B118" s="56">
        <v>323</v>
      </c>
      <c r="C118" s="55" t="s">
        <v>185</v>
      </c>
      <c r="D118" s="115">
        <f>VLOOKUP(B118,'116目標底稿ver1'!D:AC, 22,0)</f>
        <v>1880000</v>
      </c>
      <c r="E118" s="116">
        <f>VLOOKUP(B118,全年KPI!B:J, 9,0)</f>
        <v>45657000</v>
      </c>
      <c r="F118" s="2"/>
      <c r="G118" s="2"/>
    </row>
    <row r="119" spans="1:7" ht="18.75" customHeight="1">
      <c r="A119" s="55" t="s">
        <v>11</v>
      </c>
      <c r="B119" s="56">
        <v>351</v>
      </c>
      <c r="C119" s="55" t="s">
        <v>100</v>
      </c>
      <c r="D119" s="115">
        <f>VLOOKUP(B119,'116目標底稿ver1'!D:AC, 22,0)</f>
        <v>1680000</v>
      </c>
      <c r="E119" s="116">
        <f>VLOOKUP(B119,全年KPI!B:J, 9,0)</f>
        <v>45686000</v>
      </c>
      <c r="F119" s="2"/>
      <c r="G119" s="2"/>
    </row>
    <row r="120" spans="1:7" ht="18.75" customHeight="1">
      <c r="A120" s="55" t="s">
        <v>33</v>
      </c>
      <c r="B120" s="56">
        <v>400</v>
      </c>
      <c r="C120" s="55" t="s">
        <v>35</v>
      </c>
      <c r="D120" s="115">
        <f>VLOOKUP(B120,'116目標底稿ver1'!D:AC, 22,0)</f>
        <v>3400000</v>
      </c>
      <c r="E120" s="116">
        <f>VLOOKUP(B120,全年KPI!B:J, 9,0)</f>
        <v>97608000</v>
      </c>
      <c r="F120" s="2"/>
      <c r="G120" s="2"/>
    </row>
    <row r="121" spans="1:7" ht="18.75" customHeight="1">
      <c r="A121" s="55" t="s">
        <v>33</v>
      </c>
      <c r="B121" s="56">
        <v>401</v>
      </c>
      <c r="C121" s="55" t="s">
        <v>36</v>
      </c>
      <c r="D121" s="115">
        <f>VLOOKUP(B121,'116目標底稿ver1'!D:AC, 22,0)</f>
        <v>2270000</v>
      </c>
      <c r="E121" s="116">
        <f>VLOOKUP(B121,全年KPI!B:J, 9,0)</f>
        <v>59032000</v>
      </c>
      <c r="F121" s="2"/>
      <c r="G121" s="2"/>
    </row>
    <row r="122" spans="1:7" ht="18.75" customHeight="1">
      <c r="A122" s="55" t="s">
        <v>33</v>
      </c>
      <c r="B122" s="56">
        <v>402</v>
      </c>
      <c r="C122" s="55" t="s">
        <v>37</v>
      </c>
      <c r="D122" s="115">
        <f>VLOOKUP(B122,'116目標底稿ver1'!D:AC, 22,0)</f>
        <v>2660000</v>
      </c>
      <c r="E122" s="116">
        <f>VLOOKUP(B122,全年KPI!B:J, 9,0)</f>
        <v>73953000</v>
      </c>
      <c r="F122" s="2"/>
      <c r="G122" s="2"/>
    </row>
    <row r="123" spans="1:7" ht="18.75" customHeight="1">
      <c r="A123" s="55" t="s">
        <v>33</v>
      </c>
      <c r="B123" s="56">
        <v>403</v>
      </c>
      <c r="C123" s="55" t="s">
        <v>186</v>
      </c>
      <c r="D123" s="115">
        <f>VLOOKUP(B123,'116目標底稿ver1'!D:AC, 22,0)</f>
        <v>2470000</v>
      </c>
      <c r="E123" s="116">
        <f>VLOOKUP(B123,全年KPI!B:J, 9,0)</f>
        <v>69062000</v>
      </c>
      <c r="F123" s="2"/>
      <c r="G123" s="2"/>
    </row>
    <row r="124" spans="1:7" ht="18.75" customHeight="1">
      <c r="A124" s="55" t="s">
        <v>33</v>
      </c>
      <c r="B124" s="56">
        <v>420</v>
      </c>
      <c r="C124" s="55" t="s">
        <v>38</v>
      </c>
      <c r="D124" s="115">
        <f>VLOOKUP(B124,'116目標底稿ver1'!D:AC, 22,0)</f>
        <v>4600000</v>
      </c>
      <c r="E124" s="116">
        <f>VLOOKUP(B124,全年KPI!B:J, 9,0)</f>
        <v>116535000</v>
      </c>
      <c r="F124" s="2"/>
      <c r="G124" s="2"/>
    </row>
    <row r="125" spans="1:7" ht="18.75" customHeight="1">
      <c r="A125" s="55" t="s">
        <v>33</v>
      </c>
      <c r="B125" s="56">
        <v>422</v>
      </c>
      <c r="C125" s="55" t="s">
        <v>101</v>
      </c>
      <c r="D125" s="115">
        <f>VLOOKUP(B125,'116目標底稿ver1'!D:AC, 22,0)</f>
        <v>2570000</v>
      </c>
      <c r="E125" s="116">
        <f>VLOOKUP(B125,全年KPI!B:J, 9,0)</f>
        <v>78680000</v>
      </c>
      <c r="F125" s="2"/>
      <c r="G125" s="2"/>
    </row>
    <row r="126" spans="1:7" ht="18.75" customHeight="1">
      <c r="A126" s="55" t="s">
        <v>33</v>
      </c>
      <c r="B126" s="56">
        <v>423</v>
      </c>
      <c r="C126" s="55" t="s">
        <v>187</v>
      </c>
      <c r="D126" s="115">
        <f>VLOOKUP(B126,'116目標底稿ver1'!D:AC, 22,0)</f>
        <v>2280000</v>
      </c>
      <c r="E126" s="116">
        <f>VLOOKUP(B126,全年KPI!B:J, 9,0)</f>
        <v>58369000</v>
      </c>
      <c r="F126" s="2"/>
      <c r="G126" s="2"/>
    </row>
    <row r="127" spans="1:7" ht="18.75" customHeight="1">
      <c r="A127" s="55" t="s">
        <v>33</v>
      </c>
      <c r="B127" s="56">
        <v>424</v>
      </c>
      <c r="C127" s="55" t="s">
        <v>188</v>
      </c>
      <c r="D127" s="115">
        <f>VLOOKUP(B127,'116目標底稿ver1'!D:AC, 22,0)</f>
        <v>3500000</v>
      </c>
      <c r="E127" s="116">
        <f>VLOOKUP(B127,全年KPI!B:J, 9,0)</f>
        <v>104477000</v>
      </c>
      <c r="F127" s="2"/>
      <c r="G127" s="2"/>
    </row>
    <row r="128" spans="1:7" ht="18.75" customHeight="1">
      <c r="A128" s="55" t="s">
        <v>33</v>
      </c>
      <c r="B128" s="56">
        <v>425</v>
      </c>
      <c r="C128" s="55" t="s">
        <v>39</v>
      </c>
      <c r="D128" s="115">
        <f>VLOOKUP(B128,'116目標底稿ver1'!D:AC, 22,0)</f>
        <v>2900000</v>
      </c>
      <c r="E128" s="116">
        <f>VLOOKUP(B128,全年KPI!B:J, 9,0)</f>
        <v>78334000</v>
      </c>
      <c r="F128" s="2"/>
      <c r="G128" s="2"/>
    </row>
    <row r="129" spans="1:7" ht="18.75" customHeight="1">
      <c r="A129" s="55" t="s">
        <v>33</v>
      </c>
      <c r="B129" s="56">
        <v>426</v>
      </c>
      <c r="C129" s="55" t="s">
        <v>189</v>
      </c>
      <c r="D129" s="115">
        <f>VLOOKUP(B129,'116目標底稿ver1'!D:AC, 22,0)</f>
        <v>2350000</v>
      </c>
      <c r="E129" s="116">
        <f>VLOOKUP(B129,全年KPI!B:J, 9,0)</f>
        <v>58080000</v>
      </c>
      <c r="F129" s="2"/>
      <c r="G129" s="2"/>
    </row>
    <row r="130" spans="1:7" ht="18.75" customHeight="1">
      <c r="A130" s="55" t="s">
        <v>33</v>
      </c>
      <c r="B130" s="56">
        <v>427</v>
      </c>
      <c r="C130" s="55" t="s">
        <v>190</v>
      </c>
      <c r="D130" s="115">
        <f>VLOOKUP(B130,'116目標底稿ver1'!D:AC, 22,0)</f>
        <v>2530000</v>
      </c>
      <c r="E130" s="116">
        <f>VLOOKUP(B130,全年KPI!B:J, 9,0)</f>
        <v>65344000</v>
      </c>
      <c r="F130" s="2"/>
      <c r="G130" s="2"/>
    </row>
    <row r="131" spans="1:7" ht="18.75" customHeight="1">
      <c r="A131" s="55" t="s">
        <v>33</v>
      </c>
      <c r="B131" s="56">
        <v>429</v>
      </c>
      <c r="C131" s="55" t="s">
        <v>191</v>
      </c>
      <c r="D131" s="115">
        <f>VLOOKUP(B131,'116目標底稿ver1'!D:AC, 22,0)</f>
        <v>1830000</v>
      </c>
      <c r="E131" s="116">
        <f>VLOOKUP(B131,全年KPI!B:J, 9,0)</f>
        <v>51566000</v>
      </c>
      <c r="F131" s="2"/>
      <c r="G131" s="2"/>
    </row>
    <row r="132" spans="1:7" ht="18.75" customHeight="1">
      <c r="A132" s="55" t="s">
        <v>33</v>
      </c>
      <c r="B132" s="56">
        <v>430</v>
      </c>
      <c r="C132" s="55" t="s">
        <v>40</v>
      </c>
      <c r="D132" s="115">
        <f>VLOOKUP(B132,'116目標底稿ver1'!D:AC, 22,0)</f>
        <v>1780000</v>
      </c>
      <c r="E132" s="116">
        <f>VLOOKUP(B132,全年KPI!B:J, 9,0)</f>
        <v>43447000</v>
      </c>
      <c r="F132" s="2"/>
      <c r="G132" s="2"/>
    </row>
    <row r="133" spans="1:7" ht="18.75" customHeight="1">
      <c r="A133" s="55" t="s">
        <v>33</v>
      </c>
      <c r="B133" s="56">
        <v>431</v>
      </c>
      <c r="C133" s="55" t="s">
        <v>102</v>
      </c>
      <c r="D133" s="115">
        <f>VLOOKUP(B133,'116目標底稿ver1'!D:AC, 22,0)</f>
        <v>1370000</v>
      </c>
      <c r="E133" s="116">
        <f>VLOOKUP(B133,全年KPI!B:J, 9,0)</f>
        <v>36270000</v>
      </c>
      <c r="F133" s="2"/>
      <c r="G133" s="2"/>
    </row>
    <row r="134" spans="1:7" ht="18.75" customHeight="1">
      <c r="A134" s="55" t="s">
        <v>33</v>
      </c>
      <c r="B134" s="56">
        <v>451</v>
      </c>
      <c r="C134" s="55" t="s">
        <v>103</v>
      </c>
      <c r="D134" s="115">
        <f>VLOOKUP(B134,'116目標底稿ver1'!D:AC, 22,0)</f>
        <v>1880000</v>
      </c>
      <c r="E134" s="116">
        <f>VLOOKUP(B134,全年KPI!B:J, 9,0)</f>
        <v>54045000</v>
      </c>
      <c r="F134" s="2"/>
      <c r="G134" s="2"/>
    </row>
    <row r="135" spans="1:7" ht="18.75" customHeight="1">
      <c r="A135" s="55" t="s">
        <v>33</v>
      </c>
      <c r="B135" s="56">
        <v>500</v>
      </c>
      <c r="C135" s="55" t="s">
        <v>41</v>
      </c>
      <c r="D135" s="115">
        <f>VLOOKUP(B135,'116目標底稿ver1'!D:AC, 22,0)</f>
        <v>2220000</v>
      </c>
      <c r="E135" s="116">
        <f>VLOOKUP(B135,全年KPI!B:J, 9,0)</f>
        <v>60242000</v>
      </c>
      <c r="F135" s="2"/>
      <c r="G135" s="2"/>
    </row>
    <row r="136" spans="1:7" ht="18.75" customHeight="1">
      <c r="A136" s="55" t="s">
        <v>33</v>
      </c>
      <c r="B136" s="56">
        <v>501</v>
      </c>
      <c r="C136" s="55" t="s">
        <v>192</v>
      </c>
      <c r="D136" s="115">
        <f>VLOOKUP(B136,'116目標底稿ver1'!D:AC, 22,0)</f>
        <v>2010000</v>
      </c>
      <c r="E136" s="116">
        <f>VLOOKUP(B136,全年KPI!B:J, 9,0)</f>
        <v>52056000</v>
      </c>
      <c r="F136" s="2"/>
      <c r="G136" s="2"/>
    </row>
    <row r="137" spans="1:7" ht="18.75" customHeight="1">
      <c r="A137" s="55" t="s">
        <v>33</v>
      </c>
      <c r="B137" s="56">
        <v>520</v>
      </c>
      <c r="C137" s="55" t="s">
        <v>193</v>
      </c>
      <c r="D137" s="115">
        <f>VLOOKUP(B137,'116目標底稿ver1'!D:AC, 22,0)</f>
        <v>2950000</v>
      </c>
      <c r="E137" s="116">
        <f>VLOOKUP(B137,全年KPI!B:J, 9,0)</f>
        <v>88067000</v>
      </c>
      <c r="F137" s="2"/>
      <c r="G137" s="2"/>
    </row>
    <row r="138" spans="1:7" ht="18.75" customHeight="1">
      <c r="A138" s="55" t="s">
        <v>33</v>
      </c>
      <c r="B138" s="56">
        <v>521</v>
      </c>
      <c r="C138" s="55" t="s">
        <v>194</v>
      </c>
      <c r="D138" s="115">
        <f>VLOOKUP(B138,'116目標底稿ver1'!D:AC, 22,0)</f>
        <v>4720000</v>
      </c>
      <c r="E138" s="116">
        <f>VLOOKUP(B138,全年KPI!B:J, 9,0)</f>
        <v>113374000</v>
      </c>
      <c r="F138" s="2"/>
      <c r="G138" s="2"/>
    </row>
    <row r="139" spans="1:7" ht="18.75" customHeight="1">
      <c r="A139" s="55" t="s">
        <v>33</v>
      </c>
      <c r="B139" s="56">
        <v>522</v>
      </c>
      <c r="C139" s="55" t="s">
        <v>42</v>
      </c>
      <c r="D139" s="115">
        <f>VLOOKUP(B139,'116目標底稿ver1'!D:AC, 22,0)</f>
        <v>4340000</v>
      </c>
      <c r="E139" s="116">
        <f>VLOOKUP(B139,全年KPI!B:J, 9,0)</f>
        <v>111760000</v>
      </c>
      <c r="F139" s="2"/>
      <c r="G139" s="2"/>
    </row>
    <row r="140" spans="1:7" ht="18.75" customHeight="1">
      <c r="A140" s="55" t="s">
        <v>33</v>
      </c>
      <c r="B140" s="56">
        <v>523</v>
      </c>
      <c r="C140" s="55" t="s">
        <v>104</v>
      </c>
      <c r="D140" s="115">
        <f>VLOOKUP(B140,'116目標底稿ver1'!D:AC, 22,0)</f>
        <v>2630000</v>
      </c>
      <c r="E140" s="116">
        <f>VLOOKUP(B140,全年KPI!B:J, 9,0)</f>
        <v>66651000</v>
      </c>
      <c r="F140" s="2"/>
      <c r="G140" s="2"/>
    </row>
    <row r="141" spans="1:7" ht="18.75" customHeight="1">
      <c r="A141" s="55" t="s">
        <v>33</v>
      </c>
      <c r="B141" s="56">
        <v>524</v>
      </c>
      <c r="C141" s="55" t="s">
        <v>43</v>
      </c>
      <c r="D141" s="115">
        <f>VLOOKUP(B141,'116目標底稿ver1'!D:AC, 22,0)</f>
        <v>2170000</v>
      </c>
      <c r="E141" s="116">
        <f>VLOOKUP(B141,全年KPI!B:J, 9,0)</f>
        <v>54718000</v>
      </c>
      <c r="F141" s="2"/>
      <c r="G141" s="2"/>
    </row>
    <row r="142" spans="1:7" ht="18.75" customHeight="1">
      <c r="A142" s="55" t="s">
        <v>33</v>
      </c>
      <c r="B142" s="56">
        <v>540</v>
      </c>
      <c r="C142" s="55" t="s">
        <v>44</v>
      </c>
      <c r="D142" s="115">
        <f>VLOOKUP(B142,'116目標底稿ver1'!D:AC, 22,0)</f>
        <v>1870000</v>
      </c>
      <c r="E142" s="116">
        <f>VLOOKUP(B142,全年KPI!B:J, 9,0)</f>
        <v>43025000</v>
      </c>
      <c r="F142" s="2"/>
      <c r="G142" s="2"/>
    </row>
    <row r="143" spans="1:7" ht="18.75" customHeight="1">
      <c r="A143" s="55" t="s">
        <v>33</v>
      </c>
      <c r="B143" s="56">
        <v>541</v>
      </c>
      <c r="C143" s="55" t="s">
        <v>105</v>
      </c>
      <c r="D143" s="115">
        <f>VLOOKUP(B143,'116目標底稿ver1'!D:AC, 22,0)</f>
        <v>2670000</v>
      </c>
      <c r="E143" s="116">
        <f>VLOOKUP(B143,全年KPI!B:J, 9,0)</f>
        <v>66949000</v>
      </c>
      <c r="F143" s="2"/>
      <c r="G143" s="2"/>
    </row>
    <row r="144" spans="1:7" ht="18.75" customHeight="1">
      <c r="A144" s="55" t="s">
        <v>33</v>
      </c>
      <c r="B144" s="56">
        <v>542</v>
      </c>
      <c r="C144" s="55" t="s">
        <v>45</v>
      </c>
      <c r="D144" s="115">
        <f>VLOOKUP(B144,'116目標底稿ver1'!D:AC, 22,0)</f>
        <v>1770000</v>
      </c>
      <c r="E144" s="116">
        <f>VLOOKUP(B144,全年KPI!B:J, 9,0)</f>
        <v>45186000</v>
      </c>
      <c r="F144" s="2"/>
      <c r="G144" s="2"/>
    </row>
    <row r="145" spans="1:7" ht="18.75" customHeight="1">
      <c r="A145" s="55" t="s">
        <v>33</v>
      </c>
      <c r="B145" s="56">
        <v>600</v>
      </c>
      <c r="C145" s="55" t="s">
        <v>46</v>
      </c>
      <c r="D145" s="115">
        <f>VLOOKUP(B145,'116目標底稿ver1'!D:AC, 22,0)</f>
        <v>2670000</v>
      </c>
      <c r="E145" s="116">
        <f>VLOOKUP(B145,全年KPI!B:J, 9,0)</f>
        <v>72319000</v>
      </c>
      <c r="F145" s="2"/>
      <c r="G145" s="2"/>
    </row>
    <row r="146" spans="1:7" ht="18.75" customHeight="1">
      <c r="A146" s="55" t="s">
        <v>33</v>
      </c>
      <c r="B146" s="56">
        <v>601</v>
      </c>
      <c r="C146" s="55" t="s">
        <v>195</v>
      </c>
      <c r="D146" s="115">
        <f>VLOOKUP(B146,'116目標底稿ver1'!D:AC, 22,0)</f>
        <v>2590000</v>
      </c>
      <c r="E146" s="116">
        <f>VLOOKUP(B146,全年KPI!B:J, 9,0)</f>
        <v>68073000</v>
      </c>
      <c r="F146" s="2"/>
      <c r="G146" s="2"/>
    </row>
    <row r="147" spans="1:7" ht="18.75" customHeight="1">
      <c r="A147" s="55" t="s">
        <v>33</v>
      </c>
      <c r="B147" s="56">
        <v>602</v>
      </c>
      <c r="C147" s="55" t="s">
        <v>47</v>
      </c>
      <c r="D147" s="115">
        <f>VLOOKUP(B147,'116目標底稿ver1'!D:AC, 22,0)</f>
        <v>1750000</v>
      </c>
      <c r="E147" s="116">
        <f>VLOOKUP(B147,全年KPI!B:J, 9,0)</f>
        <v>46599000</v>
      </c>
      <c r="F147" s="2"/>
      <c r="G147" s="2"/>
    </row>
    <row r="148" spans="1:7" ht="18.75" customHeight="1">
      <c r="A148" s="55" t="s">
        <v>48</v>
      </c>
      <c r="B148" s="56">
        <v>620</v>
      </c>
      <c r="C148" s="55" t="s">
        <v>106</v>
      </c>
      <c r="D148" s="115">
        <f>VLOOKUP(B148,'116目標底稿ver1'!D:AC, 22,0)</f>
        <v>2490000</v>
      </c>
      <c r="E148" s="116">
        <f>VLOOKUP(B148,全年KPI!B:J, 9,0)</f>
        <v>59541000</v>
      </c>
      <c r="F148" s="2"/>
      <c r="G148" s="2"/>
    </row>
    <row r="149" spans="1:7" ht="18.75" customHeight="1">
      <c r="A149" s="55" t="s">
        <v>48</v>
      </c>
      <c r="B149" s="56">
        <v>621</v>
      </c>
      <c r="C149" s="55" t="s">
        <v>49</v>
      </c>
      <c r="D149" s="115">
        <f>VLOOKUP(B149,'116目標底稿ver1'!D:AC, 22,0)</f>
        <v>3220000</v>
      </c>
      <c r="E149" s="116">
        <f>VLOOKUP(B149,全年KPI!B:J, 9,0)</f>
        <v>81851000</v>
      </c>
      <c r="F149" s="2"/>
      <c r="G149" s="2"/>
    </row>
    <row r="150" spans="1:7" ht="18.75" customHeight="1">
      <c r="A150" s="55" t="s">
        <v>48</v>
      </c>
      <c r="B150" s="56">
        <v>622</v>
      </c>
      <c r="C150" s="55" t="s">
        <v>107</v>
      </c>
      <c r="D150" s="115">
        <f>VLOOKUP(B150,'116目標底稿ver1'!D:AC, 22,0)</f>
        <v>2500000</v>
      </c>
      <c r="E150" s="116">
        <f>VLOOKUP(B150,全年KPI!B:J, 9,0)</f>
        <v>72492000</v>
      </c>
      <c r="F150" s="2"/>
      <c r="G150" s="2"/>
    </row>
    <row r="151" spans="1:7" ht="18.75" customHeight="1">
      <c r="A151" s="55" t="s">
        <v>48</v>
      </c>
      <c r="B151" s="56">
        <v>640</v>
      </c>
      <c r="C151" s="55" t="s">
        <v>50</v>
      </c>
      <c r="D151" s="115">
        <f>VLOOKUP(B151,'116目標底稿ver1'!D:AC, 22,0)</f>
        <v>3780000</v>
      </c>
      <c r="E151" s="116">
        <f>VLOOKUP(B151,全年KPI!B:J, 9,0)</f>
        <v>97464000</v>
      </c>
      <c r="F151" s="2"/>
      <c r="G151" s="2"/>
    </row>
    <row r="152" spans="1:7" ht="18.75" customHeight="1">
      <c r="A152" s="55" t="s">
        <v>48</v>
      </c>
      <c r="B152" s="56">
        <v>642</v>
      </c>
      <c r="C152" s="55" t="s">
        <v>196</v>
      </c>
      <c r="D152" s="115">
        <f>VLOOKUP(B152,'116目標底稿ver1'!D:AC, 22,0)</f>
        <v>3280000</v>
      </c>
      <c r="E152" s="116">
        <f>VLOOKUP(B152,全年KPI!B:J, 9,0)</f>
        <v>92189000</v>
      </c>
      <c r="F152" s="2"/>
      <c r="G152" s="2"/>
    </row>
    <row r="153" spans="1:7" ht="18.75" customHeight="1">
      <c r="A153" s="55" t="s">
        <v>48</v>
      </c>
      <c r="B153" s="56">
        <v>643</v>
      </c>
      <c r="C153" s="55" t="s">
        <v>197</v>
      </c>
      <c r="D153" s="115">
        <f>VLOOKUP(B153,'116目標底稿ver1'!D:AC, 22,0)</f>
        <v>1910000</v>
      </c>
      <c r="E153" s="116">
        <f>VLOOKUP(B153,全年KPI!B:J, 9,0)</f>
        <v>48924000</v>
      </c>
      <c r="F153" s="2"/>
      <c r="G153" s="2"/>
    </row>
    <row r="154" spans="1:7" ht="18.75" customHeight="1">
      <c r="A154" s="55" t="s">
        <v>48</v>
      </c>
      <c r="B154" s="56">
        <v>644</v>
      </c>
      <c r="C154" s="55" t="s">
        <v>51</v>
      </c>
      <c r="D154" s="115">
        <f>VLOOKUP(B154,'116目標底稿ver1'!D:AC, 22,0)</f>
        <v>2460000</v>
      </c>
      <c r="E154" s="116">
        <f>VLOOKUP(B154,全年KPI!B:J, 9,0)</f>
        <v>69082000</v>
      </c>
      <c r="F154" s="2"/>
      <c r="G154" s="2"/>
    </row>
    <row r="155" spans="1:7" ht="18.75" customHeight="1">
      <c r="A155" s="55" t="s">
        <v>48</v>
      </c>
      <c r="B155" s="56">
        <v>645</v>
      </c>
      <c r="C155" s="55" t="s">
        <v>198</v>
      </c>
      <c r="D155" s="115">
        <f>VLOOKUP(B155,'116目標底稿ver1'!D:AC, 22,0)</f>
        <v>2760000</v>
      </c>
      <c r="E155" s="116">
        <f>VLOOKUP(B155,全年KPI!B:J, 9,0)</f>
        <v>68707000</v>
      </c>
      <c r="F155" s="2"/>
      <c r="G155" s="2"/>
    </row>
    <row r="156" spans="1:7" ht="18.75" customHeight="1">
      <c r="A156" s="55" t="s">
        <v>48</v>
      </c>
      <c r="B156" s="56">
        <v>646</v>
      </c>
      <c r="C156" s="55" t="s">
        <v>199</v>
      </c>
      <c r="D156" s="115">
        <f>VLOOKUP(B156,'116目標底稿ver1'!D:AC, 22,0)</f>
        <v>1960000</v>
      </c>
      <c r="E156" s="116">
        <f>VLOOKUP(B156,全年KPI!B:J, 9,0)</f>
        <v>46407000</v>
      </c>
      <c r="F156" s="2"/>
      <c r="G156" s="2"/>
    </row>
    <row r="157" spans="1:7" ht="18.75" customHeight="1">
      <c r="A157" s="55" t="s">
        <v>48</v>
      </c>
      <c r="B157" s="56">
        <v>647</v>
      </c>
      <c r="C157" s="55" t="s">
        <v>108</v>
      </c>
      <c r="D157" s="115">
        <f>VLOOKUP(B157,'116目標底稿ver1'!D:AC, 22,0)</f>
        <v>2660000</v>
      </c>
      <c r="E157" s="116">
        <f>VLOOKUP(B157,全年KPI!B:J, 9,0)</f>
        <v>61462000</v>
      </c>
      <c r="F157" s="2"/>
      <c r="G157" s="2"/>
    </row>
    <row r="158" spans="1:7" ht="18.75" customHeight="1">
      <c r="A158" s="55" t="s">
        <v>48</v>
      </c>
      <c r="B158" s="56">
        <v>648</v>
      </c>
      <c r="C158" s="55" t="s">
        <v>200</v>
      </c>
      <c r="D158" s="115">
        <f>VLOOKUP(B158,'116目標底稿ver1'!D:AC, 22,0)</f>
        <v>1970000</v>
      </c>
      <c r="E158" s="116">
        <f>VLOOKUP(B158,全年KPI!B:J, 9,0)</f>
        <v>47800000</v>
      </c>
      <c r="F158" s="2"/>
      <c r="G158" s="2"/>
    </row>
    <row r="159" spans="1:7" ht="18.75" customHeight="1">
      <c r="A159" s="55" t="s">
        <v>48</v>
      </c>
      <c r="B159" s="56">
        <v>681</v>
      </c>
      <c r="C159" s="55" t="s">
        <v>52</v>
      </c>
      <c r="D159" s="115">
        <f>VLOOKUP(B159,'116目標底稿ver1'!D:AC, 22,0)</f>
        <v>2350000</v>
      </c>
      <c r="E159" s="116">
        <f>VLOOKUP(B159,全年KPI!B:J, 9,0)</f>
        <v>53574000</v>
      </c>
      <c r="F159" s="2"/>
      <c r="G159" s="2"/>
    </row>
    <row r="160" spans="1:7" ht="18.75" customHeight="1">
      <c r="A160" s="55" t="s">
        <v>48</v>
      </c>
      <c r="B160" s="56">
        <v>700</v>
      </c>
      <c r="C160" s="55" t="s">
        <v>201</v>
      </c>
      <c r="D160" s="115">
        <f>VLOOKUP(B160,'116目標底稿ver1'!D:AC, 22,0)</f>
        <v>3190000</v>
      </c>
      <c r="E160" s="116">
        <f>VLOOKUP(B160,全年KPI!B:J, 9,0)</f>
        <v>86443000</v>
      </c>
      <c r="F160" s="2"/>
      <c r="G160" s="2"/>
    </row>
    <row r="161" spans="1:7" ht="18.75" customHeight="1">
      <c r="A161" s="55" t="s">
        <v>48</v>
      </c>
      <c r="B161" s="56">
        <v>701</v>
      </c>
      <c r="C161" s="55" t="s">
        <v>202</v>
      </c>
      <c r="D161" s="115">
        <f>VLOOKUP(B161,'116目標底稿ver1'!D:AC, 22,0)</f>
        <v>1890000</v>
      </c>
      <c r="E161" s="116">
        <f>VLOOKUP(B161,全年KPI!B:J, 9,0)</f>
        <v>44792000</v>
      </c>
      <c r="F161" s="2"/>
      <c r="G161" s="2"/>
    </row>
    <row r="162" spans="1:7" ht="18.75" customHeight="1">
      <c r="A162" s="55" t="s">
        <v>48</v>
      </c>
      <c r="B162" s="56">
        <v>702</v>
      </c>
      <c r="C162" s="55" t="s">
        <v>203</v>
      </c>
      <c r="D162" s="115">
        <f>VLOOKUP(B162,'116目標底稿ver1'!D:AC, 22,0)</f>
        <v>1700000</v>
      </c>
      <c r="E162" s="116">
        <f>VLOOKUP(B162,全年KPI!B:J, 9,0)</f>
        <v>65719000</v>
      </c>
      <c r="F162" s="2"/>
      <c r="G162" s="2"/>
    </row>
    <row r="163" spans="1:7" ht="18.75" customHeight="1">
      <c r="A163" s="55" t="s">
        <v>48</v>
      </c>
      <c r="B163" s="56">
        <v>703</v>
      </c>
      <c r="C163" s="55" t="s">
        <v>53</v>
      </c>
      <c r="D163" s="115">
        <f>VLOOKUP(B163,'116目標底稿ver1'!D:AC, 22,0)</f>
        <v>1580000</v>
      </c>
      <c r="E163" s="116">
        <f>VLOOKUP(B163,全年KPI!B:J, 9,0)</f>
        <v>46897000</v>
      </c>
      <c r="F163" s="2"/>
      <c r="G163" s="2"/>
    </row>
    <row r="164" spans="1:7" ht="18.75" customHeight="1">
      <c r="A164" s="55" t="s">
        <v>48</v>
      </c>
      <c r="B164" s="56">
        <v>704</v>
      </c>
      <c r="C164" s="55" t="s">
        <v>54</v>
      </c>
      <c r="D164" s="115">
        <f>VLOOKUP(B164,'116目標底稿ver1'!D:AC, 22,0)</f>
        <v>1640000</v>
      </c>
      <c r="E164" s="116">
        <f>VLOOKUP(B164,全年KPI!B:J, 9,0)</f>
        <v>44245000</v>
      </c>
      <c r="F164" s="2"/>
      <c r="G164" s="2"/>
    </row>
    <row r="165" spans="1:7" ht="18.75" customHeight="1">
      <c r="A165" s="55" t="s">
        <v>48</v>
      </c>
      <c r="B165" s="56">
        <v>705</v>
      </c>
      <c r="C165" s="55" t="s">
        <v>109</v>
      </c>
      <c r="D165" s="115">
        <f>VLOOKUP(B165,'116目標底稿ver1'!D:AC, 22,0)</f>
        <v>1590000</v>
      </c>
      <c r="E165" s="116">
        <f>VLOOKUP(B165,全年KPI!B:J, 9,0)</f>
        <v>38941000</v>
      </c>
      <c r="F165" s="2"/>
      <c r="G165" s="2"/>
    </row>
    <row r="166" spans="1:7" ht="18.75" customHeight="1">
      <c r="A166" s="55" t="s">
        <v>48</v>
      </c>
      <c r="B166" s="56">
        <v>706</v>
      </c>
      <c r="C166" s="55" t="s">
        <v>55</v>
      </c>
      <c r="D166" s="115">
        <f>VLOOKUP(B166,'116目標底稿ver1'!D:AC, 22,0)</f>
        <v>2210000</v>
      </c>
      <c r="E166" s="116">
        <f>VLOOKUP(B166,全年KPI!B:J, 9,0)</f>
        <v>61088000</v>
      </c>
      <c r="F166" s="2"/>
      <c r="G166" s="2"/>
    </row>
    <row r="167" spans="1:7" ht="18.75" customHeight="1">
      <c r="A167" s="55" t="s">
        <v>48</v>
      </c>
      <c r="B167" s="56">
        <v>707</v>
      </c>
      <c r="C167" s="55" t="s">
        <v>110</v>
      </c>
      <c r="D167" s="115">
        <f>VLOOKUP(B167,'116目標底稿ver1'!D:AC, 22,0)</f>
        <v>1370000</v>
      </c>
      <c r="E167" s="116">
        <f>VLOOKUP(B167,全年KPI!B:J, 9,0)</f>
        <v>36434000</v>
      </c>
      <c r="F167" s="2"/>
      <c r="G167" s="2"/>
    </row>
    <row r="168" spans="1:7" ht="18.75" customHeight="1">
      <c r="A168" s="55" t="s">
        <v>48</v>
      </c>
      <c r="B168" s="56">
        <v>708</v>
      </c>
      <c r="C168" s="55" t="s">
        <v>56</v>
      </c>
      <c r="D168" s="115">
        <f>VLOOKUP(B168,'116目標底稿ver1'!D:AC, 22,0)</f>
        <v>1810000</v>
      </c>
      <c r="E168" s="116">
        <f>VLOOKUP(B168,全年KPI!B:J, 9,0)</f>
        <v>51201000</v>
      </c>
      <c r="F168" s="2"/>
      <c r="G168" s="2"/>
    </row>
    <row r="169" spans="1:7" ht="18.75" customHeight="1">
      <c r="A169" s="55" t="s">
        <v>48</v>
      </c>
      <c r="B169" s="56">
        <v>709</v>
      </c>
      <c r="C169" s="55" t="s">
        <v>204</v>
      </c>
      <c r="D169" s="115">
        <f>VLOOKUP(B169,'116目標底稿ver1'!D:AC, 22,0)</f>
        <v>2120000</v>
      </c>
      <c r="E169" s="116">
        <f>VLOOKUP(B169,全年KPI!B:J, 9,0)</f>
        <v>56899000</v>
      </c>
      <c r="F169" s="2"/>
      <c r="G169" s="2"/>
    </row>
    <row r="170" spans="1:7" ht="18.75" customHeight="1">
      <c r="A170" s="55" t="s">
        <v>48</v>
      </c>
      <c r="B170" s="56">
        <v>710</v>
      </c>
      <c r="C170" s="55" t="s">
        <v>111</v>
      </c>
      <c r="D170" s="115">
        <f>VLOOKUP(B170,'116目標底稿ver1'!D:AC, 22,0)</f>
        <v>2590000</v>
      </c>
      <c r="E170" s="116">
        <f>VLOOKUP(B170,全年KPI!B:J, 9,0)</f>
        <v>65623000</v>
      </c>
      <c r="F170" s="2"/>
      <c r="G170" s="2"/>
    </row>
    <row r="171" spans="1:7" ht="18.75" customHeight="1">
      <c r="A171" s="55" t="s">
        <v>48</v>
      </c>
      <c r="B171" s="56">
        <v>711</v>
      </c>
      <c r="C171" s="55" t="s">
        <v>205</v>
      </c>
      <c r="D171" s="115">
        <f>VLOOKUP(B171,'116目標底稿ver1'!D:AC, 22,0)</f>
        <v>2060000</v>
      </c>
      <c r="E171" s="116">
        <f>VLOOKUP(B171,全年KPI!B:J, 9,0)</f>
        <v>50586000</v>
      </c>
      <c r="F171" s="2"/>
      <c r="G171" s="2"/>
    </row>
    <row r="172" spans="1:7" ht="18.75" customHeight="1">
      <c r="A172" s="55" t="s">
        <v>48</v>
      </c>
      <c r="B172" s="56">
        <v>712</v>
      </c>
      <c r="C172" s="55" t="s">
        <v>206</v>
      </c>
      <c r="D172" s="115">
        <f>VLOOKUP(B172,'116目標底稿ver1'!D:AC, 22,0)</f>
        <v>980000</v>
      </c>
      <c r="E172" s="116">
        <f>VLOOKUP(B172,全年KPI!B:J, 9,0)</f>
        <v>21435000</v>
      </c>
      <c r="F172" s="2"/>
      <c r="G172" s="2"/>
    </row>
    <row r="173" spans="1:7" ht="18.75" customHeight="1">
      <c r="A173" s="55" t="s">
        <v>48</v>
      </c>
      <c r="B173" s="56">
        <v>719</v>
      </c>
      <c r="C173" s="55" t="s">
        <v>59</v>
      </c>
      <c r="D173" s="115">
        <f>VLOOKUP(B173,'116目標底稿ver1'!D:AC, 22,0)</f>
        <v>2780000</v>
      </c>
      <c r="E173" s="116">
        <f>VLOOKUP(B173,全年KPI!B:J, 9,0)</f>
        <v>73492000</v>
      </c>
      <c r="F173" s="2"/>
      <c r="G173" s="2"/>
    </row>
    <row r="174" spans="1:7" ht="18.75" customHeight="1">
      <c r="A174" s="55" t="s">
        <v>48</v>
      </c>
      <c r="B174" s="56">
        <v>720</v>
      </c>
      <c r="C174" s="55" t="s">
        <v>112</v>
      </c>
      <c r="D174" s="115">
        <f>VLOOKUP(B174,'116目標底稿ver1'!D:AC, 22,0)</f>
        <v>2410000</v>
      </c>
      <c r="E174" s="116">
        <f>VLOOKUP(B174,全年KPI!B:J, 9,0)</f>
        <v>63298000</v>
      </c>
      <c r="F174" s="2"/>
      <c r="G174" s="2"/>
    </row>
    <row r="175" spans="1:7" ht="18.75" customHeight="1">
      <c r="A175" s="55" t="s">
        <v>48</v>
      </c>
      <c r="B175" s="56">
        <v>721</v>
      </c>
      <c r="C175" s="55" t="s">
        <v>60</v>
      </c>
      <c r="D175" s="115">
        <f>VLOOKUP(B175,'116目標底稿ver1'!D:AC, 22,0)</f>
        <v>2240000</v>
      </c>
      <c r="E175" s="116">
        <f>VLOOKUP(B175,全年KPI!B:J, 9,0)</f>
        <v>52719000</v>
      </c>
      <c r="F175" s="2"/>
      <c r="G175" s="2"/>
    </row>
    <row r="176" spans="1:7" ht="18.75" customHeight="1">
      <c r="A176" s="55" t="s">
        <v>48</v>
      </c>
      <c r="B176" s="56">
        <v>722</v>
      </c>
      <c r="C176" s="55" t="s">
        <v>61</v>
      </c>
      <c r="D176" s="115">
        <f>VLOOKUP(B176,'116目標底稿ver1'!D:AC, 22,0)</f>
        <v>1420000</v>
      </c>
      <c r="E176" s="116">
        <f>VLOOKUP(B176,全年KPI!B:J, 9,0)</f>
        <v>32148000</v>
      </c>
      <c r="F176" s="2"/>
      <c r="G176" s="2"/>
    </row>
    <row r="177" spans="1:7" ht="18.75" customHeight="1">
      <c r="A177" s="55" t="s">
        <v>48</v>
      </c>
      <c r="B177" s="56">
        <v>751</v>
      </c>
      <c r="C177" s="55" t="s">
        <v>62</v>
      </c>
      <c r="D177" s="115">
        <f>VLOOKUP(B177,'116目標底稿ver1'!D:AC, 22,0)</f>
        <v>1690000</v>
      </c>
      <c r="E177" s="116">
        <f>VLOOKUP(B177,全年KPI!B:J, 9,0)</f>
        <v>41526000</v>
      </c>
      <c r="F177" s="2"/>
      <c r="G177" s="2"/>
    </row>
    <row r="178" spans="1:7" ht="18.75" customHeight="1">
      <c r="A178" s="55" t="s">
        <v>48</v>
      </c>
      <c r="B178" s="56">
        <v>752</v>
      </c>
      <c r="C178" s="55" t="s">
        <v>63</v>
      </c>
      <c r="D178" s="115">
        <f>VLOOKUP(B178,'116目標底稿ver1'!D:AC, 22,0)</f>
        <v>2250000</v>
      </c>
      <c r="E178" s="116">
        <f>VLOOKUP(B178,全年KPI!B:J, 9,0)</f>
        <v>58109000</v>
      </c>
      <c r="F178" s="2"/>
      <c r="G178" s="2"/>
    </row>
    <row r="179" spans="1:7" ht="18.75" customHeight="1">
      <c r="A179" s="55" t="s">
        <v>48</v>
      </c>
      <c r="B179" s="56">
        <v>753</v>
      </c>
      <c r="C179" s="55" t="s">
        <v>207</v>
      </c>
      <c r="D179" s="115">
        <f>VLOOKUP(B179,'116目標底稿ver1'!D:AC, 22,0)</f>
        <v>1690000</v>
      </c>
      <c r="E179" s="116">
        <f>VLOOKUP(B179,全年KPI!B:J, 9,0)</f>
        <v>40959000</v>
      </c>
      <c r="F179" s="2"/>
      <c r="G179" s="2"/>
    </row>
    <row r="180" spans="1:7" ht="18.75" customHeight="1">
      <c r="A180" s="55" t="s">
        <v>48</v>
      </c>
      <c r="B180" s="56">
        <v>760</v>
      </c>
      <c r="C180" s="55" t="s">
        <v>64</v>
      </c>
      <c r="D180" s="115">
        <f>VLOOKUP(B180,'116目標底稿ver1'!D:AC, 22,0)</f>
        <v>3020000</v>
      </c>
      <c r="E180" s="116">
        <f>VLOOKUP(B180,全年KPI!B:J, 9,0)</f>
        <v>48175000</v>
      </c>
      <c r="F180" s="2"/>
      <c r="G180" s="2"/>
    </row>
    <row r="181" spans="1:7" ht="18.75" customHeight="1">
      <c r="A181" s="55" t="s">
        <v>48</v>
      </c>
      <c r="B181" s="56">
        <v>765</v>
      </c>
      <c r="C181" s="55" t="s">
        <v>65</v>
      </c>
      <c r="D181" s="115" t="e">
        <f>VLOOKUP(B181,'116目標底稿ver1'!D:AC, 22,0)</f>
        <v>#N/A</v>
      </c>
      <c r="E181" s="116">
        <f>VLOOKUP(B181,全年KPI!B:J, 9,0)</f>
        <v>36837000</v>
      </c>
      <c r="F181" s="2"/>
      <c r="G181" s="2"/>
    </row>
    <row r="182" spans="1:7" ht="18.75" customHeight="1">
      <c r="A182" s="55" t="s">
        <v>48</v>
      </c>
      <c r="B182" s="56">
        <v>800</v>
      </c>
      <c r="C182" s="55" t="s">
        <v>66</v>
      </c>
      <c r="D182" s="115">
        <f>VLOOKUP(B182,'116目標底稿ver1'!D:AC, 22,0)</f>
        <v>2210000</v>
      </c>
      <c r="E182" s="116">
        <f>VLOOKUP(B182,全年KPI!B:J, 9,0)</f>
        <v>59156000</v>
      </c>
      <c r="F182" s="2"/>
      <c r="G182" s="2"/>
    </row>
    <row r="183" spans="1:7" ht="18.75" customHeight="1">
      <c r="A183" s="55" t="s">
        <v>48</v>
      </c>
      <c r="B183" s="56">
        <v>801</v>
      </c>
      <c r="C183" s="55" t="s">
        <v>67</v>
      </c>
      <c r="D183" s="115">
        <f>VLOOKUP(B183,'116目標底稿ver1'!D:AC, 22,0)</f>
        <v>3000000</v>
      </c>
      <c r="E183" s="116">
        <f>VLOOKUP(B183,全年KPI!B:J, 9,0)</f>
        <v>86722000</v>
      </c>
      <c r="F183" s="2"/>
      <c r="G183" s="2"/>
    </row>
    <row r="184" spans="1:7" ht="18.75" customHeight="1">
      <c r="A184" s="55" t="s">
        <v>48</v>
      </c>
      <c r="B184" s="56">
        <v>802</v>
      </c>
      <c r="C184" s="55" t="s">
        <v>68</v>
      </c>
      <c r="D184" s="115">
        <f>VLOOKUP(B184,'116目標底稿ver1'!D:AC, 22,0)</f>
        <v>3260000</v>
      </c>
      <c r="E184" s="116">
        <f>VLOOKUP(B184,全年KPI!B:J, 9,0)</f>
        <v>53449000</v>
      </c>
      <c r="F184" s="2"/>
      <c r="G184" s="2"/>
    </row>
    <row r="185" spans="1:7" ht="18.75" customHeight="1">
      <c r="A185" s="55" t="s">
        <v>48</v>
      </c>
      <c r="B185" s="56">
        <v>813</v>
      </c>
      <c r="C185" s="55" t="s">
        <v>69</v>
      </c>
      <c r="D185" s="115" t="e">
        <f>VLOOKUP(B185,'116目標底稿ver1'!D:AC, 22,0)</f>
        <v>#N/A</v>
      </c>
      <c r="E185" s="116">
        <f>VLOOKUP(B185,全年KPI!B:J, 9,0)</f>
        <v>39316000</v>
      </c>
      <c r="F185" s="2"/>
      <c r="G185" s="2"/>
    </row>
    <row r="186" spans="1:7" ht="18.75" customHeight="1">
      <c r="A186" s="55" t="s">
        <v>7</v>
      </c>
      <c r="B186" s="56">
        <v>820</v>
      </c>
      <c r="C186" s="55" t="s">
        <v>70</v>
      </c>
      <c r="D186" s="115">
        <f>VLOOKUP(B186,'116目標底稿ver1'!D:AC, 22,0)</f>
        <v>1880000</v>
      </c>
      <c r="E186" s="116">
        <f>VLOOKUP(B186,全年KPI!B:J, 9,0)</f>
        <v>55601000</v>
      </c>
      <c r="F186" s="2"/>
      <c r="G186" s="2"/>
    </row>
    <row r="187" spans="1:7" ht="18.75" customHeight="1">
      <c r="A187" s="55" t="s">
        <v>48</v>
      </c>
      <c r="B187" s="56">
        <v>830</v>
      </c>
      <c r="C187" s="55" t="s">
        <v>71</v>
      </c>
      <c r="D187" s="115">
        <f>VLOOKUP(B187,'116目標底稿ver1'!D:AC, 22,0)</f>
        <v>1740000</v>
      </c>
      <c r="E187" s="116">
        <f>VLOOKUP(B187,全年KPI!B:J, 9,0)</f>
        <v>36606000</v>
      </c>
      <c r="F187" s="2"/>
      <c r="G187" s="2"/>
    </row>
    <row r="188" spans="1:7" ht="18.75" customHeight="1">
      <c r="A188" s="55" t="s">
        <v>400</v>
      </c>
      <c r="B188" s="56">
        <v>888</v>
      </c>
      <c r="C188" s="55" t="s">
        <v>209</v>
      </c>
      <c r="D188" s="115">
        <f>VLOOKUP(B188,'116目標底稿ver1'!D:AC, 22,0)</f>
        <v>1060000</v>
      </c>
      <c r="E188" s="116">
        <f>VLOOKUP(B188,全年KPI!B:J, 9,0)</f>
        <v>16526000</v>
      </c>
      <c r="F188" s="2"/>
      <c r="G188" s="2"/>
    </row>
    <row r="189" spans="1:7" ht="18.75" customHeight="1">
      <c r="A189" s="527" t="s">
        <v>0</v>
      </c>
      <c r="B189" s="527"/>
      <c r="C189" s="55" t="s">
        <v>72</v>
      </c>
      <c r="D189" s="116">
        <f>SUMIF($A$4:$A$188,A189,$D$4:$D$188)</f>
        <v>113390000</v>
      </c>
      <c r="E189" s="116">
        <f>SUMIF($A$4:$A$188,A189,$E$4:$E$188)</f>
        <v>2857400000</v>
      </c>
    </row>
    <row r="190" spans="1:7" ht="18.75" customHeight="1">
      <c r="A190" s="527" t="s">
        <v>7</v>
      </c>
      <c r="B190" s="527"/>
      <c r="C190" s="55" t="s">
        <v>72</v>
      </c>
      <c r="D190" s="116">
        <f t="shared" ref="D190:D193" si="0">SUMIF($A$4:$A$188,A190,$D$4:$D$188)</f>
        <v>87520000</v>
      </c>
      <c r="E190" s="116">
        <f>SUMIF($A$4:$A$188,A190,$E$4:$E$188)</f>
        <v>2333907000</v>
      </c>
    </row>
    <row r="191" spans="1:7" ht="18.75" customHeight="1">
      <c r="A191" s="527" t="s">
        <v>211</v>
      </c>
      <c r="B191" s="527"/>
      <c r="C191" s="55" t="s">
        <v>72</v>
      </c>
      <c r="D191" s="116">
        <f t="shared" si="0"/>
        <v>71300000</v>
      </c>
      <c r="E191" s="116">
        <f>SUMIF($A$4:$A$188,A191,$E$4:$E$188)</f>
        <v>1843493000</v>
      </c>
    </row>
    <row r="192" spans="1:7" ht="18.75" customHeight="1">
      <c r="A192" s="527" t="s">
        <v>33</v>
      </c>
      <c r="B192" s="527"/>
      <c r="C192" s="55" t="s">
        <v>72</v>
      </c>
      <c r="D192" s="116">
        <f t="shared" si="0"/>
        <v>79180000</v>
      </c>
      <c r="E192" s="116">
        <f>SUMIF($A$4:$A$188,A192,$E$4:$E$188)</f>
        <v>2110329000</v>
      </c>
    </row>
    <row r="193" spans="1:5" ht="18.75" customHeight="1">
      <c r="A193" s="527" t="s">
        <v>48</v>
      </c>
      <c r="B193" s="527"/>
      <c r="C193" s="55" t="s">
        <v>72</v>
      </c>
      <c r="D193" s="116" t="e">
        <f t="shared" si="0"/>
        <v>#N/A</v>
      </c>
      <c r="E193" s="116">
        <f>SUMIF($A$4:$A$188,A193,$E$4:$E$188)</f>
        <v>2192308000</v>
      </c>
    </row>
    <row r="194" spans="1:5" s="39" customFormat="1" ht="18.75" customHeight="1">
      <c r="A194" s="526" t="s">
        <v>422</v>
      </c>
      <c r="B194" s="526"/>
      <c r="C194" s="526"/>
      <c r="D194" s="117" t="e">
        <f>SUM(D189:D193)</f>
        <v>#N/A</v>
      </c>
      <c r="E194" s="117">
        <f>SUM(E189:E193)</f>
        <v>11337437000</v>
      </c>
    </row>
    <row r="195" spans="1:5" ht="16.5" customHeight="1">
      <c r="A195" s="186"/>
      <c r="B195" s="186"/>
      <c r="C195" s="186"/>
    </row>
  </sheetData>
  <mergeCells count="7">
    <mergeCell ref="A1:D1"/>
    <mergeCell ref="A194:C194"/>
    <mergeCell ref="A189:B189"/>
    <mergeCell ref="A193:B193"/>
    <mergeCell ref="A190:B190"/>
    <mergeCell ref="A191:B191"/>
    <mergeCell ref="A192:B192"/>
  </mergeCells>
  <phoneticPr fontId="13" type="noConversion"/>
  <printOptions horizontalCentered="1"/>
  <pageMargins left="0.55118110236220474" right="0.55118110236220474" top="0.78740157480314965" bottom="0.78740157480314965" header="0.51181102362204722" footer="0.39370078740157483"/>
  <pageSetup paperSize="9" fitToHeight="6" orientation="portrait" r:id="rId2"/>
  <headerFooter alignWithMargins="0">
    <oddHeader xml:space="preserve">&amp;R&amp;"標楷體,標準"附件四 </oddHeader>
    <oddFooter>&amp;C&amp;"標楷體,標準"第 &amp;P 頁，共 &amp;N 頁</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95"/>
  <sheetViews>
    <sheetView view="pageBreakPreview" zoomScale="115" zoomScaleNormal="100" zoomScaleSheetLayoutView="115" workbookViewId="0">
      <selection activeCell="D15" sqref="D15"/>
    </sheetView>
  </sheetViews>
  <sheetFormatPr defaultRowHeight="16.5"/>
  <cols>
    <col min="1" max="1" width="21.875" style="45" customWidth="1"/>
    <col min="2" max="3" width="21.875" customWidth="1"/>
    <col min="4" max="4" width="23.75" style="18" bestFit="1" customWidth="1"/>
    <col min="5" max="5" width="9.5" bestFit="1" customWidth="1"/>
    <col min="7" max="7" width="10.125" bestFit="1" customWidth="1"/>
    <col min="8" max="8" width="17.125" bestFit="1" customWidth="1"/>
  </cols>
  <sheetData>
    <row r="1" spans="1:8" ht="25.5" customHeight="1">
      <c r="A1" s="519" t="s">
        <v>1860</v>
      </c>
      <c r="B1" s="519"/>
      <c r="C1" s="519"/>
      <c r="D1" s="519"/>
    </row>
    <row r="2" spans="1:8" ht="17.100000000000001" customHeight="1">
      <c r="B2" s="45"/>
      <c r="C2" s="45"/>
      <c r="D2" s="118" t="s">
        <v>409</v>
      </c>
      <c r="E2" s="141"/>
    </row>
    <row r="3" spans="1:8" ht="46.5" customHeight="1">
      <c r="A3" s="51" t="s">
        <v>414</v>
      </c>
      <c r="B3" s="52" t="s">
        <v>421</v>
      </c>
      <c r="C3" s="53" t="s">
        <v>129</v>
      </c>
      <c r="D3" s="54" t="s">
        <v>1604</v>
      </c>
      <c r="G3" s="239" t="s">
        <v>1263</v>
      </c>
      <c r="H3" t="s">
        <v>1280</v>
      </c>
    </row>
    <row r="4" spans="1:8" ht="18.75" customHeight="1">
      <c r="A4" s="55" t="s">
        <v>0</v>
      </c>
      <c r="B4" s="56">
        <v>100</v>
      </c>
      <c r="C4" s="55" t="s">
        <v>131</v>
      </c>
      <c r="D4" s="115">
        <f>VLOOKUP(B4,'116目標底稿ver1'!D:AC, 26,0)</f>
        <v>71516500</v>
      </c>
      <c r="E4" s="2"/>
      <c r="F4" s="2"/>
      <c r="G4" s="240" t="s">
        <v>0</v>
      </c>
      <c r="H4">
        <v>46</v>
      </c>
    </row>
    <row r="5" spans="1:8" ht="18.75" customHeight="1">
      <c r="A5" s="55" t="s">
        <v>0</v>
      </c>
      <c r="B5" s="56">
        <v>101</v>
      </c>
      <c r="C5" s="55" t="s">
        <v>132</v>
      </c>
      <c r="D5" s="115">
        <f>VLOOKUP(B5,'116目標底稿ver1'!D:AC, 26,0)</f>
        <v>19954000</v>
      </c>
      <c r="E5" s="2"/>
      <c r="F5" s="2"/>
      <c r="G5" s="240" t="s">
        <v>7</v>
      </c>
      <c r="H5">
        <v>36</v>
      </c>
    </row>
    <row r="6" spans="1:8" ht="18.75" customHeight="1">
      <c r="A6" s="55" t="s">
        <v>0</v>
      </c>
      <c r="B6" s="56">
        <v>103</v>
      </c>
      <c r="C6" s="55" t="s">
        <v>133</v>
      </c>
      <c r="D6" s="115">
        <f>VLOOKUP(B6,'116目標底稿ver1'!D:AC, 26,0)</f>
        <v>25311000.000000004</v>
      </c>
      <c r="E6" s="2"/>
      <c r="F6" s="2"/>
      <c r="G6" s="240" t="s">
        <v>11</v>
      </c>
      <c r="H6">
        <v>33</v>
      </c>
    </row>
    <row r="7" spans="1:8" ht="18.75" customHeight="1">
      <c r="A7" s="55" t="s">
        <v>0</v>
      </c>
      <c r="B7" s="56">
        <v>104</v>
      </c>
      <c r="C7" s="55" t="s">
        <v>134</v>
      </c>
      <c r="D7" s="115">
        <f>VLOOKUP(B7,'116目標底稿ver1'!D:AC, 26,0)</f>
        <v>51975000.000000007</v>
      </c>
      <c r="E7" s="2"/>
      <c r="F7" s="2"/>
      <c r="G7" s="240" t="s">
        <v>33</v>
      </c>
      <c r="H7">
        <v>31</v>
      </c>
    </row>
    <row r="8" spans="1:8" ht="18.75" customHeight="1">
      <c r="A8" s="55" t="s">
        <v>0</v>
      </c>
      <c r="B8" s="56">
        <v>105</v>
      </c>
      <c r="C8" s="55" t="s">
        <v>135</v>
      </c>
      <c r="D8" s="115">
        <f>VLOOKUP(B8,'116目標底稿ver1'!D:AC, 26,0)</f>
        <v>31388500.000000004</v>
      </c>
      <c r="E8" s="2"/>
      <c r="F8" s="2"/>
      <c r="G8" s="240" t="s">
        <v>48</v>
      </c>
      <c r="H8">
        <v>39</v>
      </c>
    </row>
    <row r="9" spans="1:8" ht="18.75" customHeight="1">
      <c r="A9" s="55" t="s">
        <v>0</v>
      </c>
      <c r="B9" s="56">
        <v>106</v>
      </c>
      <c r="C9" s="55" t="s">
        <v>136</v>
      </c>
      <c r="D9" s="115">
        <f>VLOOKUP(B9,'116目標底稿ver1'!D:AC, 26,0)</f>
        <v>53729500.000000007</v>
      </c>
      <c r="E9" s="2"/>
      <c r="F9" s="2"/>
      <c r="G9" s="240" t="s">
        <v>208</v>
      </c>
      <c r="H9">
        <v>185</v>
      </c>
    </row>
    <row r="10" spans="1:8" ht="18.75" customHeight="1">
      <c r="A10" s="55" t="s">
        <v>0</v>
      </c>
      <c r="B10" s="56">
        <v>107</v>
      </c>
      <c r="C10" s="55" t="s">
        <v>73</v>
      </c>
      <c r="D10" s="115">
        <f>VLOOKUP(B10,'116目標底稿ver1'!D:AC, 26,0)</f>
        <v>81251500</v>
      </c>
      <c r="E10" s="2"/>
      <c r="F10" s="2"/>
    </row>
    <row r="11" spans="1:8" ht="18.75" customHeight="1">
      <c r="A11" s="55" t="s">
        <v>0</v>
      </c>
      <c r="B11" s="56">
        <v>108</v>
      </c>
      <c r="C11" s="55" t="s">
        <v>1</v>
      </c>
      <c r="D11" s="115">
        <f>VLOOKUP(B11,'116目標底稿ver1'!D:AC, 26,0)</f>
        <v>88495000</v>
      </c>
      <c r="E11" s="2"/>
      <c r="F11" s="2"/>
    </row>
    <row r="12" spans="1:8" ht="18.75" customHeight="1">
      <c r="A12" s="55" t="s">
        <v>0</v>
      </c>
      <c r="B12" s="56">
        <v>109</v>
      </c>
      <c r="C12" s="55" t="s">
        <v>2</v>
      </c>
      <c r="D12" s="115">
        <f>VLOOKUP(B12,'116目標底稿ver1'!D:AC, 26,0)</f>
        <v>20993500</v>
      </c>
      <c r="E12" s="2"/>
      <c r="F12" s="2"/>
    </row>
    <row r="13" spans="1:8" ht="18.75" customHeight="1">
      <c r="A13" s="55" t="s">
        <v>0</v>
      </c>
      <c r="B13" s="56">
        <v>110</v>
      </c>
      <c r="C13" s="55" t="s">
        <v>74</v>
      </c>
      <c r="D13" s="115">
        <f>VLOOKUP(B13,'116目標底稿ver1'!D:AC, 26,0)</f>
        <v>32565500.000000004</v>
      </c>
      <c r="E13" s="2"/>
      <c r="F13" s="2"/>
    </row>
    <row r="14" spans="1:8" ht="18.75" customHeight="1">
      <c r="A14" s="55" t="s">
        <v>0</v>
      </c>
      <c r="B14" s="56">
        <v>111</v>
      </c>
      <c r="C14" s="55" t="s">
        <v>75</v>
      </c>
      <c r="D14" s="115">
        <f>VLOOKUP(B14,'116目標底稿ver1'!D:AC, 26,0)</f>
        <v>69811500</v>
      </c>
      <c r="E14" s="2"/>
      <c r="F14" s="2"/>
    </row>
    <row r="15" spans="1:8" ht="18.75" customHeight="1">
      <c r="A15" s="55" t="s">
        <v>0</v>
      </c>
      <c r="B15" s="56">
        <v>112</v>
      </c>
      <c r="C15" s="55" t="s">
        <v>137</v>
      </c>
      <c r="D15" s="115">
        <f>VLOOKUP(B15,'116目標底稿ver1'!D:AC, 26,0)</f>
        <v>46975500.000000007</v>
      </c>
      <c r="E15" s="2"/>
      <c r="F15" s="2"/>
    </row>
    <row r="16" spans="1:8" ht="18.75" customHeight="1">
      <c r="A16" s="55" t="s">
        <v>0</v>
      </c>
      <c r="B16" s="56">
        <v>113</v>
      </c>
      <c r="C16" s="55" t="s">
        <v>3</v>
      </c>
      <c r="D16" s="115">
        <f>VLOOKUP(B16,'116目標底稿ver1'!D:AC, 26,0)</f>
        <v>56452000.000000007</v>
      </c>
      <c r="E16" s="2"/>
      <c r="F16" s="2"/>
    </row>
    <row r="17" spans="1:6" ht="18.75" customHeight="1">
      <c r="A17" s="55" t="s">
        <v>0</v>
      </c>
      <c r="B17" s="56">
        <v>114</v>
      </c>
      <c r="C17" s="55" t="s">
        <v>138</v>
      </c>
      <c r="D17" s="115">
        <f>VLOOKUP(B17,'116目標底稿ver1'!D:AC, 26,0)</f>
        <v>45694000</v>
      </c>
      <c r="E17" s="2"/>
      <c r="F17" s="2"/>
    </row>
    <row r="18" spans="1:6" ht="18.75" customHeight="1">
      <c r="A18" s="55" t="s">
        <v>0</v>
      </c>
      <c r="B18" s="56">
        <v>115</v>
      </c>
      <c r="C18" s="55" t="s">
        <v>139</v>
      </c>
      <c r="D18" s="115">
        <f>VLOOKUP(B18,'116目標底稿ver1'!D:AC, 26,0)</f>
        <v>30162000.000000004</v>
      </c>
      <c r="E18" s="2"/>
      <c r="F18" s="2"/>
    </row>
    <row r="19" spans="1:6" ht="18.75" customHeight="1">
      <c r="A19" s="55" t="s">
        <v>0</v>
      </c>
      <c r="B19" s="56">
        <v>116</v>
      </c>
      <c r="C19" s="55" t="s">
        <v>140</v>
      </c>
      <c r="D19" s="115">
        <f>VLOOKUP(B19,'116目標底稿ver1'!D:AC, 26,0)</f>
        <v>27593500.000000004</v>
      </c>
      <c r="E19" s="2"/>
      <c r="F19" s="2"/>
    </row>
    <row r="20" spans="1:6" ht="18.75" customHeight="1">
      <c r="A20" s="55" t="s">
        <v>0</v>
      </c>
      <c r="B20" s="56">
        <v>117</v>
      </c>
      <c r="C20" s="55" t="s">
        <v>399</v>
      </c>
      <c r="D20" s="115">
        <f>VLOOKUP(B20,'116目標底稿ver1'!D:AC, 26,0)</f>
        <v>48455000.000000007</v>
      </c>
      <c r="E20" s="2"/>
      <c r="F20" s="2"/>
    </row>
    <row r="21" spans="1:6" ht="18.75" customHeight="1">
      <c r="A21" s="55" t="s">
        <v>0</v>
      </c>
      <c r="B21" s="56">
        <v>118</v>
      </c>
      <c r="C21" s="55" t="s">
        <v>141</v>
      </c>
      <c r="D21" s="115">
        <f>VLOOKUP(B21,'116目標底稿ver1'!D:AC, 26,0)</f>
        <v>39374500</v>
      </c>
      <c r="E21" s="2"/>
      <c r="F21" s="2"/>
    </row>
    <row r="22" spans="1:6" ht="18.75" customHeight="1">
      <c r="A22" s="55" t="s">
        <v>0</v>
      </c>
      <c r="B22" s="56">
        <v>119</v>
      </c>
      <c r="C22" s="55" t="s">
        <v>76</v>
      </c>
      <c r="D22" s="115">
        <f>VLOOKUP(B22,'116目標底稿ver1'!D:AC, 26,0)</f>
        <v>29172000.000000004</v>
      </c>
      <c r="E22" s="2"/>
      <c r="F22" s="2"/>
    </row>
    <row r="23" spans="1:6" ht="18.75" customHeight="1">
      <c r="A23" s="55" t="s">
        <v>0</v>
      </c>
      <c r="B23" s="56">
        <v>120</v>
      </c>
      <c r="C23" s="55" t="s">
        <v>142</v>
      </c>
      <c r="D23" s="115">
        <f>VLOOKUP(B23,'116目標底稿ver1'!D:AC, 26,0)</f>
        <v>57832500.000000007</v>
      </c>
      <c r="E23" s="2"/>
      <c r="F23" s="2"/>
    </row>
    <row r="24" spans="1:6" ht="18.75" customHeight="1">
      <c r="A24" s="55" t="s">
        <v>0</v>
      </c>
      <c r="B24" s="56">
        <v>121</v>
      </c>
      <c r="C24" s="55" t="s">
        <v>4</v>
      </c>
      <c r="D24" s="115">
        <f>VLOOKUP(B24,'116目標底稿ver1'!D:AC, 26,0)</f>
        <v>40843000</v>
      </c>
      <c r="E24" s="2"/>
      <c r="F24" s="2"/>
    </row>
    <row r="25" spans="1:6" ht="18.75" customHeight="1">
      <c r="A25" s="55" t="s">
        <v>0</v>
      </c>
      <c r="B25" s="56">
        <v>122</v>
      </c>
      <c r="C25" s="55" t="s">
        <v>77</v>
      </c>
      <c r="D25" s="115">
        <f>VLOOKUP(B25,'116目標底稿ver1'!D:AC, 26,0)</f>
        <v>48587000.000000007</v>
      </c>
      <c r="E25" s="2"/>
      <c r="F25" s="2"/>
    </row>
    <row r="26" spans="1:6" ht="18.75" customHeight="1">
      <c r="A26" s="55" t="s">
        <v>0</v>
      </c>
      <c r="B26" s="56">
        <v>123</v>
      </c>
      <c r="C26" s="55" t="s">
        <v>5</v>
      </c>
      <c r="D26" s="115">
        <f>VLOOKUP(B26,'116目標底稿ver1'!D:AC, 26,0)</f>
        <v>56628000.000000007</v>
      </c>
      <c r="E26" s="2"/>
      <c r="F26" s="2"/>
    </row>
    <row r="27" spans="1:6" ht="18.75" customHeight="1">
      <c r="A27" s="55" t="s">
        <v>0</v>
      </c>
      <c r="B27" s="56">
        <v>124</v>
      </c>
      <c r="C27" s="55" t="s">
        <v>143</v>
      </c>
      <c r="D27" s="115">
        <f>VLOOKUP(B27,'116目標底稿ver1'!D:AC, 26,0)</f>
        <v>25074500.000000004</v>
      </c>
      <c r="E27" s="2"/>
      <c r="F27" s="2"/>
    </row>
    <row r="28" spans="1:6" ht="18.75" customHeight="1">
      <c r="A28" s="55" t="s">
        <v>0</v>
      </c>
      <c r="B28" s="56">
        <v>125</v>
      </c>
      <c r="C28" s="55" t="s">
        <v>144</v>
      </c>
      <c r="D28" s="115">
        <f>VLOOKUP(B28,'116目標底稿ver1'!D:AC, 26,0)</f>
        <v>46079000</v>
      </c>
      <c r="E28" s="2"/>
      <c r="F28" s="2"/>
    </row>
    <row r="29" spans="1:6" ht="18.75" customHeight="1">
      <c r="A29" s="55" t="s">
        <v>0</v>
      </c>
      <c r="B29" s="56">
        <v>126</v>
      </c>
      <c r="C29" s="55" t="s">
        <v>145</v>
      </c>
      <c r="D29" s="115">
        <f>VLOOKUP(B29,'116目標底稿ver1'!D:AC, 26,0)</f>
        <v>61501000.000000007</v>
      </c>
      <c r="E29" s="2"/>
      <c r="F29" s="2"/>
    </row>
    <row r="30" spans="1:6" ht="18.75" customHeight="1">
      <c r="A30" s="55" t="s">
        <v>0</v>
      </c>
      <c r="B30" s="56">
        <v>127</v>
      </c>
      <c r="C30" s="55" t="s">
        <v>146</v>
      </c>
      <c r="D30" s="115">
        <f>VLOOKUP(B30,'116目標底稿ver1'!D:AC, 26,0)</f>
        <v>39539500</v>
      </c>
      <c r="E30" s="2"/>
      <c r="F30" s="2"/>
    </row>
    <row r="31" spans="1:6" ht="18.75" customHeight="1">
      <c r="A31" s="55" t="s">
        <v>0</v>
      </c>
      <c r="B31" s="56">
        <v>128</v>
      </c>
      <c r="C31" s="55" t="s">
        <v>78</v>
      </c>
      <c r="D31" s="115">
        <f>VLOOKUP(B31,'116目標底稿ver1'!D:AC, 26,0)</f>
        <v>23804000.000000004</v>
      </c>
      <c r="E31" s="2"/>
      <c r="F31" s="2"/>
    </row>
    <row r="32" spans="1:6" ht="18.75" customHeight="1">
      <c r="A32" s="55" t="s">
        <v>0</v>
      </c>
      <c r="B32" s="56">
        <v>129</v>
      </c>
      <c r="C32" s="55" t="s">
        <v>79</v>
      </c>
      <c r="D32" s="115">
        <f>VLOOKUP(B32,'116目標底稿ver1'!D:AC, 26,0)</f>
        <v>30822000.000000004</v>
      </c>
      <c r="E32" s="2"/>
      <c r="F32" s="2"/>
    </row>
    <row r="33" spans="1:6" ht="18.75" customHeight="1">
      <c r="A33" s="55" t="s">
        <v>0</v>
      </c>
      <c r="B33" s="56">
        <v>130</v>
      </c>
      <c r="C33" s="55" t="s">
        <v>147</v>
      </c>
      <c r="D33" s="115">
        <f>VLOOKUP(B33,'116目標底稿ver1'!D:AC, 26,0)</f>
        <v>26235000.000000004</v>
      </c>
      <c r="E33" s="2"/>
      <c r="F33" s="2"/>
    </row>
    <row r="34" spans="1:6" ht="18.75" customHeight="1">
      <c r="A34" s="55" t="s">
        <v>0</v>
      </c>
      <c r="B34" s="56">
        <v>132</v>
      </c>
      <c r="C34" s="55" t="s">
        <v>6</v>
      </c>
      <c r="D34" s="115">
        <f>VLOOKUP(B34,'116目標底稿ver1'!D:AC, 26,0)</f>
        <v>14432000.000000002</v>
      </c>
      <c r="E34" s="2"/>
      <c r="F34" s="2"/>
    </row>
    <row r="35" spans="1:6" ht="18.75" customHeight="1">
      <c r="A35" s="55" t="s">
        <v>0</v>
      </c>
      <c r="B35" s="56">
        <v>133</v>
      </c>
      <c r="C35" s="55" t="s">
        <v>148</v>
      </c>
      <c r="D35" s="115">
        <f>VLOOKUP(B35,'116目標底稿ver1'!D:AC, 26,0)</f>
        <v>27868500.000000004</v>
      </c>
      <c r="E35" s="2"/>
      <c r="F35" s="2"/>
    </row>
    <row r="36" spans="1:6" ht="18.75" customHeight="1">
      <c r="A36" s="55" t="s">
        <v>7</v>
      </c>
      <c r="B36" s="56">
        <v>134</v>
      </c>
      <c r="C36" s="55" t="s">
        <v>149</v>
      </c>
      <c r="D36" s="115">
        <f>VLOOKUP(B36,'116目標底稿ver1'!D:AC, 26,0)</f>
        <v>36443000</v>
      </c>
      <c r="E36" s="2"/>
      <c r="F36" s="2"/>
    </row>
    <row r="37" spans="1:6" ht="18.75" customHeight="1">
      <c r="A37" s="55" t="s">
        <v>0</v>
      </c>
      <c r="B37" s="56">
        <v>136</v>
      </c>
      <c r="C37" s="55" t="s">
        <v>150</v>
      </c>
      <c r="D37" s="115">
        <f>VLOOKUP(B37,'116目標底稿ver1'!D:AC, 26,0)</f>
        <v>23804000.000000004</v>
      </c>
      <c r="E37" s="2"/>
      <c r="F37" s="2"/>
    </row>
    <row r="38" spans="1:6" ht="18.75" customHeight="1">
      <c r="A38" s="55" t="s">
        <v>7</v>
      </c>
      <c r="B38" s="56">
        <v>137</v>
      </c>
      <c r="C38" s="55" t="s">
        <v>151</v>
      </c>
      <c r="D38" s="115">
        <f>VLOOKUP(B38,'116目標底稿ver1'!D:AC, 26,0)</f>
        <v>32362000.000000004</v>
      </c>
      <c r="E38" s="2"/>
      <c r="F38" s="2"/>
    </row>
    <row r="39" spans="1:6" ht="18.75" customHeight="1">
      <c r="A39" s="55" t="s">
        <v>7</v>
      </c>
      <c r="B39" s="56">
        <v>143</v>
      </c>
      <c r="C39" s="55" t="s">
        <v>80</v>
      </c>
      <c r="D39" s="115">
        <f>VLOOKUP(B39,'116目標底稿ver1'!D:AC, 26,0)</f>
        <v>25388000.000000004</v>
      </c>
      <c r="E39" s="2"/>
      <c r="F39" s="2"/>
    </row>
    <row r="40" spans="1:6" ht="18.75" customHeight="1">
      <c r="A40" s="55" t="s">
        <v>0</v>
      </c>
      <c r="B40" s="56">
        <v>145</v>
      </c>
      <c r="C40" s="55" t="s">
        <v>81</v>
      </c>
      <c r="D40" s="115">
        <f>VLOOKUP(B40,'116目標底稿ver1'!D:AC, 26,0)</f>
        <v>22099000</v>
      </c>
      <c r="E40" s="2"/>
      <c r="F40" s="2"/>
    </row>
    <row r="41" spans="1:6" ht="18.75" customHeight="1">
      <c r="A41" s="55" t="s">
        <v>0</v>
      </c>
      <c r="B41" s="56">
        <v>147</v>
      </c>
      <c r="C41" s="55" t="s">
        <v>152</v>
      </c>
      <c r="D41" s="115">
        <f>VLOOKUP(B41,'116目標底稿ver1'!D:AC, 26,0)</f>
        <v>44792000</v>
      </c>
      <c r="E41" s="2"/>
      <c r="F41" s="2"/>
    </row>
    <row r="42" spans="1:6" ht="18.75" customHeight="1">
      <c r="A42" s="55" t="s">
        <v>0</v>
      </c>
      <c r="B42" s="56">
        <v>148</v>
      </c>
      <c r="C42" s="55" t="s">
        <v>82</v>
      </c>
      <c r="D42" s="115">
        <f>VLOOKUP(B42,'116目標底稿ver1'!D:AC, 26,0)</f>
        <v>22071500</v>
      </c>
      <c r="E42" s="2"/>
      <c r="F42" s="2"/>
    </row>
    <row r="43" spans="1:6" ht="18.75" customHeight="1">
      <c r="A43" s="55" t="s">
        <v>0</v>
      </c>
      <c r="B43" s="56">
        <v>149</v>
      </c>
      <c r="C43" s="55" t="s">
        <v>153</v>
      </c>
      <c r="D43" s="115">
        <f>VLOOKUP(B43,'116目標底稿ver1'!D:AC, 26,0)</f>
        <v>36058000</v>
      </c>
      <c r="E43" s="2"/>
      <c r="F43" s="2"/>
    </row>
    <row r="44" spans="1:6" ht="18.75" customHeight="1">
      <c r="A44" s="55" t="s">
        <v>7</v>
      </c>
      <c r="B44" s="56">
        <v>151</v>
      </c>
      <c r="C44" s="55" t="s">
        <v>154</v>
      </c>
      <c r="D44" s="115">
        <f>VLOOKUP(B44,'116目標底稿ver1'!D:AC, 26,0)</f>
        <v>53900000.000000007</v>
      </c>
      <c r="E44" s="2"/>
      <c r="F44" s="2"/>
    </row>
    <row r="45" spans="1:6" ht="18.75" customHeight="1">
      <c r="A45" s="55" t="s">
        <v>0</v>
      </c>
      <c r="B45" s="56">
        <v>152</v>
      </c>
      <c r="C45" s="55" t="s">
        <v>155</v>
      </c>
      <c r="D45" s="115">
        <f>VLOOKUP(B45,'116目標底稿ver1'!D:AC, 26,0)</f>
        <v>36228500</v>
      </c>
      <c r="E45" s="2"/>
      <c r="F45" s="2"/>
    </row>
    <row r="46" spans="1:6" ht="18.75" customHeight="1">
      <c r="A46" s="55" t="s">
        <v>0</v>
      </c>
      <c r="B46" s="56">
        <v>153</v>
      </c>
      <c r="C46" s="55" t="s">
        <v>156</v>
      </c>
      <c r="D46" s="115">
        <f>VLOOKUP(B46,'116目標底稿ver1'!D:AC, 26,0)</f>
        <v>48279000.000000007</v>
      </c>
      <c r="E46" s="2"/>
      <c r="F46" s="2"/>
    </row>
    <row r="47" spans="1:6" ht="18.75" customHeight="1">
      <c r="A47" s="55" t="s">
        <v>0</v>
      </c>
      <c r="B47" s="56">
        <v>154</v>
      </c>
      <c r="C47" s="55" t="s">
        <v>8</v>
      </c>
      <c r="D47" s="115">
        <f>VLOOKUP(B47,'116目標底稿ver1'!D:AC, 26,0)</f>
        <v>26405500.000000004</v>
      </c>
      <c r="E47" s="2"/>
      <c r="F47" s="2"/>
    </row>
    <row r="48" spans="1:6" ht="18.75" customHeight="1">
      <c r="A48" s="55" t="s">
        <v>0</v>
      </c>
      <c r="B48" s="56">
        <v>156</v>
      </c>
      <c r="C48" s="55" t="s">
        <v>157</v>
      </c>
      <c r="D48" s="115">
        <f>VLOOKUP(B48,'116目標底稿ver1'!D:AC, 26,0)</f>
        <v>28781500.000000004</v>
      </c>
      <c r="E48" s="2"/>
      <c r="F48" s="2"/>
    </row>
    <row r="49" spans="1:6" ht="18.75" customHeight="1">
      <c r="A49" s="55" t="s">
        <v>0</v>
      </c>
      <c r="B49" s="56">
        <v>157</v>
      </c>
      <c r="C49" s="55" t="s">
        <v>158</v>
      </c>
      <c r="D49" s="115">
        <f>VLOOKUP(B49,'116目標底稿ver1'!D:AC, 26,0)</f>
        <v>21923000</v>
      </c>
      <c r="E49" s="2"/>
      <c r="F49" s="2"/>
    </row>
    <row r="50" spans="1:6" ht="18.75" customHeight="1">
      <c r="A50" s="55" t="s">
        <v>7</v>
      </c>
      <c r="B50" s="56">
        <v>158</v>
      </c>
      <c r="C50" s="55" t="s">
        <v>159</v>
      </c>
      <c r="D50" s="115">
        <f>VLOOKUP(B50,'116目標底稿ver1'!D:AC, 26,0)</f>
        <v>44022000</v>
      </c>
      <c r="E50" s="2"/>
      <c r="F50" s="2"/>
    </row>
    <row r="51" spans="1:6" ht="18.75" customHeight="1">
      <c r="A51" s="55" t="s">
        <v>7</v>
      </c>
      <c r="B51" s="56">
        <v>159</v>
      </c>
      <c r="C51" s="55" t="s">
        <v>83</v>
      </c>
      <c r="D51" s="115">
        <f>VLOOKUP(B51,'116目標底稿ver1'!D:AC, 26,0)</f>
        <v>81493500</v>
      </c>
      <c r="E51" s="2"/>
      <c r="F51" s="2"/>
    </row>
    <row r="52" spans="1:6" ht="18.75" customHeight="1">
      <c r="A52" s="55" t="s">
        <v>7</v>
      </c>
      <c r="B52" s="56">
        <v>160</v>
      </c>
      <c r="C52" s="55" t="s">
        <v>9</v>
      </c>
      <c r="D52" s="115">
        <f>VLOOKUP(B52,'116目標底稿ver1'!D:AC, 26,0)</f>
        <v>54774500.000000007</v>
      </c>
      <c r="E52" s="2"/>
      <c r="F52" s="2"/>
    </row>
    <row r="53" spans="1:6" ht="18.75" customHeight="1">
      <c r="A53" s="55" t="s">
        <v>7</v>
      </c>
      <c r="B53" s="56">
        <v>161</v>
      </c>
      <c r="C53" s="55" t="s">
        <v>160</v>
      </c>
      <c r="D53" s="115">
        <f>VLOOKUP(B53,'116目標底稿ver1'!D:AC, 26,0)</f>
        <v>25003000.000000004</v>
      </c>
      <c r="E53" s="2"/>
      <c r="F53" s="2"/>
    </row>
    <row r="54" spans="1:6" ht="18.75" customHeight="1">
      <c r="A54" s="55" t="s">
        <v>7</v>
      </c>
      <c r="B54" s="56">
        <v>162</v>
      </c>
      <c r="C54" s="55" t="s">
        <v>10</v>
      </c>
      <c r="D54" s="115">
        <f>VLOOKUP(B54,'116目標底稿ver1'!D:AC, 26,0)</f>
        <v>76263000</v>
      </c>
      <c r="E54" s="2"/>
      <c r="F54" s="2"/>
    </row>
    <row r="55" spans="1:6" ht="18.75" customHeight="1">
      <c r="A55" s="55" t="s">
        <v>11</v>
      </c>
      <c r="B55" s="56">
        <v>163</v>
      </c>
      <c r="C55" s="55" t="s">
        <v>12</v>
      </c>
      <c r="D55" s="115">
        <f>VLOOKUP(B55,'116目標底稿ver1'!D:AC, 26,0)</f>
        <v>28055500.000000004</v>
      </c>
      <c r="E55" s="2"/>
      <c r="F55" s="2"/>
    </row>
    <row r="56" spans="1:6" ht="18.75" customHeight="1">
      <c r="A56" s="55" t="s">
        <v>7</v>
      </c>
      <c r="B56" s="56">
        <v>164</v>
      </c>
      <c r="C56" s="55" t="s">
        <v>161</v>
      </c>
      <c r="D56" s="115">
        <f>VLOOKUP(B56,'116目標底稿ver1'!D:AC, 26,0)</f>
        <v>39099500</v>
      </c>
      <c r="E56" s="2"/>
      <c r="F56" s="2"/>
    </row>
    <row r="57" spans="1:6" ht="18.75" customHeight="1">
      <c r="A57" s="55" t="s">
        <v>7</v>
      </c>
      <c r="B57" s="56">
        <v>165</v>
      </c>
      <c r="C57" s="55" t="s">
        <v>13</v>
      </c>
      <c r="D57" s="115">
        <f>VLOOKUP(B57,'116目標底稿ver1'!D:AC, 26,0)</f>
        <v>58701500.000000007</v>
      </c>
      <c r="E57" s="2"/>
      <c r="F57" s="2"/>
    </row>
    <row r="58" spans="1:6" ht="18.75" customHeight="1">
      <c r="A58" s="55" t="s">
        <v>7</v>
      </c>
      <c r="B58" s="56">
        <v>166</v>
      </c>
      <c r="C58" s="55" t="s">
        <v>84</v>
      </c>
      <c r="D58" s="115">
        <f>VLOOKUP(B58,'116目標底稿ver1'!D:AC, 26,0)</f>
        <v>34529000</v>
      </c>
      <c r="E58" s="2"/>
      <c r="F58" s="2"/>
    </row>
    <row r="59" spans="1:6" ht="18.75" customHeight="1">
      <c r="A59" s="55" t="s">
        <v>7</v>
      </c>
      <c r="B59" s="56">
        <v>167</v>
      </c>
      <c r="C59" s="55" t="s">
        <v>162</v>
      </c>
      <c r="D59" s="115">
        <f>VLOOKUP(B59,'116目標底稿ver1'!D:AC, 26,0)</f>
        <v>51733000.000000007</v>
      </c>
      <c r="E59" s="2"/>
      <c r="F59" s="2"/>
    </row>
    <row r="60" spans="1:6" ht="18.75" customHeight="1">
      <c r="A60" s="55" t="s">
        <v>7</v>
      </c>
      <c r="B60" s="56">
        <v>168</v>
      </c>
      <c r="C60" s="55" t="s">
        <v>163</v>
      </c>
      <c r="D60" s="115">
        <f>VLOOKUP(B60,'116目標底稿ver1'!D:AC, 26,0)</f>
        <v>57002000.000000007</v>
      </c>
      <c r="E60" s="2"/>
      <c r="F60" s="2"/>
    </row>
    <row r="61" spans="1:6" ht="18.75" customHeight="1">
      <c r="A61" s="55" t="s">
        <v>7</v>
      </c>
      <c r="B61" s="56">
        <v>169</v>
      </c>
      <c r="C61" s="55" t="s">
        <v>85</v>
      </c>
      <c r="D61" s="115">
        <f>VLOOKUP(B61,'116目標底稿ver1'!D:AC, 26,0)</f>
        <v>41998000</v>
      </c>
      <c r="E61" s="2"/>
      <c r="F61" s="2"/>
    </row>
    <row r="62" spans="1:6" ht="18.75" customHeight="1">
      <c r="A62" s="55" t="s">
        <v>7</v>
      </c>
      <c r="B62" s="56">
        <v>170</v>
      </c>
      <c r="C62" s="55" t="s">
        <v>164</v>
      </c>
      <c r="D62" s="115">
        <f>VLOOKUP(B62,'116目標底稿ver1'!D:AC, 26,0)</f>
        <v>44187000</v>
      </c>
      <c r="E62" s="2"/>
      <c r="F62" s="2"/>
    </row>
    <row r="63" spans="1:6" ht="18.75" customHeight="1">
      <c r="A63" s="55" t="s">
        <v>7</v>
      </c>
      <c r="B63" s="56">
        <v>171</v>
      </c>
      <c r="C63" s="55" t="s">
        <v>86</v>
      </c>
      <c r="D63" s="115">
        <f>VLOOKUP(B63,'116目標底稿ver1'!D:AC, 26,0)</f>
        <v>42086000</v>
      </c>
      <c r="E63" s="2"/>
      <c r="F63" s="2"/>
    </row>
    <row r="64" spans="1:6" ht="18.75" customHeight="1">
      <c r="A64" s="55" t="s">
        <v>7</v>
      </c>
      <c r="B64" s="56">
        <v>172</v>
      </c>
      <c r="C64" s="55" t="s">
        <v>14</v>
      </c>
      <c r="D64" s="115">
        <f>VLOOKUP(B64,'116目標底稿ver1'!D:AC, 26,0)</f>
        <v>26438500.000000004</v>
      </c>
      <c r="E64" s="2"/>
      <c r="F64" s="2"/>
    </row>
    <row r="65" spans="1:6" ht="18.75" customHeight="1">
      <c r="A65" s="55" t="s">
        <v>11</v>
      </c>
      <c r="B65" s="56">
        <v>173</v>
      </c>
      <c r="C65" s="55" t="s">
        <v>15</v>
      </c>
      <c r="D65" s="115">
        <f>VLOOKUP(B65,'116目標底稿ver1'!D:AC, 26,0)</f>
        <v>28116000.000000004</v>
      </c>
      <c r="E65" s="2"/>
      <c r="F65" s="2"/>
    </row>
    <row r="66" spans="1:6" ht="18.75" customHeight="1">
      <c r="A66" s="55" t="s">
        <v>7</v>
      </c>
      <c r="B66" s="56">
        <v>174</v>
      </c>
      <c r="C66" s="55" t="s">
        <v>16</v>
      </c>
      <c r="D66" s="115">
        <f>VLOOKUP(B66,'116目標底稿ver1'!D:AC, 26,0)</f>
        <v>71087500</v>
      </c>
      <c r="E66" s="2"/>
      <c r="F66" s="2"/>
    </row>
    <row r="67" spans="1:6" ht="18.75" customHeight="1">
      <c r="A67" s="55" t="s">
        <v>7</v>
      </c>
      <c r="B67" s="56">
        <v>175</v>
      </c>
      <c r="C67" s="55" t="s">
        <v>165</v>
      </c>
      <c r="D67" s="115">
        <f>VLOOKUP(B67,'116目標底稿ver1'!D:AC, 26,0)</f>
        <v>37455000</v>
      </c>
      <c r="E67" s="2"/>
      <c r="F67" s="2"/>
    </row>
    <row r="68" spans="1:6" ht="18.75" customHeight="1">
      <c r="A68" s="55" t="s">
        <v>11</v>
      </c>
      <c r="B68" s="56">
        <v>176</v>
      </c>
      <c r="C68" s="55" t="s">
        <v>166</v>
      </c>
      <c r="D68" s="115">
        <f>VLOOKUP(B68,'116目標底稿ver1'!D:AC, 26,0)</f>
        <v>22418000</v>
      </c>
      <c r="E68" s="2"/>
      <c r="F68" s="2"/>
    </row>
    <row r="69" spans="1:6" ht="18.75" customHeight="1">
      <c r="A69" s="55" t="s">
        <v>400</v>
      </c>
      <c r="B69" s="56">
        <v>177</v>
      </c>
      <c r="C69" s="55" t="s">
        <v>648</v>
      </c>
      <c r="D69" s="115">
        <f>VLOOKUP(B69,'116目標底稿ver1'!D:AC, 26,0)</f>
        <v>8035500.0000000009</v>
      </c>
      <c r="E69" s="2"/>
      <c r="F69" s="2"/>
    </row>
    <row r="70" spans="1:6" ht="18.75" customHeight="1">
      <c r="A70" s="55" t="s">
        <v>0</v>
      </c>
      <c r="B70" s="56">
        <v>178</v>
      </c>
      <c r="C70" s="55" t="s">
        <v>17</v>
      </c>
      <c r="D70" s="115">
        <f>VLOOKUP(B70,'116目標底稿ver1'!D:AC, 26,0)</f>
        <v>47426500.000000007</v>
      </c>
      <c r="E70" s="2"/>
      <c r="F70" s="2"/>
    </row>
    <row r="71" spans="1:6" ht="18.75" customHeight="1">
      <c r="A71" s="55" t="s">
        <v>7</v>
      </c>
      <c r="B71" s="56">
        <v>179</v>
      </c>
      <c r="C71" s="55" t="s">
        <v>167</v>
      </c>
      <c r="D71" s="115">
        <f>VLOOKUP(B71,'116目標底稿ver1'!D:AC, 26,0)</f>
        <v>44280500</v>
      </c>
      <c r="E71" s="2"/>
      <c r="F71" s="2"/>
    </row>
    <row r="72" spans="1:6" ht="18.75" customHeight="1">
      <c r="A72" s="55" t="s">
        <v>7</v>
      </c>
      <c r="B72" s="56">
        <v>180</v>
      </c>
      <c r="C72" s="55" t="s">
        <v>168</v>
      </c>
      <c r="D72" s="115">
        <f>VLOOKUP(B72,'116目標底稿ver1'!D:AC, 26,0)</f>
        <v>56892000.000000007</v>
      </c>
      <c r="E72" s="2"/>
      <c r="F72" s="2"/>
    </row>
    <row r="73" spans="1:6" ht="18.75" customHeight="1">
      <c r="A73" s="55" t="s">
        <v>7</v>
      </c>
      <c r="B73" s="56">
        <v>182</v>
      </c>
      <c r="C73" s="55" t="s">
        <v>169</v>
      </c>
      <c r="D73" s="115">
        <f>VLOOKUP(B73,'116目標底稿ver1'!D:AC, 26,0)</f>
        <v>28622000.000000004</v>
      </c>
      <c r="E73" s="2"/>
      <c r="F73" s="2"/>
    </row>
    <row r="74" spans="1:6" ht="18.75" customHeight="1">
      <c r="A74" s="55" t="s">
        <v>7</v>
      </c>
      <c r="B74" s="56">
        <v>183</v>
      </c>
      <c r="C74" s="55" t="s">
        <v>18</v>
      </c>
      <c r="D74" s="115">
        <f>VLOOKUP(B74,'116目標底稿ver1'!D:AC, 26,0)</f>
        <v>18859500</v>
      </c>
      <c r="E74" s="2"/>
      <c r="F74" s="2"/>
    </row>
    <row r="75" spans="1:6" ht="18.75" customHeight="1">
      <c r="A75" s="55" t="s">
        <v>7</v>
      </c>
      <c r="B75" s="56">
        <v>184</v>
      </c>
      <c r="C75" s="55" t="s">
        <v>19</v>
      </c>
      <c r="D75" s="115">
        <f>VLOOKUP(B75,'116目標底稿ver1'!D:AC, 26,0)</f>
        <v>37191000</v>
      </c>
      <c r="E75" s="2"/>
      <c r="F75" s="2"/>
    </row>
    <row r="76" spans="1:6" ht="18.75" customHeight="1">
      <c r="A76" s="55" t="s">
        <v>7</v>
      </c>
      <c r="B76" s="56">
        <v>185</v>
      </c>
      <c r="C76" s="55" t="s">
        <v>170</v>
      </c>
      <c r="D76" s="115">
        <f>VLOOKUP(B76,'116目標底稿ver1'!D:AC, 26,0)</f>
        <v>47234000.000000007</v>
      </c>
      <c r="E76" s="2"/>
      <c r="F76" s="2"/>
    </row>
    <row r="77" spans="1:6" ht="18.75" customHeight="1">
      <c r="A77" s="55" t="s">
        <v>11</v>
      </c>
      <c r="B77" s="56">
        <v>186</v>
      </c>
      <c r="C77" s="55" t="s">
        <v>87</v>
      </c>
      <c r="D77" s="115">
        <f>VLOOKUP(B77,'116目標底稿ver1'!D:AC, 26,0)</f>
        <v>42201500</v>
      </c>
      <c r="E77" s="2"/>
      <c r="F77" s="2"/>
    </row>
    <row r="78" spans="1:6" ht="18.75" customHeight="1">
      <c r="A78" s="55" t="s">
        <v>7</v>
      </c>
      <c r="B78" s="56">
        <v>187</v>
      </c>
      <c r="C78" s="55" t="s">
        <v>171</v>
      </c>
      <c r="D78" s="115">
        <f>VLOOKUP(B78,'116目標底稿ver1'!D:AC, 26,0)</f>
        <v>39330500</v>
      </c>
      <c r="E78" s="2"/>
      <c r="F78" s="2"/>
    </row>
    <row r="79" spans="1:6" ht="18.75" customHeight="1">
      <c r="A79" s="55" t="s">
        <v>0</v>
      </c>
      <c r="B79" s="56">
        <v>189</v>
      </c>
      <c r="C79" s="55" t="s">
        <v>172</v>
      </c>
      <c r="D79" s="115">
        <f>VLOOKUP(B79,'116目標底稿ver1'!D:AC, 26,0)</f>
        <v>51898000.000000007</v>
      </c>
      <c r="E79" s="2"/>
      <c r="F79" s="2"/>
    </row>
    <row r="80" spans="1:6" ht="18.75" customHeight="1">
      <c r="A80" s="55" t="s">
        <v>7</v>
      </c>
      <c r="B80" s="56">
        <v>190</v>
      </c>
      <c r="C80" s="55" t="s">
        <v>173</v>
      </c>
      <c r="D80" s="115">
        <f>VLOOKUP(B80,'116目標底稿ver1'!D:AC, 26,0)</f>
        <v>40887000</v>
      </c>
      <c r="E80" s="2"/>
      <c r="F80" s="2"/>
    </row>
    <row r="81" spans="1:6" ht="18.75" customHeight="1">
      <c r="A81" s="55" t="s">
        <v>11</v>
      </c>
      <c r="B81" s="56">
        <v>191</v>
      </c>
      <c r="C81" s="55" t="s">
        <v>20</v>
      </c>
      <c r="D81" s="115">
        <f>VLOOKUP(B81,'116目標底稿ver1'!D:AC, 26,0)</f>
        <v>47547500.000000007</v>
      </c>
      <c r="E81" s="2"/>
      <c r="F81" s="2"/>
    </row>
    <row r="82" spans="1:6" ht="18.75" customHeight="1">
      <c r="A82" s="55" t="s">
        <v>7</v>
      </c>
      <c r="B82" s="56">
        <v>192</v>
      </c>
      <c r="C82" s="55" t="s">
        <v>174</v>
      </c>
      <c r="D82" s="115">
        <f>VLOOKUP(B82,'116目標底稿ver1'!D:AC, 26,0)</f>
        <v>53113500.000000007</v>
      </c>
      <c r="E82" s="2"/>
      <c r="F82" s="2"/>
    </row>
    <row r="83" spans="1:6" ht="18.75" customHeight="1">
      <c r="A83" s="55" t="s">
        <v>11</v>
      </c>
      <c r="B83" s="56">
        <v>193</v>
      </c>
      <c r="C83" s="55" t="s">
        <v>21</v>
      </c>
      <c r="D83" s="115">
        <f>VLOOKUP(B83,'116目標底稿ver1'!D:AC, 26,0)</f>
        <v>31075000.000000004</v>
      </c>
      <c r="E83" s="2"/>
      <c r="F83" s="2"/>
    </row>
    <row r="84" spans="1:6" ht="18.75" customHeight="1">
      <c r="A84" s="55" t="s">
        <v>11</v>
      </c>
      <c r="B84" s="56">
        <v>194</v>
      </c>
      <c r="C84" s="55" t="s">
        <v>175</v>
      </c>
      <c r="D84" s="115">
        <f>VLOOKUP(B84,'116目標底稿ver1'!D:AC, 26,0)</f>
        <v>27049000.000000004</v>
      </c>
      <c r="E84" s="2"/>
      <c r="F84" s="2"/>
    </row>
    <row r="85" spans="1:6" ht="18.75" customHeight="1">
      <c r="A85" s="55" t="s">
        <v>7</v>
      </c>
      <c r="B85" s="56">
        <v>195</v>
      </c>
      <c r="C85" s="55" t="s">
        <v>22</v>
      </c>
      <c r="D85" s="115">
        <f>VLOOKUP(B85,'116目標底稿ver1'!D:AC, 26,0)</f>
        <v>25932500.000000004</v>
      </c>
      <c r="E85" s="2"/>
      <c r="F85" s="2"/>
    </row>
    <row r="86" spans="1:6" ht="18.75" customHeight="1">
      <c r="A86" s="55" t="s">
        <v>11</v>
      </c>
      <c r="B86" s="56">
        <v>196</v>
      </c>
      <c r="C86" s="55" t="s">
        <v>88</v>
      </c>
      <c r="D86" s="115">
        <f>VLOOKUP(B86,'116目標底稿ver1'!D:AC, 26,0)</f>
        <v>31075000.000000004</v>
      </c>
      <c r="E86" s="2"/>
      <c r="F86" s="2"/>
    </row>
    <row r="87" spans="1:6" ht="18.75" customHeight="1">
      <c r="A87" s="55" t="s">
        <v>11</v>
      </c>
      <c r="B87" s="56">
        <v>197</v>
      </c>
      <c r="C87" s="55" t="s">
        <v>23</v>
      </c>
      <c r="D87" s="115">
        <f>VLOOKUP(B87,'116目標底稿ver1'!D:AC, 26,0)</f>
        <v>16549500.000000002</v>
      </c>
      <c r="E87" s="2"/>
      <c r="F87" s="2"/>
    </row>
    <row r="88" spans="1:6" ht="18.75" customHeight="1">
      <c r="A88" s="55" t="s">
        <v>11</v>
      </c>
      <c r="B88" s="56">
        <v>199</v>
      </c>
      <c r="C88" s="55" t="s">
        <v>24</v>
      </c>
      <c r="D88" s="115">
        <f>VLOOKUP(B88,'116目標底稿ver1'!D:AC, 26,0)</f>
        <v>28990500.000000004</v>
      </c>
      <c r="E88" s="2"/>
      <c r="F88" s="2"/>
    </row>
    <row r="89" spans="1:6" ht="18.75" customHeight="1">
      <c r="A89" s="55" t="s">
        <v>7</v>
      </c>
      <c r="B89" s="56">
        <v>200</v>
      </c>
      <c r="C89" s="55" t="s">
        <v>89</v>
      </c>
      <c r="D89" s="115">
        <f>VLOOKUP(B89,'116目標底稿ver1'!D:AC, 26,0)</f>
        <v>23012000</v>
      </c>
      <c r="E89" s="2"/>
      <c r="F89" s="2"/>
    </row>
    <row r="90" spans="1:6" ht="18.75" customHeight="1">
      <c r="A90" s="55" t="s">
        <v>7</v>
      </c>
      <c r="B90" s="56">
        <v>201</v>
      </c>
      <c r="C90" s="55" t="s">
        <v>90</v>
      </c>
      <c r="D90" s="115">
        <f>VLOOKUP(B90,'116目標底稿ver1'!D:AC, 26,0)</f>
        <v>29826500.000000004</v>
      </c>
      <c r="E90" s="2"/>
      <c r="F90" s="2"/>
    </row>
    <row r="91" spans="1:6" ht="18.75" customHeight="1">
      <c r="A91" s="55" t="s">
        <v>7</v>
      </c>
      <c r="B91" s="56">
        <v>211</v>
      </c>
      <c r="C91" s="55" t="s">
        <v>25</v>
      </c>
      <c r="D91" s="115">
        <f>VLOOKUP(B91,'116目標底稿ver1'!D:AC, 26,0)</f>
        <v>36954500</v>
      </c>
      <c r="E91" s="2"/>
      <c r="F91" s="2"/>
    </row>
    <row r="92" spans="1:6" ht="18.75" customHeight="1">
      <c r="A92" s="55" t="s">
        <v>7</v>
      </c>
      <c r="B92" s="56">
        <v>220</v>
      </c>
      <c r="C92" s="55" t="s">
        <v>26</v>
      </c>
      <c r="D92" s="115">
        <f>VLOOKUP(B92,'116目標底稿ver1'!D:AC, 26,0)</f>
        <v>29425000.000000004</v>
      </c>
      <c r="E92" s="2"/>
      <c r="F92" s="2"/>
    </row>
    <row r="93" spans="1:6" ht="18.75" customHeight="1">
      <c r="A93" s="55" t="s">
        <v>7</v>
      </c>
      <c r="B93" s="56">
        <v>221</v>
      </c>
      <c r="C93" s="55" t="s">
        <v>27</v>
      </c>
      <c r="D93" s="115">
        <f>VLOOKUP(B93,'116目標底稿ver1'!D:AC, 26,0)</f>
        <v>26878500.000000004</v>
      </c>
      <c r="E93" s="2"/>
      <c r="F93" s="2"/>
    </row>
    <row r="94" spans="1:6" ht="18.75" customHeight="1">
      <c r="A94" s="55" t="s">
        <v>11</v>
      </c>
      <c r="B94" s="56">
        <v>240</v>
      </c>
      <c r="C94" s="55" t="s">
        <v>177</v>
      </c>
      <c r="D94" s="115">
        <f>VLOOKUP(B94,'116目標底稿ver1'!D:AC, 26,0)</f>
        <v>60995000.000000007</v>
      </c>
      <c r="E94" s="2"/>
      <c r="F94" s="2"/>
    </row>
    <row r="95" spans="1:6" ht="18.75" customHeight="1">
      <c r="A95" s="55" t="s">
        <v>11</v>
      </c>
      <c r="B95" s="56">
        <v>241</v>
      </c>
      <c r="C95" s="55" t="s">
        <v>91</v>
      </c>
      <c r="D95" s="115">
        <f>VLOOKUP(B95,'116目標底稿ver1'!D:AC, 26,0)</f>
        <v>61022500.000000007</v>
      </c>
      <c r="E95" s="2"/>
      <c r="F95" s="2"/>
    </row>
    <row r="96" spans="1:6" ht="18.75" customHeight="1">
      <c r="A96" s="55" t="s">
        <v>11</v>
      </c>
      <c r="B96" s="56">
        <v>242</v>
      </c>
      <c r="C96" s="55" t="s">
        <v>28</v>
      </c>
      <c r="D96" s="115">
        <f>VLOOKUP(B96,'116目標底稿ver1'!D:AC, 26,0)</f>
        <v>52778000.000000007</v>
      </c>
      <c r="E96" s="2"/>
      <c r="F96" s="2"/>
    </row>
    <row r="97" spans="1:6" ht="18.75" customHeight="1">
      <c r="A97" s="55" t="s">
        <v>11</v>
      </c>
      <c r="B97" s="56">
        <v>243</v>
      </c>
      <c r="C97" s="55" t="s">
        <v>92</v>
      </c>
      <c r="D97" s="115">
        <f>VLOOKUP(B97,'116目標底稿ver1'!D:AC, 26,0)</f>
        <v>32879000.000000004</v>
      </c>
      <c r="E97" s="2"/>
      <c r="F97" s="2"/>
    </row>
    <row r="98" spans="1:6" ht="18.75" customHeight="1">
      <c r="A98" s="55" t="s">
        <v>11</v>
      </c>
      <c r="B98" s="56">
        <v>244</v>
      </c>
      <c r="C98" s="55" t="s">
        <v>29</v>
      </c>
      <c r="D98" s="115">
        <f>VLOOKUP(B98,'116目標底稿ver1'!D:AC, 26,0)</f>
        <v>58091000.000000007</v>
      </c>
      <c r="E98" s="2"/>
      <c r="F98" s="2"/>
    </row>
    <row r="99" spans="1:6" ht="18.75" customHeight="1">
      <c r="A99" s="55" t="s">
        <v>11</v>
      </c>
      <c r="B99" s="56">
        <v>245</v>
      </c>
      <c r="C99" s="55" t="s">
        <v>93</v>
      </c>
      <c r="D99" s="115">
        <f>VLOOKUP(B99,'116目標底稿ver1'!D:AC, 26,0)</f>
        <v>37031500</v>
      </c>
      <c r="E99" s="2"/>
      <c r="F99" s="2"/>
    </row>
    <row r="100" spans="1:6" ht="18.75" customHeight="1">
      <c r="A100" s="55" t="s">
        <v>11</v>
      </c>
      <c r="B100" s="56">
        <v>246</v>
      </c>
      <c r="C100" s="55" t="s">
        <v>178</v>
      </c>
      <c r="D100" s="115">
        <f>VLOOKUP(B100,'116目標底稿ver1'!D:AC, 26,0)</f>
        <v>33720500</v>
      </c>
      <c r="E100" s="2"/>
      <c r="F100" s="2"/>
    </row>
    <row r="101" spans="1:6" ht="18.75" customHeight="1">
      <c r="A101" s="55" t="s">
        <v>11</v>
      </c>
      <c r="B101" s="56">
        <v>247</v>
      </c>
      <c r="C101" s="55" t="s">
        <v>179</v>
      </c>
      <c r="D101" s="115">
        <f>VLOOKUP(B101,'116目標底稿ver1'!D:AC, 26,0)</f>
        <v>41167500</v>
      </c>
      <c r="E101" s="2"/>
      <c r="F101" s="2"/>
    </row>
    <row r="102" spans="1:6" ht="18.75" customHeight="1">
      <c r="A102" s="55" t="s">
        <v>11</v>
      </c>
      <c r="B102" s="56">
        <v>248</v>
      </c>
      <c r="C102" s="55" t="s">
        <v>94</v>
      </c>
      <c r="D102" s="115">
        <f>VLOOKUP(B102,'116目標底稿ver1'!D:AC, 26,0)</f>
        <v>42971500</v>
      </c>
      <c r="E102" s="2"/>
      <c r="F102" s="2"/>
    </row>
    <row r="103" spans="1:6" ht="18.75" customHeight="1">
      <c r="A103" s="55" t="s">
        <v>11</v>
      </c>
      <c r="B103" s="56">
        <v>249</v>
      </c>
      <c r="C103" s="55" t="s">
        <v>30</v>
      </c>
      <c r="D103" s="115">
        <f>VLOOKUP(B103,'116目標底稿ver1'!D:AC, 26,0)</f>
        <v>33390500.000000004</v>
      </c>
      <c r="E103" s="2"/>
      <c r="F103" s="2"/>
    </row>
    <row r="104" spans="1:6" ht="18.75" customHeight="1">
      <c r="A104" s="55" t="s">
        <v>11</v>
      </c>
      <c r="B104" s="56">
        <v>250</v>
      </c>
      <c r="C104" s="55" t="s">
        <v>180</v>
      </c>
      <c r="D104" s="115">
        <f>VLOOKUP(B104,'116目標底稿ver1'!D:AC, 26,0)</f>
        <v>25184500.000000004</v>
      </c>
      <c r="E104" s="2"/>
      <c r="F104" s="2"/>
    </row>
    <row r="105" spans="1:6" ht="18.75" customHeight="1">
      <c r="A105" s="55" t="s">
        <v>11</v>
      </c>
      <c r="B105" s="56">
        <v>251</v>
      </c>
      <c r="C105" s="55" t="s">
        <v>181</v>
      </c>
      <c r="D105" s="115">
        <f>VLOOKUP(B105,'116目標底稿ver1'!D:AC, 26,0)</f>
        <v>26950000.000000004</v>
      </c>
      <c r="E105" s="2"/>
      <c r="F105" s="2"/>
    </row>
    <row r="106" spans="1:6" ht="18.75" customHeight="1">
      <c r="A106" s="55" t="s">
        <v>11</v>
      </c>
      <c r="B106" s="56">
        <v>252</v>
      </c>
      <c r="C106" s="55" t="s">
        <v>95</v>
      </c>
      <c r="D106" s="115">
        <f>VLOOKUP(B106,'116目標底稿ver1'!D:AC, 26,0)</f>
        <v>32730500.000000004</v>
      </c>
      <c r="E106" s="2"/>
      <c r="F106" s="2"/>
    </row>
    <row r="107" spans="1:6" ht="18.75" customHeight="1">
      <c r="A107" s="55" t="s">
        <v>11</v>
      </c>
      <c r="B107" s="56">
        <v>260</v>
      </c>
      <c r="C107" s="55" t="s">
        <v>96</v>
      </c>
      <c r="D107" s="115">
        <f>VLOOKUP(B107,'116目標底稿ver1'!D:AC, 26,0)</f>
        <v>50968500.000000007</v>
      </c>
      <c r="E107" s="2"/>
      <c r="F107" s="2"/>
    </row>
    <row r="108" spans="1:6" ht="18.75" customHeight="1">
      <c r="A108" s="55" t="s">
        <v>11</v>
      </c>
      <c r="B108" s="56">
        <v>262</v>
      </c>
      <c r="C108" s="55" t="s">
        <v>97</v>
      </c>
      <c r="D108" s="115">
        <f>VLOOKUP(B108,'116目標底稿ver1'!D:AC, 26,0)</f>
        <v>32367500.000000004</v>
      </c>
      <c r="E108" s="2"/>
      <c r="F108" s="2"/>
    </row>
    <row r="109" spans="1:6" ht="18.75" customHeight="1">
      <c r="A109" s="55" t="s">
        <v>11</v>
      </c>
      <c r="B109" s="56">
        <v>268</v>
      </c>
      <c r="C109" s="55" t="s">
        <v>1469</v>
      </c>
      <c r="D109" s="115">
        <f>VLOOKUP(B109,'116目標底稿ver1'!D:AC, 26,0)</f>
        <v>14355000.000000002</v>
      </c>
      <c r="E109" s="2"/>
      <c r="F109" s="2"/>
    </row>
    <row r="110" spans="1:6" ht="18.75" customHeight="1">
      <c r="A110" s="55" t="s">
        <v>11</v>
      </c>
      <c r="B110" s="56">
        <v>300</v>
      </c>
      <c r="C110" s="55" t="s">
        <v>98</v>
      </c>
      <c r="D110" s="115">
        <f>VLOOKUP(B110,'116目標底稿ver1'!D:AC, 26,0)</f>
        <v>40315000</v>
      </c>
      <c r="E110" s="2"/>
      <c r="F110" s="2"/>
    </row>
    <row r="111" spans="1:6" ht="18.75" customHeight="1">
      <c r="A111" s="55" t="s">
        <v>11</v>
      </c>
      <c r="B111" s="56">
        <v>301</v>
      </c>
      <c r="C111" s="55" t="s">
        <v>99</v>
      </c>
      <c r="D111" s="115">
        <f>VLOOKUP(B111,'116目標底稿ver1'!D:AC, 26,0)</f>
        <v>34006500</v>
      </c>
      <c r="E111" s="2"/>
      <c r="F111" s="2"/>
    </row>
    <row r="112" spans="1:6" s="50" customFormat="1" ht="18.75" customHeight="1">
      <c r="A112" s="55" t="s">
        <v>11</v>
      </c>
      <c r="B112" s="56">
        <v>302</v>
      </c>
      <c r="C112" s="55" t="s">
        <v>31</v>
      </c>
      <c r="D112" s="115">
        <f>VLOOKUP(B112,'116目標底稿ver1'!D:AC, 26,0)</f>
        <v>27412000.000000004</v>
      </c>
      <c r="E112" s="2"/>
      <c r="F112" s="2"/>
    </row>
    <row r="113" spans="1:6" ht="18.75" customHeight="1">
      <c r="A113" s="55" t="s">
        <v>11</v>
      </c>
      <c r="B113" s="56">
        <v>310</v>
      </c>
      <c r="C113" s="55" t="s">
        <v>32</v>
      </c>
      <c r="D113" s="115">
        <f>VLOOKUP(B113,'116目標底稿ver1'!D:AC, 26,0)</f>
        <v>33852500</v>
      </c>
      <c r="E113" s="2"/>
      <c r="F113" s="2"/>
    </row>
    <row r="114" spans="1:6" ht="18.75" customHeight="1">
      <c r="A114" s="55" t="s">
        <v>11</v>
      </c>
      <c r="B114" s="56">
        <v>313</v>
      </c>
      <c r="C114" s="55" t="s">
        <v>182</v>
      </c>
      <c r="D114" s="115">
        <f>VLOOKUP(B114,'116目標底稿ver1'!D:AC, 26,0)</f>
        <v>20597500</v>
      </c>
      <c r="E114" s="2"/>
      <c r="F114" s="2"/>
    </row>
    <row r="115" spans="1:6" ht="18.75" customHeight="1">
      <c r="A115" s="55" t="s">
        <v>33</v>
      </c>
      <c r="B115" s="56">
        <v>320</v>
      </c>
      <c r="C115" s="55" t="s">
        <v>183</v>
      </c>
      <c r="D115" s="115">
        <f>VLOOKUP(B115,'116目標底稿ver1'!D:AC, 26,0)</f>
        <v>42916500</v>
      </c>
      <c r="E115" s="2"/>
      <c r="F115" s="2"/>
    </row>
    <row r="116" spans="1:6" ht="18.75" customHeight="1">
      <c r="A116" s="55" t="s">
        <v>33</v>
      </c>
      <c r="B116" s="56">
        <v>321</v>
      </c>
      <c r="C116" s="55" t="s">
        <v>184</v>
      </c>
      <c r="D116" s="115">
        <f>VLOOKUP(B116,'116目標底稿ver1'!D:AC, 26,0)</f>
        <v>40623000</v>
      </c>
      <c r="E116" s="2"/>
      <c r="F116" s="2"/>
    </row>
    <row r="117" spans="1:6" ht="18.75" customHeight="1">
      <c r="A117" s="55" t="s">
        <v>33</v>
      </c>
      <c r="B117" s="56">
        <v>322</v>
      </c>
      <c r="C117" s="55" t="s">
        <v>34</v>
      </c>
      <c r="D117" s="115">
        <f>VLOOKUP(B117,'116目標底稿ver1'!D:AC, 26,0)</f>
        <v>24271500.000000004</v>
      </c>
      <c r="E117" s="2"/>
      <c r="F117" s="2"/>
    </row>
    <row r="118" spans="1:6" ht="18.75" customHeight="1">
      <c r="A118" s="55" t="s">
        <v>11</v>
      </c>
      <c r="B118" s="56">
        <v>323</v>
      </c>
      <c r="C118" s="55" t="s">
        <v>185</v>
      </c>
      <c r="D118" s="115">
        <f>VLOOKUP(B118,'116目標底稿ver1'!D:AC, 26,0)</f>
        <v>28396500.000000004</v>
      </c>
      <c r="E118" s="2"/>
      <c r="F118" s="2"/>
    </row>
    <row r="119" spans="1:6" ht="18.75" customHeight="1">
      <c r="A119" s="55" t="s">
        <v>11</v>
      </c>
      <c r="B119" s="56">
        <v>351</v>
      </c>
      <c r="C119" s="55" t="s">
        <v>100</v>
      </c>
      <c r="D119" s="115">
        <f>VLOOKUP(B119,'116目標底稿ver1'!D:AC, 26,0)</f>
        <v>30728500.000000004</v>
      </c>
      <c r="E119" s="2"/>
      <c r="F119" s="2"/>
    </row>
    <row r="120" spans="1:6" ht="18.75" customHeight="1">
      <c r="A120" s="55" t="s">
        <v>33</v>
      </c>
      <c r="B120" s="56">
        <v>400</v>
      </c>
      <c r="C120" s="55" t="s">
        <v>35</v>
      </c>
      <c r="D120" s="115">
        <f>VLOOKUP(B120,'116目標底稿ver1'!D:AC, 26,0)</f>
        <v>56644500.000000007</v>
      </c>
      <c r="E120" s="2"/>
      <c r="F120" s="2"/>
    </row>
    <row r="121" spans="1:6" ht="18.75" customHeight="1">
      <c r="A121" s="55" t="s">
        <v>33</v>
      </c>
      <c r="B121" s="56">
        <v>401</v>
      </c>
      <c r="C121" s="55" t="s">
        <v>36</v>
      </c>
      <c r="D121" s="115">
        <f>VLOOKUP(B121,'116目標底稿ver1'!D:AC, 26,0)</f>
        <v>32637000.000000004</v>
      </c>
      <c r="E121" s="2"/>
      <c r="F121" s="2"/>
    </row>
    <row r="122" spans="1:6" ht="18.75" customHeight="1">
      <c r="A122" s="55" t="s">
        <v>33</v>
      </c>
      <c r="B122" s="56">
        <v>402</v>
      </c>
      <c r="C122" s="55" t="s">
        <v>37</v>
      </c>
      <c r="D122" s="115">
        <f>VLOOKUP(B122,'116目標底稿ver1'!D:AC, 26,0)</f>
        <v>52778000.000000007</v>
      </c>
      <c r="E122" s="2"/>
      <c r="F122" s="2"/>
    </row>
    <row r="123" spans="1:6" ht="18.75" customHeight="1">
      <c r="A123" s="55" t="s">
        <v>33</v>
      </c>
      <c r="B123" s="56">
        <v>403</v>
      </c>
      <c r="C123" s="55" t="s">
        <v>186</v>
      </c>
      <c r="D123" s="115">
        <f>VLOOKUP(B123,'116目標底稿ver1'!D:AC, 26,0)</f>
        <v>40287500</v>
      </c>
      <c r="E123" s="2"/>
      <c r="F123" s="2"/>
    </row>
    <row r="124" spans="1:6" ht="18.75" customHeight="1">
      <c r="A124" s="55" t="s">
        <v>33</v>
      </c>
      <c r="B124" s="56">
        <v>420</v>
      </c>
      <c r="C124" s="55" t="s">
        <v>38</v>
      </c>
      <c r="D124" s="115">
        <f>VLOOKUP(B124,'116目標底稿ver1'!D:AC, 26,0)</f>
        <v>78617000</v>
      </c>
      <c r="E124" s="2"/>
      <c r="F124" s="2"/>
    </row>
    <row r="125" spans="1:6" ht="18.75" customHeight="1">
      <c r="A125" s="55" t="s">
        <v>33</v>
      </c>
      <c r="B125" s="56">
        <v>422</v>
      </c>
      <c r="C125" s="55" t="s">
        <v>101</v>
      </c>
      <c r="D125" s="115">
        <f>VLOOKUP(B125,'116目標底稿ver1'!D:AC, 26,0)</f>
        <v>56001000.000000007</v>
      </c>
      <c r="E125" s="2"/>
      <c r="F125" s="2"/>
    </row>
    <row r="126" spans="1:6" ht="18.75" customHeight="1">
      <c r="A126" s="55" t="s">
        <v>33</v>
      </c>
      <c r="B126" s="56">
        <v>423</v>
      </c>
      <c r="C126" s="55" t="s">
        <v>187</v>
      </c>
      <c r="D126" s="115">
        <f>VLOOKUP(B126,'116目標底稿ver1'!D:AC, 26,0)</f>
        <v>36014000</v>
      </c>
      <c r="E126" s="2"/>
      <c r="F126" s="2"/>
    </row>
    <row r="127" spans="1:6" ht="18.75" customHeight="1">
      <c r="A127" s="55" t="s">
        <v>33</v>
      </c>
      <c r="B127" s="56">
        <v>424</v>
      </c>
      <c r="C127" s="55" t="s">
        <v>188</v>
      </c>
      <c r="D127" s="115">
        <f>VLOOKUP(B127,'116目標底稿ver1'!D:AC, 26,0)</f>
        <v>70999500</v>
      </c>
      <c r="E127" s="2"/>
      <c r="F127" s="2"/>
    </row>
    <row r="128" spans="1:6" ht="18.75" customHeight="1">
      <c r="A128" s="55" t="s">
        <v>33</v>
      </c>
      <c r="B128" s="56">
        <v>425</v>
      </c>
      <c r="C128" s="55" t="s">
        <v>39</v>
      </c>
      <c r="D128" s="115">
        <f>VLOOKUP(B128,'116目標底稿ver1'!D:AC, 26,0)</f>
        <v>38654000</v>
      </c>
      <c r="E128" s="2"/>
      <c r="F128" s="2"/>
    </row>
    <row r="129" spans="1:6" ht="18.75" customHeight="1">
      <c r="A129" s="55" t="s">
        <v>33</v>
      </c>
      <c r="B129" s="56">
        <v>426</v>
      </c>
      <c r="C129" s="55" t="s">
        <v>189</v>
      </c>
      <c r="D129" s="115">
        <f>VLOOKUP(B129,'116目標底稿ver1'!D:AC, 26,0)</f>
        <v>31025500.000000004</v>
      </c>
      <c r="E129" s="2"/>
      <c r="F129" s="2"/>
    </row>
    <row r="130" spans="1:6" ht="18.75" customHeight="1">
      <c r="A130" s="55" t="s">
        <v>33</v>
      </c>
      <c r="B130" s="56">
        <v>427</v>
      </c>
      <c r="C130" s="55" t="s">
        <v>190</v>
      </c>
      <c r="D130" s="115">
        <f>VLOOKUP(B130,'116目標底稿ver1'!D:AC, 26,0)</f>
        <v>38769500</v>
      </c>
      <c r="E130" s="2"/>
      <c r="F130" s="2"/>
    </row>
    <row r="131" spans="1:6" ht="18.75" customHeight="1">
      <c r="A131" s="55" t="s">
        <v>33</v>
      </c>
      <c r="B131" s="56">
        <v>429</v>
      </c>
      <c r="C131" s="55" t="s">
        <v>191</v>
      </c>
      <c r="D131" s="115">
        <f>VLOOKUP(B131,'116目標底稿ver1'!D:AC, 26,0)</f>
        <v>36608000</v>
      </c>
      <c r="E131" s="2"/>
      <c r="F131" s="2"/>
    </row>
    <row r="132" spans="1:6" ht="18.75" customHeight="1">
      <c r="A132" s="55" t="s">
        <v>33</v>
      </c>
      <c r="B132" s="56">
        <v>430</v>
      </c>
      <c r="C132" s="55" t="s">
        <v>40</v>
      </c>
      <c r="D132" s="115">
        <f>VLOOKUP(B132,'116目標底稿ver1'!D:AC, 26,0)</f>
        <v>24887500.000000004</v>
      </c>
      <c r="E132" s="2"/>
      <c r="F132" s="2"/>
    </row>
    <row r="133" spans="1:6" ht="18.75" customHeight="1">
      <c r="A133" s="55" t="s">
        <v>33</v>
      </c>
      <c r="B133" s="56">
        <v>431</v>
      </c>
      <c r="C133" s="55" t="s">
        <v>102</v>
      </c>
      <c r="D133" s="115">
        <f>VLOOKUP(B133,'116目標底稿ver1'!D:AC, 26,0)</f>
        <v>24766500.000000004</v>
      </c>
      <c r="E133" s="2"/>
      <c r="F133" s="2"/>
    </row>
    <row r="134" spans="1:6" ht="18.75" customHeight="1">
      <c r="A134" s="55" t="s">
        <v>33</v>
      </c>
      <c r="B134" s="56">
        <v>451</v>
      </c>
      <c r="C134" s="55" t="s">
        <v>103</v>
      </c>
      <c r="D134" s="115">
        <f>VLOOKUP(B134,'116目標底稿ver1'!D:AC, 26,0)</f>
        <v>30728500.000000004</v>
      </c>
      <c r="E134" s="2"/>
      <c r="F134" s="2"/>
    </row>
    <row r="135" spans="1:6" ht="18.75" customHeight="1">
      <c r="A135" s="55" t="s">
        <v>33</v>
      </c>
      <c r="B135" s="56">
        <v>500</v>
      </c>
      <c r="C135" s="55" t="s">
        <v>41</v>
      </c>
      <c r="D135" s="115">
        <f>VLOOKUP(B135,'116目標底稿ver1'!D:AC, 26,0)</f>
        <v>41547000</v>
      </c>
      <c r="E135" s="2"/>
      <c r="F135" s="2"/>
    </row>
    <row r="136" spans="1:6" ht="18.75" customHeight="1">
      <c r="A136" s="55" t="s">
        <v>33</v>
      </c>
      <c r="B136" s="56">
        <v>501</v>
      </c>
      <c r="C136" s="55" t="s">
        <v>192</v>
      </c>
      <c r="D136" s="115">
        <f>VLOOKUP(B136,'116目標底稿ver1'!D:AC, 26,0)</f>
        <v>29716500.000000004</v>
      </c>
      <c r="E136" s="2"/>
      <c r="F136" s="2"/>
    </row>
    <row r="137" spans="1:6" ht="18.75" customHeight="1">
      <c r="A137" s="55" t="s">
        <v>33</v>
      </c>
      <c r="B137" s="56">
        <v>520</v>
      </c>
      <c r="C137" s="55" t="s">
        <v>193</v>
      </c>
      <c r="D137" s="115">
        <f>VLOOKUP(B137,'116目標底稿ver1'!D:AC, 26,0)</f>
        <v>52767000.000000007</v>
      </c>
      <c r="E137" s="2"/>
      <c r="F137" s="2"/>
    </row>
    <row r="138" spans="1:6" ht="18.75" customHeight="1">
      <c r="A138" s="55" t="s">
        <v>33</v>
      </c>
      <c r="B138" s="56">
        <v>521</v>
      </c>
      <c r="C138" s="55" t="s">
        <v>194</v>
      </c>
      <c r="D138" s="115">
        <f>VLOOKUP(B138,'116目標底稿ver1'!D:AC, 26,0)</f>
        <v>81268000</v>
      </c>
      <c r="E138" s="2"/>
      <c r="F138" s="2"/>
    </row>
    <row r="139" spans="1:6" ht="18.75" customHeight="1">
      <c r="A139" s="55" t="s">
        <v>33</v>
      </c>
      <c r="B139" s="56">
        <v>522</v>
      </c>
      <c r="C139" s="55" t="s">
        <v>42</v>
      </c>
      <c r="D139" s="115">
        <f>VLOOKUP(B139,'116目標底稿ver1'!D:AC, 26,0)</f>
        <v>78540000</v>
      </c>
      <c r="E139" s="2"/>
      <c r="F139" s="2"/>
    </row>
    <row r="140" spans="1:6" ht="18.75" customHeight="1">
      <c r="A140" s="55" t="s">
        <v>33</v>
      </c>
      <c r="B140" s="56">
        <v>523</v>
      </c>
      <c r="C140" s="55" t="s">
        <v>104</v>
      </c>
      <c r="D140" s="115">
        <f>VLOOKUP(B140,'116目標底稿ver1'!D:AC, 26,0)</f>
        <v>35464000</v>
      </c>
      <c r="E140" s="2"/>
      <c r="F140" s="2"/>
    </row>
    <row r="141" spans="1:6" ht="18.75" customHeight="1">
      <c r="A141" s="55" t="s">
        <v>33</v>
      </c>
      <c r="B141" s="56">
        <v>524</v>
      </c>
      <c r="C141" s="55" t="s">
        <v>43</v>
      </c>
      <c r="D141" s="115">
        <f>VLOOKUP(B141,'116目標底稿ver1'!D:AC, 26,0)</f>
        <v>29947500.000000004</v>
      </c>
      <c r="E141" s="2"/>
      <c r="F141" s="2"/>
    </row>
    <row r="142" spans="1:6" ht="18.75" customHeight="1">
      <c r="A142" s="55" t="s">
        <v>33</v>
      </c>
      <c r="B142" s="56">
        <v>540</v>
      </c>
      <c r="C142" s="55" t="s">
        <v>44</v>
      </c>
      <c r="D142" s="115">
        <f>VLOOKUP(B142,'116目標底稿ver1'!D:AC, 26,0)</f>
        <v>24667500.000000004</v>
      </c>
      <c r="E142" s="2"/>
      <c r="F142" s="2"/>
    </row>
    <row r="143" spans="1:6" ht="18.75" customHeight="1">
      <c r="A143" s="55" t="s">
        <v>33</v>
      </c>
      <c r="B143" s="56">
        <v>541</v>
      </c>
      <c r="C143" s="55" t="s">
        <v>105</v>
      </c>
      <c r="D143" s="115">
        <f>VLOOKUP(B143,'116目標底稿ver1'!D:AC, 26,0)</f>
        <v>40722000</v>
      </c>
      <c r="E143" s="2"/>
      <c r="F143" s="2"/>
    </row>
    <row r="144" spans="1:6" ht="18.75" customHeight="1">
      <c r="A144" s="55" t="s">
        <v>33</v>
      </c>
      <c r="B144" s="56">
        <v>542</v>
      </c>
      <c r="C144" s="55" t="s">
        <v>45</v>
      </c>
      <c r="D144" s="115">
        <f>VLOOKUP(B144,'116目標底稿ver1'!D:AC, 26,0)</f>
        <v>25817000.000000004</v>
      </c>
      <c r="E144" s="2"/>
      <c r="F144" s="2"/>
    </row>
    <row r="145" spans="1:6" ht="18.75" customHeight="1">
      <c r="A145" s="55" t="s">
        <v>33</v>
      </c>
      <c r="B145" s="56">
        <v>600</v>
      </c>
      <c r="C145" s="55" t="s">
        <v>46</v>
      </c>
      <c r="D145" s="115">
        <f>VLOOKUP(B145,'116目標底稿ver1'!D:AC, 26,0)</f>
        <v>45765500</v>
      </c>
      <c r="E145" s="2"/>
      <c r="F145" s="2"/>
    </row>
    <row r="146" spans="1:6" ht="18.75" customHeight="1">
      <c r="A146" s="55" t="s">
        <v>33</v>
      </c>
      <c r="B146" s="56">
        <v>601</v>
      </c>
      <c r="C146" s="55" t="s">
        <v>195</v>
      </c>
      <c r="D146" s="115">
        <f>VLOOKUP(B146,'116目標底稿ver1'!D:AC, 26,0)</f>
        <v>41679000</v>
      </c>
      <c r="E146" s="2"/>
      <c r="F146" s="2"/>
    </row>
    <row r="147" spans="1:6" ht="18.75" customHeight="1">
      <c r="A147" s="55" t="s">
        <v>33</v>
      </c>
      <c r="B147" s="56">
        <v>602</v>
      </c>
      <c r="C147" s="55" t="s">
        <v>47</v>
      </c>
      <c r="D147" s="115">
        <f>VLOOKUP(B147,'116目標底稿ver1'!D:AC, 26,0)</f>
        <v>26741000.000000004</v>
      </c>
      <c r="E147" s="2"/>
      <c r="F147" s="2"/>
    </row>
    <row r="148" spans="1:6" ht="18.75" customHeight="1">
      <c r="A148" s="55" t="s">
        <v>48</v>
      </c>
      <c r="B148" s="56">
        <v>620</v>
      </c>
      <c r="C148" s="55" t="s">
        <v>106</v>
      </c>
      <c r="D148" s="115">
        <f>VLOOKUP(B148,'116目標底稿ver1'!D:AC, 26,0)</f>
        <v>42663500</v>
      </c>
      <c r="E148" s="2"/>
      <c r="F148" s="2"/>
    </row>
    <row r="149" spans="1:6" ht="18.75" customHeight="1">
      <c r="A149" s="55" t="s">
        <v>48</v>
      </c>
      <c r="B149" s="56">
        <v>621</v>
      </c>
      <c r="C149" s="55" t="s">
        <v>49</v>
      </c>
      <c r="D149" s="115">
        <f>VLOOKUP(B149,'116目標底稿ver1'!D:AC, 26,0)</f>
        <v>46744500.000000007</v>
      </c>
      <c r="E149" s="2"/>
      <c r="F149" s="2"/>
    </row>
    <row r="150" spans="1:6" ht="18.75" customHeight="1">
      <c r="A150" s="55" t="s">
        <v>48</v>
      </c>
      <c r="B150" s="56">
        <v>622</v>
      </c>
      <c r="C150" s="55" t="s">
        <v>107</v>
      </c>
      <c r="D150" s="115">
        <f>VLOOKUP(B150,'116目標底稿ver1'!D:AC, 26,0)</f>
        <v>43851500</v>
      </c>
      <c r="E150" s="2"/>
      <c r="F150" s="2"/>
    </row>
    <row r="151" spans="1:6" ht="18.75" customHeight="1">
      <c r="A151" s="55" t="s">
        <v>48</v>
      </c>
      <c r="B151" s="56">
        <v>640</v>
      </c>
      <c r="C151" s="55" t="s">
        <v>50</v>
      </c>
      <c r="D151" s="115">
        <f>VLOOKUP(B151,'116目標底稿ver1'!D:AC, 26,0)</f>
        <v>69690500</v>
      </c>
      <c r="E151" s="2"/>
      <c r="F151" s="2"/>
    </row>
    <row r="152" spans="1:6" ht="18.75" customHeight="1">
      <c r="A152" s="55" t="s">
        <v>48</v>
      </c>
      <c r="B152" s="56">
        <v>642</v>
      </c>
      <c r="C152" s="55" t="s">
        <v>196</v>
      </c>
      <c r="D152" s="115">
        <f>VLOOKUP(B152,'116目標底稿ver1'!D:AC, 26,0)</f>
        <v>52459000.000000007</v>
      </c>
      <c r="E152" s="2"/>
      <c r="F152" s="2"/>
    </row>
    <row r="153" spans="1:6" ht="18.75" customHeight="1">
      <c r="A153" s="55" t="s">
        <v>48</v>
      </c>
      <c r="B153" s="56">
        <v>643</v>
      </c>
      <c r="C153" s="55" t="s">
        <v>197</v>
      </c>
      <c r="D153" s="115">
        <f>VLOOKUP(B153,'116目標底稿ver1'!D:AC, 26,0)</f>
        <v>31977000.000000004</v>
      </c>
      <c r="E153" s="2"/>
      <c r="F153" s="2"/>
    </row>
    <row r="154" spans="1:6" ht="18.75" customHeight="1">
      <c r="A154" s="55" t="s">
        <v>48</v>
      </c>
      <c r="B154" s="56">
        <v>644</v>
      </c>
      <c r="C154" s="55" t="s">
        <v>51</v>
      </c>
      <c r="D154" s="115">
        <f>VLOOKUP(B154,'116目標底稿ver1'!D:AC, 26,0)</f>
        <v>39314000</v>
      </c>
      <c r="E154" s="2"/>
      <c r="F154" s="2"/>
    </row>
    <row r="155" spans="1:6" ht="18.75" customHeight="1">
      <c r="A155" s="55" t="s">
        <v>48</v>
      </c>
      <c r="B155" s="56">
        <v>645</v>
      </c>
      <c r="C155" s="55" t="s">
        <v>198</v>
      </c>
      <c r="D155" s="115">
        <f>VLOOKUP(B155,'116目標底稿ver1'!D:AC, 26,0)</f>
        <v>42009000</v>
      </c>
      <c r="E155" s="2"/>
      <c r="F155" s="2"/>
    </row>
    <row r="156" spans="1:6" ht="18.75" customHeight="1">
      <c r="A156" s="55" t="s">
        <v>48</v>
      </c>
      <c r="B156" s="56">
        <v>646</v>
      </c>
      <c r="C156" s="55" t="s">
        <v>199</v>
      </c>
      <c r="D156" s="115">
        <f>VLOOKUP(B156,'116目標底稿ver1'!D:AC, 26,0)</f>
        <v>26581500.000000004</v>
      </c>
      <c r="E156" s="2"/>
      <c r="F156" s="2"/>
    </row>
    <row r="157" spans="1:6" ht="18.75" customHeight="1">
      <c r="A157" s="55" t="s">
        <v>48</v>
      </c>
      <c r="B157" s="56">
        <v>647</v>
      </c>
      <c r="C157" s="55" t="s">
        <v>108</v>
      </c>
      <c r="D157" s="115">
        <f>VLOOKUP(B157,'116目標底稿ver1'!D:AC, 26,0)</f>
        <v>37218500</v>
      </c>
      <c r="E157" s="2"/>
      <c r="F157" s="2"/>
    </row>
    <row r="158" spans="1:6" ht="18.75" customHeight="1">
      <c r="A158" s="55" t="s">
        <v>48</v>
      </c>
      <c r="B158" s="56">
        <v>648</v>
      </c>
      <c r="C158" s="55" t="s">
        <v>200</v>
      </c>
      <c r="D158" s="115">
        <f>VLOOKUP(B158,'116目標底稿ver1'!D:AC, 26,0)</f>
        <v>34254000</v>
      </c>
      <c r="E158" s="2"/>
      <c r="F158" s="2"/>
    </row>
    <row r="159" spans="1:6" ht="18.75" customHeight="1">
      <c r="A159" s="55" t="s">
        <v>48</v>
      </c>
      <c r="B159" s="56">
        <v>681</v>
      </c>
      <c r="C159" s="55" t="s">
        <v>52</v>
      </c>
      <c r="D159" s="115">
        <f>VLOOKUP(B159,'116目標底稿ver1'!D:AC, 26,0)</f>
        <v>30739500.000000004</v>
      </c>
      <c r="E159" s="2"/>
      <c r="F159" s="2"/>
    </row>
    <row r="160" spans="1:6" ht="18.75" customHeight="1">
      <c r="A160" s="55" t="s">
        <v>48</v>
      </c>
      <c r="B160" s="56">
        <v>700</v>
      </c>
      <c r="C160" s="55" t="s">
        <v>201</v>
      </c>
      <c r="D160" s="115">
        <f>VLOOKUP(B160,'116目標底稿ver1'!D:AC, 26,0)</f>
        <v>61754000.000000007</v>
      </c>
      <c r="E160" s="2"/>
      <c r="F160" s="2"/>
    </row>
    <row r="161" spans="1:6" ht="18.75" customHeight="1">
      <c r="A161" s="55" t="s">
        <v>48</v>
      </c>
      <c r="B161" s="56">
        <v>701</v>
      </c>
      <c r="C161" s="55" t="s">
        <v>202</v>
      </c>
      <c r="D161" s="115">
        <f>VLOOKUP(B161,'116目標底稿ver1'!D:AC, 26,0)</f>
        <v>32125500.000000004</v>
      </c>
      <c r="E161" s="2"/>
      <c r="F161" s="2"/>
    </row>
    <row r="162" spans="1:6" ht="18.75" customHeight="1">
      <c r="A162" s="55" t="s">
        <v>48</v>
      </c>
      <c r="B162" s="56">
        <v>702</v>
      </c>
      <c r="C162" s="55" t="s">
        <v>203</v>
      </c>
      <c r="D162" s="115">
        <f>VLOOKUP(B162,'116目標底稿ver1'!D:AC, 26,0)</f>
        <v>46524500.000000007</v>
      </c>
      <c r="E162" s="2"/>
      <c r="F162" s="2"/>
    </row>
    <row r="163" spans="1:6" ht="18.75" customHeight="1">
      <c r="A163" s="55" t="s">
        <v>48</v>
      </c>
      <c r="B163" s="56">
        <v>703</v>
      </c>
      <c r="C163" s="55" t="s">
        <v>53</v>
      </c>
      <c r="D163" s="115">
        <f>VLOOKUP(B163,'116目標底稿ver1'!D:AC, 26,0)</f>
        <v>26642000.000000004</v>
      </c>
      <c r="E163" s="2"/>
      <c r="F163" s="2"/>
    </row>
    <row r="164" spans="1:6" ht="18.75" customHeight="1">
      <c r="A164" s="55" t="s">
        <v>48</v>
      </c>
      <c r="B164" s="56">
        <v>704</v>
      </c>
      <c r="C164" s="55" t="s">
        <v>54</v>
      </c>
      <c r="D164" s="115">
        <f>VLOOKUP(B164,'116目標底稿ver1'!D:AC, 26,0)</f>
        <v>29491000.000000004</v>
      </c>
      <c r="E164" s="2"/>
      <c r="F164" s="2"/>
    </row>
    <row r="165" spans="1:6" ht="18.75" customHeight="1">
      <c r="A165" s="55" t="s">
        <v>48</v>
      </c>
      <c r="B165" s="56">
        <v>705</v>
      </c>
      <c r="C165" s="55" t="s">
        <v>109</v>
      </c>
      <c r="D165" s="115">
        <f>VLOOKUP(B165,'116目標底稿ver1'!D:AC, 26,0)</f>
        <v>24491500.000000004</v>
      </c>
      <c r="E165" s="2"/>
      <c r="F165" s="2"/>
    </row>
    <row r="166" spans="1:6" ht="18.75" customHeight="1">
      <c r="A166" s="55" t="s">
        <v>48</v>
      </c>
      <c r="B166" s="56">
        <v>706</v>
      </c>
      <c r="C166" s="55" t="s">
        <v>55</v>
      </c>
      <c r="D166" s="115">
        <f>VLOOKUP(B166,'116目標底稿ver1'!D:AC, 26,0)</f>
        <v>30074000.000000004</v>
      </c>
      <c r="E166" s="2"/>
      <c r="F166" s="2"/>
    </row>
    <row r="167" spans="1:6" ht="18.75" customHeight="1">
      <c r="A167" s="55" t="s">
        <v>48</v>
      </c>
      <c r="B167" s="56">
        <v>707</v>
      </c>
      <c r="C167" s="55" t="s">
        <v>110</v>
      </c>
      <c r="D167" s="115">
        <f>VLOOKUP(B167,'116目標底稿ver1'!D:AC, 26,0)</f>
        <v>19222500</v>
      </c>
      <c r="E167" s="2"/>
      <c r="F167" s="2"/>
    </row>
    <row r="168" spans="1:6" ht="18.75" customHeight="1">
      <c r="A168" s="55" t="s">
        <v>48</v>
      </c>
      <c r="B168" s="56">
        <v>708</v>
      </c>
      <c r="C168" s="55" t="s">
        <v>56</v>
      </c>
      <c r="D168" s="115">
        <f>VLOOKUP(B168,'116目標底稿ver1'!D:AC, 26,0)</f>
        <v>29106000.000000004</v>
      </c>
      <c r="E168" s="2"/>
      <c r="F168" s="2"/>
    </row>
    <row r="169" spans="1:6" ht="18.75" customHeight="1">
      <c r="A169" s="55" t="s">
        <v>48</v>
      </c>
      <c r="B169" s="56">
        <v>709</v>
      </c>
      <c r="C169" s="55" t="s">
        <v>204</v>
      </c>
      <c r="D169" s="115">
        <f>VLOOKUP(B169,'116目標底稿ver1'!D:AC, 26,0)</f>
        <v>39809000</v>
      </c>
      <c r="E169" s="2"/>
      <c r="F169" s="2"/>
    </row>
    <row r="170" spans="1:6" ht="18.75" customHeight="1">
      <c r="A170" s="55" t="s">
        <v>48</v>
      </c>
      <c r="B170" s="56">
        <v>710</v>
      </c>
      <c r="C170" s="55" t="s">
        <v>111</v>
      </c>
      <c r="D170" s="115">
        <f>VLOOKUP(B170,'116目標底稿ver1'!D:AC, 26,0)</f>
        <v>46953500.000000007</v>
      </c>
      <c r="E170" s="2"/>
      <c r="F170" s="2"/>
    </row>
    <row r="171" spans="1:6" ht="18.75" customHeight="1">
      <c r="A171" s="55" t="s">
        <v>48</v>
      </c>
      <c r="B171" s="56">
        <v>711</v>
      </c>
      <c r="C171" s="55" t="s">
        <v>205</v>
      </c>
      <c r="D171" s="115">
        <f>VLOOKUP(B171,'116目標底稿ver1'!D:AC, 26,0)</f>
        <v>30525000.000000004</v>
      </c>
      <c r="E171" s="2"/>
      <c r="F171" s="2"/>
    </row>
    <row r="172" spans="1:6" ht="18.75" customHeight="1">
      <c r="A172" s="55" t="s">
        <v>48</v>
      </c>
      <c r="B172" s="56">
        <v>712</v>
      </c>
      <c r="C172" s="55" t="s">
        <v>206</v>
      </c>
      <c r="D172" s="115">
        <f>VLOOKUP(B172,'116目標底稿ver1'!D:AC, 26,0)</f>
        <v>11786500.000000002</v>
      </c>
      <c r="E172" s="2"/>
      <c r="F172" s="2"/>
    </row>
    <row r="173" spans="1:6" ht="18.75" customHeight="1">
      <c r="A173" s="55" t="s">
        <v>48</v>
      </c>
      <c r="B173" s="56">
        <v>719</v>
      </c>
      <c r="C173" s="55" t="s">
        <v>59</v>
      </c>
      <c r="D173" s="115">
        <f>VLOOKUP(B173,'116目標底稿ver1'!D:AC, 26,0)</f>
        <v>47773000.000000007</v>
      </c>
      <c r="E173" s="2"/>
      <c r="F173" s="2"/>
    </row>
    <row r="174" spans="1:6" ht="18.75" customHeight="1">
      <c r="A174" s="55" t="s">
        <v>48</v>
      </c>
      <c r="B174" s="56">
        <v>720</v>
      </c>
      <c r="C174" s="55" t="s">
        <v>112</v>
      </c>
      <c r="D174" s="115">
        <f>VLOOKUP(B174,'116目標底稿ver1'!D:AC, 26,0)</f>
        <v>39880500</v>
      </c>
      <c r="E174" s="2"/>
      <c r="F174" s="2"/>
    </row>
    <row r="175" spans="1:6" ht="18.75" customHeight="1">
      <c r="A175" s="55" t="s">
        <v>48</v>
      </c>
      <c r="B175" s="56">
        <v>721</v>
      </c>
      <c r="C175" s="55" t="s">
        <v>60</v>
      </c>
      <c r="D175" s="115">
        <f>VLOOKUP(B175,'116目標底稿ver1'!D:AC, 26,0)</f>
        <v>30206000.000000004</v>
      </c>
      <c r="E175" s="2"/>
      <c r="F175" s="2"/>
    </row>
    <row r="176" spans="1:6" ht="18.75" customHeight="1">
      <c r="A176" s="55" t="s">
        <v>48</v>
      </c>
      <c r="B176" s="56">
        <v>722</v>
      </c>
      <c r="C176" s="55" t="s">
        <v>61</v>
      </c>
      <c r="D176" s="115">
        <f>VLOOKUP(B176,'116目標底稿ver1'!D:AC, 26,0)</f>
        <v>19244500</v>
      </c>
      <c r="E176" s="2"/>
      <c r="F176" s="2"/>
    </row>
    <row r="177" spans="1:6" ht="18.75" customHeight="1">
      <c r="A177" s="55" t="s">
        <v>48</v>
      </c>
      <c r="B177" s="56">
        <v>751</v>
      </c>
      <c r="C177" s="55" t="s">
        <v>62</v>
      </c>
      <c r="D177" s="115">
        <f>VLOOKUP(B177,'116目標底稿ver1'!D:AC, 26,0)</f>
        <v>23089000.000000004</v>
      </c>
      <c r="E177" s="2"/>
      <c r="F177" s="2"/>
    </row>
    <row r="178" spans="1:6" ht="18.75" customHeight="1">
      <c r="A178" s="55" t="s">
        <v>48</v>
      </c>
      <c r="B178" s="56">
        <v>752</v>
      </c>
      <c r="C178" s="55" t="s">
        <v>63</v>
      </c>
      <c r="D178" s="115">
        <f>VLOOKUP(B178,'116目標底稿ver1'!D:AC, 26,0)</f>
        <v>39369000</v>
      </c>
      <c r="E178" s="2"/>
      <c r="F178" s="2"/>
    </row>
    <row r="179" spans="1:6" ht="18.75" customHeight="1">
      <c r="A179" s="55" t="s">
        <v>48</v>
      </c>
      <c r="B179" s="56">
        <v>753</v>
      </c>
      <c r="C179" s="55" t="s">
        <v>207</v>
      </c>
      <c r="D179" s="115">
        <f>VLOOKUP(B179,'116目標底稿ver1'!D:AC, 26,0)</f>
        <v>29342500.000000004</v>
      </c>
      <c r="E179" s="2"/>
      <c r="F179" s="2"/>
    </row>
    <row r="180" spans="1:6" ht="18.75" customHeight="1">
      <c r="A180" s="55" t="s">
        <v>48</v>
      </c>
      <c r="B180" s="56">
        <v>760</v>
      </c>
      <c r="C180" s="55" t="s">
        <v>64</v>
      </c>
      <c r="D180" s="115">
        <f>VLOOKUP(B180,'116目標底稿ver1'!D:AC, 26,0)</f>
        <v>43252000</v>
      </c>
      <c r="E180" s="2"/>
      <c r="F180" s="2"/>
    </row>
    <row r="181" spans="1:6" ht="18.75" customHeight="1">
      <c r="A181" s="55" t="s">
        <v>48</v>
      </c>
      <c r="B181" s="56">
        <v>765</v>
      </c>
      <c r="C181" s="55" t="s">
        <v>65</v>
      </c>
      <c r="D181" s="115" t="e">
        <f>VLOOKUP(B181,'116目標底稿ver1'!D:AC, 26,0)</f>
        <v>#N/A</v>
      </c>
      <c r="E181" s="2"/>
      <c r="F181" s="2"/>
    </row>
    <row r="182" spans="1:6" ht="18.75" customHeight="1">
      <c r="A182" s="55" t="s">
        <v>48</v>
      </c>
      <c r="B182" s="56">
        <v>800</v>
      </c>
      <c r="C182" s="55" t="s">
        <v>66</v>
      </c>
      <c r="D182" s="115">
        <f>VLOOKUP(B182,'116目標底稿ver1'!D:AC, 26,0)</f>
        <v>39286500</v>
      </c>
      <c r="E182" s="2"/>
      <c r="F182" s="2"/>
    </row>
    <row r="183" spans="1:6" ht="18.75" customHeight="1">
      <c r="A183" s="55" t="s">
        <v>48</v>
      </c>
      <c r="B183" s="56">
        <v>801</v>
      </c>
      <c r="C183" s="55" t="s">
        <v>67</v>
      </c>
      <c r="D183" s="115">
        <f>VLOOKUP(B183,'116目標底稿ver1'!D:AC, 26,0)</f>
        <v>59548500.000000007</v>
      </c>
      <c r="E183" s="2"/>
      <c r="F183" s="2"/>
    </row>
    <row r="184" spans="1:6" ht="18.75" customHeight="1">
      <c r="A184" s="55" t="s">
        <v>48</v>
      </c>
      <c r="B184" s="56">
        <v>802</v>
      </c>
      <c r="C184" s="55" t="s">
        <v>68</v>
      </c>
      <c r="D184" s="115">
        <f>VLOOKUP(B184,'116目標底稿ver1'!D:AC, 26,0)</f>
        <v>52756000.000000007</v>
      </c>
      <c r="E184" s="2"/>
      <c r="F184" s="2"/>
    </row>
    <row r="185" spans="1:6" ht="18.75" customHeight="1">
      <c r="A185" s="55" t="s">
        <v>48</v>
      </c>
      <c r="B185" s="56">
        <v>813</v>
      </c>
      <c r="C185" s="55" t="s">
        <v>69</v>
      </c>
      <c r="D185" s="115" t="e">
        <f>VLOOKUP(B185,'116目標底稿ver1'!D:AC, 26,0)</f>
        <v>#N/A</v>
      </c>
      <c r="E185" s="2"/>
      <c r="F185" s="2"/>
    </row>
    <row r="186" spans="1:6" ht="18.75" customHeight="1">
      <c r="A186" s="55" t="s">
        <v>7</v>
      </c>
      <c r="B186" s="56">
        <v>820</v>
      </c>
      <c r="C186" s="55" t="s">
        <v>70</v>
      </c>
      <c r="D186" s="115">
        <f>VLOOKUP(B186,'116目標底稿ver1'!D:AC, 26,0)</f>
        <v>39616500</v>
      </c>
      <c r="E186" s="2"/>
      <c r="F186" s="2"/>
    </row>
    <row r="187" spans="1:6" ht="18.75" customHeight="1">
      <c r="A187" s="55" t="s">
        <v>48</v>
      </c>
      <c r="B187" s="56">
        <v>830</v>
      </c>
      <c r="C187" s="55" t="s">
        <v>71</v>
      </c>
      <c r="D187" s="115">
        <f>VLOOKUP(B187,'116目標底稿ver1'!D:AC, 26,0)</f>
        <v>21076000</v>
      </c>
      <c r="E187" s="2"/>
      <c r="F187" s="2"/>
    </row>
    <row r="188" spans="1:6" ht="18.75" customHeight="1">
      <c r="A188" s="55" t="s">
        <v>400</v>
      </c>
      <c r="B188" s="56">
        <v>888</v>
      </c>
      <c r="C188" s="55" t="s">
        <v>209</v>
      </c>
      <c r="D188" s="115">
        <f>VLOOKUP(B188,'116目標底稿ver1'!D:AC, 26,0)</f>
        <v>12023000.000000002</v>
      </c>
      <c r="E188" s="2"/>
      <c r="F188" s="2"/>
    </row>
    <row r="189" spans="1:6" ht="18.75" customHeight="1">
      <c r="A189" s="527" t="s">
        <v>0</v>
      </c>
      <c r="B189" s="527"/>
      <c r="C189" s="55" t="s">
        <v>72</v>
      </c>
      <c r="D189" s="116">
        <f>SUMIF($A$4:$A$188,A189,$D$4:$D$188)</f>
        <v>1799941000</v>
      </c>
    </row>
    <row r="190" spans="1:6" ht="18.75" customHeight="1">
      <c r="A190" s="527" t="s">
        <v>7</v>
      </c>
      <c r="B190" s="527"/>
      <c r="C190" s="55" t="s">
        <v>72</v>
      </c>
      <c r="D190" s="116">
        <f>SUMIF($A$4:$A$188,A190,$D$4:$D$188)</f>
        <v>1512021500</v>
      </c>
    </row>
    <row r="191" spans="1:6" ht="18.75" customHeight="1">
      <c r="A191" s="527" t="s">
        <v>211</v>
      </c>
      <c r="B191" s="527"/>
      <c r="C191" s="55" t="s">
        <v>72</v>
      </c>
      <c r="D191" s="116">
        <f>SUMIF($A$4:$A$188,A191,$D$4:$D$188)</f>
        <v>1154989000</v>
      </c>
    </row>
    <row r="192" spans="1:6" ht="18.75" customHeight="1">
      <c r="A192" s="527" t="s">
        <v>33</v>
      </c>
      <c r="B192" s="527"/>
      <c r="C192" s="55" t="s">
        <v>72</v>
      </c>
      <c r="D192" s="116">
        <f>SUMIF($A$4:$A$188,A192,$D$4:$D$188)</f>
        <v>1311871000</v>
      </c>
    </row>
    <row r="193" spans="1:4" ht="18.75" customHeight="1">
      <c r="A193" s="527" t="s">
        <v>48</v>
      </c>
      <c r="B193" s="527"/>
      <c r="C193" s="55" t="s">
        <v>72</v>
      </c>
      <c r="D193" s="116" t="e">
        <f>SUMIF($A$4:$A$188,A193,$D$4:$D$188)</f>
        <v>#N/A</v>
      </c>
    </row>
    <row r="194" spans="1:4" s="39" customFormat="1" ht="18.75" customHeight="1">
      <c r="A194" s="526" t="s">
        <v>422</v>
      </c>
      <c r="B194" s="526"/>
      <c r="C194" s="526"/>
      <c r="D194" s="117" t="e">
        <f>SUM(D189:D193)</f>
        <v>#N/A</v>
      </c>
    </row>
    <row r="195" spans="1:4" ht="16.5" customHeight="1">
      <c r="A195" s="186"/>
      <c r="B195" s="186"/>
      <c r="C195" s="186"/>
    </row>
  </sheetData>
  <mergeCells count="7">
    <mergeCell ref="A194:C194"/>
    <mergeCell ref="A1:D1"/>
    <mergeCell ref="A189:B189"/>
    <mergeCell ref="A190:B190"/>
    <mergeCell ref="A191:B191"/>
    <mergeCell ref="A192:B192"/>
    <mergeCell ref="A193:B193"/>
  </mergeCells>
  <phoneticPr fontId="13" type="noConversion"/>
  <printOptions horizontalCentered="1"/>
  <pageMargins left="0.55118110236220474" right="0.55118110236220474" top="0.78740157480314965" bottom="0.78740157480314965" header="0.51181102362204722" footer="0.39370078740157483"/>
  <pageSetup paperSize="9" fitToHeight="6" orientation="portrait" r:id="rId2"/>
  <headerFooter alignWithMargins="0">
    <oddHeader>&amp;R&amp;"標楷體,標準"附件五</oddHeader>
    <oddFooter>&amp;C&amp;"標楷體,標準"第 &amp;P 頁，共 &amp;N 頁</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196"/>
  <sheetViews>
    <sheetView view="pageBreakPreview" topLeftCell="B1" zoomScale="85" zoomScaleNormal="100" zoomScaleSheetLayoutView="85" workbookViewId="0">
      <pane ySplit="5" topLeftCell="A151" activePane="bottomLeft" state="frozen"/>
      <selection pane="bottomLeft" activeCell="K161" sqref="K161"/>
    </sheetView>
  </sheetViews>
  <sheetFormatPr defaultColWidth="9" defaultRowHeight="16.5"/>
  <cols>
    <col min="1" max="1" width="12.5" style="45" bestFit="1" customWidth="1"/>
    <col min="2" max="2" width="11.875" style="45" customWidth="1"/>
    <col min="3" max="3" width="21.375" style="45" bestFit="1" customWidth="1"/>
    <col min="4" max="9" width="18" style="46" customWidth="1"/>
    <col min="10" max="11" width="18" style="47" customWidth="1"/>
    <col min="12" max="16" width="18" style="45" customWidth="1"/>
    <col min="17" max="16384" width="9" style="45"/>
  </cols>
  <sheetData>
    <row r="1" spans="1:16">
      <c r="B1" s="45">
        <v>1</v>
      </c>
      <c r="C1" s="45">
        <v>2</v>
      </c>
      <c r="D1" s="45">
        <v>3</v>
      </c>
      <c r="E1" s="45">
        <v>4</v>
      </c>
      <c r="F1" s="45">
        <v>5</v>
      </c>
      <c r="G1" s="45">
        <v>6</v>
      </c>
      <c r="H1" s="45">
        <v>7</v>
      </c>
      <c r="I1" s="45">
        <v>8</v>
      </c>
      <c r="J1" s="45">
        <v>9</v>
      </c>
      <c r="K1" s="45">
        <v>10</v>
      </c>
      <c r="L1" s="45">
        <v>11</v>
      </c>
      <c r="M1" s="45">
        <v>12</v>
      </c>
      <c r="N1" s="45">
        <v>13</v>
      </c>
      <c r="O1" s="45">
        <v>14</v>
      </c>
      <c r="P1" s="45">
        <v>15</v>
      </c>
    </row>
    <row r="2" spans="1:16" s="140" customFormat="1" ht="43.5" customHeight="1">
      <c r="A2" s="532" t="s">
        <v>1877</v>
      </c>
      <c r="B2" s="532"/>
      <c r="C2" s="532"/>
      <c r="D2" s="532"/>
      <c r="E2" s="532"/>
      <c r="F2" s="532"/>
      <c r="G2" s="532"/>
      <c r="H2" s="532"/>
      <c r="I2" s="532"/>
      <c r="J2" s="532"/>
      <c r="K2" s="532"/>
      <c r="L2" s="532"/>
      <c r="M2" s="532"/>
      <c r="N2" s="532"/>
      <c r="O2" s="532"/>
      <c r="P2" s="532"/>
    </row>
    <row r="3" spans="1:16" ht="17.100000000000001" customHeight="1">
      <c r="I3" s="118"/>
      <c r="K3" s="48"/>
      <c r="P3" s="118" t="s">
        <v>451</v>
      </c>
    </row>
    <row r="4" spans="1:16" s="142" customFormat="1" ht="48" customHeight="1">
      <c r="A4" s="520" t="s">
        <v>414</v>
      </c>
      <c r="B4" s="522" t="s">
        <v>128</v>
      </c>
      <c r="C4" s="524" t="s">
        <v>456</v>
      </c>
      <c r="D4" s="54" t="s">
        <v>600</v>
      </c>
      <c r="E4" s="54" t="s">
        <v>601</v>
      </c>
      <c r="F4" s="54" t="s">
        <v>602</v>
      </c>
      <c r="G4" s="54" t="s">
        <v>603</v>
      </c>
      <c r="H4" s="54" t="s">
        <v>604</v>
      </c>
      <c r="I4" s="54" t="s">
        <v>605</v>
      </c>
      <c r="J4" s="53" t="s">
        <v>606</v>
      </c>
      <c r="K4" s="53" t="s">
        <v>607</v>
      </c>
      <c r="L4" s="53" t="s">
        <v>608</v>
      </c>
      <c r="M4" s="53" t="s">
        <v>609</v>
      </c>
      <c r="N4" s="53" t="s">
        <v>610</v>
      </c>
      <c r="O4" s="53" t="s">
        <v>629</v>
      </c>
      <c r="P4" s="53" t="s">
        <v>210</v>
      </c>
    </row>
    <row r="5" spans="1:16" s="102" customFormat="1" ht="32.25" customHeight="1">
      <c r="A5" s="521"/>
      <c r="B5" s="523"/>
      <c r="C5" s="525"/>
      <c r="D5" s="137" t="s">
        <v>397</v>
      </c>
      <c r="E5" s="137" t="s">
        <v>398</v>
      </c>
      <c r="F5" s="137" t="s">
        <v>407</v>
      </c>
      <c r="G5" s="137" t="s">
        <v>438</v>
      </c>
      <c r="H5" s="137" t="s">
        <v>442</v>
      </c>
      <c r="I5" s="137" t="s">
        <v>630</v>
      </c>
      <c r="J5" s="137" t="s">
        <v>631</v>
      </c>
      <c r="K5" s="134" t="s">
        <v>632</v>
      </c>
      <c r="L5" s="212" t="s">
        <v>633</v>
      </c>
      <c r="M5" s="212" t="s">
        <v>634</v>
      </c>
      <c r="N5" s="212" t="s">
        <v>635</v>
      </c>
      <c r="O5" s="212" t="s">
        <v>636</v>
      </c>
      <c r="P5" s="213" t="s">
        <v>637</v>
      </c>
    </row>
    <row r="6" spans="1:16" s="143" customFormat="1" ht="36.75" customHeight="1">
      <c r="A6" s="55" t="s">
        <v>0</v>
      </c>
      <c r="B6" s="136">
        <v>100</v>
      </c>
      <c r="C6" s="55" t="s">
        <v>131</v>
      </c>
      <c r="D6" s="211">
        <v>11439000</v>
      </c>
      <c r="E6" s="211">
        <v>8800000</v>
      </c>
      <c r="F6" s="211">
        <v>8800000</v>
      </c>
      <c r="G6" s="211">
        <v>8361000</v>
      </c>
      <c r="H6" s="211">
        <v>9681000</v>
      </c>
      <c r="I6" s="211">
        <v>8361000</v>
      </c>
      <c r="J6" s="211">
        <v>8361000</v>
      </c>
      <c r="K6" s="211">
        <v>9681000</v>
      </c>
      <c r="L6" s="211">
        <v>8361000</v>
      </c>
      <c r="M6" s="211">
        <v>8800000</v>
      </c>
      <c r="N6" s="211">
        <v>9681000</v>
      </c>
      <c r="O6" s="211">
        <v>3514000</v>
      </c>
      <c r="P6" s="211">
        <f>SUM(D6:O6)</f>
        <v>103840000</v>
      </c>
    </row>
    <row r="7" spans="1:16" s="143" customFormat="1" ht="36.75" customHeight="1">
      <c r="A7" s="55" t="s">
        <v>0</v>
      </c>
      <c r="B7" s="136">
        <v>101</v>
      </c>
      <c r="C7" s="55" t="s">
        <v>132</v>
      </c>
      <c r="D7" s="211">
        <v>3959000</v>
      </c>
      <c r="E7" s="211">
        <v>3045000</v>
      </c>
      <c r="F7" s="211">
        <v>3045000</v>
      </c>
      <c r="G7" s="211">
        <v>2892000</v>
      </c>
      <c r="H7" s="211">
        <v>3349000</v>
      </c>
      <c r="I7" s="211">
        <v>2892000</v>
      </c>
      <c r="J7" s="211">
        <v>2892000</v>
      </c>
      <c r="K7" s="211">
        <v>3349000</v>
      </c>
      <c r="L7" s="211">
        <v>2892000</v>
      </c>
      <c r="M7" s="211">
        <v>3045000</v>
      </c>
      <c r="N7" s="211">
        <v>3349000</v>
      </c>
      <c r="O7" s="211">
        <v>1221000</v>
      </c>
      <c r="P7" s="211">
        <f t="shared" ref="P7:P68" si="0">SUM(D7:O7)</f>
        <v>35930000</v>
      </c>
    </row>
    <row r="8" spans="1:16" s="143" customFormat="1" ht="36.75" customHeight="1">
      <c r="A8" s="55" t="s">
        <v>0</v>
      </c>
      <c r="B8" s="136">
        <v>103</v>
      </c>
      <c r="C8" s="55" t="s">
        <v>133</v>
      </c>
      <c r="D8" s="211">
        <v>4872000</v>
      </c>
      <c r="E8" s="211">
        <v>3748000</v>
      </c>
      <c r="F8" s="211">
        <v>3748000</v>
      </c>
      <c r="G8" s="211">
        <v>3560000</v>
      </c>
      <c r="H8" s="211">
        <v>4122000</v>
      </c>
      <c r="I8" s="211">
        <v>3560000</v>
      </c>
      <c r="J8" s="211">
        <v>3560000</v>
      </c>
      <c r="K8" s="211">
        <v>4122000</v>
      </c>
      <c r="L8" s="211">
        <v>3560000</v>
      </c>
      <c r="M8" s="211">
        <v>3748000</v>
      </c>
      <c r="N8" s="211">
        <v>4122000</v>
      </c>
      <c r="O8" s="211">
        <v>1498000</v>
      </c>
      <c r="P8" s="211">
        <f t="shared" si="0"/>
        <v>44220000</v>
      </c>
    </row>
    <row r="9" spans="1:16" s="143" customFormat="1" ht="36.75" customHeight="1">
      <c r="A9" s="55" t="s">
        <v>0</v>
      </c>
      <c r="B9" s="136">
        <v>104</v>
      </c>
      <c r="C9" s="55" t="s">
        <v>134</v>
      </c>
      <c r="D9" s="211">
        <v>8328000</v>
      </c>
      <c r="E9" s="211">
        <v>6406000</v>
      </c>
      <c r="F9" s="211">
        <v>6406000</v>
      </c>
      <c r="G9" s="211">
        <v>6086000</v>
      </c>
      <c r="H9" s="211">
        <v>7047000</v>
      </c>
      <c r="I9" s="211">
        <v>6086000</v>
      </c>
      <c r="J9" s="211">
        <v>6086000</v>
      </c>
      <c r="K9" s="211">
        <v>7047000</v>
      </c>
      <c r="L9" s="211">
        <v>6086000</v>
      </c>
      <c r="M9" s="211">
        <v>6406000</v>
      </c>
      <c r="N9" s="211">
        <v>7047000</v>
      </c>
      <c r="O9" s="211">
        <v>2559000</v>
      </c>
      <c r="P9" s="211">
        <f t="shared" si="0"/>
        <v>75590000</v>
      </c>
    </row>
    <row r="10" spans="1:16" s="143" customFormat="1" ht="36.75" customHeight="1">
      <c r="A10" s="55" t="s">
        <v>0</v>
      </c>
      <c r="B10" s="136">
        <v>105</v>
      </c>
      <c r="C10" s="55" t="s">
        <v>135</v>
      </c>
      <c r="D10" s="211">
        <v>6295000</v>
      </c>
      <c r="E10" s="211">
        <v>4843000</v>
      </c>
      <c r="F10" s="211">
        <v>4843000</v>
      </c>
      <c r="G10" s="211">
        <v>4601000</v>
      </c>
      <c r="H10" s="211">
        <v>5326000</v>
      </c>
      <c r="I10" s="211">
        <v>4601000</v>
      </c>
      <c r="J10" s="211">
        <v>4601000</v>
      </c>
      <c r="K10" s="211">
        <v>5326000</v>
      </c>
      <c r="L10" s="211">
        <v>4601000</v>
      </c>
      <c r="M10" s="211">
        <v>4843000</v>
      </c>
      <c r="N10" s="211">
        <v>5326000</v>
      </c>
      <c r="O10" s="211">
        <v>1934000</v>
      </c>
      <c r="P10" s="211">
        <f t="shared" si="0"/>
        <v>57140000</v>
      </c>
    </row>
    <row r="11" spans="1:16" s="143" customFormat="1" ht="36.75" customHeight="1">
      <c r="A11" s="55" t="s">
        <v>0</v>
      </c>
      <c r="B11" s="136">
        <v>106</v>
      </c>
      <c r="C11" s="55" t="s">
        <v>136</v>
      </c>
      <c r="D11" s="211">
        <v>10937000</v>
      </c>
      <c r="E11" s="211">
        <v>8413000</v>
      </c>
      <c r="F11" s="211">
        <v>8413000</v>
      </c>
      <c r="G11" s="211">
        <v>7994000</v>
      </c>
      <c r="H11" s="211">
        <v>9255000</v>
      </c>
      <c r="I11" s="211">
        <v>7994000</v>
      </c>
      <c r="J11" s="211">
        <v>7994000</v>
      </c>
      <c r="K11" s="211">
        <v>9255000</v>
      </c>
      <c r="L11" s="211">
        <v>7994000</v>
      </c>
      <c r="M11" s="211">
        <v>8413000</v>
      </c>
      <c r="N11" s="211">
        <v>9255000</v>
      </c>
      <c r="O11" s="211">
        <v>3363000</v>
      </c>
      <c r="P11" s="211">
        <f t="shared" si="0"/>
        <v>99280000</v>
      </c>
    </row>
    <row r="12" spans="1:16" s="143" customFormat="1" ht="36.75" customHeight="1">
      <c r="A12" s="55" t="s">
        <v>0</v>
      </c>
      <c r="B12" s="136">
        <v>107</v>
      </c>
      <c r="C12" s="55" t="s">
        <v>73</v>
      </c>
      <c r="D12" s="211">
        <v>13011000</v>
      </c>
      <c r="E12" s="211">
        <v>10009000</v>
      </c>
      <c r="F12" s="211">
        <v>10009000</v>
      </c>
      <c r="G12" s="211">
        <v>9508000</v>
      </c>
      <c r="H12" s="211">
        <v>11009000</v>
      </c>
      <c r="I12" s="211">
        <v>9508000</v>
      </c>
      <c r="J12" s="211">
        <v>9508000</v>
      </c>
      <c r="K12" s="211">
        <v>11009000</v>
      </c>
      <c r="L12" s="211">
        <v>9508000</v>
      </c>
      <c r="M12" s="211">
        <v>10009000</v>
      </c>
      <c r="N12" s="211">
        <v>11009000</v>
      </c>
      <c r="O12" s="211">
        <v>4003000</v>
      </c>
      <c r="P12" s="211">
        <f t="shared" si="0"/>
        <v>118100000</v>
      </c>
    </row>
    <row r="13" spans="1:16" s="143" customFormat="1" ht="36.75" customHeight="1">
      <c r="A13" s="55" t="s">
        <v>0</v>
      </c>
      <c r="B13" s="136">
        <v>108</v>
      </c>
      <c r="C13" s="55" t="s">
        <v>1</v>
      </c>
      <c r="D13" s="211">
        <v>14101000</v>
      </c>
      <c r="E13" s="211">
        <v>10847000</v>
      </c>
      <c r="F13" s="211">
        <v>10847000</v>
      </c>
      <c r="G13" s="211">
        <v>10305000</v>
      </c>
      <c r="H13" s="211">
        <v>11932000</v>
      </c>
      <c r="I13" s="211">
        <v>10305000</v>
      </c>
      <c r="J13" s="211">
        <v>10305000</v>
      </c>
      <c r="K13" s="211">
        <v>11932000</v>
      </c>
      <c r="L13" s="211">
        <v>10305000</v>
      </c>
      <c r="M13" s="211">
        <v>10847000</v>
      </c>
      <c r="N13" s="211">
        <v>11932000</v>
      </c>
      <c r="O13" s="211">
        <v>4342000</v>
      </c>
      <c r="P13" s="211">
        <f t="shared" si="0"/>
        <v>128000000</v>
      </c>
    </row>
    <row r="14" spans="1:16" s="143" customFormat="1" ht="36.75" customHeight="1">
      <c r="A14" s="55" t="s">
        <v>0</v>
      </c>
      <c r="B14" s="136">
        <v>109</v>
      </c>
      <c r="C14" s="55" t="s">
        <v>2</v>
      </c>
      <c r="D14" s="211">
        <v>4184000</v>
      </c>
      <c r="E14" s="211">
        <v>3219000</v>
      </c>
      <c r="F14" s="211">
        <v>3219000</v>
      </c>
      <c r="G14" s="211">
        <v>3058000</v>
      </c>
      <c r="H14" s="211">
        <v>3540000</v>
      </c>
      <c r="I14" s="211">
        <v>3058000</v>
      </c>
      <c r="J14" s="211">
        <v>3058000</v>
      </c>
      <c r="K14" s="211">
        <v>3540000</v>
      </c>
      <c r="L14" s="211">
        <v>3058000</v>
      </c>
      <c r="M14" s="211">
        <v>3219000</v>
      </c>
      <c r="N14" s="211">
        <v>3540000</v>
      </c>
      <c r="O14" s="211">
        <v>1287000</v>
      </c>
      <c r="P14" s="211">
        <f t="shared" si="0"/>
        <v>37980000</v>
      </c>
    </row>
    <row r="15" spans="1:16" s="143" customFormat="1" ht="36.75" customHeight="1">
      <c r="A15" s="55" t="s">
        <v>0</v>
      </c>
      <c r="B15" s="136">
        <v>110</v>
      </c>
      <c r="C15" s="55" t="s">
        <v>74</v>
      </c>
      <c r="D15" s="211">
        <v>6553000</v>
      </c>
      <c r="E15" s="211">
        <v>5040000</v>
      </c>
      <c r="F15" s="211">
        <v>5040000</v>
      </c>
      <c r="G15" s="211">
        <v>4789000</v>
      </c>
      <c r="H15" s="211">
        <v>5545000</v>
      </c>
      <c r="I15" s="211">
        <v>4789000</v>
      </c>
      <c r="J15" s="211">
        <v>4789000</v>
      </c>
      <c r="K15" s="211">
        <v>5545000</v>
      </c>
      <c r="L15" s="211">
        <v>4789000</v>
      </c>
      <c r="M15" s="211">
        <v>5040000</v>
      </c>
      <c r="N15" s="211">
        <v>5545000</v>
      </c>
      <c r="O15" s="211">
        <v>2016000</v>
      </c>
      <c r="P15" s="211">
        <f t="shared" si="0"/>
        <v>59480000</v>
      </c>
    </row>
    <row r="16" spans="1:16" s="143" customFormat="1" ht="36.75" customHeight="1">
      <c r="A16" s="55" t="s">
        <v>0</v>
      </c>
      <c r="B16" s="136">
        <v>111</v>
      </c>
      <c r="C16" s="55" t="s">
        <v>75</v>
      </c>
      <c r="D16" s="211">
        <v>11219000</v>
      </c>
      <c r="E16" s="211">
        <v>8631000</v>
      </c>
      <c r="F16" s="211">
        <v>8631000</v>
      </c>
      <c r="G16" s="211">
        <v>8199000</v>
      </c>
      <c r="H16" s="211">
        <v>9494000</v>
      </c>
      <c r="I16" s="211">
        <v>8199000</v>
      </c>
      <c r="J16" s="211">
        <v>8199000</v>
      </c>
      <c r="K16" s="211">
        <v>9494000</v>
      </c>
      <c r="L16" s="211">
        <v>8199000</v>
      </c>
      <c r="M16" s="211">
        <v>8631000</v>
      </c>
      <c r="N16" s="211">
        <v>9494000</v>
      </c>
      <c r="O16" s="211">
        <v>3450000</v>
      </c>
      <c r="P16" s="211">
        <f t="shared" si="0"/>
        <v>101840000</v>
      </c>
    </row>
    <row r="17" spans="1:16" s="143" customFormat="1" ht="36.75" customHeight="1">
      <c r="A17" s="55" t="s">
        <v>0</v>
      </c>
      <c r="B17" s="136">
        <v>112</v>
      </c>
      <c r="C17" s="55" t="s">
        <v>137</v>
      </c>
      <c r="D17" s="211">
        <v>7489000</v>
      </c>
      <c r="E17" s="211">
        <v>5759000</v>
      </c>
      <c r="F17" s="211">
        <v>5759000</v>
      </c>
      <c r="G17" s="211">
        <v>5472000</v>
      </c>
      <c r="H17" s="211">
        <v>6335000</v>
      </c>
      <c r="I17" s="211">
        <v>5472000</v>
      </c>
      <c r="J17" s="211">
        <v>5472000</v>
      </c>
      <c r="K17" s="211">
        <v>6335000</v>
      </c>
      <c r="L17" s="211">
        <v>5472000</v>
      </c>
      <c r="M17" s="211">
        <v>5759000</v>
      </c>
      <c r="N17" s="211">
        <v>6335000</v>
      </c>
      <c r="O17" s="211">
        <v>2311000</v>
      </c>
      <c r="P17" s="211">
        <f t="shared" si="0"/>
        <v>67970000</v>
      </c>
    </row>
    <row r="18" spans="1:16" s="143" customFormat="1" ht="36.75" customHeight="1">
      <c r="A18" s="55" t="s">
        <v>0</v>
      </c>
      <c r="B18" s="136">
        <v>113</v>
      </c>
      <c r="C18" s="55" t="s">
        <v>3</v>
      </c>
      <c r="D18" s="211">
        <v>10059000</v>
      </c>
      <c r="E18" s="211">
        <v>7737000</v>
      </c>
      <c r="F18" s="211">
        <v>7737000</v>
      </c>
      <c r="G18" s="211">
        <v>7350000</v>
      </c>
      <c r="H18" s="211">
        <v>8511000</v>
      </c>
      <c r="I18" s="211">
        <v>7350000</v>
      </c>
      <c r="J18" s="211">
        <v>7350000</v>
      </c>
      <c r="K18" s="211">
        <v>8511000</v>
      </c>
      <c r="L18" s="211">
        <v>7350000</v>
      </c>
      <c r="M18" s="211">
        <v>7737000</v>
      </c>
      <c r="N18" s="211">
        <v>8511000</v>
      </c>
      <c r="O18" s="211">
        <v>3097000</v>
      </c>
      <c r="P18" s="211">
        <f t="shared" si="0"/>
        <v>91300000</v>
      </c>
    </row>
    <row r="19" spans="1:16" s="143" customFormat="1" ht="36.75" customHeight="1">
      <c r="A19" s="55" t="s">
        <v>0</v>
      </c>
      <c r="B19" s="136">
        <v>114</v>
      </c>
      <c r="C19" s="55" t="s">
        <v>138</v>
      </c>
      <c r="D19" s="211">
        <v>9185000</v>
      </c>
      <c r="E19" s="211">
        <v>7065000</v>
      </c>
      <c r="F19" s="211">
        <v>7065000</v>
      </c>
      <c r="G19" s="211">
        <v>6713000</v>
      </c>
      <c r="H19" s="211">
        <v>7773000</v>
      </c>
      <c r="I19" s="211">
        <v>6713000</v>
      </c>
      <c r="J19" s="211">
        <v>6713000</v>
      </c>
      <c r="K19" s="211">
        <v>7773000</v>
      </c>
      <c r="L19" s="211">
        <v>6713000</v>
      </c>
      <c r="M19" s="211">
        <v>7065000</v>
      </c>
      <c r="N19" s="211">
        <v>7773000</v>
      </c>
      <c r="O19" s="211">
        <v>2829000</v>
      </c>
      <c r="P19" s="211">
        <f t="shared" si="0"/>
        <v>83380000</v>
      </c>
    </row>
    <row r="20" spans="1:16" s="143" customFormat="1" ht="36.75" customHeight="1">
      <c r="A20" s="55" t="s">
        <v>0</v>
      </c>
      <c r="B20" s="136">
        <v>115</v>
      </c>
      <c r="C20" s="55" t="s">
        <v>139</v>
      </c>
      <c r="D20" s="211">
        <v>7928000</v>
      </c>
      <c r="E20" s="211">
        <v>6099000</v>
      </c>
      <c r="F20" s="211">
        <v>6099000</v>
      </c>
      <c r="G20" s="211">
        <v>5793000</v>
      </c>
      <c r="H20" s="211">
        <v>6707000</v>
      </c>
      <c r="I20" s="211">
        <v>5793000</v>
      </c>
      <c r="J20" s="211">
        <v>5793000</v>
      </c>
      <c r="K20" s="211">
        <v>6707000</v>
      </c>
      <c r="L20" s="211">
        <v>5793000</v>
      </c>
      <c r="M20" s="211">
        <v>6099000</v>
      </c>
      <c r="N20" s="211">
        <v>6707000</v>
      </c>
      <c r="O20" s="211">
        <v>2442000</v>
      </c>
      <c r="P20" s="211">
        <f t="shared" si="0"/>
        <v>71960000</v>
      </c>
    </row>
    <row r="21" spans="1:16" s="143" customFormat="1" ht="36.75" customHeight="1">
      <c r="A21" s="55" t="s">
        <v>0</v>
      </c>
      <c r="B21" s="136">
        <v>116</v>
      </c>
      <c r="C21" s="55" t="s">
        <v>140</v>
      </c>
      <c r="D21" s="211">
        <v>5516000</v>
      </c>
      <c r="E21" s="211">
        <v>4242000</v>
      </c>
      <c r="F21" s="211">
        <v>4242000</v>
      </c>
      <c r="G21" s="211">
        <v>4030000</v>
      </c>
      <c r="H21" s="211">
        <v>4668000</v>
      </c>
      <c r="I21" s="211">
        <v>4030000</v>
      </c>
      <c r="J21" s="211">
        <v>4030000</v>
      </c>
      <c r="K21" s="211">
        <v>4668000</v>
      </c>
      <c r="L21" s="211">
        <v>4030000</v>
      </c>
      <c r="M21" s="211">
        <v>4242000</v>
      </c>
      <c r="N21" s="211">
        <v>4668000</v>
      </c>
      <c r="O21" s="211">
        <v>1704000</v>
      </c>
      <c r="P21" s="211">
        <f t="shared" si="0"/>
        <v>50070000</v>
      </c>
    </row>
    <row r="22" spans="1:16" s="143" customFormat="1" ht="36.75" customHeight="1">
      <c r="A22" s="55" t="s">
        <v>0</v>
      </c>
      <c r="B22" s="136">
        <v>117</v>
      </c>
      <c r="C22" s="55" t="s">
        <v>399</v>
      </c>
      <c r="D22" s="211">
        <v>8379000</v>
      </c>
      <c r="E22" s="211">
        <v>6446000</v>
      </c>
      <c r="F22" s="211">
        <v>6446000</v>
      </c>
      <c r="G22" s="211">
        <v>6124000</v>
      </c>
      <c r="H22" s="211">
        <v>7090000</v>
      </c>
      <c r="I22" s="211">
        <v>6124000</v>
      </c>
      <c r="J22" s="211">
        <v>6124000</v>
      </c>
      <c r="K22" s="211">
        <v>7090000</v>
      </c>
      <c r="L22" s="211">
        <v>6124000</v>
      </c>
      <c r="M22" s="211">
        <v>6446000</v>
      </c>
      <c r="N22" s="211">
        <v>7090000</v>
      </c>
      <c r="O22" s="211">
        <v>2577000</v>
      </c>
      <c r="P22" s="211">
        <f t="shared" si="0"/>
        <v>76060000</v>
      </c>
    </row>
    <row r="23" spans="1:16" s="143" customFormat="1" ht="36.75" customHeight="1">
      <c r="A23" s="55" t="s">
        <v>0</v>
      </c>
      <c r="B23" s="136">
        <v>118</v>
      </c>
      <c r="C23" s="55" t="s">
        <v>141</v>
      </c>
      <c r="D23" s="211">
        <v>8115000</v>
      </c>
      <c r="E23" s="211">
        <v>6243000</v>
      </c>
      <c r="F23" s="211">
        <v>6243000</v>
      </c>
      <c r="G23" s="211">
        <v>5930000</v>
      </c>
      <c r="H23" s="211">
        <v>6866000</v>
      </c>
      <c r="I23" s="211">
        <v>5930000</v>
      </c>
      <c r="J23" s="211">
        <v>5930000</v>
      </c>
      <c r="K23" s="211">
        <v>6866000</v>
      </c>
      <c r="L23" s="211">
        <v>5930000</v>
      </c>
      <c r="M23" s="211">
        <v>6243000</v>
      </c>
      <c r="N23" s="211">
        <v>6866000</v>
      </c>
      <c r="O23" s="211">
        <v>2498000</v>
      </c>
      <c r="P23" s="211">
        <f t="shared" si="0"/>
        <v>73660000</v>
      </c>
    </row>
    <row r="24" spans="1:16" s="143" customFormat="1" ht="36.75" customHeight="1">
      <c r="A24" s="55" t="s">
        <v>0</v>
      </c>
      <c r="B24" s="136">
        <v>119</v>
      </c>
      <c r="C24" s="55" t="s">
        <v>76</v>
      </c>
      <c r="D24" s="211">
        <v>5549000</v>
      </c>
      <c r="E24" s="211">
        <v>4269000</v>
      </c>
      <c r="F24" s="211">
        <v>4269000</v>
      </c>
      <c r="G24" s="211">
        <v>4057000</v>
      </c>
      <c r="H24" s="211">
        <v>4696000</v>
      </c>
      <c r="I24" s="211">
        <v>4057000</v>
      </c>
      <c r="J24" s="211">
        <v>4057000</v>
      </c>
      <c r="K24" s="211">
        <v>4696000</v>
      </c>
      <c r="L24" s="211">
        <v>4057000</v>
      </c>
      <c r="M24" s="211">
        <v>4269000</v>
      </c>
      <c r="N24" s="211">
        <v>4696000</v>
      </c>
      <c r="O24" s="211">
        <v>1708000</v>
      </c>
      <c r="P24" s="211">
        <f t="shared" si="0"/>
        <v>50380000</v>
      </c>
    </row>
    <row r="25" spans="1:16" s="143" customFormat="1" ht="36.75" customHeight="1">
      <c r="A25" s="55" t="s">
        <v>0</v>
      </c>
      <c r="B25" s="136">
        <v>120</v>
      </c>
      <c r="C25" s="55" t="s">
        <v>142</v>
      </c>
      <c r="D25" s="211">
        <v>9903000</v>
      </c>
      <c r="E25" s="211">
        <v>7618000</v>
      </c>
      <c r="F25" s="211">
        <v>7618000</v>
      </c>
      <c r="G25" s="211">
        <v>7236000</v>
      </c>
      <c r="H25" s="211">
        <v>8380000</v>
      </c>
      <c r="I25" s="211">
        <v>7236000</v>
      </c>
      <c r="J25" s="211">
        <v>7236000</v>
      </c>
      <c r="K25" s="211">
        <v>8380000</v>
      </c>
      <c r="L25" s="211">
        <v>7236000</v>
      </c>
      <c r="M25" s="211">
        <v>7618000</v>
      </c>
      <c r="N25" s="211">
        <v>8380000</v>
      </c>
      <c r="O25" s="211">
        <v>3049000</v>
      </c>
      <c r="P25" s="211">
        <f t="shared" si="0"/>
        <v>89890000</v>
      </c>
    </row>
    <row r="26" spans="1:16" s="143" customFormat="1" ht="36.75" customHeight="1">
      <c r="A26" s="55" t="s">
        <v>0</v>
      </c>
      <c r="B26" s="136">
        <v>121</v>
      </c>
      <c r="C26" s="55" t="s">
        <v>4</v>
      </c>
      <c r="D26" s="211">
        <v>8009000</v>
      </c>
      <c r="E26" s="211">
        <v>6162000</v>
      </c>
      <c r="F26" s="211">
        <v>6162000</v>
      </c>
      <c r="G26" s="211">
        <v>5853000</v>
      </c>
      <c r="H26" s="211">
        <v>6776000</v>
      </c>
      <c r="I26" s="211">
        <v>5853000</v>
      </c>
      <c r="J26" s="211">
        <v>5853000</v>
      </c>
      <c r="K26" s="211">
        <v>6776000</v>
      </c>
      <c r="L26" s="211">
        <v>5853000</v>
      </c>
      <c r="M26" s="211">
        <v>6162000</v>
      </c>
      <c r="N26" s="211">
        <v>6776000</v>
      </c>
      <c r="O26" s="211">
        <v>2465000</v>
      </c>
      <c r="P26" s="211">
        <f t="shared" si="0"/>
        <v>72700000</v>
      </c>
    </row>
    <row r="27" spans="1:16" s="143" customFormat="1" ht="36.75" customHeight="1">
      <c r="A27" s="55" t="s">
        <v>0</v>
      </c>
      <c r="B27" s="136">
        <v>122</v>
      </c>
      <c r="C27" s="55" t="s">
        <v>77</v>
      </c>
      <c r="D27" s="211">
        <v>8889000</v>
      </c>
      <c r="E27" s="211">
        <v>6838000</v>
      </c>
      <c r="F27" s="211">
        <v>6838000</v>
      </c>
      <c r="G27" s="211">
        <v>6495000</v>
      </c>
      <c r="H27" s="211">
        <v>7521000</v>
      </c>
      <c r="I27" s="211">
        <v>6495000</v>
      </c>
      <c r="J27" s="211">
        <v>6495000</v>
      </c>
      <c r="K27" s="211">
        <v>7521000</v>
      </c>
      <c r="L27" s="211">
        <v>6495000</v>
      </c>
      <c r="M27" s="211">
        <v>6838000</v>
      </c>
      <c r="N27" s="211">
        <v>7521000</v>
      </c>
      <c r="O27" s="211">
        <v>2734000</v>
      </c>
      <c r="P27" s="211">
        <f t="shared" si="0"/>
        <v>80680000</v>
      </c>
    </row>
    <row r="28" spans="1:16" s="143" customFormat="1" ht="36.75" customHeight="1">
      <c r="A28" s="55" t="s">
        <v>0</v>
      </c>
      <c r="B28" s="136">
        <v>123</v>
      </c>
      <c r="C28" s="55" t="s">
        <v>5</v>
      </c>
      <c r="D28" s="211">
        <v>10347000</v>
      </c>
      <c r="E28" s="211">
        <v>7959000</v>
      </c>
      <c r="F28" s="211">
        <v>7959000</v>
      </c>
      <c r="G28" s="211">
        <v>7561000</v>
      </c>
      <c r="H28" s="211">
        <v>8755000</v>
      </c>
      <c r="I28" s="211">
        <v>7561000</v>
      </c>
      <c r="J28" s="211">
        <v>7561000</v>
      </c>
      <c r="K28" s="211">
        <v>8755000</v>
      </c>
      <c r="L28" s="211">
        <v>7561000</v>
      </c>
      <c r="M28" s="211">
        <v>7959000</v>
      </c>
      <c r="N28" s="211">
        <v>8755000</v>
      </c>
      <c r="O28" s="211">
        <v>3187000</v>
      </c>
      <c r="P28" s="211">
        <f t="shared" si="0"/>
        <v>93920000</v>
      </c>
    </row>
    <row r="29" spans="1:16" s="143" customFormat="1" ht="36.75" customHeight="1">
      <c r="A29" s="55" t="s">
        <v>0</v>
      </c>
      <c r="B29" s="136">
        <v>124</v>
      </c>
      <c r="C29" s="55" t="s">
        <v>143</v>
      </c>
      <c r="D29" s="211">
        <v>4680000</v>
      </c>
      <c r="E29" s="211">
        <v>3600000</v>
      </c>
      <c r="F29" s="211">
        <v>3600000</v>
      </c>
      <c r="G29" s="211">
        <v>3422000</v>
      </c>
      <c r="H29" s="211">
        <v>3961000</v>
      </c>
      <c r="I29" s="211">
        <v>3422000</v>
      </c>
      <c r="J29" s="211">
        <v>3422000</v>
      </c>
      <c r="K29" s="211">
        <v>3961000</v>
      </c>
      <c r="L29" s="211">
        <v>3422000</v>
      </c>
      <c r="M29" s="211">
        <v>3600000</v>
      </c>
      <c r="N29" s="211">
        <v>3961000</v>
      </c>
      <c r="O29" s="211">
        <v>1439000</v>
      </c>
      <c r="P29" s="211">
        <f t="shared" si="0"/>
        <v>42490000</v>
      </c>
    </row>
    <row r="30" spans="1:16" s="143" customFormat="1" ht="36.75" customHeight="1">
      <c r="A30" s="55" t="s">
        <v>0</v>
      </c>
      <c r="B30" s="136">
        <v>125</v>
      </c>
      <c r="C30" s="55" t="s">
        <v>144</v>
      </c>
      <c r="D30" s="211">
        <v>9324000</v>
      </c>
      <c r="E30" s="211">
        <v>7171000</v>
      </c>
      <c r="F30" s="211">
        <v>7171000</v>
      </c>
      <c r="G30" s="211">
        <v>6813000</v>
      </c>
      <c r="H30" s="211">
        <v>7889000</v>
      </c>
      <c r="I30" s="211">
        <v>6813000</v>
      </c>
      <c r="J30" s="211">
        <v>6813000</v>
      </c>
      <c r="K30" s="211">
        <v>7889000</v>
      </c>
      <c r="L30" s="211">
        <v>6813000</v>
      </c>
      <c r="M30" s="211">
        <v>7171000</v>
      </c>
      <c r="N30" s="211">
        <v>7889000</v>
      </c>
      <c r="O30" s="211">
        <v>2874000</v>
      </c>
      <c r="P30" s="211">
        <f t="shared" si="0"/>
        <v>84630000</v>
      </c>
    </row>
    <row r="31" spans="1:16" s="143" customFormat="1" ht="36.75" customHeight="1">
      <c r="A31" s="55" t="s">
        <v>0</v>
      </c>
      <c r="B31" s="136">
        <v>126</v>
      </c>
      <c r="C31" s="55" t="s">
        <v>145</v>
      </c>
      <c r="D31" s="211">
        <v>9850000</v>
      </c>
      <c r="E31" s="211">
        <v>7577000</v>
      </c>
      <c r="F31" s="211">
        <v>7577000</v>
      </c>
      <c r="G31" s="211">
        <v>7199000</v>
      </c>
      <c r="H31" s="211">
        <v>8334000</v>
      </c>
      <c r="I31" s="211">
        <v>7199000</v>
      </c>
      <c r="J31" s="211">
        <v>7199000</v>
      </c>
      <c r="K31" s="211">
        <v>8334000</v>
      </c>
      <c r="L31" s="211">
        <v>7199000</v>
      </c>
      <c r="M31" s="211">
        <v>7577000</v>
      </c>
      <c r="N31" s="211">
        <v>8334000</v>
      </c>
      <c r="O31" s="211">
        <v>3031000</v>
      </c>
      <c r="P31" s="211">
        <f t="shared" si="0"/>
        <v>89410000</v>
      </c>
    </row>
    <row r="32" spans="1:16" s="143" customFormat="1" ht="36.75" customHeight="1">
      <c r="A32" s="55" t="s">
        <v>0</v>
      </c>
      <c r="B32" s="136">
        <v>127</v>
      </c>
      <c r="C32" s="55" t="s">
        <v>146</v>
      </c>
      <c r="D32" s="211">
        <v>7580000</v>
      </c>
      <c r="E32" s="211">
        <v>5831000</v>
      </c>
      <c r="F32" s="211">
        <v>5831000</v>
      </c>
      <c r="G32" s="211">
        <v>5539000</v>
      </c>
      <c r="H32" s="211">
        <v>6415000</v>
      </c>
      <c r="I32" s="211">
        <v>5539000</v>
      </c>
      <c r="J32" s="211">
        <v>5539000</v>
      </c>
      <c r="K32" s="211">
        <v>6415000</v>
      </c>
      <c r="L32" s="211">
        <v>5539000</v>
      </c>
      <c r="M32" s="211">
        <v>5831000</v>
      </c>
      <c r="N32" s="211">
        <v>6415000</v>
      </c>
      <c r="O32" s="211">
        <v>2336000</v>
      </c>
      <c r="P32" s="211">
        <f t="shared" si="0"/>
        <v>68810000</v>
      </c>
    </row>
    <row r="33" spans="1:16" s="143" customFormat="1" ht="36.75" customHeight="1">
      <c r="A33" s="55" t="s">
        <v>0</v>
      </c>
      <c r="B33" s="136">
        <v>128</v>
      </c>
      <c r="C33" s="55" t="s">
        <v>78</v>
      </c>
      <c r="D33" s="211">
        <v>5200000</v>
      </c>
      <c r="E33" s="211">
        <v>4000000</v>
      </c>
      <c r="F33" s="211">
        <v>4000000</v>
      </c>
      <c r="G33" s="211">
        <v>3800000</v>
      </c>
      <c r="H33" s="211">
        <v>4400000</v>
      </c>
      <c r="I33" s="211">
        <v>3800000</v>
      </c>
      <c r="J33" s="211">
        <v>3800000</v>
      </c>
      <c r="K33" s="211">
        <v>4400000</v>
      </c>
      <c r="L33" s="211">
        <v>3800000</v>
      </c>
      <c r="M33" s="211">
        <v>4000000</v>
      </c>
      <c r="N33" s="211">
        <v>4400000</v>
      </c>
      <c r="O33" s="211">
        <v>1590000</v>
      </c>
      <c r="P33" s="211">
        <f t="shared" si="0"/>
        <v>47190000</v>
      </c>
    </row>
    <row r="34" spans="1:16" s="143" customFormat="1" ht="36.75" customHeight="1">
      <c r="A34" s="55" t="s">
        <v>0</v>
      </c>
      <c r="B34" s="136">
        <v>129</v>
      </c>
      <c r="C34" s="55" t="s">
        <v>79</v>
      </c>
      <c r="D34" s="211">
        <v>6601000</v>
      </c>
      <c r="E34" s="211">
        <v>5077000</v>
      </c>
      <c r="F34" s="211">
        <v>5077000</v>
      </c>
      <c r="G34" s="211">
        <v>4824000</v>
      </c>
      <c r="H34" s="211">
        <v>5585000</v>
      </c>
      <c r="I34" s="211">
        <v>4824000</v>
      </c>
      <c r="J34" s="211">
        <v>4824000</v>
      </c>
      <c r="K34" s="211">
        <v>5585000</v>
      </c>
      <c r="L34" s="211">
        <v>4824000</v>
      </c>
      <c r="M34" s="211">
        <v>5077000</v>
      </c>
      <c r="N34" s="211">
        <v>5585000</v>
      </c>
      <c r="O34" s="211">
        <v>2037000</v>
      </c>
      <c r="P34" s="211">
        <f t="shared" si="0"/>
        <v>59920000</v>
      </c>
    </row>
    <row r="35" spans="1:16" s="143" customFormat="1" ht="36.75" customHeight="1">
      <c r="A35" s="55" t="s">
        <v>0</v>
      </c>
      <c r="B35" s="136">
        <v>130</v>
      </c>
      <c r="C35" s="55" t="s">
        <v>147</v>
      </c>
      <c r="D35" s="211">
        <v>5217000</v>
      </c>
      <c r="E35" s="211">
        <v>4013000</v>
      </c>
      <c r="F35" s="211">
        <v>4013000</v>
      </c>
      <c r="G35" s="211">
        <v>3812000</v>
      </c>
      <c r="H35" s="211">
        <v>4414000</v>
      </c>
      <c r="I35" s="211">
        <v>3812000</v>
      </c>
      <c r="J35" s="211">
        <v>3812000</v>
      </c>
      <c r="K35" s="211">
        <v>4414000</v>
      </c>
      <c r="L35" s="211">
        <v>3812000</v>
      </c>
      <c r="M35" s="211">
        <v>4013000</v>
      </c>
      <c r="N35" s="211">
        <v>4414000</v>
      </c>
      <c r="O35" s="211">
        <v>1604000</v>
      </c>
      <c r="P35" s="211">
        <f t="shared" si="0"/>
        <v>47350000</v>
      </c>
    </row>
    <row r="36" spans="1:16" s="143" customFormat="1" ht="36.75" customHeight="1">
      <c r="A36" s="55" t="s">
        <v>0</v>
      </c>
      <c r="B36" s="136">
        <v>132</v>
      </c>
      <c r="C36" s="55" t="s">
        <v>6</v>
      </c>
      <c r="D36" s="211">
        <v>2713000</v>
      </c>
      <c r="E36" s="211">
        <v>2087000</v>
      </c>
      <c r="F36" s="211">
        <v>2087000</v>
      </c>
      <c r="G36" s="211">
        <v>1983000</v>
      </c>
      <c r="H36" s="211">
        <v>2296000</v>
      </c>
      <c r="I36" s="211">
        <v>1983000</v>
      </c>
      <c r="J36" s="211">
        <v>1983000</v>
      </c>
      <c r="K36" s="211">
        <v>2296000</v>
      </c>
      <c r="L36" s="211">
        <v>1983000</v>
      </c>
      <c r="M36" s="211">
        <v>2087000</v>
      </c>
      <c r="N36" s="211">
        <v>2296000</v>
      </c>
      <c r="O36" s="211">
        <v>836000</v>
      </c>
      <c r="P36" s="211">
        <f t="shared" si="0"/>
        <v>24630000</v>
      </c>
    </row>
    <row r="37" spans="1:16" s="143" customFormat="1" ht="36.75" customHeight="1">
      <c r="A37" s="55" t="s">
        <v>0</v>
      </c>
      <c r="B37" s="136">
        <v>133</v>
      </c>
      <c r="C37" s="55" t="s">
        <v>148</v>
      </c>
      <c r="D37" s="211">
        <v>5599000</v>
      </c>
      <c r="E37" s="211">
        <v>4305000</v>
      </c>
      <c r="F37" s="211">
        <v>4305000</v>
      </c>
      <c r="G37" s="211">
        <v>4092000</v>
      </c>
      <c r="H37" s="211">
        <v>4738000</v>
      </c>
      <c r="I37" s="211">
        <v>4092000</v>
      </c>
      <c r="J37" s="211">
        <v>4092000</v>
      </c>
      <c r="K37" s="211">
        <v>4738000</v>
      </c>
      <c r="L37" s="211">
        <v>4092000</v>
      </c>
      <c r="M37" s="211">
        <v>4305000</v>
      </c>
      <c r="N37" s="211">
        <v>4738000</v>
      </c>
      <c r="O37" s="211">
        <v>1724000</v>
      </c>
      <c r="P37" s="211">
        <f t="shared" si="0"/>
        <v>50820000</v>
      </c>
    </row>
    <row r="38" spans="1:16" s="143" customFormat="1" ht="36.75" customHeight="1">
      <c r="A38" s="55" t="s">
        <v>7</v>
      </c>
      <c r="B38" s="136">
        <v>134</v>
      </c>
      <c r="C38" s="55" t="s">
        <v>149</v>
      </c>
      <c r="D38" s="211">
        <v>8353000</v>
      </c>
      <c r="E38" s="211">
        <v>6424000</v>
      </c>
      <c r="F38" s="211">
        <v>6424000</v>
      </c>
      <c r="G38" s="211">
        <v>6104000</v>
      </c>
      <c r="H38" s="211">
        <v>7068000</v>
      </c>
      <c r="I38" s="211">
        <v>6104000</v>
      </c>
      <c r="J38" s="211">
        <v>6104000</v>
      </c>
      <c r="K38" s="211">
        <v>7068000</v>
      </c>
      <c r="L38" s="211">
        <v>6104000</v>
      </c>
      <c r="M38" s="211">
        <v>6424000</v>
      </c>
      <c r="N38" s="211">
        <v>7068000</v>
      </c>
      <c r="O38" s="211">
        <v>2575000</v>
      </c>
      <c r="P38" s="211">
        <f t="shared" si="0"/>
        <v>75820000</v>
      </c>
    </row>
    <row r="39" spans="1:16" s="143" customFormat="1" ht="36.75" customHeight="1">
      <c r="A39" s="55" t="s">
        <v>0</v>
      </c>
      <c r="B39" s="136">
        <v>136</v>
      </c>
      <c r="C39" s="55" t="s">
        <v>150</v>
      </c>
      <c r="D39" s="211">
        <v>3826000</v>
      </c>
      <c r="E39" s="211">
        <v>2943000</v>
      </c>
      <c r="F39" s="211">
        <v>2943000</v>
      </c>
      <c r="G39" s="211">
        <v>2796000</v>
      </c>
      <c r="H39" s="211">
        <v>3238000</v>
      </c>
      <c r="I39" s="211">
        <v>2796000</v>
      </c>
      <c r="J39" s="211">
        <v>2796000</v>
      </c>
      <c r="K39" s="211">
        <v>3238000</v>
      </c>
      <c r="L39" s="211">
        <v>2796000</v>
      </c>
      <c r="M39" s="211">
        <v>2943000</v>
      </c>
      <c r="N39" s="211">
        <v>3238000</v>
      </c>
      <c r="O39" s="211">
        <v>1177000</v>
      </c>
      <c r="P39" s="211">
        <f t="shared" si="0"/>
        <v>34730000</v>
      </c>
    </row>
    <row r="40" spans="1:16" s="143" customFormat="1" ht="36.75" customHeight="1">
      <c r="A40" s="55" t="s">
        <v>7</v>
      </c>
      <c r="B40" s="136">
        <v>137</v>
      </c>
      <c r="C40" s="55" t="s">
        <v>151</v>
      </c>
      <c r="D40" s="211">
        <v>5186000</v>
      </c>
      <c r="E40" s="211">
        <v>3990000</v>
      </c>
      <c r="F40" s="211">
        <v>3990000</v>
      </c>
      <c r="G40" s="211">
        <v>3790000</v>
      </c>
      <c r="H40" s="211">
        <v>4388000</v>
      </c>
      <c r="I40" s="211">
        <v>3790000</v>
      </c>
      <c r="J40" s="211">
        <v>3790000</v>
      </c>
      <c r="K40" s="211">
        <v>4388000</v>
      </c>
      <c r="L40" s="211">
        <v>3790000</v>
      </c>
      <c r="M40" s="211">
        <v>3990000</v>
      </c>
      <c r="N40" s="211">
        <v>4388000</v>
      </c>
      <c r="O40" s="211">
        <v>1600000</v>
      </c>
      <c r="P40" s="211">
        <f t="shared" si="0"/>
        <v>47080000</v>
      </c>
    </row>
    <row r="41" spans="1:16" s="143" customFormat="1" ht="36.75" customHeight="1">
      <c r="A41" s="55" t="s">
        <v>7</v>
      </c>
      <c r="B41" s="136">
        <v>143</v>
      </c>
      <c r="C41" s="55" t="s">
        <v>80</v>
      </c>
      <c r="D41" s="211">
        <v>4958000</v>
      </c>
      <c r="E41" s="211">
        <v>3815000</v>
      </c>
      <c r="F41" s="211">
        <v>3815000</v>
      </c>
      <c r="G41" s="211">
        <v>3623000</v>
      </c>
      <c r="H41" s="211">
        <v>4195000</v>
      </c>
      <c r="I41" s="211">
        <v>3623000</v>
      </c>
      <c r="J41" s="211">
        <v>3623000</v>
      </c>
      <c r="K41" s="211">
        <v>4195000</v>
      </c>
      <c r="L41" s="211">
        <v>3623000</v>
      </c>
      <c r="M41" s="211">
        <v>3815000</v>
      </c>
      <c r="N41" s="211">
        <v>4195000</v>
      </c>
      <c r="O41" s="211">
        <v>1520000</v>
      </c>
      <c r="P41" s="211">
        <f t="shared" si="0"/>
        <v>45000000</v>
      </c>
    </row>
    <row r="42" spans="1:16" s="143" customFormat="1" ht="36.75" customHeight="1">
      <c r="A42" s="55" t="s">
        <v>0</v>
      </c>
      <c r="B42" s="136">
        <v>145</v>
      </c>
      <c r="C42" s="55" t="s">
        <v>81</v>
      </c>
      <c r="D42" s="211">
        <v>3483000</v>
      </c>
      <c r="E42" s="211">
        <v>2680000</v>
      </c>
      <c r="F42" s="211">
        <v>2680000</v>
      </c>
      <c r="G42" s="211">
        <v>2545000</v>
      </c>
      <c r="H42" s="211">
        <v>2946000</v>
      </c>
      <c r="I42" s="211">
        <v>2545000</v>
      </c>
      <c r="J42" s="211">
        <v>2545000</v>
      </c>
      <c r="K42" s="211">
        <v>2946000</v>
      </c>
      <c r="L42" s="211">
        <v>2545000</v>
      </c>
      <c r="M42" s="211">
        <v>2680000</v>
      </c>
      <c r="N42" s="211">
        <v>2946000</v>
      </c>
      <c r="O42" s="211">
        <v>1069000</v>
      </c>
      <c r="P42" s="211">
        <f t="shared" si="0"/>
        <v>31610000</v>
      </c>
    </row>
    <row r="43" spans="1:16" s="143" customFormat="1" ht="36.75" customHeight="1">
      <c r="A43" s="55" t="s">
        <v>0</v>
      </c>
      <c r="B43" s="136">
        <v>147</v>
      </c>
      <c r="C43" s="55" t="s">
        <v>152</v>
      </c>
      <c r="D43" s="211">
        <v>7305000</v>
      </c>
      <c r="E43" s="211">
        <v>5619000</v>
      </c>
      <c r="F43" s="211">
        <v>5619000</v>
      </c>
      <c r="G43" s="211">
        <v>5338000</v>
      </c>
      <c r="H43" s="211">
        <v>6181000</v>
      </c>
      <c r="I43" s="211">
        <v>5338000</v>
      </c>
      <c r="J43" s="211">
        <v>5338000</v>
      </c>
      <c r="K43" s="211">
        <v>6181000</v>
      </c>
      <c r="L43" s="211">
        <v>5338000</v>
      </c>
      <c r="M43" s="211">
        <v>5619000</v>
      </c>
      <c r="N43" s="211">
        <v>6181000</v>
      </c>
      <c r="O43" s="211">
        <v>2253000</v>
      </c>
      <c r="P43" s="211">
        <f t="shared" si="0"/>
        <v>66310000</v>
      </c>
    </row>
    <row r="44" spans="1:16" s="143" customFormat="1" ht="36.75" customHeight="1">
      <c r="A44" s="55" t="s">
        <v>0</v>
      </c>
      <c r="B44" s="136">
        <v>148</v>
      </c>
      <c r="C44" s="55" t="s">
        <v>82</v>
      </c>
      <c r="D44" s="211">
        <v>4889000</v>
      </c>
      <c r="E44" s="211">
        <v>3760000</v>
      </c>
      <c r="F44" s="211">
        <v>3760000</v>
      </c>
      <c r="G44" s="211">
        <v>3574000</v>
      </c>
      <c r="H44" s="211">
        <v>4137000</v>
      </c>
      <c r="I44" s="211">
        <v>3574000</v>
      </c>
      <c r="J44" s="211">
        <v>3574000</v>
      </c>
      <c r="K44" s="211">
        <v>4137000</v>
      </c>
      <c r="L44" s="211">
        <v>3574000</v>
      </c>
      <c r="M44" s="211">
        <v>3760000</v>
      </c>
      <c r="N44" s="211">
        <v>4137000</v>
      </c>
      <c r="O44" s="211">
        <v>1504000</v>
      </c>
      <c r="P44" s="211">
        <f t="shared" si="0"/>
        <v>44380000</v>
      </c>
    </row>
    <row r="45" spans="1:16" s="143" customFormat="1" ht="36.75" customHeight="1">
      <c r="A45" s="55" t="s">
        <v>0</v>
      </c>
      <c r="B45" s="136">
        <v>149</v>
      </c>
      <c r="C45" s="55" t="s">
        <v>153</v>
      </c>
      <c r="D45" s="211">
        <v>6827000</v>
      </c>
      <c r="E45" s="211">
        <v>5251000</v>
      </c>
      <c r="F45" s="211">
        <v>5251000</v>
      </c>
      <c r="G45" s="211">
        <v>4988000</v>
      </c>
      <c r="H45" s="211">
        <v>5777000</v>
      </c>
      <c r="I45" s="211">
        <v>4988000</v>
      </c>
      <c r="J45" s="211">
        <v>4988000</v>
      </c>
      <c r="K45" s="211">
        <v>5777000</v>
      </c>
      <c r="L45" s="211">
        <v>4988000</v>
      </c>
      <c r="M45" s="211">
        <v>5251000</v>
      </c>
      <c r="N45" s="211">
        <v>5777000</v>
      </c>
      <c r="O45" s="211">
        <v>2097000</v>
      </c>
      <c r="P45" s="211">
        <f t="shared" si="0"/>
        <v>61960000</v>
      </c>
    </row>
    <row r="46" spans="1:16" s="143" customFormat="1" ht="36.75" customHeight="1">
      <c r="A46" s="55" t="s">
        <v>7</v>
      </c>
      <c r="B46" s="136">
        <v>151</v>
      </c>
      <c r="C46" s="55" t="s">
        <v>154</v>
      </c>
      <c r="D46" s="211">
        <v>9099000</v>
      </c>
      <c r="E46" s="211">
        <v>6999000</v>
      </c>
      <c r="F46" s="211">
        <v>6999000</v>
      </c>
      <c r="G46" s="211">
        <v>6650000</v>
      </c>
      <c r="H46" s="211">
        <v>7700000</v>
      </c>
      <c r="I46" s="211">
        <v>6650000</v>
      </c>
      <c r="J46" s="211">
        <v>6650000</v>
      </c>
      <c r="K46" s="211">
        <v>7700000</v>
      </c>
      <c r="L46" s="211">
        <v>6650000</v>
      </c>
      <c r="M46" s="211">
        <v>6999000</v>
      </c>
      <c r="N46" s="211">
        <v>7700000</v>
      </c>
      <c r="O46" s="211">
        <v>2804000</v>
      </c>
      <c r="P46" s="211">
        <f t="shared" si="0"/>
        <v>82600000</v>
      </c>
    </row>
    <row r="47" spans="1:16" s="143" customFormat="1" ht="36.75" customHeight="1">
      <c r="A47" s="55" t="s">
        <v>0</v>
      </c>
      <c r="B47" s="136">
        <v>152</v>
      </c>
      <c r="C47" s="55" t="s">
        <v>155</v>
      </c>
      <c r="D47" s="211">
        <v>8455000</v>
      </c>
      <c r="E47" s="211">
        <v>6504000</v>
      </c>
      <c r="F47" s="211">
        <v>6504000</v>
      </c>
      <c r="G47" s="211">
        <v>6179000</v>
      </c>
      <c r="H47" s="211">
        <v>7154000</v>
      </c>
      <c r="I47" s="211">
        <v>6179000</v>
      </c>
      <c r="J47" s="211">
        <v>6179000</v>
      </c>
      <c r="K47" s="211">
        <v>7154000</v>
      </c>
      <c r="L47" s="211">
        <v>6179000</v>
      </c>
      <c r="M47" s="211">
        <v>6504000</v>
      </c>
      <c r="N47" s="211">
        <v>7154000</v>
      </c>
      <c r="O47" s="211">
        <v>2595000</v>
      </c>
      <c r="P47" s="211">
        <f t="shared" si="0"/>
        <v>76740000</v>
      </c>
    </row>
    <row r="48" spans="1:16" s="143" customFormat="1" ht="36.75" customHeight="1">
      <c r="A48" s="55" t="s">
        <v>0</v>
      </c>
      <c r="B48" s="136">
        <v>153</v>
      </c>
      <c r="C48" s="55" t="s">
        <v>156</v>
      </c>
      <c r="D48" s="211">
        <v>7750000</v>
      </c>
      <c r="E48" s="211">
        <v>5961000</v>
      </c>
      <c r="F48" s="211">
        <v>5961000</v>
      </c>
      <c r="G48" s="211">
        <v>5663000</v>
      </c>
      <c r="H48" s="211">
        <v>6557000</v>
      </c>
      <c r="I48" s="211">
        <v>5663000</v>
      </c>
      <c r="J48" s="211">
        <v>5663000</v>
      </c>
      <c r="K48" s="211">
        <v>6557000</v>
      </c>
      <c r="L48" s="211">
        <v>5663000</v>
      </c>
      <c r="M48" s="211">
        <v>5961000</v>
      </c>
      <c r="N48" s="211">
        <v>6557000</v>
      </c>
      <c r="O48" s="211">
        <v>2384000</v>
      </c>
      <c r="P48" s="211">
        <f t="shared" si="0"/>
        <v>70340000</v>
      </c>
    </row>
    <row r="49" spans="1:16" s="143" customFormat="1" ht="36.75" customHeight="1">
      <c r="A49" s="55" t="s">
        <v>0</v>
      </c>
      <c r="B49" s="136">
        <v>154</v>
      </c>
      <c r="C49" s="55" t="s">
        <v>8</v>
      </c>
      <c r="D49" s="211">
        <v>4249000</v>
      </c>
      <c r="E49" s="211">
        <v>3268000</v>
      </c>
      <c r="F49" s="211">
        <v>3268000</v>
      </c>
      <c r="G49" s="211">
        <v>3106000</v>
      </c>
      <c r="H49" s="211">
        <v>3596000</v>
      </c>
      <c r="I49" s="211">
        <v>3106000</v>
      </c>
      <c r="J49" s="211">
        <v>3106000</v>
      </c>
      <c r="K49" s="211">
        <v>3596000</v>
      </c>
      <c r="L49" s="211">
        <v>3106000</v>
      </c>
      <c r="M49" s="211">
        <v>3268000</v>
      </c>
      <c r="N49" s="211">
        <v>3596000</v>
      </c>
      <c r="O49" s="211">
        <v>1305000</v>
      </c>
      <c r="P49" s="211">
        <f t="shared" si="0"/>
        <v>38570000</v>
      </c>
    </row>
    <row r="50" spans="1:16" s="143" customFormat="1" ht="36.75" customHeight="1">
      <c r="A50" s="55" t="s">
        <v>0</v>
      </c>
      <c r="B50" s="136">
        <v>156</v>
      </c>
      <c r="C50" s="55" t="s">
        <v>157</v>
      </c>
      <c r="D50" s="211">
        <v>5610000</v>
      </c>
      <c r="E50" s="211">
        <v>4314000</v>
      </c>
      <c r="F50" s="211">
        <v>4314000</v>
      </c>
      <c r="G50" s="211">
        <v>4099000</v>
      </c>
      <c r="H50" s="211">
        <v>4747000</v>
      </c>
      <c r="I50" s="211">
        <v>4099000</v>
      </c>
      <c r="J50" s="211">
        <v>4099000</v>
      </c>
      <c r="K50" s="211">
        <v>4747000</v>
      </c>
      <c r="L50" s="211">
        <v>4099000</v>
      </c>
      <c r="M50" s="211">
        <v>4314000</v>
      </c>
      <c r="N50" s="211">
        <v>4747000</v>
      </c>
      <c r="O50" s="211">
        <v>1721000</v>
      </c>
      <c r="P50" s="211">
        <f t="shared" si="0"/>
        <v>50910000</v>
      </c>
    </row>
    <row r="51" spans="1:16" s="143" customFormat="1" ht="36.75" customHeight="1">
      <c r="A51" s="55" t="s">
        <v>0</v>
      </c>
      <c r="B51" s="136">
        <v>157</v>
      </c>
      <c r="C51" s="55" t="s">
        <v>158</v>
      </c>
      <c r="D51" s="211">
        <v>4133000</v>
      </c>
      <c r="E51" s="211">
        <v>3181000</v>
      </c>
      <c r="F51" s="211">
        <v>3181000</v>
      </c>
      <c r="G51" s="211">
        <v>3022000</v>
      </c>
      <c r="H51" s="211">
        <v>3500000</v>
      </c>
      <c r="I51" s="211">
        <v>3022000</v>
      </c>
      <c r="J51" s="211">
        <v>3022000</v>
      </c>
      <c r="K51" s="211">
        <v>3500000</v>
      </c>
      <c r="L51" s="211">
        <v>3022000</v>
      </c>
      <c r="M51" s="211">
        <v>3181000</v>
      </c>
      <c r="N51" s="211">
        <v>3500000</v>
      </c>
      <c r="O51" s="211">
        <v>1266000</v>
      </c>
      <c r="P51" s="211">
        <f t="shared" si="0"/>
        <v>37530000</v>
      </c>
    </row>
    <row r="52" spans="1:16" s="143" customFormat="1" ht="36.75" customHeight="1">
      <c r="A52" s="55" t="s">
        <v>7</v>
      </c>
      <c r="B52" s="136">
        <v>158</v>
      </c>
      <c r="C52" s="55" t="s">
        <v>159</v>
      </c>
      <c r="D52" s="211">
        <v>7281000</v>
      </c>
      <c r="E52" s="211">
        <v>5601000</v>
      </c>
      <c r="F52" s="211">
        <v>5601000</v>
      </c>
      <c r="G52" s="211">
        <v>5321000</v>
      </c>
      <c r="H52" s="211">
        <v>6161000</v>
      </c>
      <c r="I52" s="211">
        <v>5321000</v>
      </c>
      <c r="J52" s="211">
        <v>5321000</v>
      </c>
      <c r="K52" s="211">
        <v>6161000</v>
      </c>
      <c r="L52" s="211">
        <v>5321000</v>
      </c>
      <c r="M52" s="211">
        <v>5601000</v>
      </c>
      <c r="N52" s="211">
        <v>6161000</v>
      </c>
      <c r="O52" s="211">
        <v>2239000</v>
      </c>
      <c r="P52" s="211">
        <f t="shared" si="0"/>
        <v>66090000</v>
      </c>
    </row>
    <row r="53" spans="1:16" s="143" customFormat="1" ht="36.75" customHeight="1">
      <c r="A53" s="55" t="s">
        <v>7</v>
      </c>
      <c r="B53" s="136">
        <v>159</v>
      </c>
      <c r="C53" s="55" t="s">
        <v>83</v>
      </c>
      <c r="D53" s="211">
        <v>13110000</v>
      </c>
      <c r="E53" s="211">
        <v>10085000</v>
      </c>
      <c r="F53" s="211">
        <v>10085000</v>
      </c>
      <c r="G53" s="211">
        <v>9580000</v>
      </c>
      <c r="H53" s="211">
        <v>11093000</v>
      </c>
      <c r="I53" s="211">
        <v>9580000</v>
      </c>
      <c r="J53" s="211">
        <v>9580000</v>
      </c>
      <c r="K53" s="211">
        <v>11093000</v>
      </c>
      <c r="L53" s="211">
        <v>9580000</v>
      </c>
      <c r="M53" s="211">
        <v>10085000</v>
      </c>
      <c r="N53" s="211">
        <v>11093000</v>
      </c>
      <c r="O53" s="211">
        <v>4036000</v>
      </c>
      <c r="P53" s="211">
        <f t="shared" si="0"/>
        <v>119000000</v>
      </c>
    </row>
    <row r="54" spans="1:16" s="143" customFormat="1" ht="36.75" customHeight="1">
      <c r="A54" s="55" t="s">
        <v>7</v>
      </c>
      <c r="B54" s="136">
        <v>160</v>
      </c>
      <c r="C54" s="55" t="s">
        <v>9</v>
      </c>
      <c r="D54" s="211">
        <v>8803000</v>
      </c>
      <c r="E54" s="211">
        <v>6772000</v>
      </c>
      <c r="F54" s="211">
        <v>6772000</v>
      </c>
      <c r="G54" s="211">
        <v>6433000</v>
      </c>
      <c r="H54" s="211">
        <v>7449000</v>
      </c>
      <c r="I54" s="211">
        <v>6433000</v>
      </c>
      <c r="J54" s="211">
        <v>6433000</v>
      </c>
      <c r="K54" s="211">
        <v>7449000</v>
      </c>
      <c r="L54" s="211">
        <v>6433000</v>
      </c>
      <c r="M54" s="211">
        <v>6772000</v>
      </c>
      <c r="N54" s="211">
        <v>7449000</v>
      </c>
      <c r="O54" s="211">
        <v>2712000</v>
      </c>
      <c r="P54" s="211">
        <f t="shared" si="0"/>
        <v>79910000</v>
      </c>
    </row>
    <row r="55" spans="1:16" s="143" customFormat="1" ht="36.75" customHeight="1">
      <c r="A55" s="55" t="s">
        <v>7</v>
      </c>
      <c r="B55" s="136">
        <v>161</v>
      </c>
      <c r="C55" s="55" t="s">
        <v>160</v>
      </c>
      <c r="D55" s="211">
        <v>5715000</v>
      </c>
      <c r="E55" s="211">
        <v>4397000</v>
      </c>
      <c r="F55" s="211">
        <v>4397000</v>
      </c>
      <c r="G55" s="211">
        <v>4177000</v>
      </c>
      <c r="H55" s="211">
        <v>4838000</v>
      </c>
      <c r="I55" s="211">
        <v>4177000</v>
      </c>
      <c r="J55" s="211">
        <v>4177000</v>
      </c>
      <c r="K55" s="211">
        <v>4838000</v>
      </c>
      <c r="L55" s="211">
        <v>4177000</v>
      </c>
      <c r="M55" s="211">
        <v>4397000</v>
      </c>
      <c r="N55" s="211">
        <v>4838000</v>
      </c>
      <c r="O55" s="211">
        <v>1752000</v>
      </c>
      <c r="P55" s="211">
        <f t="shared" si="0"/>
        <v>51880000</v>
      </c>
    </row>
    <row r="56" spans="1:16" s="143" customFormat="1" ht="36.75" customHeight="1">
      <c r="A56" s="55" t="s">
        <v>7</v>
      </c>
      <c r="B56" s="136">
        <v>162</v>
      </c>
      <c r="C56" s="55" t="s">
        <v>10</v>
      </c>
      <c r="D56" s="211">
        <v>12256000</v>
      </c>
      <c r="E56" s="211">
        <v>9428000</v>
      </c>
      <c r="F56" s="211">
        <v>9428000</v>
      </c>
      <c r="G56" s="211">
        <v>8956000</v>
      </c>
      <c r="H56" s="211">
        <v>10371000</v>
      </c>
      <c r="I56" s="211">
        <v>8956000</v>
      </c>
      <c r="J56" s="211">
        <v>8956000</v>
      </c>
      <c r="K56" s="211">
        <v>10371000</v>
      </c>
      <c r="L56" s="211">
        <v>8956000</v>
      </c>
      <c r="M56" s="211">
        <v>9428000</v>
      </c>
      <c r="N56" s="211">
        <v>10371000</v>
      </c>
      <c r="O56" s="211">
        <v>3773000</v>
      </c>
      <c r="P56" s="211">
        <f t="shared" si="0"/>
        <v>111250000</v>
      </c>
    </row>
    <row r="57" spans="1:16" s="143" customFormat="1" ht="36.75" customHeight="1">
      <c r="A57" s="55" t="s">
        <v>11</v>
      </c>
      <c r="B57" s="136">
        <v>163</v>
      </c>
      <c r="C57" s="55" t="s">
        <v>12</v>
      </c>
      <c r="D57" s="211">
        <v>6364000</v>
      </c>
      <c r="E57" s="211">
        <v>4895000</v>
      </c>
      <c r="F57" s="211">
        <v>4895000</v>
      </c>
      <c r="G57" s="211">
        <v>4651000</v>
      </c>
      <c r="H57" s="211">
        <v>5384000</v>
      </c>
      <c r="I57" s="211">
        <v>4651000</v>
      </c>
      <c r="J57" s="211">
        <v>4651000</v>
      </c>
      <c r="K57" s="211">
        <v>5384000</v>
      </c>
      <c r="L57" s="211">
        <v>4651000</v>
      </c>
      <c r="M57" s="211">
        <v>4895000</v>
      </c>
      <c r="N57" s="211">
        <v>5384000</v>
      </c>
      <c r="O57" s="211">
        <v>1955000</v>
      </c>
      <c r="P57" s="211">
        <f t="shared" si="0"/>
        <v>57760000</v>
      </c>
    </row>
    <row r="58" spans="1:16" s="143" customFormat="1" ht="36.75" customHeight="1">
      <c r="A58" s="55" t="s">
        <v>7</v>
      </c>
      <c r="B58" s="136">
        <v>164</v>
      </c>
      <c r="C58" s="55" t="s">
        <v>161</v>
      </c>
      <c r="D58" s="211">
        <v>7872000</v>
      </c>
      <c r="E58" s="211">
        <v>6054000</v>
      </c>
      <c r="F58" s="211">
        <v>6054000</v>
      </c>
      <c r="G58" s="211">
        <v>5751000</v>
      </c>
      <c r="H58" s="211">
        <v>6660000</v>
      </c>
      <c r="I58" s="211">
        <v>5751000</v>
      </c>
      <c r="J58" s="211">
        <v>5751000</v>
      </c>
      <c r="K58" s="211">
        <v>6660000</v>
      </c>
      <c r="L58" s="211">
        <v>5751000</v>
      </c>
      <c r="M58" s="211">
        <v>6054000</v>
      </c>
      <c r="N58" s="211">
        <v>6660000</v>
      </c>
      <c r="O58" s="211">
        <v>2432000</v>
      </c>
      <c r="P58" s="211">
        <f t="shared" si="0"/>
        <v>71450000</v>
      </c>
    </row>
    <row r="59" spans="1:16" s="143" customFormat="1" ht="36.75" customHeight="1">
      <c r="A59" s="55" t="s">
        <v>7</v>
      </c>
      <c r="B59" s="136">
        <v>165</v>
      </c>
      <c r="C59" s="55" t="s">
        <v>13</v>
      </c>
      <c r="D59" s="211">
        <v>9418000</v>
      </c>
      <c r="E59" s="211">
        <v>7245000</v>
      </c>
      <c r="F59" s="211">
        <v>7245000</v>
      </c>
      <c r="G59" s="211">
        <v>6882000</v>
      </c>
      <c r="H59" s="211">
        <v>7969000</v>
      </c>
      <c r="I59" s="211">
        <v>6882000</v>
      </c>
      <c r="J59" s="211">
        <v>6882000</v>
      </c>
      <c r="K59" s="211">
        <v>7969000</v>
      </c>
      <c r="L59" s="211">
        <v>6882000</v>
      </c>
      <c r="M59" s="211">
        <v>7245000</v>
      </c>
      <c r="N59" s="211">
        <v>7969000</v>
      </c>
      <c r="O59" s="211">
        <v>2902000</v>
      </c>
      <c r="P59" s="211">
        <f t="shared" si="0"/>
        <v>85490000</v>
      </c>
    </row>
    <row r="60" spans="1:16" s="143" customFormat="1" ht="36.75" customHeight="1">
      <c r="A60" s="55" t="s">
        <v>7</v>
      </c>
      <c r="B60" s="136">
        <v>166</v>
      </c>
      <c r="C60" s="55" t="s">
        <v>84</v>
      </c>
      <c r="D60" s="211">
        <v>7144000</v>
      </c>
      <c r="E60" s="211">
        <v>5496000</v>
      </c>
      <c r="F60" s="211">
        <v>5496000</v>
      </c>
      <c r="G60" s="211">
        <v>5221000</v>
      </c>
      <c r="H60" s="211">
        <v>6045000</v>
      </c>
      <c r="I60" s="211">
        <v>5221000</v>
      </c>
      <c r="J60" s="211">
        <v>5221000</v>
      </c>
      <c r="K60" s="211">
        <v>6045000</v>
      </c>
      <c r="L60" s="211">
        <v>5221000</v>
      </c>
      <c r="M60" s="211">
        <v>5496000</v>
      </c>
      <c r="N60" s="211">
        <v>6045000</v>
      </c>
      <c r="O60" s="211">
        <v>2199000</v>
      </c>
      <c r="P60" s="211">
        <f t="shared" si="0"/>
        <v>64850000</v>
      </c>
    </row>
    <row r="61" spans="1:16" s="143" customFormat="1" ht="36.75" customHeight="1">
      <c r="A61" s="55" t="s">
        <v>7</v>
      </c>
      <c r="B61" s="136">
        <v>167</v>
      </c>
      <c r="C61" s="55" t="s">
        <v>162</v>
      </c>
      <c r="D61" s="211">
        <v>11118000</v>
      </c>
      <c r="E61" s="211">
        <v>8553000</v>
      </c>
      <c r="F61" s="211">
        <v>8553000</v>
      </c>
      <c r="G61" s="211">
        <v>8125000</v>
      </c>
      <c r="H61" s="211">
        <v>9407000</v>
      </c>
      <c r="I61" s="211">
        <v>8125000</v>
      </c>
      <c r="J61" s="211">
        <v>8125000</v>
      </c>
      <c r="K61" s="211">
        <v>9407000</v>
      </c>
      <c r="L61" s="211">
        <v>8125000</v>
      </c>
      <c r="M61" s="211">
        <v>8553000</v>
      </c>
      <c r="N61" s="211">
        <v>9407000</v>
      </c>
      <c r="O61" s="211">
        <v>3412000</v>
      </c>
      <c r="P61" s="211">
        <f t="shared" si="0"/>
        <v>100910000</v>
      </c>
    </row>
    <row r="62" spans="1:16" s="143" customFormat="1" ht="36.75" customHeight="1">
      <c r="A62" s="55" t="s">
        <v>7</v>
      </c>
      <c r="B62" s="136">
        <v>168</v>
      </c>
      <c r="C62" s="55" t="s">
        <v>163</v>
      </c>
      <c r="D62" s="211">
        <v>10347000</v>
      </c>
      <c r="E62" s="211">
        <v>7958000</v>
      </c>
      <c r="F62" s="211">
        <v>7958000</v>
      </c>
      <c r="G62" s="211">
        <v>7561000</v>
      </c>
      <c r="H62" s="211">
        <v>8755000</v>
      </c>
      <c r="I62" s="211">
        <v>7561000</v>
      </c>
      <c r="J62" s="211">
        <v>7561000</v>
      </c>
      <c r="K62" s="211">
        <v>8755000</v>
      </c>
      <c r="L62" s="211">
        <v>7561000</v>
      </c>
      <c r="M62" s="211">
        <v>7958000</v>
      </c>
      <c r="N62" s="211">
        <v>8755000</v>
      </c>
      <c r="O62" s="211">
        <v>3180000</v>
      </c>
      <c r="P62" s="211">
        <f t="shared" si="0"/>
        <v>93910000</v>
      </c>
    </row>
    <row r="63" spans="1:16" s="143" customFormat="1" ht="36.75" customHeight="1">
      <c r="A63" s="55" t="s">
        <v>7</v>
      </c>
      <c r="B63" s="136">
        <v>169</v>
      </c>
      <c r="C63" s="55" t="s">
        <v>85</v>
      </c>
      <c r="D63" s="211">
        <v>8278000</v>
      </c>
      <c r="E63" s="211">
        <v>6367000</v>
      </c>
      <c r="F63" s="211">
        <v>6367000</v>
      </c>
      <c r="G63" s="211">
        <v>6048000</v>
      </c>
      <c r="H63" s="211">
        <v>7004000</v>
      </c>
      <c r="I63" s="211">
        <v>6048000</v>
      </c>
      <c r="J63" s="211">
        <v>6048000</v>
      </c>
      <c r="K63" s="211">
        <v>7004000</v>
      </c>
      <c r="L63" s="211">
        <v>6048000</v>
      </c>
      <c r="M63" s="211">
        <v>6367000</v>
      </c>
      <c r="N63" s="211">
        <v>7004000</v>
      </c>
      <c r="O63" s="211">
        <v>2547000</v>
      </c>
      <c r="P63" s="211">
        <f t="shared" si="0"/>
        <v>75130000</v>
      </c>
    </row>
    <row r="64" spans="1:16" s="143" customFormat="1" ht="36.75" customHeight="1">
      <c r="A64" s="55" t="s">
        <v>7</v>
      </c>
      <c r="B64" s="136">
        <v>170</v>
      </c>
      <c r="C64" s="55" t="s">
        <v>164</v>
      </c>
      <c r="D64" s="211">
        <v>7088000</v>
      </c>
      <c r="E64" s="211">
        <v>5452000</v>
      </c>
      <c r="F64" s="211">
        <v>5452000</v>
      </c>
      <c r="G64" s="211">
        <v>5179000</v>
      </c>
      <c r="H64" s="211">
        <v>5998000</v>
      </c>
      <c r="I64" s="211">
        <v>5179000</v>
      </c>
      <c r="J64" s="211">
        <v>5179000</v>
      </c>
      <c r="K64" s="211">
        <v>5998000</v>
      </c>
      <c r="L64" s="211">
        <v>5179000</v>
      </c>
      <c r="M64" s="211">
        <v>5452000</v>
      </c>
      <c r="N64" s="211">
        <v>5998000</v>
      </c>
      <c r="O64" s="211">
        <v>2186000</v>
      </c>
      <c r="P64" s="211">
        <f t="shared" si="0"/>
        <v>64340000</v>
      </c>
    </row>
    <row r="65" spans="1:16" s="143" customFormat="1" ht="36.75" customHeight="1">
      <c r="A65" s="55" t="s">
        <v>7</v>
      </c>
      <c r="B65" s="136">
        <v>171</v>
      </c>
      <c r="C65" s="55" t="s">
        <v>86</v>
      </c>
      <c r="D65" s="211">
        <v>6744000</v>
      </c>
      <c r="E65" s="211">
        <v>5188000</v>
      </c>
      <c r="F65" s="211">
        <v>5188000</v>
      </c>
      <c r="G65" s="211">
        <v>4928000</v>
      </c>
      <c r="H65" s="211">
        <v>5708000</v>
      </c>
      <c r="I65" s="211">
        <v>4928000</v>
      </c>
      <c r="J65" s="211">
        <v>4928000</v>
      </c>
      <c r="K65" s="211">
        <v>5708000</v>
      </c>
      <c r="L65" s="211">
        <v>4928000</v>
      </c>
      <c r="M65" s="211">
        <v>5188000</v>
      </c>
      <c r="N65" s="211">
        <v>5708000</v>
      </c>
      <c r="O65" s="211">
        <v>2076000</v>
      </c>
      <c r="P65" s="211">
        <f t="shared" si="0"/>
        <v>61220000</v>
      </c>
    </row>
    <row r="66" spans="1:16" s="143" customFormat="1" ht="36.75" customHeight="1">
      <c r="A66" s="55" t="s">
        <v>7</v>
      </c>
      <c r="B66" s="136">
        <v>172</v>
      </c>
      <c r="C66" s="55" t="s">
        <v>14</v>
      </c>
      <c r="D66" s="211">
        <v>4204000</v>
      </c>
      <c r="E66" s="211">
        <v>3234000</v>
      </c>
      <c r="F66" s="211">
        <v>3234000</v>
      </c>
      <c r="G66" s="211">
        <v>3072000</v>
      </c>
      <c r="H66" s="211">
        <v>3557000</v>
      </c>
      <c r="I66" s="211">
        <v>3072000</v>
      </c>
      <c r="J66" s="211">
        <v>3072000</v>
      </c>
      <c r="K66" s="211">
        <v>3557000</v>
      </c>
      <c r="L66" s="211">
        <v>3072000</v>
      </c>
      <c r="M66" s="211">
        <v>3234000</v>
      </c>
      <c r="N66" s="211">
        <v>3557000</v>
      </c>
      <c r="O66" s="211">
        <v>1295000</v>
      </c>
      <c r="P66" s="211">
        <f t="shared" si="0"/>
        <v>38160000</v>
      </c>
    </row>
    <row r="67" spans="1:16" s="143" customFormat="1" ht="36.75" customHeight="1">
      <c r="A67" s="55" t="s">
        <v>11</v>
      </c>
      <c r="B67" s="136">
        <v>173</v>
      </c>
      <c r="C67" s="55" t="s">
        <v>15</v>
      </c>
      <c r="D67" s="211">
        <v>5640000</v>
      </c>
      <c r="E67" s="211">
        <v>4340000</v>
      </c>
      <c r="F67" s="211">
        <v>4340000</v>
      </c>
      <c r="G67" s="211">
        <v>4122000</v>
      </c>
      <c r="H67" s="211">
        <v>4773000</v>
      </c>
      <c r="I67" s="211">
        <v>4122000</v>
      </c>
      <c r="J67" s="211">
        <v>4122000</v>
      </c>
      <c r="K67" s="211">
        <v>4773000</v>
      </c>
      <c r="L67" s="211">
        <v>4122000</v>
      </c>
      <c r="M67" s="211">
        <v>4340000</v>
      </c>
      <c r="N67" s="211">
        <v>4773000</v>
      </c>
      <c r="O67" s="211">
        <v>1733000</v>
      </c>
      <c r="P67" s="211">
        <f t="shared" si="0"/>
        <v>51200000</v>
      </c>
    </row>
    <row r="68" spans="1:16" s="143" customFormat="1" ht="36.75" customHeight="1">
      <c r="A68" s="55" t="s">
        <v>7</v>
      </c>
      <c r="B68" s="136">
        <v>174</v>
      </c>
      <c r="C68" s="55" t="s">
        <v>16</v>
      </c>
      <c r="D68" s="211">
        <v>11554000</v>
      </c>
      <c r="E68" s="211">
        <v>8887000</v>
      </c>
      <c r="F68" s="211">
        <v>8887000</v>
      </c>
      <c r="G68" s="211">
        <v>8445000</v>
      </c>
      <c r="H68" s="211">
        <v>9777000</v>
      </c>
      <c r="I68" s="211">
        <v>8445000</v>
      </c>
      <c r="J68" s="211">
        <v>8445000</v>
      </c>
      <c r="K68" s="211">
        <v>9777000</v>
      </c>
      <c r="L68" s="211">
        <v>8445000</v>
      </c>
      <c r="M68" s="211">
        <v>8887000</v>
      </c>
      <c r="N68" s="211">
        <v>9777000</v>
      </c>
      <c r="O68" s="211">
        <v>3554000</v>
      </c>
      <c r="P68" s="211">
        <f t="shared" si="0"/>
        <v>104880000</v>
      </c>
    </row>
    <row r="69" spans="1:16" s="143" customFormat="1" ht="36.75" customHeight="1">
      <c r="A69" s="55" t="s">
        <v>7</v>
      </c>
      <c r="B69" s="136">
        <v>175</v>
      </c>
      <c r="C69" s="55" t="s">
        <v>165</v>
      </c>
      <c r="D69" s="211">
        <v>7865000</v>
      </c>
      <c r="E69" s="211">
        <v>6049000</v>
      </c>
      <c r="F69" s="211">
        <v>6049000</v>
      </c>
      <c r="G69" s="211">
        <v>5746000</v>
      </c>
      <c r="H69" s="211">
        <v>6654000</v>
      </c>
      <c r="I69" s="211">
        <v>5746000</v>
      </c>
      <c r="J69" s="211">
        <v>5746000</v>
      </c>
      <c r="K69" s="211">
        <v>6654000</v>
      </c>
      <c r="L69" s="211">
        <v>5746000</v>
      </c>
      <c r="M69" s="211">
        <v>6049000</v>
      </c>
      <c r="N69" s="211">
        <v>6654000</v>
      </c>
      <c r="O69" s="211">
        <v>2422000</v>
      </c>
      <c r="P69" s="211">
        <f t="shared" ref="P69:P133" si="1">SUM(D69:O69)</f>
        <v>71380000</v>
      </c>
    </row>
    <row r="70" spans="1:16" s="143" customFormat="1" ht="36.75" customHeight="1">
      <c r="A70" s="55" t="s">
        <v>11</v>
      </c>
      <c r="B70" s="136">
        <v>176</v>
      </c>
      <c r="C70" s="55" t="s">
        <v>166</v>
      </c>
      <c r="D70" s="211">
        <v>4664000</v>
      </c>
      <c r="E70" s="211">
        <v>3589000</v>
      </c>
      <c r="F70" s="211">
        <v>3589000</v>
      </c>
      <c r="G70" s="211">
        <v>3408000</v>
      </c>
      <c r="H70" s="211">
        <v>3946000</v>
      </c>
      <c r="I70" s="211">
        <v>3408000</v>
      </c>
      <c r="J70" s="211">
        <v>3408000</v>
      </c>
      <c r="K70" s="211">
        <v>3946000</v>
      </c>
      <c r="L70" s="211">
        <v>3408000</v>
      </c>
      <c r="M70" s="211">
        <v>3589000</v>
      </c>
      <c r="N70" s="211">
        <v>3946000</v>
      </c>
      <c r="O70" s="211">
        <v>1439000</v>
      </c>
      <c r="P70" s="211">
        <f t="shared" si="1"/>
        <v>42340000</v>
      </c>
    </row>
    <row r="71" spans="1:16" s="143" customFormat="1" ht="36.75" customHeight="1">
      <c r="A71" s="55" t="s">
        <v>400</v>
      </c>
      <c r="B71" s="136">
        <v>177</v>
      </c>
      <c r="C71" s="55" t="s">
        <v>648</v>
      </c>
      <c r="D71" s="211">
        <v>1737000</v>
      </c>
      <c r="E71" s="211">
        <v>1334000</v>
      </c>
      <c r="F71" s="211">
        <v>1334000</v>
      </c>
      <c r="G71" s="211">
        <v>1268000</v>
      </c>
      <c r="H71" s="211">
        <v>1468000</v>
      </c>
      <c r="I71" s="211">
        <v>1268000</v>
      </c>
      <c r="J71" s="211">
        <v>1268000</v>
      </c>
      <c r="K71" s="211">
        <v>1468000</v>
      </c>
      <c r="L71" s="211">
        <v>1268000</v>
      </c>
      <c r="M71" s="211">
        <v>1334000</v>
      </c>
      <c r="N71" s="211">
        <v>1468000</v>
      </c>
      <c r="O71" s="211">
        <v>545000</v>
      </c>
      <c r="P71" s="211">
        <f t="shared" si="1"/>
        <v>15760000</v>
      </c>
    </row>
    <row r="72" spans="1:16" s="143" customFormat="1" ht="36.75" customHeight="1">
      <c r="A72" s="55" t="s">
        <v>0</v>
      </c>
      <c r="B72" s="136">
        <v>178</v>
      </c>
      <c r="C72" s="55" t="s">
        <v>17</v>
      </c>
      <c r="D72" s="211">
        <v>7584000</v>
      </c>
      <c r="E72" s="211">
        <v>5833000</v>
      </c>
      <c r="F72" s="211">
        <v>5833000</v>
      </c>
      <c r="G72" s="211">
        <v>5541000</v>
      </c>
      <c r="H72" s="211">
        <v>6416000</v>
      </c>
      <c r="I72" s="211">
        <v>5541000</v>
      </c>
      <c r="J72" s="211">
        <v>5541000</v>
      </c>
      <c r="K72" s="211">
        <v>6416000</v>
      </c>
      <c r="L72" s="211">
        <v>5541000</v>
      </c>
      <c r="M72" s="211">
        <v>5833000</v>
      </c>
      <c r="N72" s="211">
        <v>6416000</v>
      </c>
      <c r="O72" s="211">
        <v>2335000</v>
      </c>
      <c r="P72" s="211">
        <f t="shared" si="1"/>
        <v>68830000</v>
      </c>
    </row>
    <row r="73" spans="1:16" s="143" customFormat="1" ht="36.75" customHeight="1">
      <c r="A73" s="55" t="s">
        <v>7</v>
      </c>
      <c r="B73" s="136">
        <v>179</v>
      </c>
      <c r="C73" s="55" t="s">
        <v>167</v>
      </c>
      <c r="D73" s="211">
        <v>8535000</v>
      </c>
      <c r="E73" s="211">
        <v>6565000</v>
      </c>
      <c r="F73" s="211">
        <v>6565000</v>
      </c>
      <c r="G73" s="211">
        <v>6236000</v>
      </c>
      <c r="H73" s="211">
        <v>7222000</v>
      </c>
      <c r="I73" s="211">
        <v>6236000</v>
      </c>
      <c r="J73" s="211">
        <v>6236000</v>
      </c>
      <c r="K73" s="211">
        <v>7222000</v>
      </c>
      <c r="L73" s="211">
        <v>6236000</v>
      </c>
      <c r="M73" s="211">
        <v>6565000</v>
      </c>
      <c r="N73" s="211">
        <v>7222000</v>
      </c>
      <c r="O73" s="211">
        <v>2630000</v>
      </c>
      <c r="P73" s="211">
        <f t="shared" si="1"/>
        <v>77470000</v>
      </c>
    </row>
    <row r="74" spans="1:16" s="143" customFormat="1" ht="36.75" customHeight="1">
      <c r="A74" s="55" t="s">
        <v>7</v>
      </c>
      <c r="B74" s="136">
        <v>180</v>
      </c>
      <c r="C74" s="55" t="s">
        <v>168</v>
      </c>
      <c r="D74" s="211">
        <v>9137000</v>
      </c>
      <c r="E74" s="211">
        <v>7029000</v>
      </c>
      <c r="F74" s="211">
        <v>7029000</v>
      </c>
      <c r="G74" s="211">
        <v>6678000</v>
      </c>
      <c r="H74" s="211">
        <v>7732000</v>
      </c>
      <c r="I74" s="211">
        <v>6678000</v>
      </c>
      <c r="J74" s="211">
        <v>6678000</v>
      </c>
      <c r="K74" s="211">
        <v>7732000</v>
      </c>
      <c r="L74" s="211">
        <v>6678000</v>
      </c>
      <c r="M74" s="211">
        <v>7029000</v>
      </c>
      <c r="N74" s="211">
        <v>7732000</v>
      </c>
      <c r="O74" s="211">
        <v>2808000</v>
      </c>
      <c r="P74" s="211">
        <f t="shared" si="1"/>
        <v>82940000</v>
      </c>
    </row>
    <row r="75" spans="1:16" s="143" customFormat="1" ht="36.75" customHeight="1">
      <c r="A75" s="55" t="s">
        <v>7</v>
      </c>
      <c r="B75" s="136">
        <v>182</v>
      </c>
      <c r="C75" s="55" t="s">
        <v>169</v>
      </c>
      <c r="D75" s="211">
        <v>4811000</v>
      </c>
      <c r="E75" s="211">
        <v>3701000</v>
      </c>
      <c r="F75" s="211">
        <v>3701000</v>
      </c>
      <c r="G75" s="211">
        <v>3516000</v>
      </c>
      <c r="H75" s="211">
        <v>4071000</v>
      </c>
      <c r="I75" s="211">
        <v>3516000</v>
      </c>
      <c r="J75" s="211">
        <v>3516000</v>
      </c>
      <c r="K75" s="211">
        <v>4071000</v>
      </c>
      <c r="L75" s="211">
        <v>3516000</v>
      </c>
      <c r="M75" s="211">
        <v>3701000</v>
      </c>
      <c r="N75" s="211">
        <v>4071000</v>
      </c>
      <c r="O75" s="211">
        <v>1479000</v>
      </c>
      <c r="P75" s="211">
        <f t="shared" si="1"/>
        <v>43670000</v>
      </c>
    </row>
    <row r="76" spans="1:16" s="143" customFormat="1" ht="36.75" customHeight="1">
      <c r="A76" s="55" t="s">
        <v>7</v>
      </c>
      <c r="B76" s="136">
        <v>183</v>
      </c>
      <c r="C76" s="55" t="s">
        <v>18</v>
      </c>
      <c r="D76" s="211">
        <v>4273000</v>
      </c>
      <c r="E76" s="211">
        <v>3286000</v>
      </c>
      <c r="F76" s="211">
        <v>3286000</v>
      </c>
      <c r="G76" s="211">
        <v>3123000</v>
      </c>
      <c r="H76" s="211">
        <v>3616000</v>
      </c>
      <c r="I76" s="211">
        <v>3123000</v>
      </c>
      <c r="J76" s="211">
        <v>3123000</v>
      </c>
      <c r="K76" s="211">
        <v>3616000</v>
      </c>
      <c r="L76" s="211">
        <v>3123000</v>
      </c>
      <c r="M76" s="211">
        <v>3286000</v>
      </c>
      <c r="N76" s="211">
        <v>3616000</v>
      </c>
      <c r="O76" s="211">
        <v>1309000</v>
      </c>
      <c r="P76" s="211">
        <f t="shared" si="1"/>
        <v>38780000</v>
      </c>
    </row>
    <row r="77" spans="1:16" s="143" customFormat="1" ht="36.75" customHeight="1">
      <c r="A77" s="55" t="s">
        <v>7</v>
      </c>
      <c r="B77" s="136">
        <v>184</v>
      </c>
      <c r="C77" s="55" t="s">
        <v>19</v>
      </c>
      <c r="D77" s="211">
        <v>6320000</v>
      </c>
      <c r="E77" s="211">
        <v>4862000</v>
      </c>
      <c r="F77" s="211">
        <v>4862000</v>
      </c>
      <c r="G77" s="211">
        <v>4618000</v>
      </c>
      <c r="H77" s="211">
        <v>5348000</v>
      </c>
      <c r="I77" s="211">
        <v>4618000</v>
      </c>
      <c r="J77" s="211">
        <v>4618000</v>
      </c>
      <c r="K77" s="211">
        <v>5348000</v>
      </c>
      <c r="L77" s="211">
        <v>4618000</v>
      </c>
      <c r="M77" s="211">
        <v>4862000</v>
      </c>
      <c r="N77" s="211">
        <v>5348000</v>
      </c>
      <c r="O77" s="211">
        <v>1948000</v>
      </c>
      <c r="P77" s="211">
        <f t="shared" si="1"/>
        <v>57370000</v>
      </c>
    </row>
    <row r="78" spans="1:16" s="143" customFormat="1" ht="36.75" customHeight="1">
      <c r="A78" s="55" t="s">
        <v>7</v>
      </c>
      <c r="B78" s="136">
        <v>185</v>
      </c>
      <c r="C78" s="55" t="s">
        <v>170</v>
      </c>
      <c r="D78" s="211">
        <v>9048000</v>
      </c>
      <c r="E78" s="211">
        <v>6960000</v>
      </c>
      <c r="F78" s="211">
        <v>6960000</v>
      </c>
      <c r="G78" s="211">
        <v>6612000</v>
      </c>
      <c r="H78" s="211">
        <v>7656000</v>
      </c>
      <c r="I78" s="211">
        <v>6612000</v>
      </c>
      <c r="J78" s="211">
        <v>6612000</v>
      </c>
      <c r="K78" s="211">
        <v>7656000</v>
      </c>
      <c r="L78" s="211">
        <v>6612000</v>
      </c>
      <c r="M78" s="211">
        <v>6960000</v>
      </c>
      <c r="N78" s="211">
        <v>7656000</v>
      </c>
      <c r="O78" s="211">
        <v>2786000</v>
      </c>
      <c r="P78" s="211">
        <f t="shared" si="1"/>
        <v>82130000</v>
      </c>
    </row>
    <row r="79" spans="1:16" s="143" customFormat="1" ht="36.75" customHeight="1">
      <c r="A79" s="55" t="s">
        <v>11</v>
      </c>
      <c r="B79" s="136">
        <v>186</v>
      </c>
      <c r="C79" s="55" t="s">
        <v>87</v>
      </c>
      <c r="D79" s="211">
        <v>8506000</v>
      </c>
      <c r="E79" s="211">
        <v>6544000</v>
      </c>
      <c r="F79" s="211">
        <v>6544000</v>
      </c>
      <c r="G79" s="211">
        <v>6216000</v>
      </c>
      <c r="H79" s="211">
        <v>7198000</v>
      </c>
      <c r="I79" s="211">
        <v>6216000</v>
      </c>
      <c r="J79" s="211">
        <v>6216000</v>
      </c>
      <c r="K79" s="211">
        <v>7198000</v>
      </c>
      <c r="L79" s="211">
        <v>6216000</v>
      </c>
      <c r="M79" s="211">
        <v>6544000</v>
      </c>
      <c r="N79" s="211">
        <v>7198000</v>
      </c>
      <c r="O79" s="211">
        <v>2614000</v>
      </c>
      <c r="P79" s="211">
        <f t="shared" si="1"/>
        <v>77210000</v>
      </c>
    </row>
    <row r="80" spans="1:16" s="143" customFormat="1" ht="36.75" customHeight="1">
      <c r="A80" s="55" t="s">
        <v>7</v>
      </c>
      <c r="B80" s="136">
        <v>187</v>
      </c>
      <c r="C80" s="55" t="s">
        <v>171</v>
      </c>
      <c r="D80" s="211">
        <v>6316000</v>
      </c>
      <c r="E80" s="211">
        <v>4859000</v>
      </c>
      <c r="F80" s="211">
        <v>4859000</v>
      </c>
      <c r="G80" s="211">
        <v>4616000</v>
      </c>
      <c r="H80" s="211">
        <v>5345000</v>
      </c>
      <c r="I80" s="211">
        <v>4616000</v>
      </c>
      <c r="J80" s="211">
        <v>4616000</v>
      </c>
      <c r="K80" s="211">
        <v>5345000</v>
      </c>
      <c r="L80" s="211">
        <v>4616000</v>
      </c>
      <c r="M80" s="211">
        <v>4859000</v>
      </c>
      <c r="N80" s="211">
        <v>5345000</v>
      </c>
      <c r="O80" s="211">
        <v>1938000</v>
      </c>
      <c r="P80" s="211">
        <f t="shared" si="1"/>
        <v>57330000</v>
      </c>
    </row>
    <row r="81" spans="1:16" s="143" customFormat="1" ht="36.75" customHeight="1">
      <c r="A81" s="55" t="s">
        <v>0</v>
      </c>
      <c r="B81" s="136">
        <v>189</v>
      </c>
      <c r="C81" s="55" t="s">
        <v>172</v>
      </c>
      <c r="D81" s="211">
        <v>8868000</v>
      </c>
      <c r="E81" s="211">
        <v>6822000</v>
      </c>
      <c r="F81" s="211">
        <v>6822000</v>
      </c>
      <c r="G81" s="211">
        <v>6480000</v>
      </c>
      <c r="H81" s="211">
        <v>7503000</v>
      </c>
      <c r="I81" s="211">
        <v>6480000</v>
      </c>
      <c r="J81" s="211">
        <v>6480000</v>
      </c>
      <c r="K81" s="211">
        <v>7503000</v>
      </c>
      <c r="L81" s="211">
        <v>6480000</v>
      </c>
      <c r="M81" s="211">
        <v>6822000</v>
      </c>
      <c r="N81" s="211">
        <v>7503000</v>
      </c>
      <c r="O81" s="211">
        <v>2727000</v>
      </c>
      <c r="P81" s="211">
        <f t="shared" si="1"/>
        <v>80490000</v>
      </c>
    </row>
    <row r="82" spans="1:16" s="143" customFormat="1" ht="36.75" customHeight="1">
      <c r="A82" s="55" t="s">
        <v>7</v>
      </c>
      <c r="B82" s="136">
        <v>190</v>
      </c>
      <c r="C82" s="55" t="s">
        <v>173</v>
      </c>
      <c r="D82" s="211">
        <v>6510000</v>
      </c>
      <c r="E82" s="211">
        <v>5010000</v>
      </c>
      <c r="F82" s="211">
        <v>5010000</v>
      </c>
      <c r="G82" s="211">
        <v>4758000</v>
      </c>
      <c r="H82" s="211">
        <v>5509000</v>
      </c>
      <c r="I82" s="211">
        <v>4758000</v>
      </c>
      <c r="J82" s="211">
        <v>4758000</v>
      </c>
      <c r="K82" s="211">
        <v>5509000</v>
      </c>
      <c r="L82" s="211">
        <v>4758000</v>
      </c>
      <c r="M82" s="211">
        <v>5010000</v>
      </c>
      <c r="N82" s="211">
        <v>5509000</v>
      </c>
      <c r="O82" s="211">
        <v>2001000</v>
      </c>
      <c r="P82" s="211">
        <f t="shared" si="1"/>
        <v>59100000</v>
      </c>
    </row>
    <row r="83" spans="1:16" s="143" customFormat="1" ht="36.75" customHeight="1">
      <c r="A83" s="55" t="s">
        <v>11</v>
      </c>
      <c r="B83" s="136">
        <v>191</v>
      </c>
      <c r="C83" s="55" t="s">
        <v>20</v>
      </c>
      <c r="D83" s="211">
        <v>8339000</v>
      </c>
      <c r="E83" s="211">
        <v>6415000</v>
      </c>
      <c r="F83" s="211">
        <v>6415000</v>
      </c>
      <c r="G83" s="211">
        <v>6094000</v>
      </c>
      <c r="H83" s="211">
        <v>7057000</v>
      </c>
      <c r="I83" s="211">
        <v>6094000</v>
      </c>
      <c r="J83" s="211">
        <v>6094000</v>
      </c>
      <c r="K83" s="211">
        <v>7057000</v>
      </c>
      <c r="L83" s="211">
        <v>6094000</v>
      </c>
      <c r="M83" s="211">
        <v>6415000</v>
      </c>
      <c r="N83" s="211">
        <v>7057000</v>
      </c>
      <c r="O83" s="211">
        <v>2569000</v>
      </c>
      <c r="P83" s="211">
        <f t="shared" si="1"/>
        <v>75700000</v>
      </c>
    </row>
    <row r="84" spans="1:16" s="143" customFormat="1" ht="36.75" customHeight="1">
      <c r="A84" s="55" t="s">
        <v>7</v>
      </c>
      <c r="B84" s="136">
        <v>192</v>
      </c>
      <c r="C84" s="55" t="s">
        <v>174</v>
      </c>
      <c r="D84" s="211">
        <v>8527000</v>
      </c>
      <c r="E84" s="211">
        <v>6559000</v>
      </c>
      <c r="F84" s="211">
        <v>6559000</v>
      </c>
      <c r="G84" s="211">
        <v>6231000</v>
      </c>
      <c r="H84" s="211">
        <v>7215000</v>
      </c>
      <c r="I84" s="211">
        <v>6231000</v>
      </c>
      <c r="J84" s="211">
        <v>6231000</v>
      </c>
      <c r="K84" s="211">
        <v>7215000</v>
      </c>
      <c r="L84" s="211">
        <v>6231000</v>
      </c>
      <c r="M84" s="211">
        <v>6559000</v>
      </c>
      <c r="N84" s="211">
        <v>7215000</v>
      </c>
      <c r="O84" s="211">
        <v>2627000</v>
      </c>
      <c r="P84" s="211">
        <f t="shared" si="1"/>
        <v>77400000</v>
      </c>
    </row>
    <row r="85" spans="1:16" s="143" customFormat="1" ht="36.75" customHeight="1">
      <c r="A85" s="55" t="s">
        <v>11</v>
      </c>
      <c r="B85" s="136">
        <v>193</v>
      </c>
      <c r="C85" s="55" t="s">
        <v>21</v>
      </c>
      <c r="D85" s="211">
        <v>6194000</v>
      </c>
      <c r="E85" s="211">
        <v>4763000</v>
      </c>
      <c r="F85" s="211">
        <v>4763000</v>
      </c>
      <c r="G85" s="211">
        <v>4525000</v>
      </c>
      <c r="H85" s="211">
        <v>5240000</v>
      </c>
      <c r="I85" s="211">
        <v>4525000</v>
      </c>
      <c r="J85" s="211">
        <v>4525000</v>
      </c>
      <c r="K85" s="211">
        <v>5240000</v>
      </c>
      <c r="L85" s="211">
        <v>4525000</v>
      </c>
      <c r="M85" s="211">
        <v>4763000</v>
      </c>
      <c r="N85" s="211">
        <v>5240000</v>
      </c>
      <c r="O85" s="211">
        <v>1907000</v>
      </c>
      <c r="P85" s="211">
        <f t="shared" si="1"/>
        <v>56210000</v>
      </c>
    </row>
    <row r="86" spans="1:16" s="143" customFormat="1" ht="36.75" customHeight="1">
      <c r="A86" s="55" t="s">
        <v>11</v>
      </c>
      <c r="B86" s="136">
        <v>194</v>
      </c>
      <c r="C86" s="55" t="s">
        <v>175</v>
      </c>
      <c r="D86" s="211">
        <v>5406000</v>
      </c>
      <c r="E86" s="211">
        <v>4158000</v>
      </c>
      <c r="F86" s="211">
        <v>4158000</v>
      </c>
      <c r="G86" s="211">
        <v>3949000</v>
      </c>
      <c r="H86" s="211">
        <v>4574000</v>
      </c>
      <c r="I86" s="211">
        <v>3949000</v>
      </c>
      <c r="J86" s="211">
        <v>3949000</v>
      </c>
      <c r="K86" s="211">
        <v>4574000</v>
      </c>
      <c r="L86" s="211">
        <v>3949000</v>
      </c>
      <c r="M86" s="211">
        <v>4158000</v>
      </c>
      <c r="N86" s="211">
        <v>4574000</v>
      </c>
      <c r="O86" s="211">
        <v>1662000</v>
      </c>
      <c r="P86" s="211">
        <f t="shared" si="1"/>
        <v>49060000</v>
      </c>
    </row>
    <row r="87" spans="1:16" s="143" customFormat="1" ht="36.75" customHeight="1">
      <c r="A87" s="55" t="s">
        <v>7</v>
      </c>
      <c r="B87" s="136">
        <v>195</v>
      </c>
      <c r="C87" s="55" t="s">
        <v>22</v>
      </c>
      <c r="D87" s="211">
        <v>5215000</v>
      </c>
      <c r="E87" s="211">
        <v>4012000</v>
      </c>
      <c r="F87" s="211">
        <v>4012000</v>
      </c>
      <c r="G87" s="211">
        <v>3811000</v>
      </c>
      <c r="H87" s="211">
        <v>4413000</v>
      </c>
      <c r="I87" s="211">
        <v>3811000</v>
      </c>
      <c r="J87" s="211">
        <v>3811000</v>
      </c>
      <c r="K87" s="211">
        <v>4413000</v>
      </c>
      <c r="L87" s="211">
        <v>3811000</v>
      </c>
      <c r="M87" s="211">
        <v>4012000</v>
      </c>
      <c r="N87" s="211">
        <v>4413000</v>
      </c>
      <c r="O87" s="211">
        <v>1606000</v>
      </c>
      <c r="P87" s="211">
        <f t="shared" si="1"/>
        <v>47340000</v>
      </c>
    </row>
    <row r="88" spans="1:16" s="143" customFormat="1" ht="36.75" customHeight="1">
      <c r="A88" s="55" t="s">
        <v>11</v>
      </c>
      <c r="B88" s="136">
        <v>196</v>
      </c>
      <c r="C88" s="55" t="s">
        <v>88</v>
      </c>
      <c r="D88" s="211">
        <v>5941000</v>
      </c>
      <c r="E88" s="211">
        <v>4569000</v>
      </c>
      <c r="F88" s="211">
        <v>4569000</v>
      </c>
      <c r="G88" s="211">
        <v>4342000</v>
      </c>
      <c r="H88" s="211">
        <v>5027000</v>
      </c>
      <c r="I88" s="211">
        <v>4342000</v>
      </c>
      <c r="J88" s="211">
        <v>4342000</v>
      </c>
      <c r="K88" s="211">
        <v>5027000</v>
      </c>
      <c r="L88" s="211">
        <v>4342000</v>
      </c>
      <c r="M88" s="211">
        <v>4569000</v>
      </c>
      <c r="N88" s="211">
        <v>5027000</v>
      </c>
      <c r="O88" s="211">
        <v>1823000</v>
      </c>
      <c r="P88" s="211">
        <f t="shared" si="1"/>
        <v>53920000</v>
      </c>
    </row>
    <row r="89" spans="1:16" s="143" customFormat="1" ht="36.75" customHeight="1">
      <c r="A89" s="55" t="s">
        <v>11</v>
      </c>
      <c r="B89" s="136">
        <v>197</v>
      </c>
      <c r="C89" s="55" t="s">
        <v>23</v>
      </c>
      <c r="D89" s="211">
        <v>3692000</v>
      </c>
      <c r="E89" s="211">
        <v>2839000</v>
      </c>
      <c r="F89" s="211">
        <v>2839000</v>
      </c>
      <c r="G89" s="211">
        <v>2697000</v>
      </c>
      <c r="H89" s="211">
        <v>3123000</v>
      </c>
      <c r="I89" s="211">
        <v>2697000</v>
      </c>
      <c r="J89" s="211">
        <v>2697000</v>
      </c>
      <c r="K89" s="211">
        <v>3123000</v>
      </c>
      <c r="L89" s="211">
        <v>2697000</v>
      </c>
      <c r="M89" s="211">
        <v>2839000</v>
      </c>
      <c r="N89" s="211">
        <v>3123000</v>
      </c>
      <c r="O89" s="211">
        <v>1134000</v>
      </c>
      <c r="P89" s="211">
        <f t="shared" si="1"/>
        <v>33500000</v>
      </c>
    </row>
    <row r="90" spans="1:16" s="143" customFormat="1" ht="36.75" customHeight="1">
      <c r="A90" s="55" t="s">
        <v>11</v>
      </c>
      <c r="B90" s="136">
        <v>199</v>
      </c>
      <c r="C90" s="55" t="s">
        <v>24</v>
      </c>
      <c r="D90" s="211">
        <v>4639000</v>
      </c>
      <c r="E90" s="211">
        <v>3568000</v>
      </c>
      <c r="F90" s="211">
        <v>3568000</v>
      </c>
      <c r="G90" s="211">
        <v>3391000</v>
      </c>
      <c r="H90" s="211">
        <v>3925000</v>
      </c>
      <c r="I90" s="211">
        <v>3391000</v>
      </c>
      <c r="J90" s="211">
        <v>3391000</v>
      </c>
      <c r="K90" s="211">
        <v>3925000</v>
      </c>
      <c r="L90" s="211">
        <v>3391000</v>
      </c>
      <c r="M90" s="211">
        <v>3568000</v>
      </c>
      <c r="N90" s="211">
        <v>3925000</v>
      </c>
      <c r="O90" s="211">
        <v>1428000</v>
      </c>
      <c r="P90" s="211">
        <f t="shared" si="1"/>
        <v>42110000</v>
      </c>
    </row>
    <row r="91" spans="1:16" s="143" customFormat="1" ht="36.75" customHeight="1">
      <c r="A91" s="55" t="s">
        <v>7</v>
      </c>
      <c r="B91" s="136">
        <v>200</v>
      </c>
      <c r="C91" s="55" t="s">
        <v>89</v>
      </c>
      <c r="D91" s="211">
        <v>5088000</v>
      </c>
      <c r="E91" s="211">
        <v>3915000</v>
      </c>
      <c r="F91" s="211">
        <v>3915000</v>
      </c>
      <c r="G91" s="211">
        <v>3719000</v>
      </c>
      <c r="H91" s="211">
        <v>4307000</v>
      </c>
      <c r="I91" s="211">
        <v>3719000</v>
      </c>
      <c r="J91" s="211">
        <v>3719000</v>
      </c>
      <c r="K91" s="211">
        <v>4307000</v>
      </c>
      <c r="L91" s="211">
        <v>3719000</v>
      </c>
      <c r="M91" s="211">
        <v>3915000</v>
      </c>
      <c r="N91" s="211">
        <v>4307000</v>
      </c>
      <c r="O91" s="211">
        <v>1560000</v>
      </c>
      <c r="P91" s="211">
        <f t="shared" si="1"/>
        <v>46190000</v>
      </c>
    </row>
    <row r="92" spans="1:16" s="143" customFormat="1" ht="36.75" customHeight="1">
      <c r="A92" s="55" t="s">
        <v>7</v>
      </c>
      <c r="B92" s="136">
        <v>201</v>
      </c>
      <c r="C92" s="55" t="s">
        <v>90</v>
      </c>
      <c r="D92" s="211">
        <v>5715000</v>
      </c>
      <c r="E92" s="211">
        <v>4396000</v>
      </c>
      <c r="F92" s="211">
        <v>4396000</v>
      </c>
      <c r="G92" s="211">
        <v>4176000</v>
      </c>
      <c r="H92" s="211">
        <v>4838000</v>
      </c>
      <c r="I92" s="211">
        <v>4176000</v>
      </c>
      <c r="J92" s="211">
        <v>4176000</v>
      </c>
      <c r="K92" s="211">
        <v>4838000</v>
      </c>
      <c r="L92" s="211">
        <v>4176000</v>
      </c>
      <c r="M92" s="211">
        <v>4396000</v>
      </c>
      <c r="N92" s="211">
        <v>4838000</v>
      </c>
      <c r="O92" s="211">
        <v>1759000</v>
      </c>
      <c r="P92" s="211">
        <f t="shared" si="1"/>
        <v>51880000</v>
      </c>
    </row>
    <row r="93" spans="1:16" s="143" customFormat="1" ht="36.75" customHeight="1">
      <c r="A93" s="55" t="s">
        <v>7</v>
      </c>
      <c r="B93" s="136">
        <v>211</v>
      </c>
      <c r="C93" s="55" t="s">
        <v>25</v>
      </c>
      <c r="D93" s="211">
        <v>5921000</v>
      </c>
      <c r="E93" s="211">
        <v>4555000</v>
      </c>
      <c r="F93" s="211">
        <v>4555000</v>
      </c>
      <c r="G93" s="211">
        <v>4328000</v>
      </c>
      <c r="H93" s="211">
        <v>5011000</v>
      </c>
      <c r="I93" s="211">
        <v>4328000</v>
      </c>
      <c r="J93" s="211">
        <v>4328000</v>
      </c>
      <c r="K93" s="211">
        <v>5011000</v>
      </c>
      <c r="L93" s="211">
        <v>4328000</v>
      </c>
      <c r="M93" s="211">
        <v>4555000</v>
      </c>
      <c r="N93" s="211">
        <v>5011000</v>
      </c>
      <c r="O93" s="211">
        <v>1819000</v>
      </c>
      <c r="P93" s="211">
        <f t="shared" si="1"/>
        <v>53750000</v>
      </c>
    </row>
    <row r="94" spans="1:16" s="143" customFormat="1" ht="36.75" customHeight="1">
      <c r="A94" s="55" t="s">
        <v>7</v>
      </c>
      <c r="B94" s="136">
        <v>220</v>
      </c>
      <c r="C94" s="55" t="s">
        <v>26</v>
      </c>
      <c r="D94" s="211">
        <v>4708000</v>
      </c>
      <c r="E94" s="211">
        <v>3622000</v>
      </c>
      <c r="F94" s="211">
        <v>3622000</v>
      </c>
      <c r="G94" s="211">
        <v>3439000</v>
      </c>
      <c r="H94" s="211">
        <v>3984000</v>
      </c>
      <c r="I94" s="211">
        <v>3439000</v>
      </c>
      <c r="J94" s="211">
        <v>3439000</v>
      </c>
      <c r="K94" s="211">
        <v>3984000</v>
      </c>
      <c r="L94" s="211">
        <v>3439000</v>
      </c>
      <c r="M94" s="211">
        <v>3622000</v>
      </c>
      <c r="N94" s="211">
        <v>3984000</v>
      </c>
      <c r="O94" s="211">
        <v>1448000</v>
      </c>
      <c r="P94" s="211">
        <f t="shared" si="1"/>
        <v>42730000</v>
      </c>
    </row>
    <row r="95" spans="1:16" s="143" customFormat="1" ht="36.75" customHeight="1">
      <c r="A95" s="55" t="s">
        <v>7</v>
      </c>
      <c r="B95" s="136">
        <v>221</v>
      </c>
      <c r="C95" s="55" t="s">
        <v>27</v>
      </c>
      <c r="D95" s="211">
        <v>4717000</v>
      </c>
      <c r="E95" s="211">
        <v>3629000</v>
      </c>
      <c r="F95" s="211">
        <v>3629000</v>
      </c>
      <c r="G95" s="211">
        <v>3448000</v>
      </c>
      <c r="H95" s="211">
        <v>3992000</v>
      </c>
      <c r="I95" s="211">
        <v>3448000</v>
      </c>
      <c r="J95" s="211">
        <v>3448000</v>
      </c>
      <c r="K95" s="211">
        <v>3992000</v>
      </c>
      <c r="L95" s="211">
        <v>3448000</v>
      </c>
      <c r="M95" s="211">
        <v>3629000</v>
      </c>
      <c r="N95" s="211">
        <v>3992000</v>
      </c>
      <c r="O95" s="211">
        <v>1458000</v>
      </c>
      <c r="P95" s="211">
        <f t="shared" si="1"/>
        <v>42830000</v>
      </c>
    </row>
    <row r="96" spans="1:16" s="143" customFormat="1" ht="36.75" customHeight="1">
      <c r="A96" s="55" t="s">
        <v>11</v>
      </c>
      <c r="B96" s="136">
        <v>240</v>
      </c>
      <c r="C96" s="55" t="s">
        <v>177</v>
      </c>
      <c r="D96" s="211">
        <v>9791000</v>
      </c>
      <c r="E96" s="211">
        <v>7531000</v>
      </c>
      <c r="F96" s="211">
        <v>7531000</v>
      </c>
      <c r="G96" s="211">
        <v>7154000</v>
      </c>
      <c r="H96" s="211">
        <v>8285000</v>
      </c>
      <c r="I96" s="211">
        <v>7154000</v>
      </c>
      <c r="J96" s="211">
        <v>7154000</v>
      </c>
      <c r="K96" s="211">
        <v>8285000</v>
      </c>
      <c r="L96" s="211">
        <v>7154000</v>
      </c>
      <c r="M96" s="211">
        <v>7531000</v>
      </c>
      <c r="N96" s="211">
        <v>8285000</v>
      </c>
      <c r="O96" s="211">
        <v>3015000</v>
      </c>
      <c r="P96" s="211">
        <f t="shared" si="1"/>
        <v>88870000</v>
      </c>
    </row>
    <row r="97" spans="1:16" s="143" customFormat="1" ht="36.75" customHeight="1">
      <c r="A97" s="55" t="s">
        <v>11</v>
      </c>
      <c r="B97" s="136">
        <v>241</v>
      </c>
      <c r="C97" s="55" t="s">
        <v>91</v>
      </c>
      <c r="D97" s="211">
        <v>10558000</v>
      </c>
      <c r="E97" s="211">
        <v>8121000</v>
      </c>
      <c r="F97" s="211">
        <v>8121000</v>
      </c>
      <c r="G97" s="211">
        <v>7714000</v>
      </c>
      <c r="H97" s="211">
        <v>8934000</v>
      </c>
      <c r="I97" s="211">
        <v>7714000</v>
      </c>
      <c r="J97" s="211">
        <v>7714000</v>
      </c>
      <c r="K97" s="211">
        <v>8934000</v>
      </c>
      <c r="L97" s="211">
        <v>7714000</v>
      </c>
      <c r="M97" s="211">
        <v>8121000</v>
      </c>
      <c r="N97" s="211">
        <v>8934000</v>
      </c>
      <c r="O97" s="211">
        <v>3251000</v>
      </c>
      <c r="P97" s="211">
        <f t="shared" si="1"/>
        <v>95830000</v>
      </c>
    </row>
    <row r="98" spans="1:16" s="143" customFormat="1" ht="36.75" customHeight="1">
      <c r="A98" s="55" t="s">
        <v>11</v>
      </c>
      <c r="B98" s="136">
        <v>242</v>
      </c>
      <c r="C98" s="55" t="s">
        <v>28</v>
      </c>
      <c r="D98" s="211">
        <v>9999000</v>
      </c>
      <c r="E98" s="211">
        <v>7692000</v>
      </c>
      <c r="F98" s="211">
        <v>7692000</v>
      </c>
      <c r="G98" s="211">
        <v>7307000</v>
      </c>
      <c r="H98" s="211">
        <v>8461000</v>
      </c>
      <c r="I98" s="211">
        <v>7307000</v>
      </c>
      <c r="J98" s="211">
        <v>7307000</v>
      </c>
      <c r="K98" s="211">
        <v>8461000</v>
      </c>
      <c r="L98" s="211">
        <v>7307000</v>
      </c>
      <c r="M98" s="211">
        <v>7692000</v>
      </c>
      <c r="N98" s="211">
        <v>8461000</v>
      </c>
      <c r="O98" s="211">
        <v>3074000</v>
      </c>
      <c r="P98" s="211">
        <f t="shared" si="1"/>
        <v>90760000</v>
      </c>
    </row>
    <row r="99" spans="1:16" s="143" customFormat="1" ht="36.75" customHeight="1">
      <c r="A99" s="55" t="s">
        <v>11</v>
      </c>
      <c r="B99" s="136">
        <v>243</v>
      </c>
      <c r="C99" s="55" t="s">
        <v>92</v>
      </c>
      <c r="D99" s="211">
        <v>7301000</v>
      </c>
      <c r="E99" s="211">
        <v>5616000</v>
      </c>
      <c r="F99" s="211">
        <v>5616000</v>
      </c>
      <c r="G99" s="211">
        <v>5335000</v>
      </c>
      <c r="H99" s="211">
        <v>6177000</v>
      </c>
      <c r="I99" s="211">
        <v>5335000</v>
      </c>
      <c r="J99" s="211">
        <v>5335000</v>
      </c>
      <c r="K99" s="211">
        <v>6177000</v>
      </c>
      <c r="L99" s="211">
        <v>5335000</v>
      </c>
      <c r="M99" s="211">
        <v>5616000</v>
      </c>
      <c r="N99" s="211">
        <v>6177000</v>
      </c>
      <c r="O99" s="211">
        <v>2250000</v>
      </c>
      <c r="P99" s="211">
        <f t="shared" si="1"/>
        <v>66270000</v>
      </c>
    </row>
    <row r="100" spans="1:16" s="143" customFormat="1" ht="36.75" customHeight="1">
      <c r="A100" s="55" t="s">
        <v>11</v>
      </c>
      <c r="B100" s="136">
        <v>244</v>
      </c>
      <c r="C100" s="55" t="s">
        <v>29</v>
      </c>
      <c r="D100" s="211">
        <v>9550000</v>
      </c>
      <c r="E100" s="211">
        <v>7346000</v>
      </c>
      <c r="F100" s="211">
        <v>7346000</v>
      </c>
      <c r="G100" s="211">
        <v>6980000</v>
      </c>
      <c r="H100" s="211">
        <v>8082000</v>
      </c>
      <c r="I100" s="211">
        <v>6980000</v>
      </c>
      <c r="J100" s="211">
        <v>6980000</v>
      </c>
      <c r="K100" s="211">
        <v>8082000</v>
      </c>
      <c r="L100" s="211">
        <v>6980000</v>
      </c>
      <c r="M100" s="211">
        <v>7346000</v>
      </c>
      <c r="N100" s="211">
        <v>8082000</v>
      </c>
      <c r="O100" s="211">
        <v>2936000</v>
      </c>
      <c r="P100" s="211">
        <f t="shared" si="1"/>
        <v>86690000</v>
      </c>
    </row>
    <row r="101" spans="1:16" s="143" customFormat="1" ht="36.75" customHeight="1">
      <c r="A101" s="55" t="s">
        <v>11</v>
      </c>
      <c r="B101" s="136">
        <v>245</v>
      </c>
      <c r="C101" s="55" t="s">
        <v>93</v>
      </c>
      <c r="D101" s="211">
        <v>5925000</v>
      </c>
      <c r="E101" s="211">
        <v>4558000</v>
      </c>
      <c r="F101" s="211">
        <v>4558000</v>
      </c>
      <c r="G101" s="211">
        <v>4330000</v>
      </c>
      <c r="H101" s="211">
        <v>5015000</v>
      </c>
      <c r="I101" s="211">
        <v>4330000</v>
      </c>
      <c r="J101" s="211">
        <v>4330000</v>
      </c>
      <c r="K101" s="211">
        <v>5015000</v>
      </c>
      <c r="L101" s="211">
        <v>4330000</v>
      </c>
      <c r="M101" s="211">
        <v>4558000</v>
      </c>
      <c r="N101" s="211">
        <v>5015000</v>
      </c>
      <c r="O101" s="211">
        <v>1826000</v>
      </c>
      <c r="P101" s="211">
        <f t="shared" si="1"/>
        <v>53790000</v>
      </c>
    </row>
    <row r="102" spans="1:16" s="143" customFormat="1" ht="36.75" customHeight="1">
      <c r="A102" s="55" t="s">
        <v>11</v>
      </c>
      <c r="B102" s="136">
        <v>246</v>
      </c>
      <c r="C102" s="55" t="s">
        <v>178</v>
      </c>
      <c r="D102" s="211">
        <v>6472000</v>
      </c>
      <c r="E102" s="211">
        <v>4979000</v>
      </c>
      <c r="F102" s="211">
        <v>4979000</v>
      </c>
      <c r="G102" s="211">
        <v>4730000</v>
      </c>
      <c r="H102" s="211">
        <v>5476000</v>
      </c>
      <c r="I102" s="211">
        <v>4730000</v>
      </c>
      <c r="J102" s="211">
        <v>4730000</v>
      </c>
      <c r="K102" s="211">
        <v>5476000</v>
      </c>
      <c r="L102" s="211">
        <v>4730000</v>
      </c>
      <c r="M102" s="211">
        <v>4979000</v>
      </c>
      <c r="N102" s="211">
        <v>5476000</v>
      </c>
      <c r="O102" s="211">
        <v>1993000</v>
      </c>
      <c r="P102" s="211">
        <f t="shared" si="1"/>
        <v>58750000</v>
      </c>
    </row>
    <row r="103" spans="1:16" s="143" customFormat="1" ht="36.75" customHeight="1">
      <c r="A103" s="55" t="s">
        <v>11</v>
      </c>
      <c r="B103" s="136">
        <v>247</v>
      </c>
      <c r="C103" s="55" t="s">
        <v>179</v>
      </c>
      <c r="D103" s="211">
        <v>6588000</v>
      </c>
      <c r="E103" s="211">
        <v>5068000</v>
      </c>
      <c r="F103" s="211">
        <v>5068000</v>
      </c>
      <c r="G103" s="211">
        <v>4814000</v>
      </c>
      <c r="H103" s="211">
        <v>5575000</v>
      </c>
      <c r="I103" s="211">
        <v>4814000</v>
      </c>
      <c r="J103" s="211">
        <v>4814000</v>
      </c>
      <c r="K103" s="211">
        <v>5575000</v>
      </c>
      <c r="L103" s="211">
        <v>4814000</v>
      </c>
      <c r="M103" s="211">
        <v>5068000</v>
      </c>
      <c r="N103" s="211">
        <v>5575000</v>
      </c>
      <c r="O103" s="211">
        <v>2027000</v>
      </c>
      <c r="P103" s="211">
        <f t="shared" si="1"/>
        <v>59800000</v>
      </c>
    </row>
    <row r="104" spans="1:16" s="143" customFormat="1" ht="36.75" customHeight="1">
      <c r="A104" s="55" t="s">
        <v>11</v>
      </c>
      <c r="B104" s="136">
        <v>248</v>
      </c>
      <c r="C104" s="55" t="s">
        <v>94</v>
      </c>
      <c r="D104" s="211">
        <v>6898000</v>
      </c>
      <c r="E104" s="211">
        <v>5307000</v>
      </c>
      <c r="F104" s="211">
        <v>5307000</v>
      </c>
      <c r="G104" s="211">
        <v>5041000</v>
      </c>
      <c r="H104" s="211">
        <v>5837000</v>
      </c>
      <c r="I104" s="211">
        <v>5041000</v>
      </c>
      <c r="J104" s="211">
        <v>5041000</v>
      </c>
      <c r="K104" s="211">
        <v>5837000</v>
      </c>
      <c r="L104" s="211">
        <v>5041000</v>
      </c>
      <c r="M104" s="211">
        <v>5307000</v>
      </c>
      <c r="N104" s="211">
        <v>5837000</v>
      </c>
      <c r="O104" s="211">
        <v>2116000</v>
      </c>
      <c r="P104" s="211">
        <f t="shared" si="1"/>
        <v>62610000</v>
      </c>
    </row>
    <row r="105" spans="1:16" s="143" customFormat="1" ht="36.75" customHeight="1">
      <c r="A105" s="55" t="s">
        <v>11</v>
      </c>
      <c r="B105" s="136">
        <v>249</v>
      </c>
      <c r="C105" s="55" t="s">
        <v>30</v>
      </c>
      <c r="D105" s="211">
        <v>5380000</v>
      </c>
      <c r="E105" s="211">
        <v>4138000</v>
      </c>
      <c r="F105" s="211">
        <v>4138000</v>
      </c>
      <c r="G105" s="211">
        <v>3931000</v>
      </c>
      <c r="H105" s="211">
        <v>4552000</v>
      </c>
      <c r="I105" s="211">
        <v>3931000</v>
      </c>
      <c r="J105" s="211">
        <v>3931000</v>
      </c>
      <c r="K105" s="211">
        <v>4552000</v>
      </c>
      <c r="L105" s="211">
        <v>3931000</v>
      </c>
      <c r="M105" s="211">
        <v>4138000</v>
      </c>
      <c r="N105" s="211">
        <v>4552000</v>
      </c>
      <c r="O105" s="211">
        <v>1656000</v>
      </c>
      <c r="P105" s="211">
        <f t="shared" si="1"/>
        <v>48830000</v>
      </c>
    </row>
    <row r="106" spans="1:16" s="143" customFormat="1" ht="36.75" customHeight="1">
      <c r="A106" s="55" t="s">
        <v>11</v>
      </c>
      <c r="B106" s="136">
        <v>250</v>
      </c>
      <c r="C106" s="55" t="s">
        <v>180</v>
      </c>
      <c r="D106" s="211">
        <v>4031000</v>
      </c>
      <c r="E106" s="211">
        <v>3101000</v>
      </c>
      <c r="F106" s="211">
        <v>3101000</v>
      </c>
      <c r="G106" s="211">
        <v>2947000</v>
      </c>
      <c r="H106" s="211">
        <v>3412000</v>
      </c>
      <c r="I106" s="211">
        <v>2947000</v>
      </c>
      <c r="J106" s="211">
        <v>2947000</v>
      </c>
      <c r="K106" s="211">
        <v>3412000</v>
      </c>
      <c r="L106" s="211">
        <v>2947000</v>
      </c>
      <c r="M106" s="211">
        <v>3101000</v>
      </c>
      <c r="N106" s="211">
        <v>3412000</v>
      </c>
      <c r="O106" s="211">
        <v>1232000</v>
      </c>
      <c r="P106" s="211">
        <f t="shared" si="1"/>
        <v>36590000</v>
      </c>
    </row>
    <row r="107" spans="1:16" s="143" customFormat="1" ht="36.75" customHeight="1">
      <c r="A107" s="55" t="s">
        <v>11</v>
      </c>
      <c r="B107" s="136">
        <v>251</v>
      </c>
      <c r="C107" s="55" t="s">
        <v>181</v>
      </c>
      <c r="D107" s="211">
        <v>4462000</v>
      </c>
      <c r="E107" s="211">
        <v>3432000</v>
      </c>
      <c r="F107" s="211">
        <v>3432000</v>
      </c>
      <c r="G107" s="211">
        <v>3260000</v>
      </c>
      <c r="H107" s="211">
        <v>3777000</v>
      </c>
      <c r="I107" s="211">
        <v>3260000</v>
      </c>
      <c r="J107" s="211">
        <v>3260000</v>
      </c>
      <c r="K107" s="211">
        <v>3777000</v>
      </c>
      <c r="L107" s="211">
        <v>3260000</v>
      </c>
      <c r="M107" s="211">
        <v>3432000</v>
      </c>
      <c r="N107" s="211">
        <v>3777000</v>
      </c>
      <c r="O107" s="211">
        <v>1371000</v>
      </c>
      <c r="P107" s="211">
        <f t="shared" si="1"/>
        <v>40500000</v>
      </c>
    </row>
    <row r="108" spans="1:16" s="143" customFormat="1" ht="36.75" customHeight="1">
      <c r="A108" s="55" t="s">
        <v>11</v>
      </c>
      <c r="B108" s="136">
        <v>252</v>
      </c>
      <c r="C108" s="55" t="s">
        <v>95</v>
      </c>
      <c r="D108" s="211">
        <v>6753000</v>
      </c>
      <c r="E108" s="211">
        <v>5194000</v>
      </c>
      <c r="F108" s="211">
        <v>5194000</v>
      </c>
      <c r="G108" s="211">
        <v>4934000</v>
      </c>
      <c r="H108" s="211">
        <v>5714000</v>
      </c>
      <c r="I108" s="211">
        <v>4934000</v>
      </c>
      <c r="J108" s="211">
        <v>4934000</v>
      </c>
      <c r="K108" s="211">
        <v>5714000</v>
      </c>
      <c r="L108" s="211">
        <v>4934000</v>
      </c>
      <c r="M108" s="211">
        <v>5194000</v>
      </c>
      <c r="N108" s="211">
        <v>5714000</v>
      </c>
      <c r="O108" s="211">
        <v>2077000</v>
      </c>
      <c r="P108" s="211">
        <f t="shared" si="1"/>
        <v>61290000</v>
      </c>
    </row>
    <row r="109" spans="1:16" s="143" customFormat="1" ht="36.75" customHeight="1">
      <c r="A109" s="55" t="s">
        <v>11</v>
      </c>
      <c r="B109" s="136">
        <v>260</v>
      </c>
      <c r="C109" s="55" t="s">
        <v>96</v>
      </c>
      <c r="D109" s="211">
        <v>8536000</v>
      </c>
      <c r="E109" s="211">
        <v>6566000</v>
      </c>
      <c r="F109" s="211">
        <v>6566000</v>
      </c>
      <c r="G109" s="211">
        <v>6236000</v>
      </c>
      <c r="H109" s="211">
        <v>7223000</v>
      </c>
      <c r="I109" s="211">
        <v>6236000</v>
      </c>
      <c r="J109" s="211">
        <v>6236000</v>
      </c>
      <c r="K109" s="211">
        <v>7223000</v>
      </c>
      <c r="L109" s="211">
        <v>6236000</v>
      </c>
      <c r="M109" s="211">
        <v>6566000</v>
      </c>
      <c r="N109" s="211">
        <v>7223000</v>
      </c>
      <c r="O109" s="211">
        <v>2633000</v>
      </c>
      <c r="P109" s="211">
        <f t="shared" si="1"/>
        <v>77480000</v>
      </c>
    </row>
    <row r="110" spans="1:16" s="143" customFormat="1" ht="36.75" customHeight="1">
      <c r="A110" s="55" t="s">
        <v>11</v>
      </c>
      <c r="B110" s="136">
        <v>262</v>
      </c>
      <c r="C110" s="55" t="s">
        <v>97</v>
      </c>
      <c r="D110" s="211">
        <v>6558000</v>
      </c>
      <c r="E110" s="211">
        <v>5046000</v>
      </c>
      <c r="F110" s="211">
        <v>5046000</v>
      </c>
      <c r="G110" s="211">
        <v>4792000</v>
      </c>
      <c r="H110" s="211">
        <v>5549000</v>
      </c>
      <c r="I110" s="211">
        <v>4792000</v>
      </c>
      <c r="J110" s="211">
        <v>4792000</v>
      </c>
      <c r="K110" s="211">
        <v>5549000</v>
      </c>
      <c r="L110" s="211">
        <v>4792000</v>
      </c>
      <c r="M110" s="211">
        <v>5046000</v>
      </c>
      <c r="N110" s="211">
        <v>5549000</v>
      </c>
      <c r="O110" s="211">
        <v>2019000</v>
      </c>
      <c r="P110" s="211">
        <f t="shared" si="1"/>
        <v>59530000</v>
      </c>
    </row>
    <row r="111" spans="1:16" s="143" customFormat="1" ht="36.75" customHeight="1">
      <c r="A111" s="55" t="s">
        <v>11</v>
      </c>
      <c r="B111" s="136">
        <v>268</v>
      </c>
      <c r="C111" s="55" t="s">
        <v>1282</v>
      </c>
      <c r="D111" s="211">
        <v>2308000</v>
      </c>
      <c r="E111" s="211">
        <v>1777000</v>
      </c>
      <c r="F111" s="211">
        <v>1777000</v>
      </c>
      <c r="G111" s="211">
        <v>1689000</v>
      </c>
      <c r="H111" s="211">
        <v>1954000</v>
      </c>
      <c r="I111" s="211">
        <v>1689000</v>
      </c>
      <c r="J111" s="211">
        <v>1689000</v>
      </c>
      <c r="K111" s="211">
        <v>1954000</v>
      </c>
      <c r="L111" s="211">
        <v>1689000</v>
      </c>
      <c r="M111" s="211">
        <v>1777000</v>
      </c>
      <c r="N111" s="211">
        <v>1954000</v>
      </c>
      <c r="O111" s="211">
        <v>703000</v>
      </c>
      <c r="P111" s="211">
        <f t="shared" si="1"/>
        <v>20960000</v>
      </c>
    </row>
    <row r="112" spans="1:16" s="143" customFormat="1" ht="36.75" customHeight="1">
      <c r="A112" s="55" t="s">
        <v>11</v>
      </c>
      <c r="B112" s="136">
        <v>300</v>
      </c>
      <c r="C112" s="55" t="s">
        <v>98</v>
      </c>
      <c r="D112" s="211">
        <v>8368000</v>
      </c>
      <c r="E112" s="211">
        <v>6438000</v>
      </c>
      <c r="F112" s="211">
        <v>6438000</v>
      </c>
      <c r="G112" s="211">
        <v>6115000</v>
      </c>
      <c r="H112" s="211">
        <v>7080000</v>
      </c>
      <c r="I112" s="211">
        <v>6115000</v>
      </c>
      <c r="J112" s="211">
        <v>6115000</v>
      </c>
      <c r="K112" s="211">
        <v>7080000</v>
      </c>
      <c r="L112" s="211">
        <v>6115000</v>
      </c>
      <c r="M112" s="211">
        <v>6438000</v>
      </c>
      <c r="N112" s="211">
        <v>7080000</v>
      </c>
      <c r="O112" s="211">
        <v>2578000</v>
      </c>
      <c r="P112" s="211">
        <f t="shared" si="1"/>
        <v>75960000</v>
      </c>
    </row>
    <row r="113" spans="1:16" s="143" customFormat="1" ht="36.75" customHeight="1">
      <c r="A113" s="55" t="s">
        <v>11</v>
      </c>
      <c r="B113" s="136">
        <v>301</v>
      </c>
      <c r="C113" s="55" t="s">
        <v>99</v>
      </c>
      <c r="D113" s="211">
        <v>6895000</v>
      </c>
      <c r="E113" s="211">
        <v>5304000</v>
      </c>
      <c r="F113" s="211">
        <v>5304000</v>
      </c>
      <c r="G113" s="211">
        <v>5039000</v>
      </c>
      <c r="H113" s="211">
        <v>5834000</v>
      </c>
      <c r="I113" s="211">
        <v>5039000</v>
      </c>
      <c r="J113" s="211">
        <v>5039000</v>
      </c>
      <c r="K113" s="211">
        <v>5834000</v>
      </c>
      <c r="L113" s="211">
        <v>5039000</v>
      </c>
      <c r="M113" s="211">
        <v>5304000</v>
      </c>
      <c r="N113" s="211">
        <v>5834000</v>
      </c>
      <c r="O113" s="211">
        <v>2125000</v>
      </c>
      <c r="P113" s="211">
        <f t="shared" si="1"/>
        <v>62590000</v>
      </c>
    </row>
    <row r="114" spans="1:16" s="144" customFormat="1" ht="36.75" customHeight="1">
      <c r="A114" s="119" t="s">
        <v>11</v>
      </c>
      <c r="B114" s="139">
        <v>302</v>
      </c>
      <c r="C114" s="119" t="s">
        <v>31</v>
      </c>
      <c r="D114" s="211">
        <v>5512000</v>
      </c>
      <c r="E114" s="211">
        <v>4241000</v>
      </c>
      <c r="F114" s="211">
        <v>4241000</v>
      </c>
      <c r="G114" s="211">
        <v>4028000</v>
      </c>
      <c r="H114" s="211">
        <v>4665000</v>
      </c>
      <c r="I114" s="211">
        <v>4028000</v>
      </c>
      <c r="J114" s="211">
        <v>4028000</v>
      </c>
      <c r="K114" s="211">
        <v>4665000</v>
      </c>
      <c r="L114" s="211">
        <v>4028000</v>
      </c>
      <c r="M114" s="211">
        <v>4241000</v>
      </c>
      <c r="N114" s="211">
        <v>4665000</v>
      </c>
      <c r="O114" s="211">
        <v>1698000</v>
      </c>
      <c r="P114" s="211">
        <f t="shared" si="1"/>
        <v>50040000</v>
      </c>
    </row>
    <row r="115" spans="1:16" s="143" customFormat="1" ht="36.75" customHeight="1">
      <c r="A115" s="55" t="s">
        <v>11</v>
      </c>
      <c r="B115" s="136">
        <v>310</v>
      </c>
      <c r="C115" s="55" t="s">
        <v>32</v>
      </c>
      <c r="D115" s="211">
        <v>6264000</v>
      </c>
      <c r="E115" s="211">
        <v>4819000</v>
      </c>
      <c r="F115" s="211">
        <v>4819000</v>
      </c>
      <c r="G115" s="211">
        <v>4578000</v>
      </c>
      <c r="H115" s="211">
        <v>5301000</v>
      </c>
      <c r="I115" s="211">
        <v>4578000</v>
      </c>
      <c r="J115" s="211">
        <v>4578000</v>
      </c>
      <c r="K115" s="211">
        <v>5301000</v>
      </c>
      <c r="L115" s="211">
        <v>4578000</v>
      </c>
      <c r="M115" s="211">
        <v>4819000</v>
      </c>
      <c r="N115" s="211">
        <v>5301000</v>
      </c>
      <c r="O115" s="211">
        <v>1924000</v>
      </c>
      <c r="P115" s="211">
        <f t="shared" si="1"/>
        <v>56860000</v>
      </c>
    </row>
    <row r="116" spans="1:16" s="143" customFormat="1" ht="36.75" customHeight="1">
      <c r="A116" s="55" t="s">
        <v>11</v>
      </c>
      <c r="B116" s="136">
        <v>313</v>
      </c>
      <c r="C116" s="55" t="s">
        <v>182</v>
      </c>
      <c r="D116" s="211">
        <v>3374000</v>
      </c>
      <c r="E116" s="211">
        <v>2597000</v>
      </c>
      <c r="F116" s="211">
        <v>2597000</v>
      </c>
      <c r="G116" s="211">
        <v>2466000</v>
      </c>
      <c r="H116" s="211">
        <v>2856000</v>
      </c>
      <c r="I116" s="211">
        <v>2466000</v>
      </c>
      <c r="J116" s="211">
        <v>2466000</v>
      </c>
      <c r="K116" s="211">
        <v>2856000</v>
      </c>
      <c r="L116" s="211">
        <v>2466000</v>
      </c>
      <c r="M116" s="211">
        <v>2597000</v>
      </c>
      <c r="N116" s="211">
        <v>2856000</v>
      </c>
      <c r="O116" s="211">
        <v>1033000</v>
      </c>
      <c r="P116" s="211">
        <f t="shared" si="1"/>
        <v>30630000</v>
      </c>
    </row>
    <row r="117" spans="1:16" s="143" customFormat="1" ht="36.75" customHeight="1">
      <c r="A117" s="55" t="s">
        <v>33</v>
      </c>
      <c r="B117" s="136">
        <v>320</v>
      </c>
      <c r="C117" s="55" t="s">
        <v>183</v>
      </c>
      <c r="D117" s="211">
        <v>7060000</v>
      </c>
      <c r="E117" s="211">
        <v>5431000</v>
      </c>
      <c r="F117" s="211">
        <v>5431000</v>
      </c>
      <c r="G117" s="211">
        <v>5158000</v>
      </c>
      <c r="H117" s="211">
        <v>5973000</v>
      </c>
      <c r="I117" s="211">
        <v>5158000</v>
      </c>
      <c r="J117" s="211">
        <v>5158000</v>
      </c>
      <c r="K117" s="211">
        <v>5973000</v>
      </c>
      <c r="L117" s="211">
        <v>5158000</v>
      </c>
      <c r="M117" s="211">
        <v>5431000</v>
      </c>
      <c r="N117" s="211">
        <v>5973000</v>
      </c>
      <c r="O117" s="211">
        <v>2176000</v>
      </c>
      <c r="P117" s="211">
        <f t="shared" si="1"/>
        <v>64080000</v>
      </c>
    </row>
    <row r="118" spans="1:16" s="143" customFormat="1" ht="36.75" customHeight="1">
      <c r="A118" s="55" t="s">
        <v>33</v>
      </c>
      <c r="B118" s="136">
        <v>321</v>
      </c>
      <c r="C118" s="55" t="s">
        <v>184</v>
      </c>
      <c r="D118" s="211">
        <v>8175000</v>
      </c>
      <c r="E118" s="211">
        <v>6289000</v>
      </c>
      <c r="F118" s="211">
        <v>6289000</v>
      </c>
      <c r="G118" s="211">
        <v>5974000</v>
      </c>
      <c r="H118" s="211">
        <v>6917000</v>
      </c>
      <c r="I118" s="211">
        <v>5974000</v>
      </c>
      <c r="J118" s="211">
        <v>5974000</v>
      </c>
      <c r="K118" s="211">
        <v>6917000</v>
      </c>
      <c r="L118" s="211">
        <v>5974000</v>
      </c>
      <c r="M118" s="211">
        <v>6289000</v>
      </c>
      <c r="N118" s="211">
        <v>6917000</v>
      </c>
      <c r="O118" s="211">
        <v>2511000</v>
      </c>
      <c r="P118" s="211">
        <f t="shared" si="1"/>
        <v>74200000</v>
      </c>
    </row>
    <row r="119" spans="1:16" s="143" customFormat="1" ht="36.75" customHeight="1">
      <c r="A119" s="55" t="s">
        <v>33</v>
      </c>
      <c r="B119" s="136">
        <v>322</v>
      </c>
      <c r="C119" s="55" t="s">
        <v>34</v>
      </c>
      <c r="D119" s="211">
        <v>5005000</v>
      </c>
      <c r="E119" s="211">
        <v>3851000</v>
      </c>
      <c r="F119" s="211">
        <v>3851000</v>
      </c>
      <c r="G119" s="211">
        <v>3657000</v>
      </c>
      <c r="H119" s="211">
        <v>4235000</v>
      </c>
      <c r="I119" s="211">
        <v>3657000</v>
      </c>
      <c r="J119" s="211">
        <v>3657000</v>
      </c>
      <c r="K119" s="211">
        <v>4235000</v>
      </c>
      <c r="L119" s="211">
        <v>3657000</v>
      </c>
      <c r="M119" s="211">
        <v>3851000</v>
      </c>
      <c r="N119" s="211">
        <v>4235000</v>
      </c>
      <c r="O119" s="211">
        <v>1539000</v>
      </c>
      <c r="P119" s="211">
        <f t="shared" si="1"/>
        <v>45430000</v>
      </c>
    </row>
    <row r="120" spans="1:16" s="143" customFormat="1" ht="36.75" customHeight="1">
      <c r="A120" s="55" t="s">
        <v>11</v>
      </c>
      <c r="B120" s="136">
        <v>323</v>
      </c>
      <c r="C120" s="55" t="s">
        <v>185</v>
      </c>
      <c r="D120" s="211">
        <v>5236000</v>
      </c>
      <c r="E120" s="211">
        <v>4027000</v>
      </c>
      <c r="F120" s="211">
        <v>4027000</v>
      </c>
      <c r="G120" s="211">
        <v>3826000</v>
      </c>
      <c r="H120" s="211">
        <v>4429000</v>
      </c>
      <c r="I120" s="211">
        <v>3826000</v>
      </c>
      <c r="J120" s="211">
        <v>3826000</v>
      </c>
      <c r="K120" s="211">
        <v>4429000</v>
      </c>
      <c r="L120" s="211">
        <v>3826000</v>
      </c>
      <c r="M120" s="211">
        <v>4027000</v>
      </c>
      <c r="N120" s="211">
        <v>4429000</v>
      </c>
      <c r="O120" s="211">
        <v>1612000</v>
      </c>
      <c r="P120" s="211">
        <f t="shared" si="1"/>
        <v>47520000</v>
      </c>
    </row>
    <row r="121" spans="1:16" s="143" customFormat="1" ht="36.75" customHeight="1">
      <c r="A121" s="55" t="s">
        <v>11</v>
      </c>
      <c r="B121" s="136">
        <v>351</v>
      </c>
      <c r="C121" s="55" t="s">
        <v>100</v>
      </c>
      <c r="D121" s="211">
        <v>5239000</v>
      </c>
      <c r="E121" s="211">
        <v>4029000</v>
      </c>
      <c r="F121" s="211">
        <v>4029000</v>
      </c>
      <c r="G121" s="211">
        <v>3828000</v>
      </c>
      <c r="H121" s="211">
        <v>4432000</v>
      </c>
      <c r="I121" s="211">
        <v>3828000</v>
      </c>
      <c r="J121" s="211">
        <v>3828000</v>
      </c>
      <c r="K121" s="211">
        <v>4432000</v>
      </c>
      <c r="L121" s="211">
        <v>3828000</v>
      </c>
      <c r="M121" s="211">
        <v>4029000</v>
      </c>
      <c r="N121" s="211">
        <v>4432000</v>
      </c>
      <c r="O121" s="211">
        <v>1616000</v>
      </c>
      <c r="P121" s="211">
        <f t="shared" si="1"/>
        <v>47550000</v>
      </c>
    </row>
    <row r="122" spans="1:16" s="143" customFormat="1" ht="36.75" customHeight="1">
      <c r="A122" s="55" t="s">
        <v>33</v>
      </c>
      <c r="B122" s="136">
        <v>400</v>
      </c>
      <c r="C122" s="55" t="s">
        <v>35</v>
      </c>
      <c r="D122" s="211">
        <v>11192000</v>
      </c>
      <c r="E122" s="211">
        <v>8609000</v>
      </c>
      <c r="F122" s="211">
        <v>8609000</v>
      </c>
      <c r="G122" s="211">
        <v>8179000</v>
      </c>
      <c r="H122" s="211">
        <v>9469000</v>
      </c>
      <c r="I122" s="211">
        <v>8179000</v>
      </c>
      <c r="J122" s="211">
        <v>8179000</v>
      </c>
      <c r="K122" s="211">
        <v>9469000</v>
      </c>
      <c r="L122" s="211">
        <v>8179000</v>
      </c>
      <c r="M122" s="211">
        <v>8609000</v>
      </c>
      <c r="N122" s="211">
        <v>9469000</v>
      </c>
      <c r="O122" s="211">
        <v>3448000</v>
      </c>
      <c r="P122" s="211">
        <f t="shared" si="1"/>
        <v>101590000</v>
      </c>
    </row>
    <row r="123" spans="1:16" s="143" customFormat="1" ht="36.75" customHeight="1">
      <c r="A123" s="55" t="s">
        <v>33</v>
      </c>
      <c r="B123" s="136">
        <v>401</v>
      </c>
      <c r="C123" s="55" t="s">
        <v>36</v>
      </c>
      <c r="D123" s="211">
        <v>6769000</v>
      </c>
      <c r="E123" s="211">
        <v>5208000</v>
      </c>
      <c r="F123" s="211">
        <v>5208000</v>
      </c>
      <c r="G123" s="211">
        <v>4947000</v>
      </c>
      <c r="H123" s="211">
        <v>5728000</v>
      </c>
      <c r="I123" s="211">
        <v>4947000</v>
      </c>
      <c r="J123" s="211">
        <v>4947000</v>
      </c>
      <c r="K123" s="211">
        <v>5728000</v>
      </c>
      <c r="L123" s="211">
        <v>4947000</v>
      </c>
      <c r="M123" s="211">
        <v>5208000</v>
      </c>
      <c r="N123" s="211">
        <v>5728000</v>
      </c>
      <c r="O123" s="211">
        <v>2075000</v>
      </c>
      <c r="P123" s="211">
        <f t="shared" si="1"/>
        <v>61440000</v>
      </c>
    </row>
    <row r="124" spans="1:16" s="143" customFormat="1" ht="36.75" customHeight="1">
      <c r="A124" s="55" t="s">
        <v>33</v>
      </c>
      <c r="B124" s="136">
        <v>402</v>
      </c>
      <c r="C124" s="55" t="s">
        <v>37</v>
      </c>
      <c r="D124" s="211">
        <v>8479000</v>
      </c>
      <c r="E124" s="211">
        <v>6523000</v>
      </c>
      <c r="F124" s="211">
        <v>6523000</v>
      </c>
      <c r="G124" s="211">
        <v>6197000</v>
      </c>
      <c r="H124" s="211">
        <v>7175000</v>
      </c>
      <c r="I124" s="211">
        <v>6197000</v>
      </c>
      <c r="J124" s="211">
        <v>6197000</v>
      </c>
      <c r="K124" s="211">
        <v>7175000</v>
      </c>
      <c r="L124" s="211">
        <v>6197000</v>
      </c>
      <c r="M124" s="211">
        <v>6523000</v>
      </c>
      <c r="N124" s="211">
        <v>7175000</v>
      </c>
      <c r="O124" s="211">
        <v>2609000</v>
      </c>
      <c r="P124" s="211">
        <f t="shared" si="1"/>
        <v>76970000</v>
      </c>
    </row>
    <row r="125" spans="1:16" s="143" customFormat="1" ht="36.75" customHeight="1">
      <c r="A125" s="55" t="s">
        <v>33</v>
      </c>
      <c r="B125" s="136">
        <v>403</v>
      </c>
      <c r="C125" s="55" t="s">
        <v>186</v>
      </c>
      <c r="D125" s="211">
        <v>7918000</v>
      </c>
      <c r="E125" s="211">
        <v>6092000</v>
      </c>
      <c r="F125" s="211">
        <v>6092000</v>
      </c>
      <c r="G125" s="211">
        <v>5787000</v>
      </c>
      <c r="H125" s="211">
        <v>6700000</v>
      </c>
      <c r="I125" s="211">
        <v>5787000</v>
      </c>
      <c r="J125" s="211">
        <v>5787000</v>
      </c>
      <c r="K125" s="211">
        <v>6700000</v>
      </c>
      <c r="L125" s="211">
        <v>5787000</v>
      </c>
      <c r="M125" s="211">
        <v>6092000</v>
      </c>
      <c r="N125" s="211">
        <v>6700000</v>
      </c>
      <c r="O125" s="211">
        <v>2438000</v>
      </c>
      <c r="P125" s="211">
        <f t="shared" si="1"/>
        <v>71880000</v>
      </c>
    </row>
    <row r="126" spans="1:16" s="143" customFormat="1" ht="36.75" customHeight="1">
      <c r="A126" s="55" t="s">
        <v>33</v>
      </c>
      <c r="B126" s="136">
        <v>420</v>
      </c>
      <c r="C126" s="55" t="s">
        <v>38</v>
      </c>
      <c r="D126" s="211">
        <v>13363000</v>
      </c>
      <c r="E126" s="211">
        <v>10280000</v>
      </c>
      <c r="F126" s="211">
        <v>10280000</v>
      </c>
      <c r="G126" s="211">
        <v>9764000</v>
      </c>
      <c r="H126" s="211">
        <v>11306000</v>
      </c>
      <c r="I126" s="211">
        <v>9764000</v>
      </c>
      <c r="J126" s="211">
        <v>9764000</v>
      </c>
      <c r="K126" s="211">
        <v>11306000</v>
      </c>
      <c r="L126" s="211">
        <v>9764000</v>
      </c>
      <c r="M126" s="211">
        <v>10280000</v>
      </c>
      <c r="N126" s="211">
        <v>11306000</v>
      </c>
      <c r="O126" s="211">
        <v>4113000</v>
      </c>
      <c r="P126" s="211">
        <f t="shared" si="1"/>
        <v>121290000</v>
      </c>
    </row>
    <row r="127" spans="1:16" s="143" customFormat="1" ht="36.75" customHeight="1">
      <c r="A127" s="55" t="s">
        <v>33</v>
      </c>
      <c r="B127" s="136">
        <v>422</v>
      </c>
      <c r="C127" s="55" t="s">
        <v>101</v>
      </c>
      <c r="D127" s="211">
        <v>9022000</v>
      </c>
      <c r="E127" s="211">
        <v>6940000</v>
      </c>
      <c r="F127" s="211">
        <v>6940000</v>
      </c>
      <c r="G127" s="211">
        <v>6592000</v>
      </c>
      <c r="H127" s="211">
        <v>7634000</v>
      </c>
      <c r="I127" s="211">
        <v>6592000</v>
      </c>
      <c r="J127" s="211">
        <v>6592000</v>
      </c>
      <c r="K127" s="211">
        <v>7634000</v>
      </c>
      <c r="L127" s="211">
        <v>6592000</v>
      </c>
      <c r="M127" s="211">
        <v>6940000</v>
      </c>
      <c r="N127" s="211">
        <v>7634000</v>
      </c>
      <c r="O127" s="211">
        <v>2778000</v>
      </c>
      <c r="P127" s="211">
        <f t="shared" si="1"/>
        <v>81890000</v>
      </c>
    </row>
    <row r="128" spans="1:16" s="143" customFormat="1" ht="36.75" customHeight="1">
      <c r="A128" s="55" t="s">
        <v>33</v>
      </c>
      <c r="B128" s="136">
        <v>423</v>
      </c>
      <c r="C128" s="55" t="s">
        <v>187</v>
      </c>
      <c r="D128" s="211">
        <v>6693000</v>
      </c>
      <c r="E128" s="211">
        <v>5148000</v>
      </c>
      <c r="F128" s="211">
        <v>5148000</v>
      </c>
      <c r="G128" s="211">
        <v>4890000</v>
      </c>
      <c r="H128" s="211">
        <v>5663000</v>
      </c>
      <c r="I128" s="211">
        <v>4890000</v>
      </c>
      <c r="J128" s="211">
        <v>4890000</v>
      </c>
      <c r="K128" s="211">
        <v>5663000</v>
      </c>
      <c r="L128" s="211">
        <v>4890000</v>
      </c>
      <c r="M128" s="211">
        <v>5148000</v>
      </c>
      <c r="N128" s="211">
        <v>5663000</v>
      </c>
      <c r="O128" s="211">
        <v>2064000</v>
      </c>
      <c r="P128" s="211">
        <f t="shared" si="1"/>
        <v>60750000</v>
      </c>
    </row>
    <row r="129" spans="1:16" s="143" customFormat="1" ht="36.75" customHeight="1">
      <c r="A129" s="55" t="s">
        <v>33</v>
      </c>
      <c r="B129" s="136">
        <v>424</v>
      </c>
      <c r="C129" s="55" t="s">
        <v>188</v>
      </c>
      <c r="D129" s="211">
        <v>11980000</v>
      </c>
      <c r="E129" s="211">
        <v>9215000</v>
      </c>
      <c r="F129" s="211">
        <v>9215000</v>
      </c>
      <c r="G129" s="211">
        <v>8755000</v>
      </c>
      <c r="H129" s="211">
        <v>10136000</v>
      </c>
      <c r="I129" s="211">
        <v>8755000</v>
      </c>
      <c r="J129" s="211">
        <v>8755000</v>
      </c>
      <c r="K129" s="211">
        <v>10136000</v>
      </c>
      <c r="L129" s="211">
        <v>8755000</v>
      </c>
      <c r="M129" s="211">
        <v>9215000</v>
      </c>
      <c r="N129" s="211">
        <v>10136000</v>
      </c>
      <c r="O129" s="211">
        <v>3687000</v>
      </c>
      <c r="P129" s="211">
        <f t="shared" si="1"/>
        <v>108740000</v>
      </c>
    </row>
    <row r="130" spans="1:16" s="143" customFormat="1" ht="36.75" customHeight="1">
      <c r="A130" s="55" t="s">
        <v>33</v>
      </c>
      <c r="B130" s="136">
        <v>425</v>
      </c>
      <c r="C130" s="55" t="s">
        <v>39</v>
      </c>
      <c r="D130" s="211">
        <v>8982000</v>
      </c>
      <c r="E130" s="211">
        <v>6908000</v>
      </c>
      <c r="F130" s="211">
        <v>6908000</v>
      </c>
      <c r="G130" s="211">
        <v>6564000</v>
      </c>
      <c r="H130" s="211">
        <v>7600000</v>
      </c>
      <c r="I130" s="211">
        <v>6564000</v>
      </c>
      <c r="J130" s="211">
        <v>6564000</v>
      </c>
      <c r="K130" s="211">
        <v>7600000</v>
      </c>
      <c r="L130" s="211">
        <v>6564000</v>
      </c>
      <c r="M130" s="211">
        <v>6908000</v>
      </c>
      <c r="N130" s="211">
        <v>7600000</v>
      </c>
      <c r="O130" s="211">
        <v>2768000</v>
      </c>
      <c r="P130" s="211">
        <f t="shared" si="1"/>
        <v>81530000</v>
      </c>
    </row>
    <row r="131" spans="1:16" s="143" customFormat="1" ht="36.75" customHeight="1">
      <c r="A131" s="55" t="s">
        <v>33</v>
      </c>
      <c r="B131" s="136">
        <v>426</v>
      </c>
      <c r="C131" s="55" t="s">
        <v>189</v>
      </c>
      <c r="D131" s="211">
        <v>6661000</v>
      </c>
      <c r="E131" s="211">
        <v>5123000</v>
      </c>
      <c r="F131" s="211">
        <v>5123000</v>
      </c>
      <c r="G131" s="211">
        <v>4867000</v>
      </c>
      <c r="H131" s="211">
        <v>5635000</v>
      </c>
      <c r="I131" s="211">
        <v>4867000</v>
      </c>
      <c r="J131" s="211">
        <v>4867000</v>
      </c>
      <c r="K131" s="211">
        <v>5635000</v>
      </c>
      <c r="L131" s="211">
        <v>4867000</v>
      </c>
      <c r="M131" s="211">
        <v>5123000</v>
      </c>
      <c r="N131" s="211">
        <v>5635000</v>
      </c>
      <c r="O131" s="211">
        <v>2047000</v>
      </c>
      <c r="P131" s="211">
        <f t="shared" si="1"/>
        <v>60450000</v>
      </c>
    </row>
    <row r="132" spans="1:16" s="143" customFormat="1" ht="36.75" customHeight="1">
      <c r="A132" s="55" t="s">
        <v>33</v>
      </c>
      <c r="B132" s="136">
        <v>427</v>
      </c>
      <c r="C132" s="55" t="s">
        <v>190</v>
      </c>
      <c r="D132" s="211">
        <v>7494000</v>
      </c>
      <c r="E132" s="211">
        <v>5764000</v>
      </c>
      <c r="F132" s="211">
        <v>5764000</v>
      </c>
      <c r="G132" s="211">
        <v>5474000</v>
      </c>
      <c r="H132" s="211">
        <v>6339000</v>
      </c>
      <c r="I132" s="211">
        <v>5474000</v>
      </c>
      <c r="J132" s="211">
        <v>5474000</v>
      </c>
      <c r="K132" s="211">
        <v>6339000</v>
      </c>
      <c r="L132" s="211">
        <v>5474000</v>
      </c>
      <c r="M132" s="211">
        <v>5764000</v>
      </c>
      <c r="N132" s="211">
        <v>6339000</v>
      </c>
      <c r="O132" s="211">
        <v>2311000</v>
      </c>
      <c r="P132" s="211">
        <f t="shared" si="1"/>
        <v>68010000</v>
      </c>
    </row>
    <row r="133" spans="1:16" s="143" customFormat="1" ht="36.75" customHeight="1">
      <c r="A133" s="55" t="s">
        <v>33</v>
      </c>
      <c r="B133" s="136">
        <v>429</v>
      </c>
      <c r="C133" s="55" t="s">
        <v>191</v>
      </c>
      <c r="D133" s="211">
        <v>5913000</v>
      </c>
      <c r="E133" s="211">
        <v>4548000</v>
      </c>
      <c r="F133" s="211">
        <v>4548000</v>
      </c>
      <c r="G133" s="211">
        <v>4320000</v>
      </c>
      <c r="H133" s="211">
        <v>5002000</v>
      </c>
      <c r="I133" s="211">
        <v>4320000</v>
      </c>
      <c r="J133" s="211">
        <v>4320000</v>
      </c>
      <c r="K133" s="211">
        <v>5002000</v>
      </c>
      <c r="L133" s="211">
        <v>4320000</v>
      </c>
      <c r="M133" s="211">
        <v>4548000</v>
      </c>
      <c r="N133" s="211">
        <v>5002000</v>
      </c>
      <c r="O133" s="211">
        <v>1827000</v>
      </c>
      <c r="P133" s="211">
        <f t="shared" si="1"/>
        <v>53670000</v>
      </c>
    </row>
    <row r="134" spans="1:16" s="143" customFormat="1" ht="36.75" customHeight="1">
      <c r="A134" s="55" t="s">
        <v>33</v>
      </c>
      <c r="B134" s="136">
        <v>430</v>
      </c>
      <c r="C134" s="55" t="s">
        <v>40</v>
      </c>
      <c r="D134" s="211">
        <v>4981000</v>
      </c>
      <c r="E134" s="211">
        <v>3833000</v>
      </c>
      <c r="F134" s="211">
        <v>3833000</v>
      </c>
      <c r="G134" s="211">
        <v>3640000</v>
      </c>
      <c r="H134" s="211">
        <v>4215000</v>
      </c>
      <c r="I134" s="211">
        <v>3640000</v>
      </c>
      <c r="J134" s="211">
        <v>3640000</v>
      </c>
      <c r="K134" s="211">
        <v>4215000</v>
      </c>
      <c r="L134" s="211">
        <v>3640000</v>
      </c>
      <c r="M134" s="211">
        <v>3833000</v>
      </c>
      <c r="N134" s="211">
        <v>4215000</v>
      </c>
      <c r="O134" s="211">
        <v>1535000</v>
      </c>
      <c r="P134" s="211">
        <f t="shared" ref="P134:P196" si="2">SUM(D134:O134)</f>
        <v>45220000</v>
      </c>
    </row>
    <row r="135" spans="1:16" s="143" customFormat="1" ht="36.75" customHeight="1">
      <c r="A135" s="55" t="s">
        <v>33</v>
      </c>
      <c r="B135" s="136">
        <v>431</v>
      </c>
      <c r="C135" s="55" t="s">
        <v>102</v>
      </c>
      <c r="D135" s="211">
        <v>4160000</v>
      </c>
      <c r="E135" s="211">
        <v>3199000</v>
      </c>
      <c r="F135" s="211">
        <v>3199000</v>
      </c>
      <c r="G135" s="211">
        <v>3040000</v>
      </c>
      <c r="H135" s="211">
        <v>3519000</v>
      </c>
      <c r="I135" s="211">
        <v>3040000</v>
      </c>
      <c r="J135" s="211">
        <v>3040000</v>
      </c>
      <c r="K135" s="211">
        <v>3519000</v>
      </c>
      <c r="L135" s="211">
        <v>3040000</v>
      </c>
      <c r="M135" s="211">
        <v>3199000</v>
      </c>
      <c r="N135" s="211">
        <v>3519000</v>
      </c>
      <c r="O135" s="211">
        <v>1276000</v>
      </c>
      <c r="P135" s="211">
        <f t="shared" si="2"/>
        <v>37750000</v>
      </c>
    </row>
    <row r="136" spans="1:16" s="143" customFormat="1" ht="36.75" customHeight="1">
      <c r="A136" s="55" t="s">
        <v>33</v>
      </c>
      <c r="B136" s="136">
        <v>451</v>
      </c>
      <c r="C136" s="55" t="s">
        <v>103</v>
      </c>
      <c r="D136" s="211">
        <v>6197000</v>
      </c>
      <c r="E136" s="211">
        <v>4767000</v>
      </c>
      <c r="F136" s="211">
        <v>4767000</v>
      </c>
      <c r="G136" s="211">
        <v>4528000</v>
      </c>
      <c r="H136" s="211">
        <v>5244000</v>
      </c>
      <c r="I136" s="211">
        <v>4528000</v>
      </c>
      <c r="J136" s="211">
        <v>4528000</v>
      </c>
      <c r="K136" s="211">
        <v>5244000</v>
      </c>
      <c r="L136" s="211">
        <v>4528000</v>
      </c>
      <c r="M136" s="211">
        <v>4767000</v>
      </c>
      <c r="N136" s="211">
        <v>5244000</v>
      </c>
      <c r="O136" s="211">
        <v>1908000</v>
      </c>
      <c r="P136" s="211">
        <f t="shared" si="2"/>
        <v>56250000</v>
      </c>
    </row>
    <row r="137" spans="1:16" s="143" customFormat="1" ht="36.75" customHeight="1">
      <c r="A137" s="55" t="s">
        <v>33</v>
      </c>
      <c r="B137" s="136">
        <v>500</v>
      </c>
      <c r="C137" s="55" t="s">
        <v>41</v>
      </c>
      <c r="D137" s="211">
        <v>6907000</v>
      </c>
      <c r="E137" s="211">
        <v>5313000</v>
      </c>
      <c r="F137" s="211">
        <v>5313000</v>
      </c>
      <c r="G137" s="211">
        <v>5047000</v>
      </c>
      <c r="H137" s="211">
        <v>5844000</v>
      </c>
      <c r="I137" s="211">
        <v>5047000</v>
      </c>
      <c r="J137" s="211">
        <v>5047000</v>
      </c>
      <c r="K137" s="211">
        <v>5844000</v>
      </c>
      <c r="L137" s="211">
        <v>5047000</v>
      </c>
      <c r="M137" s="211">
        <v>5313000</v>
      </c>
      <c r="N137" s="211">
        <v>5844000</v>
      </c>
      <c r="O137" s="211">
        <v>2134000</v>
      </c>
      <c r="P137" s="211">
        <f t="shared" si="2"/>
        <v>62700000</v>
      </c>
    </row>
    <row r="138" spans="1:16" s="143" customFormat="1" ht="36.75" customHeight="1">
      <c r="A138" s="55" t="s">
        <v>33</v>
      </c>
      <c r="B138" s="136">
        <v>501</v>
      </c>
      <c r="C138" s="55" t="s">
        <v>192</v>
      </c>
      <c r="D138" s="211">
        <v>5968000</v>
      </c>
      <c r="E138" s="211">
        <v>4591000</v>
      </c>
      <c r="F138" s="211">
        <v>4591000</v>
      </c>
      <c r="G138" s="211">
        <v>4362000</v>
      </c>
      <c r="H138" s="211">
        <v>5051000</v>
      </c>
      <c r="I138" s="211">
        <v>4362000</v>
      </c>
      <c r="J138" s="211">
        <v>4362000</v>
      </c>
      <c r="K138" s="211">
        <v>5051000</v>
      </c>
      <c r="L138" s="211">
        <v>4362000</v>
      </c>
      <c r="M138" s="211">
        <v>4591000</v>
      </c>
      <c r="N138" s="211">
        <v>5051000</v>
      </c>
      <c r="O138" s="211">
        <v>1838000</v>
      </c>
      <c r="P138" s="211">
        <f t="shared" si="2"/>
        <v>54180000</v>
      </c>
    </row>
    <row r="139" spans="1:16" s="143" customFormat="1" ht="36.75" customHeight="1">
      <c r="A139" s="55" t="s">
        <v>33</v>
      </c>
      <c r="B139" s="136">
        <v>520</v>
      </c>
      <c r="C139" s="55" t="s">
        <v>193</v>
      </c>
      <c r="D139" s="211">
        <v>10097000</v>
      </c>
      <c r="E139" s="211">
        <v>7767000</v>
      </c>
      <c r="F139" s="211">
        <v>7767000</v>
      </c>
      <c r="G139" s="211">
        <v>7379000</v>
      </c>
      <c r="H139" s="211">
        <v>8544000</v>
      </c>
      <c r="I139" s="211">
        <v>7379000</v>
      </c>
      <c r="J139" s="211">
        <v>7379000</v>
      </c>
      <c r="K139" s="211">
        <v>8544000</v>
      </c>
      <c r="L139" s="211">
        <v>7379000</v>
      </c>
      <c r="M139" s="211">
        <v>7767000</v>
      </c>
      <c r="N139" s="211">
        <v>8544000</v>
      </c>
      <c r="O139" s="211">
        <v>3114000</v>
      </c>
      <c r="P139" s="211">
        <f t="shared" si="2"/>
        <v>91660000</v>
      </c>
    </row>
    <row r="140" spans="1:16" s="143" customFormat="1" ht="36.75" customHeight="1">
      <c r="A140" s="55" t="s">
        <v>33</v>
      </c>
      <c r="B140" s="136">
        <v>521</v>
      </c>
      <c r="C140" s="55" t="s">
        <v>194</v>
      </c>
      <c r="D140" s="211">
        <v>13000000</v>
      </c>
      <c r="E140" s="211">
        <v>10000000</v>
      </c>
      <c r="F140" s="211">
        <v>10000000</v>
      </c>
      <c r="G140" s="211">
        <v>9500000</v>
      </c>
      <c r="H140" s="211">
        <v>11000000</v>
      </c>
      <c r="I140" s="211">
        <v>9500000</v>
      </c>
      <c r="J140" s="211">
        <v>9500000</v>
      </c>
      <c r="K140" s="211">
        <v>11000000</v>
      </c>
      <c r="L140" s="211">
        <v>9500000</v>
      </c>
      <c r="M140" s="211">
        <v>10000000</v>
      </c>
      <c r="N140" s="211">
        <v>11000000</v>
      </c>
      <c r="O140" s="211">
        <v>4000000</v>
      </c>
      <c r="P140" s="211">
        <f t="shared" si="2"/>
        <v>118000000</v>
      </c>
    </row>
    <row r="141" spans="1:16" s="143" customFormat="1" ht="36.75" customHeight="1">
      <c r="A141" s="55" t="s">
        <v>33</v>
      </c>
      <c r="B141" s="136">
        <v>522</v>
      </c>
      <c r="C141" s="55" t="s">
        <v>42</v>
      </c>
      <c r="D141" s="211">
        <v>12815000</v>
      </c>
      <c r="E141" s="211">
        <v>9858000</v>
      </c>
      <c r="F141" s="211">
        <v>9858000</v>
      </c>
      <c r="G141" s="211">
        <v>9365000</v>
      </c>
      <c r="H141" s="211">
        <v>10844000</v>
      </c>
      <c r="I141" s="211">
        <v>9365000</v>
      </c>
      <c r="J141" s="211">
        <v>9365000</v>
      </c>
      <c r="K141" s="211">
        <v>10844000</v>
      </c>
      <c r="L141" s="211">
        <v>9365000</v>
      </c>
      <c r="M141" s="211">
        <v>9858000</v>
      </c>
      <c r="N141" s="211">
        <v>10844000</v>
      </c>
      <c r="O141" s="211">
        <v>3939000</v>
      </c>
      <c r="P141" s="211">
        <f t="shared" si="2"/>
        <v>116320000</v>
      </c>
    </row>
    <row r="142" spans="1:16" s="143" customFormat="1" ht="36.75" customHeight="1">
      <c r="A142" s="55" t="s">
        <v>33</v>
      </c>
      <c r="B142" s="136">
        <v>523</v>
      </c>
      <c r="C142" s="55" t="s">
        <v>104</v>
      </c>
      <c r="D142" s="211">
        <v>7642000</v>
      </c>
      <c r="E142" s="211">
        <v>5879000</v>
      </c>
      <c r="F142" s="211">
        <v>5879000</v>
      </c>
      <c r="G142" s="211">
        <v>5585000</v>
      </c>
      <c r="H142" s="211">
        <v>6467000</v>
      </c>
      <c r="I142" s="211">
        <v>5585000</v>
      </c>
      <c r="J142" s="211">
        <v>5585000</v>
      </c>
      <c r="K142" s="211">
        <v>6467000</v>
      </c>
      <c r="L142" s="211">
        <v>5585000</v>
      </c>
      <c r="M142" s="211">
        <v>5879000</v>
      </c>
      <c r="N142" s="211">
        <v>6467000</v>
      </c>
      <c r="O142" s="211">
        <v>2350000</v>
      </c>
      <c r="P142" s="211">
        <f t="shared" si="2"/>
        <v>69370000</v>
      </c>
    </row>
    <row r="143" spans="1:16" s="143" customFormat="1" ht="36.75" customHeight="1">
      <c r="A143" s="55" t="s">
        <v>33</v>
      </c>
      <c r="B143" s="136">
        <v>524</v>
      </c>
      <c r="C143" s="55" t="s">
        <v>43</v>
      </c>
      <c r="D143" s="211">
        <v>6275000</v>
      </c>
      <c r="E143" s="211">
        <v>4827000</v>
      </c>
      <c r="F143" s="211">
        <v>4827000</v>
      </c>
      <c r="G143" s="211">
        <v>4585000</v>
      </c>
      <c r="H143" s="211">
        <v>5309000</v>
      </c>
      <c r="I143" s="211">
        <v>4585000</v>
      </c>
      <c r="J143" s="211">
        <v>4585000</v>
      </c>
      <c r="K143" s="211">
        <v>5309000</v>
      </c>
      <c r="L143" s="211">
        <v>4585000</v>
      </c>
      <c r="M143" s="211">
        <v>4827000</v>
      </c>
      <c r="N143" s="211">
        <v>5309000</v>
      </c>
      <c r="O143" s="211">
        <v>1927000</v>
      </c>
      <c r="P143" s="211">
        <f t="shared" si="2"/>
        <v>56950000</v>
      </c>
    </row>
    <row r="144" spans="1:16" s="143" customFormat="1" ht="36.75" customHeight="1">
      <c r="A144" s="55" t="s">
        <v>33</v>
      </c>
      <c r="B144" s="136">
        <v>540</v>
      </c>
      <c r="C144" s="55" t="s">
        <v>44</v>
      </c>
      <c r="D144" s="211">
        <v>4932000</v>
      </c>
      <c r="E144" s="211">
        <v>3794000</v>
      </c>
      <c r="F144" s="211">
        <v>3794000</v>
      </c>
      <c r="G144" s="211">
        <v>3605000</v>
      </c>
      <c r="H144" s="211">
        <v>4174000</v>
      </c>
      <c r="I144" s="211">
        <v>3605000</v>
      </c>
      <c r="J144" s="211">
        <v>3605000</v>
      </c>
      <c r="K144" s="211">
        <v>4174000</v>
      </c>
      <c r="L144" s="211">
        <v>3605000</v>
      </c>
      <c r="M144" s="211">
        <v>3794000</v>
      </c>
      <c r="N144" s="211">
        <v>4174000</v>
      </c>
      <c r="O144" s="211">
        <v>1524000</v>
      </c>
      <c r="P144" s="211">
        <f t="shared" si="2"/>
        <v>44780000</v>
      </c>
    </row>
    <row r="145" spans="1:16" s="143" customFormat="1" ht="36.75" customHeight="1">
      <c r="A145" s="55" t="s">
        <v>33</v>
      </c>
      <c r="B145" s="136">
        <v>541</v>
      </c>
      <c r="C145" s="55" t="s">
        <v>105</v>
      </c>
      <c r="D145" s="211">
        <v>7677000</v>
      </c>
      <c r="E145" s="211">
        <v>5905000</v>
      </c>
      <c r="F145" s="211">
        <v>5905000</v>
      </c>
      <c r="G145" s="211">
        <v>5610000</v>
      </c>
      <c r="H145" s="211">
        <v>6495000</v>
      </c>
      <c r="I145" s="211">
        <v>5610000</v>
      </c>
      <c r="J145" s="211">
        <v>5610000</v>
      </c>
      <c r="K145" s="211">
        <v>6495000</v>
      </c>
      <c r="L145" s="211">
        <v>5610000</v>
      </c>
      <c r="M145" s="211">
        <v>5905000</v>
      </c>
      <c r="N145" s="211">
        <v>6495000</v>
      </c>
      <c r="O145" s="211">
        <v>2363000</v>
      </c>
      <c r="P145" s="211">
        <f t="shared" si="2"/>
        <v>69680000</v>
      </c>
    </row>
    <row r="146" spans="1:16" s="143" customFormat="1" ht="36.75" customHeight="1">
      <c r="A146" s="55" t="s">
        <v>33</v>
      </c>
      <c r="B146" s="136">
        <v>542</v>
      </c>
      <c r="C146" s="55" t="s">
        <v>45</v>
      </c>
      <c r="D146" s="211">
        <v>5180000</v>
      </c>
      <c r="E146" s="211">
        <v>3985000</v>
      </c>
      <c r="F146" s="211">
        <v>3985000</v>
      </c>
      <c r="G146" s="211">
        <v>3787000</v>
      </c>
      <c r="H146" s="211">
        <v>4384000</v>
      </c>
      <c r="I146" s="211">
        <v>3787000</v>
      </c>
      <c r="J146" s="211">
        <v>3787000</v>
      </c>
      <c r="K146" s="211">
        <v>4384000</v>
      </c>
      <c r="L146" s="211">
        <v>3787000</v>
      </c>
      <c r="M146" s="211">
        <v>3985000</v>
      </c>
      <c r="N146" s="211">
        <v>4384000</v>
      </c>
      <c r="O146" s="211">
        <v>1595000</v>
      </c>
      <c r="P146" s="211">
        <f t="shared" si="2"/>
        <v>47030000</v>
      </c>
    </row>
    <row r="147" spans="1:16" s="143" customFormat="1" ht="36.75" customHeight="1">
      <c r="A147" s="55" t="s">
        <v>33</v>
      </c>
      <c r="B147" s="136">
        <v>600</v>
      </c>
      <c r="C147" s="55" t="s">
        <v>46</v>
      </c>
      <c r="D147" s="211">
        <v>8293000</v>
      </c>
      <c r="E147" s="211">
        <v>6378000</v>
      </c>
      <c r="F147" s="211">
        <v>6378000</v>
      </c>
      <c r="G147" s="211">
        <v>6061000</v>
      </c>
      <c r="H147" s="211">
        <v>7017000</v>
      </c>
      <c r="I147" s="211">
        <v>6061000</v>
      </c>
      <c r="J147" s="211">
        <v>6061000</v>
      </c>
      <c r="K147" s="211">
        <v>7017000</v>
      </c>
      <c r="L147" s="211">
        <v>6061000</v>
      </c>
      <c r="M147" s="211">
        <v>6378000</v>
      </c>
      <c r="N147" s="211">
        <v>7017000</v>
      </c>
      <c r="O147" s="211">
        <v>2548000</v>
      </c>
      <c r="P147" s="211">
        <f t="shared" si="2"/>
        <v>75270000</v>
      </c>
    </row>
    <row r="148" spans="1:16" s="143" customFormat="1" ht="36.75" customHeight="1">
      <c r="A148" s="55" t="s">
        <v>33</v>
      </c>
      <c r="B148" s="136">
        <v>601</v>
      </c>
      <c r="C148" s="55" t="s">
        <v>195</v>
      </c>
      <c r="D148" s="211">
        <v>7806000</v>
      </c>
      <c r="E148" s="211">
        <v>6004000</v>
      </c>
      <c r="F148" s="211">
        <v>6004000</v>
      </c>
      <c r="G148" s="211">
        <v>5704000</v>
      </c>
      <c r="H148" s="211">
        <v>6605000</v>
      </c>
      <c r="I148" s="211">
        <v>5704000</v>
      </c>
      <c r="J148" s="211">
        <v>5704000</v>
      </c>
      <c r="K148" s="211">
        <v>6605000</v>
      </c>
      <c r="L148" s="211">
        <v>5704000</v>
      </c>
      <c r="M148" s="211">
        <v>6004000</v>
      </c>
      <c r="N148" s="211">
        <v>6605000</v>
      </c>
      <c r="O148" s="211">
        <v>2401000</v>
      </c>
      <c r="P148" s="211">
        <f t="shared" si="2"/>
        <v>70850000</v>
      </c>
    </row>
    <row r="149" spans="1:16" s="143" customFormat="1" ht="36.75" customHeight="1">
      <c r="A149" s="55" t="s">
        <v>33</v>
      </c>
      <c r="B149" s="136">
        <v>602</v>
      </c>
      <c r="C149" s="55" t="s">
        <v>47</v>
      </c>
      <c r="D149" s="211">
        <v>5343000</v>
      </c>
      <c r="E149" s="211">
        <v>4110000</v>
      </c>
      <c r="F149" s="211">
        <v>4110000</v>
      </c>
      <c r="G149" s="211">
        <v>3905000</v>
      </c>
      <c r="H149" s="211">
        <v>4521000</v>
      </c>
      <c r="I149" s="211">
        <v>3905000</v>
      </c>
      <c r="J149" s="211">
        <v>3905000</v>
      </c>
      <c r="K149" s="211">
        <v>4521000</v>
      </c>
      <c r="L149" s="211">
        <v>3905000</v>
      </c>
      <c r="M149" s="211">
        <v>4110000</v>
      </c>
      <c r="N149" s="211">
        <v>4521000</v>
      </c>
      <c r="O149" s="211">
        <v>1644000</v>
      </c>
      <c r="P149" s="211">
        <f t="shared" si="2"/>
        <v>48500000</v>
      </c>
    </row>
    <row r="150" spans="1:16" s="143" customFormat="1" ht="36.75" customHeight="1">
      <c r="A150" s="55" t="s">
        <v>48</v>
      </c>
      <c r="B150" s="136">
        <v>620</v>
      </c>
      <c r="C150" s="55" t="s">
        <v>106</v>
      </c>
      <c r="D150" s="211">
        <v>6827000</v>
      </c>
      <c r="E150" s="211">
        <v>5251000</v>
      </c>
      <c r="F150" s="211">
        <v>5251000</v>
      </c>
      <c r="G150" s="211">
        <v>4989000</v>
      </c>
      <c r="H150" s="211">
        <v>5777000</v>
      </c>
      <c r="I150" s="211">
        <v>4989000</v>
      </c>
      <c r="J150" s="211">
        <v>4989000</v>
      </c>
      <c r="K150" s="211">
        <v>5777000</v>
      </c>
      <c r="L150" s="211">
        <v>4989000</v>
      </c>
      <c r="M150" s="211">
        <v>5251000</v>
      </c>
      <c r="N150" s="211">
        <v>5777000</v>
      </c>
      <c r="O150" s="211">
        <v>2103000</v>
      </c>
      <c r="P150" s="211">
        <f t="shared" si="2"/>
        <v>61970000</v>
      </c>
    </row>
    <row r="151" spans="1:16" s="143" customFormat="1" ht="36.75" customHeight="1">
      <c r="A151" s="55" t="s">
        <v>48</v>
      </c>
      <c r="B151" s="136">
        <v>621</v>
      </c>
      <c r="C151" s="55" t="s">
        <v>49</v>
      </c>
      <c r="D151" s="211">
        <v>9385000</v>
      </c>
      <c r="E151" s="211">
        <v>7219000</v>
      </c>
      <c r="F151" s="211">
        <v>7219000</v>
      </c>
      <c r="G151" s="211">
        <v>6858000</v>
      </c>
      <c r="H151" s="211">
        <v>7942000</v>
      </c>
      <c r="I151" s="211">
        <v>6858000</v>
      </c>
      <c r="J151" s="211">
        <v>6858000</v>
      </c>
      <c r="K151" s="211">
        <v>7942000</v>
      </c>
      <c r="L151" s="211">
        <v>6858000</v>
      </c>
      <c r="M151" s="211">
        <v>7219000</v>
      </c>
      <c r="N151" s="211">
        <v>7942000</v>
      </c>
      <c r="O151" s="211">
        <v>2890000</v>
      </c>
      <c r="P151" s="211">
        <f t="shared" si="2"/>
        <v>85190000</v>
      </c>
    </row>
    <row r="152" spans="1:16" s="143" customFormat="1" ht="36.75" customHeight="1">
      <c r="A152" s="55" t="s">
        <v>48</v>
      </c>
      <c r="B152" s="136">
        <v>622</v>
      </c>
      <c r="C152" s="55" t="s">
        <v>107</v>
      </c>
      <c r="D152" s="211">
        <v>8312000</v>
      </c>
      <c r="E152" s="211">
        <v>6394000</v>
      </c>
      <c r="F152" s="211">
        <v>6394000</v>
      </c>
      <c r="G152" s="211">
        <v>6075000</v>
      </c>
      <c r="H152" s="211">
        <v>7033000</v>
      </c>
      <c r="I152" s="211">
        <v>6075000</v>
      </c>
      <c r="J152" s="211">
        <v>6075000</v>
      </c>
      <c r="K152" s="211">
        <v>7033000</v>
      </c>
      <c r="L152" s="211">
        <v>6075000</v>
      </c>
      <c r="M152" s="211">
        <v>6394000</v>
      </c>
      <c r="N152" s="211">
        <v>7033000</v>
      </c>
      <c r="O152" s="211">
        <v>2557000</v>
      </c>
      <c r="P152" s="211">
        <f t="shared" si="2"/>
        <v>75450000</v>
      </c>
    </row>
    <row r="153" spans="1:16" s="143" customFormat="1" ht="36.75" customHeight="1">
      <c r="A153" s="55" t="s">
        <v>48</v>
      </c>
      <c r="B153" s="136">
        <v>640</v>
      </c>
      <c r="C153" s="55" t="s">
        <v>50</v>
      </c>
      <c r="D153" s="211">
        <v>11176000</v>
      </c>
      <c r="E153" s="211">
        <v>8597000</v>
      </c>
      <c r="F153" s="211">
        <v>8597000</v>
      </c>
      <c r="G153" s="211">
        <v>8167000</v>
      </c>
      <c r="H153" s="211">
        <v>9456000</v>
      </c>
      <c r="I153" s="211">
        <v>8167000</v>
      </c>
      <c r="J153" s="211">
        <v>8167000</v>
      </c>
      <c r="K153" s="211">
        <v>9456000</v>
      </c>
      <c r="L153" s="211">
        <v>8167000</v>
      </c>
      <c r="M153" s="211">
        <v>8597000</v>
      </c>
      <c r="N153" s="211">
        <v>9456000</v>
      </c>
      <c r="O153" s="211">
        <v>3437000</v>
      </c>
      <c r="P153" s="211">
        <f t="shared" si="2"/>
        <v>101440000</v>
      </c>
    </row>
    <row r="154" spans="1:16" s="143" customFormat="1" ht="36.75" customHeight="1">
      <c r="A154" s="55" t="s">
        <v>48</v>
      </c>
      <c r="B154" s="136">
        <v>642</v>
      </c>
      <c r="C154" s="55" t="s">
        <v>196</v>
      </c>
      <c r="D154" s="211">
        <v>10570000</v>
      </c>
      <c r="E154" s="211">
        <v>8132000</v>
      </c>
      <c r="F154" s="211">
        <v>8132000</v>
      </c>
      <c r="G154" s="211">
        <v>7725000</v>
      </c>
      <c r="H154" s="211">
        <v>8945000</v>
      </c>
      <c r="I154" s="211">
        <v>7725000</v>
      </c>
      <c r="J154" s="211">
        <v>7725000</v>
      </c>
      <c r="K154" s="211">
        <v>8945000</v>
      </c>
      <c r="L154" s="211">
        <v>7725000</v>
      </c>
      <c r="M154" s="211">
        <v>8132000</v>
      </c>
      <c r="N154" s="211">
        <v>8945000</v>
      </c>
      <c r="O154" s="211">
        <v>3249000</v>
      </c>
      <c r="P154" s="211">
        <f t="shared" si="2"/>
        <v>95950000</v>
      </c>
    </row>
    <row r="155" spans="1:16" s="143" customFormat="1" ht="36.75" customHeight="1">
      <c r="A155" s="55" t="s">
        <v>48</v>
      </c>
      <c r="B155" s="136">
        <v>643</v>
      </c>
      <c r="C155" s="55" t="s">
        <v>197</v>
      </c>
      <c r="D155" s="211">
        <v>5610000</v>
      </c>
      <c r="E155" s="211">
        <v>4316000</v>
      </c>
      <c r="F155" s="211">
        <v>4316000</v>
      </c>
      <c r="G155" s="211">
        <v>4099000</v>
      </c>
      <c r="H155" s="211">
        <v>4748000</v>
      </c>
      <c r="I155" s="211">
        <v>4099000</v>
      </c>
      <c r="J155" s="211">
        <v>4099000</v>
      </c>
      <c r="K155" s="211">
        <v>4748000</v>
      </c>
      <c r="L155" s="211">
        <v>4099000</v>
      </c>
      <c r="M155" s="211">
        <v>4316000</v>
      </c>
      <c r="N155" s="211">
        <v>4748000</v>
      </c>
      <c r="O155" s="211">
        <v>1722000</v>
      </c>
      <c r="P155" s="211">
        <f t="shared" si="2"/>
        <v>50920000</v>
      </c>
    </row>
    <row r="156" spans="1:16" s="143" customFormat="1" ht="36.75" customHeight="1">
      <c r="A156" s="55" t="s">
        <v>48</v>
      </c>
      <c r="B156" s="136">
        <v>644</v>
      </c>
      <c r="C156" s="55" t="s">
        <v>51</v>
      </c>
      <c r="D156" s="211">
        <v>7921000</v>
      </c>
      <c r="E156" s="211">
        <v>6093000</v>
      </c>
      <c r="F156" s="211">
        <v>6093000</v>
      </c>
      <c r="G156" s="211">
        <v>5789000</v>
      </c>
      <c r="H156" s="211">
        <v>6703000</v>
      </c>
      <c r="I156" s="211">
        <v>5789000</v>
      </c>
      <c r="J156" s="211">
        <v>5789000</v>
      </c>
      <c r="K156" s="211">
        <v>6703000</v>
      </c>
      <c r="L156" s="211">
        <v>5789000</v>
      </c>
      <c r="M156" s="211">
        <v>6093000</v>
      </c>
      <c r="N156" s="211">
        <v>6703000</v>
      </c>
      <c r="O156" s="211">
        <v>2435000</v>
      </c>
      <c r="P156" s="211">
        <f t="shared" si="2"/>
        <v>71900000</v>
      </c>
    </row>
    <row r="157" spans="1:16" s="143" customFormat="1" ht="36.75" customHeight="1">
      <c r="A157" s="55" t="s">
        <v>48</v>
      </c>
      <c r="B157" s="136">
        <v>645</v>
      </c>
      <c r="C157" s="55" t="s">
        <v>198</v>
      </c>
      <c r="D157" s="211">
        <v>7879000</v>
      </c>
      <c r="E157" s="211">
        <v>6060000</v>
      </c>
      <c r="F157" s="211">
        <v>6060000</v>
      </c>
      <c r="G157" s="211">
        <v>5758000</v>
      </c>
      <c r="H157" s="211">
        <v>6667000</v>
      </c>
      <c r="I157" s="211">
        <v>5758000</v>
      </c>
      <c r="J157" s="211">
        <v>5758000</v>
      </c>
      <c r="K157" s="211">
        <v>6667000</v>
      </c>
      <c r="L157" s="211">
        <v>5758000</v>
      </c>
      <c r="M157" s="211">
        <v>6060000</v>
      </c>
      <c r="N157" s="211">
        <v>6667000</v>
      </c>
      <c r="O157" s="211">
        <v>2418000</v>
      </c>
      <c r="P157" s="211">
        <f t="shared" si="2"/>
        <v>71510000</v>
      </c>
    </row>
    <row r="158" spans="1:16" s="143" customFormat="1" ht="36.75" customHeight="1">
      <c r="A158" s="55" t="s">
        <v>48</v>
      </c>
      <c r="B158" s="136">
        <v>646</v>
      </c>
      <c r="C158" s="55" t="s">
        <v>199</v>
      </c>
      <c r="D158" s="211">
        <v>5322000</v>
      </c>
      <c r="E158" s="211">
        <v>4092000</v>
      </c>
      <c r="F158" s="211">
        <v>4092000</v>
      </c>
      <c r="G158" s="211">
        <v>3888000</v>
      </c>
      <c r="H158" s="211">
        <v>4502000</v>
      </c>
      <c r="I158" s="211">
        <v>3888000</v>
      </c>
      <c r="J158" s="211">
        <v>3888000</v>
      </c>
      <c r="K158" s="211">
        <v>4502000</v>
      </c>
      <c r="L158" s="211">
        <v>3888000</v>
      </c>
      <c r="M158" s="211">
        <v>4092000</v>
      </c>
      <c r="N158" s="211">
        <v>4502000</v>
      </c>
      <c r="O158" s="211">
        <v>1644000</v>
      </c>
      <c r="P158" s="211">
        <f t="shared" si="2"/>
        <v>48300000</v>
      </c>
    </row>
    <row r="159" spans="1:16" s="143" customFormat="1" ht="36.75" customHeight="1">
      <c r="A159" s="55" t="s">
        <v>48</v>
      </c>
      <c r="B159" s="136">
        <v>647</v>
      </c>
      <c r="C159" s="55" t="s">
        <v>108</v>
      </c>
      <c r="D159" s="211">
        <v>7048000</v>
      </c>
      <c r="E159" s="211">
        <v>5422000</v>
      </c>
      <c r="F159" s="211">
        <v>5422000</v>
      </c>
      <c r="G159" s="211">
        <v>5150000</v>
      </c>
      <c r="H159" s="211">
        <v>5964000</v>
      </c>
      <c r="I159" s="211">
        <v>5150000</v>
      </c>
      <c r="J159" s="211">
        <v>5150000</v>
      </c>
      <c r="K159" s="211">
        <v>5964000</v>
      </c>
      <c r="L159" s="211">
        <v>5150000</v>
      </c>
      <c r="M159" s="211">
        <v>5422000</v>
      </c>
      <c r="N159" s="211">
        <v>5964000</v>
      </c>
      <c r="O159" s="211">
        <v>2164000</v>
      </c>
      <c r="P159" s="211">
        <f t="shared" si="2"/>
        <v>63970000</v>
      </c>
    </row>
    <row r="160" spans="1:16" s="143" customFormat="1" ht="36.75" customHeight="1">
      <c r="A160" s="55" t="s">
        <v>48</v>
      </c>
      <c r="B160" s="136">
        <v>648</v>
      </c>
      <c r="C160" s="55" t="s">
        <v>200</v>
      </c>
      <c r="D160" s="211">
        <v>5481000</v>
      </c>
      <c r="E160" s="211">
        <v>4216000</v>
      </c>
      <c r="F160" s="211">
        <v>4216000</v>
      </c>
      <c r="G160" s="211">
        <v>4005000</v>
      </c>
      <c r="H160" s="211">
        <v>4638000</v>
      </c>
      <c r="I160" s="211">
        <v>4005000</v>
      </c>
      <c r="J160" s="211">
        <v>4005000</v>
      </c>
      <c r="K160" s="211">
        <v>4638000</v>
      </c>
      <c r="L160" s="211">
        <v>4005000</v>
      </c>
      <c r="M160" s="211">
        <v>4216000</v>
      </c>
      <c r="N160" s="211">
        <v>4638000</v>
      </c>
      <c r="O160" s="211">
        <v>1687000</v>
      </c>
      <c r="P160" s="211">
        <f t="shared" si="2"/>
        <v>49750000</v>
      </c>
    </row>
    <row r="161" spans="1:16" s="143" customFormat="1" ht="36.75" customHeight="1">
      <c r="A161" s="55" t="s">
        <v>48</v>
      </c>
      <c r="B161" s="136">
        <v>681</v>
      </c>
      <c r="C161" s="55" t="s">
        <v>52</v>
      </c>
      <c r="D161" s="211">
        <v>6142000</v>
      </c>
      <c r="E161" s="211">
        <v>4726000</v>
      </c>
      <c r="F161" s="211">
        <v>4726000</v>
      </c>
      <c r="G161" s="211">
        <v>4489000</v>
      </c>
      <c r="H161" s="211">
        <v>5198000</v>
      </c>
      <c r="I161" s="211">
        <v>4489000</v>
      </c>
      <c r="J161" s="211">
        <v>4489000</v>
      </c>
      <c r="K161" s="211">
        <v>5198000</v>
      </c>
      <c r="L161" s="211">
        <v>4489000</v>
      </c>
      <c r="M161" s="211">
        <v>4726000</v>
      </c>
      <c r="N161" s="211">
        <v>5198000</v>
      </c>
      <c r="O161" s="211">
        <v>1890000</v>
      </c>
      <c r="P161" s="211">
        <f t="shared" si="2"/>
        <v>55760000</v>
      </c>
    </row>
    <row r="162" spans="1:16" s="143" customFormat="1" ht="36.75" customHeight="1">
      <c r="A162" s="55" t="s">
        <v>48</v>
      </c>
      <c r="B162" s="136">
        <v>700</v>
      </c>
      <c r="C162" s="55" t="s">
        <v>201</v>
      </c>
      <c r="D162" s="211">
        <v>9912000</v>
      </c>
      <c r="E162" s="211">
        <v>7624000</v>
      </c>
      <c r="F162" s="211">
        <v>7624000</v>
      </c>
      <c r="G162" s="211">
        <v>7243000</v>
      </c>
      <c r="H162" s="211">
        <v>8386000</v>
      </c>
      <c r="I162" s="211">
        <v>7243000</v>
      </c>
      <c r="J162" s="211">
        <v>7243000</v>
      </c>
      <c r="K162" s="211">
        <v>8386000</v>
      </c>
      <c r="L162" s="211">
        <v>7243000</v>
      </c>
      <c r="M162" s="211">
        <v>7624000</v>
      </c>
      <c r="N162" s="211">
        <v>8386000</v>
      </c>
      <c r="O162" s="211">
        <v>3056000</v>
      </c>
      <c r="P162" s="211">
        <f t="shared" si="2"/>
        <v>89970000</v>
      </c>
    </row>
    <row r="163" spans="1:16" s="143" customFormat="1" ht="36.75" customHeight="1">
      <c r="A163" s="55" t="s">
        <v>48</v>
      </c>
      <c r="B163" s="136">
        <v>701</v>
      </c>
      <c r="C163" s="55" t="s">
        <v>202</v>
      </c>
      <c r="D163" s="211">
        <v>5136000</v>
      </c>
      <c r="E163" s="211">
        <v>3950000</v>
      </c>
      <c r="F163" s="211">
        <v>3950000</v>
      </c>
      <c r="G163" s="211">
        <v>3754000</v>
      </c>
      <c r="H163" s="211">
        <v>4346000</v>
      </c>
      <c r="I163" s="211">
        <v>3754000</v>
      </c>
      <c r="J163" s="211">
        <v>3754000</v>
      </c>
      <c r="K163" s="211">
        <v>4346000</v>
      </c>
      <c r="L163" s="211">
        <v>3754000</v>
      </c>
      <c r="M163" s="211">
        <v>3950000</v>
      </c>
      <c r="N163" s="211">
        <v>4346000</v>
      </c>
      <c r="O163" s="211">
        <v>1580000</v>
      </c>
      <c r="P163" s="211">
        <f t="shared" si="2"/>
        <v>46620000</v>
      </c>
    </row>
    <row r="164" spans="1:16" s="143" customFormat="1" ht="36.75" customHeight="1">
      <c r="A164" s="55" t="s">
        <v>48</v>
      </c>
      <c r="B164" s="136">
        <v>702</v>
      </c>
      <c r="C164" s="55" t="s">
        <v>203</v>
      </c>
      <c r="D164" s="211">
        <v>7536000</v>
      </c>
      <c r="E164" s="211">
        <v>5796000</v>
      </c>
      <c r="F164" s="211">
        <v>5796000</v>
      </c>
      <c r="G164" s="211">
        <v>5507000</v>
      </c>
      <c r="H164" s="211">
        <v>6376000</v>
      </c>
      <c r="I164" s="211">
        <v>5507000</v>
      </c>
      <c r="J164" s="211">
        <v>5507000</v>
      </c>
      <c r="K164" s="211">
        <v>6376000</v>
      </c>
      <c r="L164" s="211">
        <v>5507000</v>
      </c>
      <c r="M164" s="211">
        <v>5796000</v>
      </c>
      <c r="N164" s="211">
        <v>6376000</v>
      </c>
      <c r="O164" s="211">
        <v>2320000</v>
      </c>
      <c r="P164" s="211">
        <f t="shared" si="2"/>
        <v>68400000</v>
      </c>
    </row>
    <row r="165" spans="1:16" s="143" customFormat="1" ht="36.75" customHeight="1">
      <c r="A165" s="55" t="s">
        <v>48</v>
      </c>
      <c r="B165" s="136">
        <v>703</v>
      </c>
      <c r="C165" s="55" t="s">
        <v>53</v>
      </c>
      <c r="D165" s="211">
        <v>5377000</v>
      </c>
      <c r="E165" s="211">
        <v>4136000</v>
      </c>
      <c r="F165" s="211">
        <v>4136000</v>
      </c>
      <c r="G165" s="211">
        <v>3929000</v>
      </c>
      <c r="H165" s="211">
        <v>4550000</v>
      </c>
      <c r="I165" s="211">
        <v>3929000</v>
      </c>
      <c r="J165" s="211">
        <v>3929000</v>
      </c>
      <c r="K165" s="211">
        <v>4550000</v>
      </c>
      <c r="L165" s="211">
        <v>3929000</v>
      </c>
      <c r="M165" s="211">
        <v>4136000</v>
      </c>
      <c r="N165" s="211">
        <v>4550000</v>
      </c>
      <c r="O165" s="211">
        <v>1659000</v>
      </c>
      <c r="P165" s="211">
        <f t="shared" si="2"/>
        <v>48810000</v>
      </c>
    </row>
    <row r="166" spans="1:16" s="143" customFormat="1" ht="36.75" customHeight="1">
      <c r="A166" s="55" t="s">
        <v>48</v>
      </c>
      <c r="B166" s="136">
        <v>704</v>
      </c>
      <c r="C166" s="55" t="s">
        <v>54</v>
      </c>
      <c r="D166" s="211">
        <v>5073000</v>
      </c>
      <c r="E166" s="211">
        <v>3902000</v>
      </c>
      <c r="F166" s="211">
        <v>3902000</v>
      </c>
      <c r="G166" s="211">
        <v>3708000</v>
      </c>
      <c r="H166" s="211">
        <v>4292000</v>
      </c>
      <c r="I166" s="211">
        <v>3708000</v>
      </c>
      <c r="J166" s="211">
        <v>3708000</v>
      </c>
      <c r="K166" s="211">
        <v>4292000</v>
      </c>
      <c r="L166" s="211">
        <v>3708000</v>
      </c>
      <c r="M166" s="211">
        <v>3902000</v>
      </c>
      <c r="N166" s="211">
        <v>4292000</v>
      </c>
      <c r="O166" s="211">
        <v>1563000</v>
      </c>
      <c r="P166" s="211">
        <f t="shared" si="2"/>
        <v>46050000</v>
      </c>
    </row>
    <row r="167" spans="1:16" s="143" customFormat="1" ht="36.75" customHeight="1">
      <c r="A167" s="55" t="s">
        <v>48</v>
      </c>
      <c r="B167" s="136">
        <v>705</v>
      </c>
      <c r="C167" s="55" t="s">
        <v>109</v>
      </c>
      <c r="D167" s="211">
        <v>4465000</v>
      </c>
      <c r="E167" s="211">
        <v>3435000</v>
      </c>
      <c r="F167" s="211">
        <v>3435000</v>
      </c>
      <c r="G167" s="211">
        <v>3263000</v>
      </c>
      <c r="H167" s="211">
        <v>3779000</v>
      </c>
      <c r="I167" s="211">
        <v>3263000</v>
      </c>
      <c r="J167" s="211">
        <v>3263000</v>
      </c>
      <c r="K167" s="211">
        <v>3779000</v>
      </c>
      <c r="L167" s="211">
        <v>3263000</v>
      </c>
      <c r="M167" s="211">
        <v>3435000</v>
      </c>
      <c r="N167" s="211">
        <v>3779000</v>
      </c>
      <c r="O167" s="211">
        <v>1371000</v>
      </c>
      <c r="P167" s="211">
        <f t="shared" si="2"/>
        <v>40530000</v>
      </c>
    </row>
    <row r="168" spans="1:16" s="143" customFormat="1" ht="36.75" customHeight="1">
      <c r="A168" s="55" t="s">
        <v>48</v>
      </c>
      <c r="B168" s="136">
        <v>706</v>
      </c>
      <c r="C168" s="55" t="s">
        <v>55</v>
      </c>
      <c r="D168" s="211">
        <v>7004000</v>
      </c>
      <c r="E168" s="211">
        <v>5389000</v>
      </c>
      <c r="F168" s="211">
        <v>5389000</v>
      </c>
      <c r="G168" s="211">
        <v>5120000</v>
      </c>
      <c r="H168" s="211">
        <v>5927000</v>
      </c>
      <c r="I168" s="211">
        <v>5120000</v>
      </c>
      <c r="J168" s="211">
        <v>5120000</v>
      </c>
      <c r="K168" s="211">
        <v>5927000</v>
      </c>
      <c r="L168" s="211">
        <v>5120000</v>
      </c>
      <c r="M168" s="211">
        <v>5389000</v>
      </c>
      <c r="N168" s="211">
        <v>5927000</v>
      </c>
      <c r="O168" s="211">
        <v>2148000</v>
      </c>
      <c r="P168" s="211">
        <f t="shared" si="2"/>
        <v>63580000</v>
      </c>
    </row>
    <row r="169" spans="1:16" s="143" customFormat="1" ht="36.75" customHeight="1">
      <c r="A169" s="55" t="s">
        <v>48</v>
      </c>
      <c r="B169" s="136">
        <v>707</v>
      </c>
      <c r="C169" s="55" t="s">
        <v>110</v>
      </c>
      <c r="D169" s="211">
        <v>4178000</v>
      </c>
      <c r="E169" s="211">
        <v>3214000</v>
      </c>
      <c r="F169" s="211">
        <v>3214000</v>
      </c>
      <c r="G169" s="211">
        <v>3053000</v>
      </c>
      <c r="H169" s="211">
        <v>3534000</v>
      </c>
      <c r="I169" s="211">
        <v>3053000</v>
      </c>
      <c r="J169" s="211">
        <v>3053000</v>
      </c>
      <c r="K169" s="211">
        <v>3534000</v>
      </c>
      <c r="L169" s="211">
        <v>3053000</v>
      </c>
      <c r="M169" s="211">
        <v>3214000</v>
      </c>
      <c r="N169" s="211">
        <v>3534000</v>
      </c>
      <c r="O169" s="211">
        <v>1286000</v>
      </c>
      <c r="P169" s="211">
        <f t="shared" si="2"/>
        <v>37920000</v>
      </c>
    </row>
    <row r="170" spans="1:16" s="143" customFormat="1" ht="36.75" customHeight="1">
      <c r="A170" s="55" t="s">
        <v>48</v>
      </c>
      <c r="B170" s="136">
        <v>708</v>
      </c>
      <c r="C170" s="55" t="s">
        <v>56</v>
      </c>
      <c r="D170" s="211">
        <v>5872000</v>
      </c>
      <c r="E170" s="211">
        <v>4516000</v>
      </c>
      <c r="F170" s="211">
        <v>4516000</v>
      </c>
      <c r="G170" s="211">
        <v>4291000</v>
      </c>
      <c r="H170" s="211">
        <v>4968000</v>
      </c>
      <c r="I170" s="211">
        <v>4291000</v>
      </c>
      <c r="J170" s="211">
        <v>4291000</v>
      </c>
      <c r="K170" s="211">
        <v>4968000</v>
      </c>
      <c r="L170" s="211">
        <v>4291000</v>
      </c>
      <c r="M170" s="211">
        <v>4516000</v>
      </c>
      <c r="N170" s="211">
        <v>4968000</v>
      </c>
      <c r="O170" s="211">
        <v>1802000</v>
      </c>
      <c r="P170" s="211">
        <f t="shared" si="2"/>
        <v>53290000</v>
      </c>
    </row>
    <row r="171" spans="1:16" s="143" customFormat="1" ht="36.75" customHeight="1">
      <c r="A171" s="55" t="s">
        <v>48</v>
      </c>
      <c r="B171" s="136">
        <v>709</v>
      </c>
      <c r="C171" s="55" t="s">
        <v>204</v>
      </c>
      <c r="D171" s="211">
        <v>6525000</v>
      </c>
      <c r="E171" s="211">
        <v>5019000</v>
      </c>
      <c r="F171" s="211">
        <v>5019000</v>
      </c>
      <c r="G171" s="211">
        <v>4767000</v>
      </c>
      <c r="H171" s="211">
        <v>5521000</v>
      </c>
      <c r="I171" s="211">
        <v>4767000</v>
      </c>
      <c r="J171" s="211">
        <v>4767000</v>
      </c>
      <c r="K171" s="211">
        <v>5521000</v>
      </c>
      <c r="L171" s="211">
        <v>4767000</v>
      </c>
      <c r="M171" s="211">
        <v>5019000</v>
      </c>
      <c r="N171" s="211">
        <v>5521000</v>
      </c>
      <c r="O171" s="211">
        <v>2007000</v>
      </c>
      <c r="P171" s="211">
        <f t="shared" si="2"/>
        <v>59220000</v>
      </c>
    </row>
    <row r="172" spans="1:16" s="143" customFormat="1" ht="36.75" customHeight="1">
      <c r="A172" s="55" t="s">
        <v>48</v>
      </c>
      <c r="B172" s="136">
        <v>710</v>
      </c>
      <c r="C172" s="55" t="s">
        <v>111</v>
      </c>
      <c r="D172" s="211">
        <v>7524000</v>
      </c>
      <c r="E172" s="211">
        <v>5788000</v>
      </c>
      <c r="F172" s="211">
        <v>5788000</v>
      </c>
      <c r="G172" s="211">
        <v>5499000</v>
      </c>
      <c r="H172" s="211">
        <v>6368000</v>
      </c>
      <c r="I172" s="211">
        <v>5499000</v>
      </c>
      <c r="J172" s="211">
        <v>5499000</v>
      </c>
      <c r="K172" s="211">
        <v>6368000</v>
      </c>
      <c r="L172" s="211">
        <v>5499000</v>
      </c>
      <c r="M172" s="211">
        <v>5788000</v>
      </c>
      <c r="N172" s="211">
        <v>6368000</v>
      </c>
      <c r="O172" s="211">
        <v>2312000</v>
      </c>
      <c r="P172" s="211">
        <f t="shared" si="2"/>
        <v>68300000</v>
      </c>
    </row>
    <row r="173" spans="1:16" s="143" customFormat="1" ht="36.75" customHeight="1">
      <c r="A173" s="55" t="s">
        <v>48</v>
      </c>
      <c r="B173" s="136">
        <v>711</v>
      </c>
      <c r="C173" s="55" t="s">
        <v>57</v>
      </c>
      <c r="D173" s="211">
        <v>5801000</v>
      </c>
      <c r="E173" s="211">
        <v>4462000</v>
      </c>
      <c r="F173" s="211">
        <v>4462000</v>
      </c>
      <c r="G173" s="211">
        <v>4237000</v>
      </c>
      <c r="H173" s="211">
        <v>4908000</v>
      </c>
      <c r="I173" s="211">
        <v>4237000</v>
      </c>
      <c r="J173" s="211">
        <v>4237000</v>
      </c>
      <c r="K173" s="211">
        <v>4908000</v>
      </c>
      <c r="L173" s="211">
        <v>4237000</v>
      </c>
      <c r="M173" s="211">
        <v>4462000</v>
      </c>
      <c r="N173" s="211">
        <v>4908000</v>
      </c>
      <c r="O173" s="211">
        <v>1791000</v>
      </c>
      <c r="P173" s="211">
        <f t="shared" si="2"/>
        <v>52650000</v>
      </c>
    </row>
    <row r="174" spans="1:16" s="143" customFormat="1" ht="36.75" customHeight="1">
      <c r="A174" s="55" t="s">
        <v>48</v>
      </c>
      <c r="B174" s="136">
        <v>712</v>
      </c>
      <c r="C174" s="55" t="s">
        <v>58</v>
      </c>
      <c r="D174" s="211">
        <v>2459000</v>
      </c>
      <c r="E174" s="211">
        <v>1892000</v>
      </c>
      <c r="F174" s="211">
        <v>1892000</v>
      </c>
      <c r="G174" s="211">
        <v>1797000</v>
      </c>
      <c r="H174" s="211">
        <v>2081000</v>
      </c>
      <c r="I174" s="211">
        <v>1797000</v>
      </c>
      <c r="J174" s="211">
        <v>1797000</v>
      </c>
      <c r="K174" s="211">
        <v>2081000</v>
      </c>
      <c r="L174" s="211">
        <v>1797000</v>
      </c>
      <c r="M174" s="211">
        <v>1892000</v>
      </c>
      <c r="N174" s="211">
        <v>2081000</v>
      </c>
      <c r="O174" s="211">
        <v>744000</v>
      </c>
      <c r="P174" s="211">
        <f t="shared" si="2"/>
        <v>22310000</v>
      </c>
    </row>
    <row r="175" spans="1:16" s="143" customFormat="1" ht="36.75" customHeight="1">
      <c r="A175" s="55" t="s">
        <v>48</v>
      </c>
      <c r="B175" s="136">
        <v>719</v>
      </c>
      <c r="C175" s="55" t="s">
        <v>59</v>
      </c>
      <c r="D175" s="211">
        <v>8427000</v>
      </c>
      <c r="E175" s="211">
        <v>6482000</v>
      </c>
      <c r="F175" s="211">
        <v>6482000</v>
      </c>
      <c r="G175" s="211">
        <v>6157000</v>
      </c>
      <c r="H175" s="211">
        <v>7131000</v>
      </c>
      <c r="I175" s="211">
        <v>6157000</v>
      </c>
      <c r="J175" s="211">
        <v>6157000</v>
      </c>
      <c r="K175" s="211">
        <v>7131000</v>
      </c>
      <c r="L175" s="211">
        <v>6157000</v>
      </c>
      <c r="M175" s="211">
        <v>6482000</v>
      </c>
      <c r="N175" s="211">
        <v>7131000</v>
      </c>
      <c r="O175" s="211">
        <v>2596000</v>
      </c>
      <c r="P175" s="211">
        <f t="shared" si="2"/>
        <v>76490000</v>
      </c>
    </row>
    <row r="176" spans="1:16" s="143" customFormat="1" ht="36.75" customHeight="1">
      <c r="A176" s="55" t="s">
        <v>48</v>
      </c>
      <c r="B176" s="136">
        <v>720</v>
      </c>
      <c r="C176" s="55" t="s">
        <v>112</v>
      </c>
      <c r="D176" s="211">
        <v>7258000</v>
      </c>
      <c r="E176" s="211">
        <v>5584000</v>
      </c>
      <c r="F176" s="211">
        <v>5584000</v>
      </c>
      <c r="G176" s="211">
        <v>5304000</v>
      </c>
      <c r="H176" s="211">
        <v>6141000</v>
      </c>
      <c r="I176" s="211">
        <v>5304000</v>
      </c>
      <c r="J176" s="211">
        <v>5304000</v>
      </c>
      <c r="K176" s="211">
        <v>6141000</v>
      </c>
      <c r="L176" s="211">
        <v>5304000</v>
      </c>
      <c r="M176" s="211">
        <v>5584000</v>
      </c>
      <c r="N176" s="211">
        <v>6141000</v>
      </c>
      <c r="O176" s="211">
        <v>2231000</v>
      </c>
      <c r="P176" s="211">
        <f t="shared" si="2"/>
        <v>65880000</v>
      </c>
    </row>
    <row r="177" spans="1:16" s="143" customFormat="1" ht="36.75" customHeight="1">
      <c r="A177" s="55" t="s">
        <v>48</v>
      </c>
      <c r="B177" s="136">
        <v>721</v>
      </c>
      <c r="C177" s="55" t="s">
        <v>60</v>
      </c>
      <c r="D177" s="211">
        <v>6044000</v>
      </c>
      <c r="E177" s="211">
        <v>4650000</v>
      </c>
      <c r="F177" s="211">
        <v>4650000</v>
      </c>
      <c r="G177" s="211">
        <v>4417000</v>
      </c>
      <c r="H177" s="211">
        <v>5116000</v>
      </c>
      <c r="I177" s="211">
        <v>4417000</v>
      </c>
      <c r="J177" s="211">
        <v>4417000</v>
      </c>
      <c r="K177" s="211">
        <v>5116000</v>
      </c>
      <c r="L177" s="211">
        <v>4417000</v>
      </c>
      <c r="M177" s="211">
        <v>4650000</v>
      </c>
      <c r="N177" s="211">
        <v>5116000</v>
      </c>
      <c r="O177" s="211">
        <v>1860000</v>
      </c>
      <c r="P177" s="211">
        <f t="shared" si="2"/>
        <v>54870000</v>
      </c>
    </row>
    <row r="178" spans="1:16" s="143" customFormat="1" ht="36.75" customHeight="1">
      <c r="A178" s="55" t="s">
        <v>48</v>
      </c>
      <c r="B178" s="136">
        <v>722</v>
      </c>
      <c r="C178" s="55" t="s">
        <v>61</v>
      </c>
      <c r="D178" s="211">
        <v>3686000</v>
      </c>
      <c r="E178" s="211">
        <v>2836000</v>
      </c>
      <c r="F178" s="211">
        <v>2836000</v>
      </c>
      <c r="G178" s="211">
        <v>2693000</v>
      </c>
      <c r="H178" s="211">
        <v>3119000</v>
      </c>
      <c r="I178" s="211">
        <v>2693000</v>
      </c>
      <c r="J178" s="211">
        <v>2693000</v>
      </c>
      <c r="K178" s="211">
        <v>3119000</v>
      </c>
      <c r="L178" s="211">
        <v>2693000</v>
      </c>
      <c r="M178" s="211">
        <v>2836000</v>
      </c>
      <c r="N178" s="211">
        <v>3119000</v>
      </c>
      <c r="O178" s="211">
        <v>1137000</v>
      </c>
      <c r="P178" s="211">
        <f t="shared" si="2"/>
        <v>33460000</v>
      </c>
    </row>
    <row r="179" spans="1:16" s="143" customFormat="1" ht="36.75" customHeight="1">
      <c r="A179" s="55" t="s">
        <v>48</v>
      </c>
      <c r="B179" s="136">
        <v>751</v>
      </c>
      <c r="C179" s="55" t="s">
        <v>62</v>
      </c>
      <c r="D179" s="211">
        <v>4761000</v>
      </c>
      <c r="E179" s="211">
        <v>3663000</v>
      </c>
      <c r="F179" s="211">
        <v>3663000</v>
      </c>
      <c r="G179" s="211">
        <v>3479000</v>
      </c>
      <c r="H179" s="211">
        <v>4029000</v>
      </c>
      <c r="I179" s="211">
        <v>3479000</v>
      </c>
      <c r="J179" s="211">
        <v>3479000</v>
      </c>
      <c r="K179" s="211">
        <v>4029000</v>
      </c>
      <c r="L179" s="211">
        <v>3479000</v>
      </c>
      <c r="M179" s="211">
        <v>3663000</v>
      </c>
      <c r="N179" s="211">
        <v>4029000</v>
      </c>
      <c r="O179" s="211">
        <v>1467000</v>
      </c>
      <c r="P179" s="211">
        <f t="shared" si="2"/>
        <v>43220000</v>
      </c>
    </row>
    <row r="180" spans="1:16" s="143" customFormat="1" ht="36.75" customHeight="1">
      <c r="A180" s="55" t="s">
        <v>48</v>
      </c>
      <c r="B180" s="136">
        <v>752</v>
      </c>
      <c r="C180" s="55" t="s">
        <v>63</v>
      </c>
      <c r="D180" s="211">
        <v>6664000</v>
      </c>
      <c r="E180" s="211">
        <v>5125000</v>
      </c>
      <c r="F180" s="211">
        <v>5125000</v>
      </c>
      <c r="G180" s="211">
        <v>4870000</v>
      </c>
      <c r="H180" s="211">
        <v>5637000</v>
      </c>
      <c r="I180" s="211">
        <v>4870000</v>
      </c>
      <c r="J180" s="211">
        <v>4870000</v>
      </c>
      <c r="K180" s="211">
        <v>5637000</v>
      </c>
      <c r="L180" s="211">
        <v>4870000</v>
      </c>
      <c r="M180" s="211">
        <v>5125000</v>
      </c>
      <c r="N180" s="211">
        <v>5637000</v>
      </c>
      <c r="O180" s="211">
        <v>2050000</v>
      </c>
      <c r="P180" s="211">
        <f t="shared" si="2"/>
        <v>60480000</v>
      </c>
    </row>
    <row r="181" spans="1:16" s="143" customFormat="1" ht="36.75" customHeight="1">
      <c r="A181" s="55" t="s">
        <v>48</v>
      </c>
      <c r="B181" s="136">
        <v>753</v>
      </c>
      <c r="C181" s="55" t="s">
        <v>207</v>
      </c>
      <c r="D181" s="211">
        <v>4696000</v>
      </c>
      <c r="E181" s="211">
        <v>3612000</v>
      </c>
      <c r="F181" s="211">
        <v>3612000</v>
      </c>
      <c r="G181" s="211">
        <v>3432000</v>
      </c>
      <c r="H181" s="211">
        <v>3974000</v>
      </c>
      <c r="I181" s="211">
        <v>3432000</v>
      </c>
      <c r="J181" s="211">
        <v>3432000</v>
      </c>
      <c r="K181" s="211">
        <v>3974000</v>
      </c>
      <c r="L181" s="211">
        <v>3432000</v>
      </c>
      <c r="M181" s="211">
        <v>3612000</v>
      </c>
      <c r="N181" s="211">
        <v>3974000</v>
      </c>
      <c r="O181" s="211">
        <v>1448000</v>
      </c>
      <c r="P181" s="211">
        <f t="shared" si="2"/>
        <v>42630000</v>
      </c>
    </row>
    <row r="182" spans="1:16" s="143" customFormat="1" ht="36.75" customHeight="1">
      <c r="A182" s="55" t="s">
        <v>48</v>
      </c>
      <c r="B182" s="136">
        <v>760</v>
      </c>
      <c r="C182" s="55" t="s">
        <v>64</v>
      </c>
      <c r="D182" s="211">
        <v>5525000</v>
      </c>
      <c r="E182" s="211">
        <v>4250000</v>
      </c>
      <c r="F182" s="211">
        <v>4250000</v>
      </c>
      <c r="G182" s="211">
        <v>4037000</v>
      </c>
      <c r="H182" s="211">
        <v>4675000</v>
      </c>
      <c r="I182" s="211">
        <v>4037000</v>
      </c>
      <c r="J182" s="211">
        <v>4037000</v>
      </c>
      <c r="K182" s="211">
        <v>4675000</v>
      </c>
      <c r="L182" s="211">
        <v>4037000</v>
      </c>
      <c r="M182" s="211">
        <v>4250000</v>
      </c>
      <c r="N182" s="211">
        <v>4675000</v>
      </c>
      <c r="O182" s="211">
        <v>1692000</v>
      </c>
      <c r="P182" s="211">
        <f t="shared" si="2"/>
        <v>50140000</v>
      </c>
    </row>
    <row r="183" spans="1:16" s="143" customFormat="1" ht="36.75" customHeight="1">
      <c r="A183" s="55" t="s">
        <v>48</v>
      </c>
      <c r="B183" s="136">
        <v>765</v>
      </c>
      <c r="C183" s="55" t="s">
        <v>65</v>
      </c>
      <c r="D183" s="211">
        <v>4223000</v>
      </c>
      <c r="E183" s="211">
        <v>3249000</v>
      </c>
      <c r="F183" s="211">
        <v>3249000</v>
      </c>
      <c r="G183" s="211">
        <v>3086000</v>
      </c>
      <c r="H183" s="211">
        <v>3573000</v>
      </c>
      <c r="I183" s="211">
        <v>3086000</v>
      </c>
      <c r="J183" s="211">
        <v>3086000</v>
      </c>
      <c r="K183" s="211">
        <v>3573000</v>
      </c>
      <c r="L183" s="211">
        <v>3086000</v>
      </c>
      <c r="M183" s="211">
        <v>3249000</v>
      </c>
      <c r="N183" s="211">
        <v>3573000</v>
      </c>
      <c r="O183" s="211">
        <v>1307000</v>
      </c>
      <c r="P183" s="211">
        <f t="shared" si="2"/>
        <v>38340000</v>
      </c>
    </row>
    <row r="184" spans="1:16" s="143" customFormat="1" ht="36.75" customHeight="1">
      <c r="A184" s="55" t="s">
        <v>48</v>
      </c>
      <c r="B184" s="136">
        <v>800</v>
      </c>
      <c r="C184" s="55" t="s">
        <v>66</v>
      </c>
      <c r="D184" s="211">
        <v>6783000</v>
      </c>
      <c r="E184" s="211">
        <v>5218000</v>
      </c>
      <c r="F184" s="211">
        <v>5218000</v>
      </c>
      <c r="G184" s="211">
        <v>4956000</v>
      </c>
      <c r="H184" s="211">
        <v>5738000</v>
      </c>
      <c r="I184" s="211">
        <v>4956000</v>
      </c>
      <c r="J184" s="211">
        <v>4956000</v>
      </c>
      <c r="K184" s="211">
        <v>5738000</v>
      </c>
      <c r="L184" s="211">
        <v>4956000</v>
      </c>
      <c r="M184" s="211">
        <v>5218000</v>
      </c>
      <c r="N184" s="211">
        <v>5738000</v>
      </c>
      <c r="O184" s="211">
        <v>2095000</v>
      </c>
      <c r="P184" s="211">
        <f t="shared" si="2"/>
        <v>61570000</v>
      </c>
    </row>
    <row r="185" spans="1:16" s="143" customFormat="1" ht="36.75" customHeight="1">
      <c r="A185" s="55" t="s">
        <v>48</v>
      </c>
      <c r="B185" s="136">
        <v>801</v>
      </c>
      <c r="C185" s="55" t="s">
        <v>67</v>
      </c>
      <c r="D185" s="211">
        <v>9944000</v>
      </c>
      <c r="E185" s="211">
        <v>7649000</v>
      </c>
      <c r="F185" s="211">
        <v>7649000</v>
      </c>
      <c r="G185" s="211">
        <v>7267000</v>
      </c>
      <c r="H185" s="211">
        <v>8413000</v>
      </c>
      <c r="I185" s="211">
        <v>7267000</v>
      </c>
      <c r="J185" s="211">
        <v>7267000</v>
      </c>
      <c r="K185" s="211">
        <v>8413000</v>
      </c>
      <c r="L185" s="211">
        <v>7267000</v>
      </c>
      <c r="M185" s="211">
        <v>7649000</v>
      </c>
      <c r="N185" s="211">
        <v>8413000</v>
      </c>
      <c r="O185" s="211">
        <v>3062000</v>
      </c>
      <c r="P185" s="211">
        <f t="shared" si="2"/>
        <v>90260000</v>
      </c>
    </row>
    <row r="186" spans="1:16" s="143" customFormat="1" ht="36.75" customHeight="1">
      <c r="A186" s="55" t="s">
        <v>48</v>
      </c>
      <c r="B186" s="136">
        <v>802</v>
      </c>
      <c r="C186" s="55" t="s">
        <v>68</v>
      </c>
      <c r="D186" s="211">
        <v>6128000</v>
      </c>
      <c r="E186" s="211">
        <v>4714000</v>
      </c>
      <c r="F186" s="211">
        <v>4714000</v>
      </c>
      <c r="G186" s="211">
        <v>4478000</v>
      </c>
      <c r="H186" s="211">
        <v>5185000</v>
      </c>
      <c r="I186" s="211">
        <v>4478000</v>
      </c>
      <c r="J186" s="211">
        <v>4478000</v>
      </c>
      <c r="K186" s="211">
        <v>5185000</v>
      </c>
      <c r="L186" s="211">
        <v>4478000</v>
      </c>
      <c r="M186" s="211">
        <v>4714000</v>
      </c>
      <c r="N186" s="211">
        <v>5185000</v>
      </c>
      <c r="O186" s="211">
        <v>1893000</v>
      </c>
      <c r="P186" s="211">
        <f t="shared" si="2"/>
        <v>55630000</v>
      </c>
    </row>
    <row r="187" spans="1:16" s="143" customFormat="1" ht="36.75" customHeight="1">
      <c r="A187" s="55" t="s">
        <v>48</v>
      </c>
      <c r="B187" s="136">
        <v>813</v>
      </c>
      <c r="C187" s="55" t="s">
        <v>69</v>
      </c>
      <c r="D187" s="211">
        <v>4508000</v>
      </c>
      <c r="E187" s="211">
        <v>3468000</v>
      </c>
      <c r="F187" s="211">
        <v>3468000</v>
      </c>
      <c r="G187" s="211">
        <v>3296000</v>
      </c>
      <c r="H187" s="211">
        <v>3815000</v>
      </c>
      <c r="I187" s="211">
        <v>3296000</v>
      </c>
      <c r="J187" s="211">
        <v>3296000</v>
      </c>
      <c r="K187" s="211">
        <v>3815000</v>
      </c>
      <c r="L187" s="211">
        <v>3296000</v>
      </c>
      <c r="M187" s="211">
        <v>3468000</v>
      </c>
      <c r="N187" s="211">
        <v>3815000</v>
      </c>
      <c r="O187" s="211">
        <v>1379000</v>
      </c>
      <c r="P187" s="211">
        <f t="shared" si="2"/>
        <v>40920000</v>
      </c>
    </row>
    <row r="188" spans="1:16" s="143" customFormat="1" ht="36.75" customHeight="1">
      <c r="A188" s="55" t="s">
        <v>7</v>
      </c>
      <c r="B188" s="136">
        <v>820</v>
      </c>
      <c r="C188" s="55" t="s">
        <v>70</v>
      </c>
      <c r="D188" s="211">
        <v>6376000</v>
      </c>
      <c r="E188" s="211">
        <v>4904000</v>
      </c>
      <c r="F188" s="211">
        <v>4904000</v>
      </c>
      <c r="G188" s="211">
        <v>4660000</v>
      </c>
      <c r="H188" s="211">
        <v>5395000</v>
      </c>
      <c r="I188" s="211">
        <v>4660000</v>
      </c>
      <c r="J188" s="211">
        <v>4660000</v>
      </c>
      <c r="K188" s="211">
        <v>5395000</v>
      </c>
      <c r="L188" s="211">
        <v>4660000</v>
      </c>
      <c r="M188" s="211">
        <v>4904000</v>
      </c>
      <c r="N188" s="211">
        <v>5395000</v>
      </c>
      <c r="O188" s="211">
        <v>1957000</v>
      </c>
      <c r="P188" s="211">
        <f t="shared" si="2"/>
        <v>57870000</v>
      </c>
    </row>
    <row r="189" spans="1:16" s="143" customFormat="1" ht="36.75" customHeight="1">
      <c r="A189" s="55" t="s">
        <v>48</v>
      </c>
      <c r="B189" s="136">
        <v>830</v>
      </c>
      <c r="C189" s="55" t="s">
        <v>71</v>
      </c>
      <c r="D189" s="211">
        <v>4198000</v>
      </c>
      <c r="E189" s="211">
        <v>3229000</v>
      </c>
      <c r="F189" s="211">
        <v>3229000</v>
      </c>
      <c r="G189" s="211">
        <v>3067000</v>
      </c>
      <c r="H189" s="211">
        <v>3552000</v>
      </c>
      <c r="I189" s="211">
        <v>3067000</v>
      </c>
      <c r="J189" s="211">
        <v>3067000</v>
      </c>
      <c r="K189" s="211">
        <v>3552000</v>
      </c>
      <c r="L189" s="211">
        <v>3067000</v>
      </c>
      <c r="M189" s="211">
        <v>3229000</v>
      </c>
      <c r="N189" s="211">
        <v>3552000</v>
      </c>
      <c r="O189" s="211">
        <v>1291000</v>
      </c>
      <c r="P189" s="211">
        <f t="shared" si="2"/>
        <v>38100000</v>
      </c>
    </row>
    <row r="190" spans="1:16" s="143" customFormat="1" ht="36.75" customHeight="1">
      <c r="A190" s="55" t="s">
        <v>400</v>
      </c>
      <c r="B190" s="136">
        <v>888</v>
      </c>
      <c r="C190" s="55" t="s">
        <v>130</v>
      </c>
      <c r="D190" s="211">
        <v>1895000</v>
      </c>
      <c r="E190" s="211">
        <v>1457000</v>
      </c>
      <c r="F190" s="211">
        <v>1457000</v>
      </c>
      <c r="G190" s="211">
        <v>1385000</v>
      </c>
      <c r="H190" s="211">
        <v>1604000</v>
      </c>
      <c r="I190" s="211">
        <v>1385000</v>
      </c>
      <c r="J190" s="211">
        <v>1385000</v>
      </c>
      <c r="K190" s="211">
        <v>1604000</v>
      </c>
      <c r="L190" s="211">
        <v>1385000</v>
      </c>
      <c r="M190" s="211">
        <v>1457000</v>
      </c>
      <c r="N190" s="211">
        <v>1604000</v>
      </c>
      <c r="O190" s="211">
        <v>582000</v>
      </c>
      <c r="P190" s="211">
        <f t="shared" si="2"/>
        <v>17200000</v>
      </c>
    </row>
    <row r="191" spans="1:16" s="143" customFormat="1" ht="36.75" customHeight="1">
      <c r="A191" s="527" t="s">
        <v>400</v>
      </c>
      <c r="B191" s="527"/>
      <c r="C191" s="56" t="s">
        <v>72</v>
      </c>
      <c r="D191" s="211">
        <f>SUMIF($A$6:$A$190,$A191,$D$6:$D$190)</f>
        <v>327641000</v>
      </c>
      <c r="E191" s="211">
        <f>SUMIF($A$6:$A$190,$A191,$E$6:$E$190)</f>
        <v>252026000</v>
      </c>
      <c r="F191" s="211">
        <f>SUMIF($A$6:$A$190,$A191,$F$6:$F$190)</f>
        <v>252026000</v>
      </c>
      <c r="G191" s="211">
        <f>SUMIF($A$6:$A$190,$A191,$G$6:$G$190)</f>
        <v>239435000</v>
      </c>
      <c r="H191" s="211">
        <f>SUMIF($A$6:$A$190,$A191,$H$6:$H$190)</f>
        <v>277234000</v>
      </c>
      <c r="I191" s="211">
        <f>SUMIF($A$6:$A$190,$A191,$I$6:$I$190)</f>
        <v>239435000</v>
      </c>
      <c r="J191" s="211">
        <f>SUMIF($A$6:$A$190,$A191,$J$6:$J$190)</f>
        <v>239435000</v>
      </c>
      <c r="K191" s="211">
        <f>SUMIF($A$6:$A$190,$A191,$K$6:$K$190)</f>
        <v>277234000</v>
      </c>
      <c r="L191" s="211">
        <f>SUMIF($A$6:$A$190,$A191,$L$6:$L$190)</f>
        <v>239435000</v>
      </c>
      <c r="M191" s="211">
        <f>SUMIF($A$6:$A$190,$A191,$M$6:$M$190)</f>
        <v>252026000</v>
      </c>
      <c r="N191" s="211">
        <f>SUMIF($A$6:$A$190,$A191,$N$6:$N$190)</f>
        <v>277234000</v>
      </c>
      <c r="O191" s="211">
        <f>SUMIF($A$6:$A$190,$A191,$O$6:$O$190)</f>
        <v>100819000</v>
      </c>
      <c r="P191" s="211">
        <f t="shared" si="2"/>
        <v>2973980000</v>
      </c>
    </row>
    <row r="192" spans="1:16" s="143" customFormat="1" ht="36.75" customHeight="1">
      <c r="A192" s="528" t="s">
        <v>401</v>
      </c>
      <c r="B192" s="528"/>
      <c r="C192" s="56" t="s">
        <v>72</v>
      </c>
      <c r="D192" s="211">
        <f>SUMIF($A$6:$A$190,$A192,$D$6:$D$190)</f>
        <v>267610000</v>
      </c>
      <c r="E192" s="211">
        <f>SUMIF($A$6:$A$190,$A192,$E$6:$E$190)</f>
        <v>205858000</v>
      </c>
      <c r="F192" s="211">
        <f>SUMIF($A$6:$A$190,$A192,$F$6:$F$190)</f>
        <v>205858000</v>
      </c>
      <c r="G192" s="211">
        <f>SUMIF($A$6:$A$190,$A192,$G$6:$G$190)</f>
        <v>195561000</v>
      </c>
      <c r="H192" s="211">
        <f>SUMIF($A$6:$A$190,$A192,$H$6:$H$190)</f>
        <v>226451000</v>
      </c>
      <c r="I192" s="211">
        <f>SUMIF($A$6:$A$190,$A192,$I$6:$I$190)</f>
        <v>195561000</v>
      </c>
      <c r="J192" s="211">
        <f>SUMIF($A$6:$A$190,$A192,$J$6:$J$190)</f>
        <v>195561000</v>
      </c>
      <c r="K192" s="211">
        <f>SUMIF($A$6:$A$190,$A192,$K$6:$K$190)</f>
        <v>226451000</v>
      </c>
      <c r="L192" s="211">
        <f>SUMIF($A$6:$A$190,$A192,$L$6:$L$190)</f>
        <v>195561000</v>
      </c>
      <c r="M192" s="211">
        <f>SUMIF($A$6:$A$190,$A192,$M$6:$M$190)</f>
        <v>205858000</v>
      </c>
      <c r="N192" s="211">
        <f>SUMIF($A$6:$A$190,$A192,$N$6:$N$190)</f>
        <v>226451000</v>
      </c>
      <c r="O192" s="211">
        <f>SUMIF($A$6:$A$190,$A192,$O$6:$O$190)</f>
        <v>82349000</v>
      </c>
      <c r="P192" s="211">
        <f t="shared" si="2"/>
        <v>2429130000</v>
      </c>
    </row>
    <row r="193" spans="1:16" s="143" customFormat="1" ht="36.75" customHeight="1">
      <c r="A193" s="528" t="s">
        <v>211</v>
      </c>
      <c r="B193" s="528"/>
      <c r="C193" s="56" t="s">
        <v>72</v>
      </c>
      <c r="D193" s="211">
        <f>SUMIF($A$6:$A$190,$A193,$D$6:$D$190)</f>
        <v>211383000</v>
      </c>
      <c r="E193" s="211">
        <f>SUMIF($A$6:$A$190,$A193,$E$6:$E$190)</f>
        <v>162607000</v>
      </c>
      <c r="F193" s="211">
        <f>SUMIF($A$6:$A$190,$A193,$F$6:$F$190)</f>
        <v>162607000</v>
      </c>
      <c r="G193" s="211">
        <f>SUMIF($A$6:$A$190,$A193,$G$6:$G$190)</f>
        <v>154469000</v>
      </c>
      <c r="H193" s="211">
        <f>SUMIF($A$6:$A$190,$A193,$H$6:$H$190)</f>
        <v>178867000</v>
      </c>
      <c r="I193" s="211">
        <f>SUMIF($A$6:$A$190,$A193,$I$6:$I$190)</f>
        <v>154469000</v>
      </c>
      <c r="J193" s="211">
        <f>SUMIF($A$6:$A$190,$A193,$J$6:$J$190)</f>
        <v>154469000</v>
      </c>
      <c r="K193" s="211">
        <f>SUMIF($A$6:$A$190,$A193,$K$6:$K$190)</f>
        <v>178867000</v>
      </c>
      <c r="L193" s="211">
        <f>SUMIF($A$6:$A$190,$A193,$L$6:$L$190)</f>
        <v>154469000</v>
      </c>
      <c r="M193" s="211">
        <f>SUMIF($A$6:$A$190,$A193,$M$6:$M$190)</f>
        <v>162607000</v>
      </c>
      <c r="N193" s="211">
        <f>SUMIF($A$6:$A$190,$A193,$N$6:$N$190)</f>
        <v>178867000</v>
      </c>
      <c r="O193" s="211">
        <f>SUMIF($A$6:$A$190,$A193,$O$6:$O$190)</f>
        <v>65029000</v>
      </c>
      <c r="P193" s="211">
        <f t="shared" si="2"/>
        <v>1918710000</v>
      </c>
    </row>
    <row r="194" spans="1:16" s="143" customFormat="1" ht="36.75" customHeight="1">
      <c r="A194" s="528" t="s">
        <v>33</v>
      </c>
      <c r="B194" s="528"/>
      <c r="C194" s="56" t="s">
        <v>72</v>
      </c>
      <c r="D194" s="211">
        <f>SUMIF($A$6:$A$190,$A194,$D$6:$D$190)</f>
        <v>241979000</v>
      </c>
      <c r="E194" s="211">
        <f>SUMIF($A$6:$A$190,$A194,$E$6:$E$190)</f>
        <v>186139000</v>
      </c>
      <c r="F194" s="211">
        <f>SUMIF($A$6:$A$190,$A194,$F$6:$F$190)</f>
        <v>186139000</v>
      </c>
      <c r="G194" s="211">
        <f>SUMIF($A$6:$A$190,$A194,$G$6:$G$190)</f>
        <v>176828000</v>
      </c>
      <c r="H194" s="211">
        <f>SUMIF($A$6:$A$190,$A194,$H$6:$H$190)</f>
        <v>204745000</v>
      </c>
      <c r="I194" s="211">
        <f>SUMIF($A$6:$A$190,$A194,$I$6:$I$190)</f>
        <v>176828000</v>
      </c>
      <c r="J194" s="211">
        <f>SUMIF($A$6:$A$190,$A194,$J$6:$J$190)</f>
        <v>176828000</v>
      </c>
      <c r="K194" s="211">
        <f>SUMIF($A$6:$A$190,$A194,$K$6:$K$190)</f>
        <v>204745000</v>
      </c>
      <c r="L194" s="211">
        <f>SUMIF($A$6:$A$190,$A194,$L$6:$L$190)</f>
        <v>176828000</v>
      </c>
      <c r="M194" s="211">
        <f>SUMIF($A$6:$A$190,$A194,$M$6:$M$190)</f>
        <v>186139000</v>
      </c>
      <c r="N194" s="211">
        <f>SUMIF($A$6:$A$190,$A194,$N$6:$N$190)</f>
        <v>204745000</v>
      </c>
      <c r="O194" s="211">
        <f>SUMIF($A$6:$A$190,$A194,$O$6:$O$190)</f>
        <v>74487000</v>
      </c>
      <c r="P194" s="211">
        <f t="shared" si="2"/>
        <v>2196430000</v>
      </c>
    </row>
    <row r="195" spans="1:16" s="143" customFormat="1" ht="36.75" customHeight="1">
      <c r="A195" s="528" t="s">
        <v>48</v>
      </c>
      <c r="B195" s="528"/>
      <c r="C195" s="56" t="s">
        <v>72</v>
      </c>
      <c r="D195" s="211">
        <f>SUMIF($A$6:$A$190,$A195,$D$6:$D$190)</f>
        <v>251380000</v>
      </c>
      <c r="E195" s="211">
        <f>SUMIF($A$6:$A$190,$A195,$E$6:$E$190)</f>
        <v>193370000</v>
      </c>
      <c r="F195" s="211">
        <f>SUMIF($A$6:$A$190,$A195,$F$6:$F$190)</f>
        <v>193370000</v>
      </c>
      <c r="G195" s="211">
        <f>SUMIF($A$6:$A$190,$A195,$G$6:$G$190)</f>
        <v>183699000</v>
      </c>
      <c r="H195" s="211">
        <f>SUMIF($A$6:$A$190,$A195,$H$6:$H$190)</f>
        <v>212707000</v>
      </c>
      <c r="I195" s="211">
        <f>SUMIF($A$6:$A$190,$A195,$I$6:$I$190)</f>
        <v>183699000</v>
      </c>
      <c r="J195" s="211">
        <f>SUMIF($A$6:$A$190,$A195,$J$6:$J$190)</f>
        <v>183699000</v>
      </c>
      <c r="K195" s="211">
        <f>SUMIF($A$6:$A$190,$A195,$K$6:$K$190)</f>
        <v>212707000</v>
      </c>
      <c r="L195" s="211">
        <f>SUMIF($A$6:$A$190,$A195,$L$6:$L$190)</f>
        <v>183699000</v>
      </c>
      <c r="M195" s="211">
        <f>SUMIF($A$6:$A$190,$A195,$M$6:$M$190)</f>
        <v>193370000</v>
      </c>
      <c r="N195" s="211">
        <f>SUMIF($A$6:$A$190,$A195,$N$6:$N$190)</f>
        <v>212707000</v>
      </c>
      <c r="O195" s="211">
        <f>SUMIF($A$6:$A$190,$A195,$O$6:$O$190)</f>
        <v>77343000</v>
      </c>
      <c r="P195" s="211">
        <f t="shared" si="2"/>
        <v>2281750000</v>
      </c>
    </row>
    <row r="196" spans="1:16" s="40" customFormat="1" ht="36.75" customHeight="1">
      <c r="A196" s="529" t="s">
        <v>419</v>
      </c>
      <c r="B196" s="530"/>
      <c r="C196" s="531"/>
      <c r="D196" s="211">
        <f t="shared" ref="D196:O196" si="3">SUM(D191:D195)</f>
        <v>1299993000</v>
      </c>
      <c r="E196" s="211">
        <f t="shared" si="3"/>
        <v>1000000000</v>
      </c>
      <c r="F196" s="211">
        <f t="shared" si="3"/>
        <v>1000000000</v>
      </c>
      <c r="G196" s="211">
        <f t="shared" si="3"/>
        <v>949992000</v>
      </c>
      <c r="H196" s="211">
        <f t="shared" si="3"/>
        <v>1100004000</v>
      </c>
      <c r="I196" s="211">
        <f t="shared" si="3"/>
        <v>949992000</v>
      </c>
      <c r="J196" s="211">
        <f t="shared" si="3"/>
        <v>949992000</v>
      </c>
      <c r="K196" s="211">
        <f t="shared" si="3"/>
        <v>1100004000</v>
      </c>
      <c r="L196" s="211">
        <f t="shared" si="3"/>
        <v>949992000</v>
      </c>
      <c r="M196" s="211">
        <f t="shared" si="3"/>
        <v>1000000000</v>
      </c>
      <c r="N196" s="211">
        <f t="shared" si="3"/>
        <v>1100004000</v>
      </c>
      <c r="O196" s="211">
        <f t="shared" si="3"/>
        <v>400027000</v>
      </c>
      <c r="P196" s="211">
        <f t="shared" si="2"/>
        <v>11800000000</v>
      </c>
    </row>
  </sheetData>
  <mergeCells count="10">
    <mergeCell ref="A193:B193"/>
    <mergeCell ref="A194:B194"/>
    <mergeCell ref="A195:B195"/>
    <mergeCell ref="A196:C196"/>
    <mergeCell ref="A2:P2"/>
    <mergeCell ref="A4:A5"/>
    <mergeCell ref="B4:B5"/>
    <mergeCell ref="C4:C5"/>
    <mergeCell ref="A191:B191"/>
    <mergeCell ref="A192:B192"/>
  </mergeCells>
  <phoneticPr fontId="13" type="noConversion"/>
  <printOptions horizontalCentered="1"/>
  <pageMargins left="0.55118110236220474" right="0.55118110236220474" top="0.39370078740157483" bottom="0.78740157480314965" header="0.51181102362204722" footer="0.39370078740157483"/>
  <pageSetup paperSize="9" scale="48" fitToHeight="0" orientation="landscape" r:id="rId1"/>
  <headerFooter alignWithMargins="0">
    <oddHeader>&amp;R&amp;"標楷體,標準"附件二</oddHeader>
    <oddFooter>第 &amp;P 頁，共 &amp;N 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196"/>
  <sheetViews>
    <sheetView view="pageBreakPreview" zoomScale="85" zoomScaleNormal="100" zoomScaleSheetLayoutView="85" workbookViewId="0">
      <pane ySplit="5" topLeftCell="A6" activePane="bottomLeft" state="frozen"/>
      <selection pane="bottomLeft" activeCell="G13" sqref="G13"/>
    </sheetView>
  </sheetViews>
  <sheetFormatPr defaultColWidth="9" defaultRowHeight="16.5"/>
  <cols>
    <col min="1" max="1" width="12.5" style="45" bestFit="1" customWidth="1"/>
    <col min="2" max="2" width="11.875" style="45" customWidth="1"/>
    <col min="3" max="3" width="21.375" style="45" bestFit="1" customWidth="1"/>
    <col min="4" max="9" width="16.125" style="46" customWidth="1"/>
    <col min="10" max="11" width="16.125" style="47" customWidth="1"/>
    <col min="12" max="15" width="16.125" style="45" customWidth="1"/>
    <col min="16" max="16" width="19.25" style="45" bestFit="1" customWidth="1"/>
    <col min="17" max="16384" width="9" style="45"/>
  </cols>
  <sheetData>
    <row r="1" spans="1:16">
      <c r="B1" s="45">
        <v>1</v>
      </c>
      <c r="C1" s="45">
        <v>2</v>
      </c>
      <c r="D1" s="45">
        <v>3</v>
      </c>
      <c r="E1" s="45">
        <v>4</v>
      </c>
      <c r="F1" s="45">
        <v>5</v>
      </c>
      <c r="G1" s="45">
        <v>6</v>
      </c>
      <c r="H1" s="45">
        <v>7</v>
      </c>
      <c r="I1" s="45">
        <v>8</v>
      </c>
      <c r="J1" s="45">
        <v>9</v>
      </c>
      <c r="K1" s="45">
        <v>10</v>
      </c>
      <c r="L1" s="45">
        <v>11</v>
      </c>
      <c r="M1" s="45">
        <v>12</v>
      </c>
      <c r="N1" s="45">
        <v>13</v>
      </c>
      <c r="O1" s="45">
        <v>14</v>
      </c>
      <c r="P1" s="45">
        <v>15</v>
      </c>
    </row>
    <row r="2" spans="1:16" s="140" customFormat="1" ht="43.5" customHeight="1">
      <c r="A2" s="532" t="s">
        <v>1878</v>
      </c>
      <c r="B2" s="532"/>
      <c r="C2" s="532"/>
      <c r="D2" s="532"/>
      <c r="E2" s="532"/>
      <c r="F2" s="532"/>
      <c r="G2" s="532"/>
      <c r="H2" s="532"/>
      <c r="I2" s="532"/>
      <c r="J2" s="532"/>
      <c r="K2" s="532"/>
      <c r="L2" s="532"/>
      <c r="M2" s="532"/>
      <c r="N2" s="532"/>
      <c r="O2" s="532"/>
      <c r="P2" s="532"/>
    </row>
    <row r="3" spans="1:16" ht="17.100000000000001" customHeight="1">
      <c r="I3" s="118"/>
      <c r="K3" s="48"/>
      <c r="P3" s="118" t="s">
        <v>451</v>
      </c>
    </row>
    <row r="4" spans="1:16" s="142" customFormat="1" ht="48" customHeight="1">
      <c r="A4" s="520" t="s">
        <v>414</v>
      </c>
      <c r="B4" s="522" t="s">
        <v>128</v>
      </c>
      <c r="C4" s="524" t="s">
        <v>456</v>
      </c>
      <c r="D4" s="54" t="s">
        <v>600</v>
      </c>
      <c r="E4" s="54" t="s">
        <v>601</v>
      </c>
      <c r="F4" s="54" t="s">
        <v>602</v>
      </c>
      <c r="G4" s="54" t="s">
        <v>603</v>
      </c>
      <c r="H4" s="54" t="s">
        <v>604</v>
      </c>
      <c r="I4" s="54" t="s">
        <v>605</v>
      </c>
      <c r="J4" s="53" t="s">
        <v>606</v>
      </c>
      <c r="K4" s="53" t="s">
        <v>607</v>
      </c>
      <c r="L4" s="53" t="s">
        <v>608</v>
      </c>
      <c r="M4" s="53" t="s">
        <v>609</v>
      </c>
      <c r="N4" s="53" t="s">
        <v>610</v>
      </c>
      <c r="O4" s="53" t="s">
        <v>629</v>
      </c>
      <c r="P4" s="53" t="s">
        <v>210</v>
      </c>
    </row>
    <row r="5" spans="1:16" s="102" customFormat="1" ht="32.25" customHeight="1">
      <c r="A5" s="521"/>
      <c r="B5" s="523"/>
      <c r="C5" s="525"/>
      <c r="D5" s="137" t="s">
        <v>397</v>
      </c>
      <c r="E5" s="137" t="s">
        <v>398</v>
      </c>
      <c r="F5" s="137" t="s">
        <v>407</v>
      </c>
      <c r="G5" s="137" t="s">
        <v>438</v>
      </c>
      <c r="H5" s="137" t="s">
        <v>442</v>
      </c>
      <c r="I5" s="137" t="s">
        <v>630</v>
      </c>
      <c r="J5" s="137" t="s">
        <v>631</v>
      </c>
      <c r="K5" s="134" t="s">
        <v>632</v>
      </c>
      <c r="L5" s="212" t="s">
        <v>633</v>
      </c>
      <c r="M5" s="212" t="s">
        <v>634</v>
      </c>
      <c r="N5" s="212" t="s">
        <v>635</v>
      </c>
      <c r="O5" s="212" t="s">
        <v>636</v>
      </c>
      <c r="P5" s="213" t="s">
        <v>637</v>
      </c>
    </row>
    <row r="6" spans="1:16" s="143" customFormat="1" ht="36.75" customHeight="1">
      <c r="A6" s="55" t="s">
        <v>0</v>
      </c>
      <c r="B6" s="136">
        <v>100</v>
      </c>
      <c r="C6" s="55" t="s">
        <v>131</v>
      </c>
      <c r="D6" s="211">
        <f>VLOOKUP(B6,財管手收各月!B:P, 3, 0) *0.55</f>
        <v>6291450.0000000009</v>
      </c>
      <c r="E6" s="211">
        <f>VLOOKUP(B6,財管手收各月!B:P, 4, 0) *0.55</f>
        <v>4840000</v>
      </c>
      <c r="F6" s="211">
        <f>VLOOKUP(B6,財管手收各月!B:P, 5, 0) *0.55</f>
        <v>4840000</v>
      </c>
      <c r="G6" s="211">
        <f>VLOOKUP(B6,財管手收各月!B:P, 6, 0) *0.55</f>
        <v>4598550</v>
      </c>
      <c r="H6" s="211">
        <f>VLOOKUP(B6,財管手收各月!B:P, 7, 0) *0.55</f>
        <v>5324550</v>
      </c>
      <c r="I6" s="211">
        <f>VLOOKUP(B6,財管手收各月!B:P, 8, 0) *0.55</f>
        <v>4598550</v>
      </c>
      <c r="J6" s="211">
        <f>VLOOKUP(B6,財管手收各月!B:P, 9, 0) *0.55</f>
        <v>4598550</v>
      </c>
      <c r="K6" s="211">
        <f>VLOOKUP(B6,財管手收各月!B:P, 10, 0) *0.55</f>
        <v>5324550</v>
      </c>
      <c r="L6" s="211">
        <f>VLOOKUP(B6,財管手收各月!B:P, 11, 0) *0.55</f>
        <v>4598550</v>
      </c>
      <c r="M6" s="211">
        <f>VLOOKUP(B6,財管手收各月!B:P, 12, 0) *0.55</f>
        <v>4840000</v>
      </c>
      <c r="N6" s="211">
        <f>VLOOKUP(B6,財管手收各月!B:P, 13, 0) *0.55</f>
        <v>5324550</v>
      </c>
      <c r="O6" s="211">
        <f>VLOOKUP(B6,財管手收各月!B:P, 14, 0) *0.55</f>
        <v>1932700.0000000002</v>
      </c>
      <c r="P6" s="211">
        <f>SUM(D6:O6)</f>
        <v>57112000</v>
      </c>
    </row>
    <row r="7" spans="1:16" s="143" customFormat="1" ht="36.75" customHeight="1">
      <c r="A7" s="55" t="s">
        <v>0</v>
      </c>
      <c r="B7" s="136">
        <v>101</v>
      </c>
      <c r="C7" s="55" t="s">
        <v>132</v>
      </c>
      <c r="D7" s="211">
        <f>VLOOKUP(B7,財管手收各月!B:P, 3, 0) *0.55</f>
        <v>2177450</v>
      </c>
      <c r="E7" s="211">
        <f>VLOOKUP(B7,財管手收各月!B:P, 4, 0) *0.55</f>
        <v>1674750.0000000002</v>
      </c>
      <c r="F7" s="211">
        <f>VLOOKUP(B7,財管手收各月!B:P, 5, 0) *0.55</f>
        <v>1674750.0000000002</v>
      </c>
      <c r="G7" s="211">
        <f>VLOOKUP(B7,財管手收各月!B:P, 6, 0) *0.55</f>
        <v>1590600.0000000002</v>
      </c>
      <c r="H7" s="211">
        <f>VLOOKUP(B7,財管手收各月!B:P, 7, 0) *0.55</f>
        <v>1841950.0000000002</v>
      </c>
      <c r="I7" s="211">
        <f>VLOOKUP(B7,財管手收各月!B:P, 8, 0) *0.55</f>
        <v>1590600.0000000002</v>
      </c>
      <c r="J7" s="211">
        <f>VLOOKUP(B7,財管手收各月!B:P, 9, 0) *0.55</f>
        <v>1590600.0000000002</v>
      </c>
      <c r="K7" s="211">
        <f>VLOOKUP(B7,財管手收各月!B:P, 10, 0) *0.55</f>
        <v>1841950.0000000002</v>
      </c>
      <c r="L7" s="211">
        <f>VLOOKUP(B7,財管手收各月!B:P, 11, 0) *0.55</f>
        <v>1590600.0000000002</v>
      </c>
      <c r="M7" s="211">
        <f>VLOOKUP(B7,財管手收各月!B:P, 12, 0) *0.55</f>
        <v>1674750.0000000002</v>
      </c>
      <c r="N7" s="211">
        <f>VLOOKUP(B7,財管手收各月!B:P, 13, 0) *0.55</f>
        <v>1841950.0000000002</v>
      </c>
      <c r="O7" s="211">
        <f>VLOOKUP(B7,財管手收各月!B:P, 14, 0) *0.55</f>
        <v>671550</v>
      </c>
      <c r="P7" s="211">
        <f t="shared" ref="P7:P70" si="0">SUM(D7:O7)</f>
        <v>19761500</v>
      </c>
    </row>
    <row r="8" spans="1:16" s="143" customFormat="1" ht="36.75" customHeight="1">
      <c r="A8" s="55" t="s">
        <v>0</v>
      </c>
      <c r="B8" s="136">
        <v>103</v>
      </c>
      <c r="C8" s="55" t="s">
        <v>133</v>
      </c>
      <c r="D8" s="211">
        <f>VLOOKUP(B8,財管手收各月!B:P, 3, 0) *0.55</f>
        <v>2679600</v>
      </c>
      <c r="E8" s="211">
        <f>VLOOKUP(B8,財管手收各月!B:P, 4, 0) *0.55</f>
        <v>2061400.0000000002</v>
      </c>
      <c r="F8" s="211">
        <f>VLOOKUP(B8,財管手收各月!B:P, 5, 0) *0.55</f>
        <v>2061400.0000000002</v>
      </c>
      <c r="G8" s="211">
        <f>VLOOKUP(B8,財管手收各月!B:P, 6, 0) *0.55</f>
        <v>1958000.0000000002</v>
      </c>
      <c r="H8" s="211">
        <f>VLOOKUP(B8,財管手收各月!B:P, 7, 0) *0.55</f>
        <v>2267100</v>
      </c>
      <c r="I8" s="211">
        <f>VLOOKUP(B8,財管手收各月!B:P, 8, 0) *0.55</f>
        <v>1958000.0000000002</v>
      </c>
      <c r="J8" s="211">
        <f>VLOOKUP(B8,財管手收各月!B:P, 9, 0) *0.55</f>
        <v>1958000.0000000002</v>
      </c>
      <c r="K8" s="211">
        <f>VLOOKUP(B8,財管手收各月!B:P, 10, 0) *0.55</f>
        <v>2267100</v>
      </c>
      <c r="L8" s="211">
        <f>VLOOKUP(B8,財管手收各月!B:P, 11, 0) *0.55</f>
        <v>1958000.0000000002</v>
      </c>
      <c r="M8" s="211">
        <f>VLOOKUP(B8,財管手收各月!B:P, 12, 0) *0.55</f>
        <v>2061400.0000000002</v>
      </c>
      <c r="N8" s="211">
        <f>VLOOKUP(B8,財管手收各月!B:P, 13, 0) *0.55</f>
        <v>2267100</v>
      </c>
      <c r="O8" s="211">
        <f>VLOOKUP(B8,財管手收各月!B:P, 14, 0) *0.55</f>
        <v>823900.00000000012</v>
      </c>
      <c r="P8" s="211">
        <f t="shared" si="0"/>
        <v>24321000</v>
      </c>
    </row>
    <row r="9" spans="1:16" s="143" customFormat="1" ht="36.75" customHeight="1">
      <c r="A9" s="55" t="s">
        <v>0</v>
      </c>
      <c r="B9" s="136">
        <v>104</v>
      </c>
      <c r="C9" s="55" t="s">
        <v>134</v>
      </c>
      <c r="D9" s="211">
        <f>VLOOKUP(B9,財管手收各月!B:P, 3, 0) *0.55</f>
        <v>4580400</v>
      </c>
      <c r="E9" s="211">
        <f>VLOOKUP(B9,財管手收各月!B:P, 4, 0) *0.55</f>
        <v>3523300.0000000005</v>
      </c>
      <c r="F9" s="211">
        <f>VLOOKUP(B9,財管手收各月!B:P, 5, 0) *0.55</f>
        <v>3523300.0000000005</v>
      </c>
      <c r="G9" s="211">
        <f>VLOOKUP(B9,財管手收各月!B:P, 6, 0) *0.55</f>
        <v>3347300.0000000005</v>
      </c>
      <c r="H9" s="211">
        <f>VLOOKUP(B9,財管手收各月!B:P, 7, 0) *0.55</f>
        <v>3875850.0000000005</v>
      </c>
      <c r="I9" s="211">
        <f>VLOOKUP(B9,財管手收各月!B:P, 8, 0) *0.55</f>
        <v>3347300.0000000005</v>
      </c>
      <c r="J9" s="211">
        <f>VLOOKUP(B9,財管手收各月!B:P, 9, 0) *0.55</f>
        <v>3347300.0000000005</v>
      </c>
      <c r="K9" s="211">
        <f>VLOOKUP(B9,財管手收各月!B:P, 10, 0) *0.55</f>
        <v>3875850.0000000005</v>
      </c>
      <c r="L9" s="211">
        <f>VLOOKUP(B9,財管手收各月!B:P, 11, 0) *0.55</f>
        <v>3347300.0000000005</v>
      </c>
      <c r="M9" s="211">
        <f>VLOOKUP(B9,財管手收各月!B:P, 12, 0) *0.55</f>
        <v>3523300.0000000005</v>
      </c>
      <c r="N9" s="211">
        <f>VLOOKUP(B9,財管手收各月!B:P, 13, 0) *0.55</f>
        <v>3875850.0000000005</v>
      </c>
      <c r="O9" s="211">
        <f>VLOOKUP(B9,財管手收各月!B:P, 14, 0) *0.55</f>
        <v>1407450</v>
      </c>
      <c r="P9" s="211">
        <f t="shared" si="0"/>
        <v>41574500</v>
      </c>
    </row>
    <row r="10" spans="1:16" s="143" customFormat="1" ht="36.75" customHeight="1">
      <c r="A10" s="55" t="s">
        <v>0</v>
      </c>
      <c r="B10" s="136">
        <v>105</v>
      </c>
      <c r="C10" s="55" t="s">
        <v>135</v>
      </c>
      <c r="D10" s="211">
        <f>VLOOKUP(B10,財管手收各月!B:P, 3, 0) *0.55</f>
        <v>3462250.0000000005</v>
      </c>
      <c r="E10" s="211">
        <f>VLOOKUP(B10,財管手收各月!B:P, 4, 0) *0.55</f>
        <v>2663650</v>
      </c>
      <c r="F10" s="211">
        <f>VLOOKUP(B10,財管手收各月!B:P, 5, 0) *0.55</f>
        <v>2663650</v>
      </c>
      <c r="G10" s="211">
        <f>VLOOKUP(B10,財管手收各月!B:P, 6, 0) *0.55</f>
        <v>2530550</v>
      </c>
      <c r="H10" s="211">
        <f>VLOOKUP(B10,財管手收各月!B:P, 7, 0) *0.55</f>
        <v>2929300.0000000005</v>
      </c>
      <c r="I10" s="211">
        <f>VLOOKUP(B10,財管手收各月!B:P, 8, 0) *0.55</f>
        <v>2530550</v>
      </c>
      <c r="J10" s="211">
        <f>VLOOKUP(B10,財管手收各月!B:P, 9, 0) *0.55</f>
        <v>2530550</v>
      </c>
      <c r="K10" s="211">
        <f>VLOOKUP(B10,財管手收各月!B:P, 10, 0) *0.55</f>
        <v>2929300.0000000005</v>
      </c>
      <c r="L10" s="211">
        <f>VLOOKUP(B10,財管手收各月!B:P, 11, 0) *0.55</f>
        <v>2530550</v>
      </c>
      <c r="M10" s="211">
        <f>VLOOKUP(B10,財管手收各月!B:P, 12, 0) *0.55</f>
        <v>2663650</v>
      </c>
      <c r="N10" s="211">
        <f>VLOOKUP(B10,財管手收各月!B:P, 13, 0) *0.55</f>
        <v>2929300.0000000005</v>
      </c>
      <c r="O10" s="211">
        <f>VLOOKUP(B10,財管手收各月!B:P, 14, 0) *0.55</f>
        <v>1063700</v>
      </c>
      <c r="P10" s="211">
        <f t="shared" si="0"/>
        <v>31427000</v>
      </c>
    </row>
    <row r="11" spans="1:16" s="143" customFormat="1" ht="36.75" customHeight="1">
      <c r="A11" s="55" t="s">
        <v>0</v>
      </c>
      <c r="B11" s="136">
        <v>106</v>
      </c>
      <c r="C11" s="55" t="s">
        <v>136</v>
      </c>
      <c r="D11" s="211">
        <f>VLOOKUP(B11,財管手收各月!B:P, 3, 0) *0.55</f>
        <v>6015350.0000000009</v>
      </c>
      <c r="E11" s="211">
        <f>VLOOKUP(B11,財管手收各月!B:P, 4, 0) *0.55</f>
        <v>4627150</v>
      </c>
      <c r="F11" s="211">
        <f>VLOOKUP(B11,財管手收各月!B:P, 5, 0) *0.55</f>
        <v>4627150</v>
      </c>
      <c r="G11" s="211">
        <f>VLOOKUP(B11,財管手收各月!B:P, 6, 0) *0.55</f>
        <v>4396700</v>
      </c>
      <c r="H11" s="211">
        <f>VLOOKUP(B11,財管手收各月!B:P, 7, 0) *0.55</f>
        <v>5090250</v>
      </c>
      <c r="I11" s="211">
        <f>VLOOKUP(B11,財管手收各月!B:P, 8, 0) *0.55</f>
        <v>4396700</v>
      </c>
      <c r="J11" s="211">
        <f>VLOOKUP(B11,財管手收各月!B:P, 9, 0) *0.55</f>
        <v>4396700</v>
      </c>
      <c r="K11" s="211">
        <f>VLOOKUP(B11,財管手收各月!B:P, 10, 0) *0.55</f>
        <v>5090250</v>
      </c>
      <c r="L11" s="211">
        <f>VLOOKUP(B11,財管手收各月!B:P, 11, 0) *0.55</f>
        <v>4396700</v>
      </c>
      <c r="M11" s="211">
        <f>VLOOKUP(B11,財管手收各月!B:P, 12, 0) *0.55</f>
        <v>4627150</v>
      </c>
      <c r="N11" s="211">
        <f>VLOOKUP(B11,財管手收各月!B:P, 13, 0) *0.55</f>
        <v>5090250</v>
      </c>
      <c r="O11" s="211">
        <f>VLOOKUP(B11,財管手收各月!B:P, 14, 0) *0.55</f>
        <v>1849650.0000000002</v>
      </c>
      <c r="P11" s="211">
        <f t="shared" si="0"/>
        <v>54604000</v>
      </c>
    </row>
    <row r="12" spans="1:16" s="143" customFormat="1" ht="36.75" customHeight="1">
      <c r="A12" s="55" t="s">
        <v>0</v>
      </c>
      <c r="B12" s="136">
        <v>107</v>
      </c>
      <c r="C12" s="55" t="s">
        <v>73</v>
      </c>
      <c r="D12" s="211">
        <f>VLOOKUP(B12,財管手收各月!B:P, 3, 0) *0.55</f>
        <v>7156050.0000000009</v>
      </c>
      <c r="E12" s="211">
        <f>VLOOKUP(B12,財管手收各月!B:P, 4, 0) *0.55</f>
        <v>5504950</v>
      </c>
      <c r="F12" s="211">
        <f>VLOOKUP(B12,財管手收各月!B:P, 5, 0) *0.55</f>
        <v>5504950</v>
      </c>
      <c r="G12" s="211">
        <f>VLOOKUP(B12,財管手收各月!B:P, 6, 0) *0.55</f>
        <v>5229400</v>
      </c>
      <c r="H12" s="211">
        <f>VLOOKUP(B12,財管手收各月!B:P, 7, 0) *0.55</f>
        <v>6054950.0000000009</v>
      </c>
      <c r="I12" s="211">
        <f>VLOOKUP(B12,財管手收各月!B:P, 8, 0) *0.55</f>
        <v>5229400</v>
      </c>
      <c r="J12" s="211">
        <f>VLOOKUP(B12,財管手收各月!B:P, 9, 0) *0.55</f>
        <v>5229400</v>
      </c>
      <c r="K12" s="211">
        <f>VLOOKUP(B12,財管手收各月!B:P, 10, 0) *0.55</f>
        <v>6054950.0000000009</v>
      </c>
      <c r="L12" s="211">
        <f>VLOOKUP(B12,財管手收各月!B:P, 11, 0) *0.55</f>
        <v>5229400</v>
      </c>
      <c r="M12" s="211">
        <f>VLOOKUP(B12,財管手收各月!B:P, 12, 0) *0.55</f>
        <v>5504950</v>
      </c>
      <c r="N12" s="211">
        <f>VLOOKUP(B12,財管手收各月!B:P, 13, 0) *0.55</f>
        <v>6054950.0000000009</v>
      </c>
      <c r="O12" s="211">
        <f>VLOOKUP(B12,財管手收各月!B:P, 14, 0) *0.55</f>
        <v>2201650</v>
      </c>
      <c r="P12" s="211">
        <f t="shared" si="0"/>
        <v>64955000</v>
      </c>
    </row>
    <row r="13" spans="1:16" s="143" customFormat="1" ht="36.75" customHeight="1">
      <c r="A13" s="55" t="s">
        <v>0</v>
      </c>
      <c r="B13" s="136">
        <v>108</v>
      </c>
      <c r="C13" s="55" t="s">
        <v>1</v>
      </c>
      <c r="D13" s="211">
        <f>VLOOKUP(B13,財管手收各月!B:P, 3, 0) *0.55</f>
        <v>7755550.0000000009</v>
      </c>
      <c r="E13" s="211">
        <f>VLOOKUP(B13,財管手收各月!B:P, 4, 0) *0.55</f>
        <v>5965850.0000000009</v>
      </c>
      <c r="F13" s="211">
        <f>VLOOKUP(B13,財管手收各月!B:P, 5, 0) *0.55</f>
        <v>5965850.0000000009</v>
      </c>
      <c r="G13" s="211">
        <f>VLOOKUP(B13,財管手收各月!B:P, 6, 0) *0.55</f>
        <v>5667750</v>
      </c>
      <c r="H13" s="211">
        <f>VLOOKUP(B13,財管手收各月!B:P, 7, 0) *0.55</f>
        <v>6562600.0000000009</v>
      </c>
      <c r="I13" s="211">
        <f>VLOOKUP(B13,財管手收各月!B:P, 8, 0) *0.55</f>
        <v>5667750</v>
      </c>
      <c r="J13" s="211">
        <f>VLOOKUP(B13,財管手收各月!B:P, 9, 0) *0.55</f>
        <v>5667750</v>
      </c>
      <c r="K13" s="211">
        <f>VLOOKUP(B13,財管手收各月!B:P, 10, 0) *0.55</f>
        <v>6562600.0000000009</v>
      </c>
      <c r="L13" s="211">
        <f>VLOOKUP(B13,財管手收各月!B:P, 11, 0) *0.55</f>
        <v>5667750</v>
      </c>
      <c r="M13" s="211">
        <f>VLOOKUP(B13,財管手收各月!B:P, 12, 0) *0.55</f>
        <v>5965850.0000000009</v>
      </c>
      <c r="N13" s="211">
        <f>VLOOKUP(B13,財管手收各月!B:P, 13, 0) *0.55</f>
        <v>6562600.0000000009</v>
      </c>
      <c r="O13" s="211">
        <f>VLOOKUP(B13,財管手收各月!B:P, 14, 0) *0.55</f>
        <v>2388100</v>
      </c>
      <c r="P13" s="211">
        <f t="shared" si="0"/>
        <v>70400000</v>
      </c>
    </row>
    <row r="14" spans="1:16" s="143" customFormat="1" ht="36.75" customHeight="1">
      <c r="A14" s="55" t="s">
        <v>0</v>
      </c>
      <c r="B14" s="136">
        <v>109</v>
      </c>
      <c r="C14" s="55" t="s">
        <v>2</v>
      </c>
      <c r="D14" s="211">
        <f>VLOOKUP(B14,財管手收各月!B:P, 3, 0) *0.55</f>
        <v>2301200</v>
      </c>
      <c r="E14" s="211">
        <f>VLOOKUP(B14,財管手收各月!B:P, 4, 0) *0.55</f>
        <v>1770450.0000000002</v>
      </c>
      <c r="F14" s="211">
        <f>VLOOKUP(B14,財管手收各月!B:P, 5, 0) *0.55</f>
        <v>1770450.0000000002</v>
      </c>
      <c r="G14" s="211">
        <f>VLOOKUP(B14,財管手收各月!B:P, 6, 0) *0.55</f>
        <v>1681900.0000000002</v>
      </c>
      <c r="H14" s="211">
        <f>VLOOKUP(B14,財管手收各月!B:P, 7, 0) *0.55</f>
        <v>1947000.0000000002</v>
      </c>
      <c r="I14" s="211">
        <f>VLOOKUP(B14,財管手收各月!B:P, 8, 0) *0.55</f>
        <v>1681900.0000000002</v>
      </c>
      <c r="J14" s="211">
        <f>VLOOKUP(B14,財管手收各月!B:P, 9, 0) *0.55</f>
        <v>1681900.0000000002</v>
      </c>
      <c r="K14" s="211">
        <f>VLOOKUP(B14,財管手收各月!B:P, 10, 0) *0.55</f>
        <v>1947000.0000000002</v>
      </c>
      <c r="L14" s="211">
        <f>VLOOKUP(B14,財管手收各月!B:P, 11, 0) *0.55</f>
        <v>1681900.0000000002</v>
      </c>
      <c r="M14" s="211">
        <f>VLOOKUP(B14,財管手收各月!B:P, 12, 0) *0.55</f>
        <v>1770450.0000000002</v>
      </c>
      <c r="N14" s="211">
        <f>VLOOKUP(B14,財管手收各月!B:P, 13, 0) *0.55</f>
        <v>1947000.0000000002</v>
      </c>
      <c r="O14" s="211">
        <f>VLOOKUP(B14,財管手收各月!B:P, 14, 0) *0.55</f>
        <v>707850</v>
      </c>
      <c r="P14" s="211">
        <f t="shared" si="0"/>
        <v>20889000</v>
      </c>
    </row>
    <row r="15" spans="1:16" s="143" customFormat="1" ht="36.75" customHeight="1">
      <c r="A15" s="55" t="s">
        <v>0</v>
      </c>
      <c r="B15" s="136">
        <v>110</v>
      </c>
      <c r="C15" s="55" t="s">
        <v>74</v>
      </c>
      <c r="D15" s="211">
        <f>VLOOKUP(B15,財管手收各月!B:P, 3, 0) *0.55</f>
        <v>3604150.0000000005</v>
      </c>
      <c r="E15" s="211">
        <f>VLOOKUP(B15,財管手收各月!B:P, 4, 0) *0.55</f>
        <v>2772000</v>
      </c>
      <c r="F15" s="211">
        <f>VLOOKUP(B15,財管手收各月!B:P, 5, 0) *0.55</f>
        <v>2772000</v>
      </c>
      <c r="G15" s="211">
        <f>VLOOKUP(B15,財管手收各月!B:P, 6, 0) *0.55</f>
        <v>2633950</v>
      </c>
      <c r="H15" s="211">
        <f>VLOOKUP(B15,財管手收各月!B:P, 7, 0) *0.55</f>
        <v>3049750.0000000005</v>
      </c>
      <c r="I15" s="211">
        <f>VLOOKUP(B15,財管手收各月!B:P, 8, 0) *0.55</f>
        <v>2633950</v>
      </c>
      <c r="J15" s="211">
        <f>VLOOKUP(B15,財管手收各月!B:P, 9, 0) *0.55</f>
        <v>2633950</v>
      </c>
      <c r="K15" s="211">
        <f>VLOOKUP(B15,財管手收各月!B:P, 10, 0) *0.55</f>
        <v>3049750.0000000005</v>
      </c>
      <c r="L15" s="211">
        <f>VLOOKUP(B15,財管手收各月!B:P, 11, 0) *0.55</f>
        <v>2633950</v>
      </c>
      <c r="M15" s="211">
        <f>VLOOKUP(B15,財管手收各月!B:P, 12, 0) *0.55</f>
        <v>2772000</v>
      </c>
      <c r="N15" s="211">
        <f>VLOOKUP(B15,財管手收各月!B:P, 13, 0) *0.55</f>
        <v>3049750.0000000005</v>
      </c>
      <c r="O15" s="211">
        <f>VLOOKUP(B15,財管手收各月!B:P, 14, 0) *0.55</f>
        <v>1108800</v>
      </c>
      <c r="P15" s="211">
        <f t="shared" si="0"/>
        <v>32714000</v>
      </c>
    </row>
    <row r="16" spans="1:16" s="143" customFormat="1" ht="36.75" customHeight="1">
      <c r="A16" s="55" t="s">
        <v>0</v>
      </c>
      <c r="B16" s="136">
        <v>111</v>
      </c>
      <c r="C16" s="55" t="s">
        <v>75</v>
      </c>
      <c r="D16" s="211">
        <f>VLOOKUP(B16,財管手收各月!B:P, 3, 0) *0.55</f>
        <v>6170450.0000000009</v>
      </c>
      <c r="E16" s="211">
        <f>VLOOKUP(B16,財管手收各月!B:P, 4, 0) *0.55</f>
        <v>4747050</v>
      </c>
      <c r="F16" s="211">
        <f>VLOOKUP(B16,財管手收各月!B:P, 5, 0) *0.55</f>
        <v>4747050</v>
      </c>
      <c r="G16" s="211">
        <f>VLOOKUP(B16,財管手收各月!B:P, 6, 0) *0.55</f>
        <v>4509450</v>
      </c>
      <c r="H16" s="211">
        <f>VLOOKUP(B16,財管手收各月!B:P, 7, 0) *0.55</f>
        <v>5221700</v>
      </c>
      <c r="I16" s="211">
        <f>VLOOKUP(B16,財管手收各月!B:P, 8, 0) *0.55</f>
        <v>4509450</v>
      </c>
      <c r="J16" s="211">
        <f>VLOOKUP(B16,財管手收各月!B:P, 9, 0) *0.55</f>
        <v>4509450</v>
      </c>
      <c r="K16" s="211">
        <f>VLOOKUP(B16,財管手收各月!B:P, 10, 0) *0.55</f>
        <v>5221700</v>
      </c>
      <c r="L16" s="211">
        <f>VLOOKUP(B16,財管手收各月!B:P, 11, 0) *0.55</f>
        <v>4509450</v>
      </c>
      <c r="M16" s="211">
        <f>VLOOKUP(B16,財管手收各月!B:P, 12, 0) *0.55</f>
        <v>4747050</v>
      </c>
      <c r="N16" s="211">
        <f>VLOOKUP(B16,財管手收各月!B:P, 13, 0) *0.55</f>
        <v>5221700</v>
      </c>
      <c r="O16" s="211">
        <f>VLOOKUP(B16,財管手收各月!B:P, 14, 0) *0.55</f>
        <v>1897500.0000000002</v>
      </c>
      <c r="P16" s="211">
        <f t="shared" si="0"/>
        <v>56012000</v>
      </c>
    </row>
    <row r="17" spans="1:16" s="143" customFormat="1" ht="36.75" customHeight="1">
      <c r="A17" s="55" t="s">
        <v>0</v>
      </c>
      <c r="B17" s="136">
        <v>112</v>
      </c>
      <c r="C17" s="55" t="s">
        <v>137</v>
      </c>
      <c r="D17" s="211">
        <f>VLOOKUP(B17,財管手收各月!B:P, 3, 0) *0.55</f>
        <v>4118950.0000000005</v>
      </c>
      <c r="E17" s="211">
        <f>VLOOKUP(B17,財管手收各月!B:P, 4, 0) *0.55</f>
        <v>3167450.0000000005</v>
      </c>
      <c r="F17" s="211">
        <f>VLOOKUP(B17,財管手收各月!B:P, 5, 0) *0.55</f>
        <v>3167450.0000000005</v>
      </c>
      <c r="G17" s="211">
        <f>VLOOKUP(B17,財管手收各月!B:P, 6, 0) *0.55</f>
        <v>3009600.0000000005</v>
      </c>
      <c r="H17" s="211">
        <f>VLOOKUP(B17,財管手收各月!B:P, 7, 0) *0.55</f>
        <v>3484250.0000000005</v>
      </c>
      <c r="I17" s="211">
        <f>VLOOKUP(B17,財管手收各月!B:P, 8, 0) *0.55</f>
        <v>3009600.0000000005</v>
      </c>
      <c r="J17" s="211">
        <f>VLOOKUP(B17,財管手收各月!B:P, 9, 0) *0.55</f>
        <v>3009600.0000000005</v>
      </c>
      <c r="K17" s="211">
        <f>VLOOKUP(B17,財管手收各月!B:P, 10, 0) *0.55</f>
        <v>3484250.0000000005</v>
      </c>
      <c r="L17" s="211">
        <f>VLOOKUP(B17,財管手收各月!B:P, 11, 0) *0.55</f>
        <v>3009600.0000000005</v>
      </c>
      <c r="M17" s="211">
        <f>VLOOKUP(B17,財管手收各月!B:P, 12, 0) *0.55</f>
        <v>3167450.0000000005</v>
      </c>
      <c r="N17" s="211">
        <f>VLOOKUP(B17,財管手收各月!B:P, 13, 0) *0.55</f>
        <v>3484250.0000000005</v>
      </c>
      <c r="O17" s="211">
        <f>VLOOKUP(B17,財管手收各月!B:P, 14, 0) *0.55</f>
        <v>1271050</v>
      </c>
      <c r="P17" s="211">
        <f t="shared" si="0"/>
        <v>37383500.000000007</v>
      </c>
    </row>
    <row r="18" spans="1:16" s="143" customFormat="1" ht="36.75" customHeight="1">
      <c r="A18" s="55" t="s">
        <v>0</v>
      </c>
      <c r="B18" s="136">
        <v>113</v>
      </c>
      <c r="C18" s="55" t="s">
        <v>3</v>
      </c>
      <c r="D18" s="211">
        <f>VLOOKUP(B18,財管手收各月!B:P, 3, 0) *0.55</f>
        <v>5532450</v>
      </c>
      <c r="E18" s="211">
        <f>VLOOKUP(B18,財管手收各月!B:P, 4, 0) *0.55</f>
        <v>4255350</v>
      </c>
      <c r="F18" s="211">
        <f>VLOOKUP(B18,財管手收各月!B:P, 5, 0) *0.55</f>
        <v>4255350</v>
      </c>
      <c r="G18" s="211">
        <f>VLOOKUP(B18,財管手收各月!B:P, 6, 0) *0.55</f>
        <v>4042500.0000000005</v>
      </c>
      <c r="H18" s="211">
        <f>VLOOKUP(B18,財管手收各月!B:P, 7, 0) *0.55</f>
        <v>4681050</v>
      </c>
      <c r="I18" s="211">
        <f>VLOOKUP(B18,財管手收各月!B:P, 8, 0) *0.55</f>
        <v>4042500.0000000005</v>
      </c>
      <c r="J18" s="211">
        <f>VLOOKUP(B18,財管手收各月!B:P, 9, 0) *0.55</f>
        <v>4042500.0000000005</v>
      </c>
      <c r="K18" s="211">
        <f>VLOOKUP(B18,財管手收各月!B:P, 10, 0) *0.55</f>
        <v>4681050</v>
      </c>
      <c r="L18" s="211">
        <f>VLOOKUP(B18,財管手收各月!B:P, 11, 0) *0.55</f>
        <v>4042500.0000000005</v>
      </c>
      <c r="M18" s="211">
        <f>VLOOKUP(B18,財管手收各月!B:P, 12, 0) *0.55</f>
        <v>4255350</v>
      </c>
      <c r="N18" s="211">
        <f>VLOOKUP(B18,財管手收各月!B:P, 13, 0) *0.55</f>
        <v>4681050</v>
      </c>
      <c r="O18" s="211">
        <f>VLOOKUP(B18,財管手收各月!B:P, 14, 0) *0.55</f>
        <v>1703350.0000000002</v>
      </c>
      <c r="P18" s="211">
        <f t="shared" si="0"/>
        <v>50215000</v>
      </c>
    </row>
    <row r="19" spans="1:16" s="143" customFormat="1" ht="36.75" customHeight="1">
      <c r="A19" s="55" t="s">
        <v>0</v>
      </c>
      <c r="B19" s="136">
        <v>114</v>
      </c>
      <c r="C19" s="55" t="s">
        <v>138</v>
      </c>
      <c r="D19" s="211">
        <f>VLOOKUP(B19,財管手收各月!B:P, 3, 0) *0.55</f>
        <v>5051750</v>
      </c>
      <c r="E19" s="211">
        <f>VLOOKUP(B19,財管手收各月!B:P, 4, 0) *0.55</f>
        <v>3885750.0000000005</v>
      </c>
      <c r="F19" s="211">
        <f>VLOOKUP(B19,財管手收各月!B:P, 5, 0) *0.55</f>
        <v>3885750.0000000005</v>
      </c>
      <c r="G19" s="211">
        <f>VLOOKUP(B19,財管手收各月!B:P, 6, 0) *0.55</f>
        <v>3692150.0000000005</v>
      </c>
      <c r="H19" s="211">
        <f>VLOOKUP(B19,財管手收各月!B:P, 7, 0) *0.55</f>
        <v>4275150</v>
      </c>
      <c r="I19" s="211">
        <f>VLOOKUP(B19,財管手收各月!B:P, 8, 0) *0.55</f>
        <v>3692150.0000000005</v>
      </c>
      <c r="J19" s="211">
        <f>VLOOKUP(B19,財管手收各月!B:P, 9, 0) *0.55</f>
        <v>3692150.0000000005</v>
      </c>
      <c r="K19" s="211">
        <f>VLOOKUP(B19,財管手收各月!B:P, 10, 0) *0.55</f>
        <v>4275150</v>
      </c>
      <c r="L19" s="211">
        <f>VLOOKUP(B19,財管手收各月!B:P, 11, 0) *0.55</f>
        <v>3692150.0000000005</v>
      </c>
      <c r="M19" s="211">
        <f>VLOOKUP(B19,財管手收各月!B:P, 12, 0) *0.55</f>
        <v>3885750.0000000005</v>
      </c>
      <c r="N19" s="211">
        <f>VLOOKUP(B19,財管手收各月!B:P, 13, 0) *0.55</f>
        <v>4275150</v>
      </c>
      <c r="O19" s="211">
        <f>VLOOKUP(B19,財管手收各月!B:P, 14, 0) *0.55</f>
        <v>1555950.0000000002</v>
      </c>
      <c r="P19" s="211">
        <f t="shared" si="0"/>
        <v>45859000</v>
      </c>
    </row>
    <row r="20" spans="1:16" s="143" customFormat="1" ht="36.75" customHeight="1">
      <c r="A20" s="55" t="s">
        <v>0</v>
      </c>
      <c r="B20" s="136">
        <v>115</v>
      </c>
      <c r="C20" s="55" t="s">
        <v>139</v>
      </c>
      <c r="D20" s="211">
        <f>VLOOKUP(B20,財管手收各月!B:P, 3, 0) *0.55</f>
        <v>4360400</v>
      </c>
      <c r="E20" s="211">
        <f>VLOOKUP(B20,財管手收各月!B:P, 4, 0) *0.55</f>
        <v>3354450.0000000005</v>
      </c>
      <c r="F20" s="211">
        <f>VLOOKUP(B20,財管手收各月!B:P, 5, 0) *0.55</f>
        <v>3354450.0000000005</v>
      </c>
      <c r="G20" s="211">
        <f>VLOOKUP(B20,財管手收各月!B:P, 6, 0) *0.55</f>
        <v>3186150.0000000005</v>
      </c>
      <c r="H20" s="211">
        <f>VLOOKUP(B20,財管手收各月!B:P, 7, 0) *0.55</f>
        <v>3688850.0000000005</v>
      </c>
      <c r="I20" s="211">
        <f>VLOOKUP(B20,財管手收各月!B:P, 8, 0) *0.55</f>
        <v>3186150.0000000005</v>
      </c>
      <c r="J20" s="211">
        <f>VLOOKUP(B20,財管手收各月!B:P, 9, 0) *0.55</f>
        <v>3186150.0000000005</v>
      </c>
      <c r="K20" s="211">
        <f>VLOOKUP(B20,財管手收各月!B:P, 10, 0) *0.55</f>
        <v>3688850.0000000005</v>
      </c>
      <c r="L20" s="211">
        <f>VLOOKUP(B20,財管手收各月!B:P, 11, 0) *0.55</f>
        <v>3186150.0000000005</v>
      </c>
      <c r="M20" s="211">
        <f>VLOOKUP(B20,財管手收各月!B:P, 12, 0) *0.55</f>
        <v>3354450.0000000005</v>
      </c>
      <c r="N20" s="211">
        <f>VLOOKUP(B20,財管手收各月!B:P, 13, 0) *0.55</f>
        <v>3688850.0000000005</v>
      </c>
      <c r="O20" s="211">
        <f>VLOOKUP(B20,財管手收各月!B:P, 14, 0) *0.55</f>
        <v>1343100</v>
      </c>
      <c r="P20" s="211">
        <f t="shared" si="0"/>
        <v>39578000</v>
      </c>
    </row>
    <row r="21" spans="1:16" s="143" customFormat="1" ht="36.75" customHeight="1">
      <c r="A21" s="55" t="s">
        <v>0</v>
      </c>
      <c r="B21" s="136">
        <v>116</v>
      </c>
      <c r="C21" s="55" t="s">
        <v>140</v>
      </c>
      <c r="D21" s="211">
        <f>VLOOKUP(B21,財管手收各月!B:P, 3, 0) *0.55</f>
        <v>3033800.0000000005</v>
      </c>
      <c r="E21" s="211">
        <f>VLOOKUP(B21,財管手收各月!B:P, 4, 0) *0.55</f>
        <v>2333100</v>
      </c>
      <c r="F21" s="211">
        <f>VLOOKUP(B21,財管手收各月!B:P, 5, 0) *0.55</f>
        <v>2333100</v>
      </c>
      <c r="G21" s="211">
        <f>VLOOKUP(B21,財管手收各月!B:P, 6, 0) *0.55</f>
        <v>2216500</v>
      </c>
      <c r="H21" s="211">
        <f>VLOOKUP(B21,財管手收各月!B:P, 7, 0) *0.55</f>
        <v>2567400</v>
      </c>
      <c r="I21" s="211">
        <f>VLOOKUP(B21,財管手收各月!B:P, 8, 0) *0.55</f>
        <v>2216500</v>
      </c>
      <c r="J21" s="211">
        <f>VLOOKUP(B21,財管手收各月!B:P, 9, 0) *0.55</f>
        <v>2216500</v>
      </c>
      <c r="K21" s="211">
        <f>VLOOKUP(B21,財管手收各月!B:P, 10, 0) *0.55</f>
        <v>2567400</v>
      </c>
      <c r="L21" s="211">
        <f>VLOOKUP(B21,財管手收各月!B:P, 11, 0) *0.55</f>
        <v>2216500</v>
      </c>
      <c r="M21" s="211">
        <f>VLOOKUP(B21,財管手收各月!B:P, 12, 0) *0.55</f>
        <v>2333100</v>
      </c>
      <c r="N21" s="211">
        <f>VLOOKUP(B21,財管手收各月!B:P, 13, 0) *0.55</f>
        <v>2567400</v>
      </c>
      <c r="O21" s="211">
        <f>VLOOKUP(B21,財管手收各月!B:P, 14, 0) *0.55</f>
        <v>937200.00000000012</v>
      </c>
      <c r="P21" s="211">
        <f t="shared" si="0"/>
        <v>27538500</v>
      </c>
    </row>
    <row r="22" spans="1:16" s="143" customFormat="1" ht="36.75" customHeight="1">
      <c r="A22" s="55" t="s">
        <v>0</v>
      </c>
      <c r="B22" s="136">
        <v>117</v>
      </c>
      <c r="C22" s="55" t="s">
        <v>399</v>
      </c>
      <c r="D22" s="211">
        <f>VLOOKUP(B22,財管手收各月!B:P, 3, 0) *0.55</f>
        <v>4608450</v>
      </c>
      <c r="E22" s="211">
        <f>VLOOKUP(B22,財管手收各月!B:P, 4, 0) *0.55</f>
        <v>3545300.0000000005</v>
      </c>
      <c r="F22" s="211">
        <f>VLOOKUP(B22,財管手收各月!B:P, 5, 0) *0.55</f>
        <v>3545300.0000000005</v>
      </c>
      <c r="G22" s="211">
        <f>VLOOKUP(B22,財管手收各月!B:P, 6, 0) *0.55</f>
        <v>3368200.0000000005</v>
      </c>
      <c r="H22" s="211">
        <f>VLOOKUP(B22,財管手收各月!B:P, 7, 0) *0.55</f>
        <v>3899500.0000000005</v>
      </c>
      <c r="I22" s="211">
        <f>VLOOKUP(B22,財管手收各月!B:P, 8, 0) *0.55</f>
        <v>3368200.0000000005</v>
      </c>
      <c r="J22" s="211">
        <f>VLOOKUP(B22,財管手收各月!B:P, 9, 0) *0.55</f>
        <v>3368200.0000000005</v>
      </c>
      <c r="K22" s="211">
        <f>VLOOKUP(B22,財管手收各月!B:P, 10, 0) *0.55</f>
        <v>3899500.0000000005</v>
      </c>
      <c r="L22" s="211">
        <f>VLOOKUP(B22,財管手收各月!B:P, 11, 0) *0.55</f>
        <v>3368200.0000000005</v>
      </c>
      <c r="M22" s="211">
        <f>VLOOKUP(B22,財管手收各月!B:P, 12, 0) *0.55</f>
        <v>3545300.0000000005</v>
      </c>
      <c r="N22" s="211">
        <f>VLOOKUP(B22,財管手收各月!B:P, 13, 0) *0.55</f>
        <v>3899500.0000000005</v>
      </c>
      <c r="O22" s="211">
        <f>VLOOKUP(B22,財管手收各月!B:P, 14, 0) *0.55</f>
        <v>1417350</v>
      </c>
      <c r="P22" s="211">
        <f t="shared" si="0"/>
        <v>41833000</v>
      </c>
    </row>
    <row r="23" spans="1:16" s="143" customFormat="1" ht="36.75" customHeight="1">
      <c r="A23" s="55" t="s">
        <v>0</v>
      </c>
      <c r="B23" s="136">
        <v>118</v>
      </c>
      <c r="C23" s="55" t="s">
        <v>141</v>
      </c>
      <c r="D23" s="211">
        <f>VLOOKUP(B23,財管手收各月!B:P, 3, 0) *0.55</f>
        <v>4463250</v>
      </c>
      <c r="E23" s="211">
        <f>VLOOKUP(B23,財管手收各月!B:P, 4, 0) *0.55</f>
        <v>3433650.0000000005</v>
      </c>
      <c r="F23" s="211">
        <f>VLOOKUP(B23,財管手收各月!B:P, 5, 0) *0.55</f>
        <v>3433650.0000000005</v>
      </c>
      <c r="G23" s="211">
        <f>VLOOKUP(B23,財管手收各月!B:P, 6, 0) *0.55</f>
        <v>3261500.0000000005</v>
      </c>
      <c r="H23" s="211">
        <f>VLOOKUP(B23,財管手收各月!B:P, 7, 0) *0.55</f>
        <v>3776300.0000000005</v>
      </c>
      <c r="I23" s="211">
        <f>VLOOKUP(B23,財管手收各月!B:P, 8, 0) *0.55</f>
        <v>3261500.0000000005</v>
      </c>
      <c r="J23" s="211">
        <f>VLOOKUP(B23,財管手收各月!B:P, 9, 0) *0.55</f>
        <v>3261500.0000000005</v>
      </c>
      <c r="K23" s="211">
        <f>VLOOKUP(B23,財管手收各月!B:P, 10, 0) *0.55</f>
        <v>3776300.0000000005</v>
      </c>
      <c r="L23" s="211">
        <f>VLOOKUP(B23,財管手收各月!B:P, 11, 0) *0.55</f>
        <v>3261500.0000000005</v>
      </c>
      <c r="M23" s="211">
        <f>VLOOKUP(B23,財管手收各月!B:P, 12, 0) *0.55</f>
        <v>3433650.0000000005</v>
      </c>
      <c r="N23" s="211">
        <f>VLOOKUP(B23,財管手收各月!B:P, 13, 0) *0.55</f>
        <v>3776300.0000000005</v>
      </c>
      <c r="O23" s="211">
        <f>VLOOKUP(B23,財管手收各月!B:P, 14, 0) *0.55</f>
        <v>1373900</v>
      </c>
      <c r="P23" s="211">
        <f t="shared" si="0"/>
        <v>40513000</v>
      </c>
    </row>
    <row r="24" spans="1:16" s="143" customFormat="1" ht="36.75" customHeight="1">
      <c r="A24" s="55" t="s">
        <v>0</v>
      </c>
      <c r="B24" s="136">
        <v>119</v>
      </c>
      <c r="C24" s="55" t="s">
        <v>76</v>
      </c>
      <c r="D24" s="211">
        <f>VLOOKUP(B24,財管手收各月!B:P, 3, 0) *0.55</f>
        <v>3051950.0000000005</v>
      </c>
      <c r="E24" s="211">
        <f>VLOOKUP(B24,財管手收各月!B:P, 4, 0) *0.55</f>
        <v>2347950</v>
      </c>
      <c r="F24" s="211">
        <f>VLOOKUP(B24,財管手收各月!B:P, 5, 0) *0.55</f>
        <v>2347950</v>
      </c>
      <c r="G24" s="211">
        <f>VLOOKUP(B24,財管手收各月!B:P, 6, 0) *0.55</f>
        <v>2231350</v>
      </c>
      <c r="H24" s="211">
        <f>VLOOKUP(B24,財管手收各月!B:P, 7, 0) *0.55</f>
        <v>2582800</v>
      </c>
      <c r="I24" s="211">
        <f>VLOOKUP(B24,財管手收各月!B:P, 8, 0) *0.55</f>
        <v>2231350</v>
      </c>
      <c r="J24" s="211">
        <f>VLOOKUP(B24,財管手收各月!B:P, 9, 0) *0.55</f>
        <v>2231350</v>
      </c>
      <c r="K24" s="211">
        <f>VLOOKUP(B24,財管手收各月!B:P, 10, 0) *0.55</f>
        <v>2582800</v>
      </c>
      <c r="L24" s="211">
        <f>VLOOKUP(B24,財管手收各月!B:P, 11, 0) *0.55</f>
        <v>2231350</v>
      </c>
      <c r="M24" s="211">
        <f>VLOOKUP(B24,財管手收各月!B:P, 12, 0) *0.55</f>
        <v>2347950</v>
      </c>
      <c r="N24" s="211">
        <f>VLOOKUP(B24,財管手收各月!B:P, 13, 0) *0.55</f>
        <v>2582800</v>
      </c>
      <c r="O24" s="211">
        <f>VLOOKUP(B24,財管手收各月!B:P, 14, 0) *0.55</f>
        <v>939400.00000000012</v>
      </c>
      <c r="P24" s="211">
        <f t="shared" si="0"/>
        <v>27709000</v>
      </c>
    </row>
    <row r="25" spans="1:16" s="143" customFormat="1" ht="36.75" customHeight="1">
      <c r="A25" s="55" t="s">
        <v>0</v>
      </c>
      <c r="B25" s="136">
        <v>120</v>
      </c>
      <c r="C25" s="55" t="s">
        <v>142</v>
      </c>
      <c r="D25" s="211">
        <f>VLOOKUP(B25,財管手收各月!B:P, 3, 0) *0.55</f>
        <v>5446650</v>
      </c>
      <c r="E25" s="211">
        <f>VLOOKUP(B25,財管手收各月!B:P, 4, 0) *0.55</f>
        <v>4189900.0000000005</v>
      </c>
      <c r="F25" s="211">
        <f>VLOOKUP(B25,財管手收各月!B:P, 5, 0) *0.55</f>
        <v>4189900.0000000005</v>
      </c>
      <c r="G25" s="211">
        <f>VLOOKUP(B25,財管手收各月!B:P, 6, 0) *0.55</f>
        <v>3979800.0000000005</v>
      </c>
      <c r="H25" s="211">
        <f>VLOOKUP(B25,財管手收各月!B:P, 7, 0) *0.55</f>
        <v>4609000</v>
      </c>
      <c r="I25" s="211">
        <f>VLOOKUP(B25,財管手收各月!B:P, 8, 0) *0.55</f>
        <v>3979800.0000000005</v>
      </c>
      <c r="J25" s="211">
        <f>VLOOKUP(B25,財管手收各月!B:P, 9, 0) *0.55</f>
        <v>3979800.0000000005</v>
      </c>
      <c r="K25" s="211">
        <f>VLOOKUP(B25,財管手收各月!B:P, 10, 0) *0.55</f>
        <v>4609000</v>
      </c>
      <c r="L25" s="211">
        <f>VLOOKUP(B25,財管手收各月!B:P, 11, 0) *0.55</f>
        <v>3979800.0000000005</v>
      </c>
      <c r="M25" s="211">
        <f>VLOOKUP(B25,財管手收各月!B:P, 12, 0) *0.55</f>
        <v>4189900.0000000005</v>
      </c>
      <c r="N25" s="211">
        <f>VLOOKUP(B25,財管手收各月!B:P, 13, 0) *0.55</f>
        <v>4609000</v>
      </c>
      <c r="O25" s="211">
        <f>VLOOKUP(B25,財管手收各月!B:P, 14, 0) *0.55</f>
        <v>1676950.0000000002</v>
      </c>
      <c r="P25" s="211">
        <f t="shared" si="0"/>
        <v>49439500</v>
      </c>
    </row>
    <row r="26" spans="1:16" s="143" customFormat="1" ht="36.75" customHeight="1">
      <c r="A26" s="55" t="s">
        <v>0</v>
      </c>
      <c r="B26" s="136">
        <v>121</v>
      </c>
      <c r="C26" s="55" t="s">
        <v>4</v>
      </c>
      <c r="D26" s="211">
        <f>VLOOKUP(B26,財管手收各月!B:P, 3, 0) *0.55</f>
        <v>4404950</v>
      </c>
      <c r="E26" s="211">
        <f>VLOOKUP(B26,財管手收各月!B:P, 4, 0) *0.55</f>
        <v>3389100.0000000005</v>
      </c>
      <c r="F26" s="211">
        <f>VLOOKUP(B26,財管手收各月!B:P, 5, 0) *0.55</f>
        <v>3389100.0000000005</v>
      </c>
      <c r="G26" s="211">
        <f>VLOOKUP(B26,財管手收各月!B:P, 6, 0) *0.55</f>
        <v>3219150.0000000005</v>
      </c>
      <c r="H26" s="211">
        <f>VLOOKUP(B26,財管手收各月!B:P, 7, 0) *0.55</f>
        <v>3726800.0000000005</v>
      </c>
      <c r="I26" s="211">
        <f>VLOOKUP(B26,財管手收各月!B:P, 8, 0) *0.55</f>
        <v>3219150.0000000005</v>
      </c>
      <c r="J26" s="211">
        <f>VLOOKUP(B26,財管手收各月!B:P, 9, 0) *0.55</f>
        <v>3219150.0000000005</v>
      </c>
      <c r="K26" s="211">
        <f>VLOOKUP(B26,財管手收各月!B:P, 10, 0) *0.55</f>
        <v>3726800.0000000005</v>
      </c>
      <c r="L26" s="211">
        <f>VLOOKUP(B26,財管手收各月!B:P, 11, 0) *0.55</f>
        <v>3219150.0000000005</v>
      </c>
      <c r="M26" s="211">
        <f>VLOOKUP(B26,財管手收各月!B:P, 12, 0) *0.55</f>
        <v>3389100.0000000005</v>
      </c>
      <c r="N26" s="211">
        <f>VLOOKUP(B26,財管手收各月!B:P, 13, 0) *0.55</f>
        <v>3726800.0000000005</v>
      </c>
      <c r="O26" s="211">
        <f>VLOOKUP(B26,財管手收各月!B:P, 14, 0) *0.55</f>
        <v>1355750</v>
      </c>
      <c r="P26" s="211">
        <f t="shared" si="0"/>
        <v>39985000</v>
      </c>
    </row>
    <row r="27" spans="1:16" s="143" customFormat="1" ht="36.75" customHeight="1">
      <c r="A27" s="55" t="s">
        <v>0</v>
      </c>
      <c r="B27" s="136">
        <v>122</v>
      </c>
      <c r="C27" s="55" t="s">
        <v>77</v>
      </c>
      <c r="D27" s="211">
        <f>VLOOKUP(B27,財管手收各月!B:P, 3, 0) *0.55</f>
        <v>4888950</v>
      </c>
      <c r="E27" s="211">
        <f>VLOOKUP(B27,財管手收各月!B:P, 4, 0) *0.55</f>
        <v>3760900.0000000005</v>
      </c>
      <c r="F27" s="211">
        <f>VLOOKUP(B27,財管手收各月!B:P, 5, 0) *0.55</f>
        <v>3760900.0000000005</v>
      </c>
      <c r="G27" s="211">
        <f>VLOOKUP(B27,財管手收各月!B:P, 6, 0) *0.55</f>
        <v>3572250.0000000005</v>
      </c>
      <c r="H27" s="211">
        <f>VLOOKUP(B27,財管手收各月!B:P, 7, 0) *0.55</f>
        <v>4136550.0000000005</v>
      </c>
      <c r="I27" s="211">
        <f>VLOOKUP(B27,財管手收各月!B:P, 8, 0) *0.55</f>
        <v>3572250.0000000005</v>
      </c>
      <c r="J27" s="211">
        <f>VLOOKUP(B27,財管手收各月!B:P, 9, 0) *0.55</f>
        <v>3572250.0000000005</v>
      </c>
      <c r="K27" s="211">
        <f>VLOOKUP(B27,財管手收各月!B:P, 10, 0) *0.55</f>
        <v>4136550.0000000005</v>
      </c>
      <c r="L27" s="211">
        <f>VLOOKUP(B27,財管手收各月!B:P, 11, 0) *0.55</f>
        <v>3572250.0000000005</v>
      </c>
      <c r="M27" s="211">
        <f>VLOOKUP(B27,財管手收各月!B:P, 12, 0) *0.55</f>
        <v>3760900.0000000005</v>
      </c>
      <c r="N27" s="211">
        <f>VLOOKUP(B27,財管手收各月!B:P, 13, 0) *0.55</f>
        <v>4136550.0000000005</v>
      </c>
      <c r="O27" s="211">
        <f>VLOOKUP(B27,財管手收各月!B:P, 14, 0) *0.55</f>
        <v>1503700.0000000002</v>
      </c>
      <c r="P27" s="211">
        <f t="shared" si="0"/>
        <v>44374000</v>
      </c>
    </row>
    <row r="28" spans="1:16" s="143" customFormat="1" ht="36.75" customHeight="1">
      <c r="A28" s="55" t="s">
        <v>0</v>
      </c>
      <c r="B28" s="136">
        <v>123</v>
      </c>
      <c r="C28" s="55" t="s">
        <v>5</v>
      </c>
      <c r="D28" s="211">
        <f>VLOOKUP(B28,財管手收各月!B:P, 3, 0) *0.55</f>
        <v>5690850</v>
      </c>
      <c r="E28" s="211">
        <f>VLOOKUP(B28,財管手收各月!B:P, 4, 0) *0.55</f>
        <v>4377450</v>
      </c>
      <c r="F28" s="211">
        <f>VLOOKUP(B28,財管手收各月!B:P, 5, 0) *0.55</f>
        <v>4377450</v>
      </c>
      <c r="G28" s="211">
        <f>VLOOKUP(B28,財管手收各月!B:P, 6, 0) *0.55</f>
        <v>4158550.0000000005</v>
      </c>
      <c r="H28" s="211">
        <f>VLOOKUP(B28,財管手收各月!B:P, 7, 0) *0.55</f>
        <v>4815250</v>
      </c>
      <c r="I28" s="211">
        <f>VLOOKUP(B28,財管手收各月!B:P, 8, 0) *0.55</f>
        <v>4158550.0000000005</v>
      </c>
      <c r="J28" s="211">
        <f>VLOOKUP(B28,財管手收各月!B:P, 9, 0) *0.55</f>
        <v>4158550.0000000005</v>
      </c>
      <c r="K28" s="211">
        <f>VLOOKUP(B28,財管手收各月!B:P, 10, 0) *0.55</f>
        <v>4815250</v>
      </c>
      <c r="L28" s="211">
        <f>VLOOKUP(B28,財管手收各月!B:P, 11, 0) *0.55</f>
        <v>4158550.0000000005</v>
      </c>
      <c r="M28" s="211">
        <f>VLOOKUP(B28,財管手收各月!B:P, 12, 0) *0.55</f>
        <v>4377450</v>
      </c>
      <c r="N28" s="211">
        <f>VLOOKUP(B28,財管手收各月!B:P, 13, 0) *0.55</f>
        <v>4815250</v>
      </c>
      <c r="O28" s="211">
        <f>VLOOKUP(B28,財管手收各月!B:P, 14, 0) *0.55</f>
        <v>1752850.0000000002</v>
      </c>
      <c r="P28" s="211">
        <f t="shared" si="0"/>
        <v>51656000</v>
      </c>
    </row>
    <row r="29" spans="1:16" s="143" customFormat="1" ht="36.75" customHeight="1">
      <c r="A29" s="55" t="s">
        <v>0</v>
      </c>
      <c r="B29" s="136">
        <v>124</v>
      </c>
      <c r="C29" s="55" t="s">
        <v>143</v>
      </c>
      <c r="D29" s="211">
        <f>VLOOKUP(B29,財管手收各月!B:P, 3, 0) *0.55</f>
        <v>2574000</v>
      </c>
      <c r="E29" s="211">
        <f>VLOOKUP(B29,財管手收各月!B:P, 4, 0) *0.55</f>
        <v>1980000.0000000002</v>
      </c>
      <c r="F29" s="211">
        <f>VLOOKUP(B29,財管手收各月!B:P, 5, 0) *0.55</f>
        <v>1980000.0000000002</v>
      </c>
      <c r="G29" s="211">
        <f>VLOOKUP(B29,財管手收各月!B:P, 6, 0) *0.55</f>
        <v>1882100.0000000002</v>
      </c>
      <c r="H29" s="211">
        <f>VLOOKUP(B29,財管手收各月!B:P, 7, 0) *0.55</f>
        <v>2178550</v>
      </c>
      <c r="I29" s="211">
        <f>VLOOKUP(B29,財管手收各月!B:P, 8, 0) *0.55</f>
        <v>1882100.0000000002</v>
      </c>
      <c r="J29" s="211">
        <f>VLOOKUP(B29,財管手收各月!B:P, 9, 0) *0.55</f>
        <v>1882100.0000000002</v>
      </c>
      <c r="K29" s="211">
        <f>VLOOKUP(B29,財管手收各月!B:P, 10, 0) *0.55</f>
        <v>2178550</v>
      </c>
      <c r="L29" s="211">
        <f>VLOOKUP(B29,財管手收各月!B:P, 11, 0) *0.55</f>
        <v>1882100.0000000002</v>
      </c>
      <c r="M29" s="211">
        <f>VLOOKUP(B29,財管手收各月!B:P, 12, 0) *0.55</f>
        <v>1980000.0000000002</v>
      </c>
      <c r="N29" s="211">
        <f>VLOOKUP(B29,財管手收各月!B:P, 13, 0) *0.55</f>
        <v>2178550</v>
      </c>
      <c r="O29" s="211">
        <f>VLOOKUP(B29,財管手收各月!B:P, 14, 0) *0.55</f>
        <v>791450.00000000012</v>
      </c>
      <c r="P29" s="211">
        <f t="shared" si="0"/>
        <v>23369500</v>
      </c>
    </row>
    <row r="30" spans="1:16" s="143" customFormat="1" ht="36.75" customHeight="1">
      <c r="A30" s="55" t="s">
        <v>0</v>
      </c>
      <c r="B30" s="136">
        <v>125</v>
      </c>
      <c r="C30" s="55" t="s">
        <v>144</v>
      </c>
      <c r="D30" s="211">
        <f>VLOOKUP(B30,財管手收各月!B:P, 3, 0) *0.55</f>
        <v>5128200</v>
      </c>
      <c r="E30" s="211">
        <f>VLOOKUP(B30,財管手收各月!B:P, 4, 0) *0.55</f>
        <v>3944050.0000000005</v>
      </c>
      <c r="F30" s="211">
        <f>VLOOKUP(B30,財管手收各月!B:P, 5, 0) *0.55</f>
        <v>3944050.0000000005</v>
      </c>
      <c r="G30" s="211">
        <f>VLOOKUP(B30,財管手收各月!B:P, 6, 0) *0.55</f>
        <v>3747150.0000000005</v>
      </c>
      <c r="H30" s="211">
        <f>VLOOKUP(B30,財管手收各月!B:P, 7, 0) *0.55</f>
        <v>4338950</v>
      </c>
      <c r="I30" s="211">
        <f>VLOOKUP(B30,財管手收各月!B:P, 8, 0) *0.55</f>
        <v>3747150.0000000005</v>
      </c>
      <c r="J30" s="211">
        <f>VLOOKUP(B30,財管手收各月!B:P, 9, 0) *0.55</f>
        <v>3747150.0000000005</v>
      </c>
      <c r="K30" s="211">
        <f>VLOOKUP(B30,財管手收各月!B:P, 10, 0) *0.55</f>
        <v>4338950</v>
      </c>
      <c r="L30" s="211">
        <f>VLOOKUP(B30,財管手收各月!B:P, 11, 0) *0.55</f>
        <v>3747150.0000000005</v>
      </c>
      <c r="M30" s="211">
        <f>VLOOKUP(B30,財管手收各月!B:P, 12, 0) *0.55</f>
        <v>3944050.0000000005</v>
      </c>
      <c r="N30" s="211">
        <f>VLOOKUP(B30,財管手收各月!B:P, 13, 0) *0.55</f>
        <v>4338950</v>
      </c>
      <c r="O30" s="211">
        <f>VLOOKUP(B30,財管手收各月!B:P, 14, 0) *0.55</f>
        <v>1580700.0000000002</v>
      </c>
      <c r="P30" s="211">
        <f t="shared" si="0"/>
        <v>46546500</v>
      </c>
    </row>
    <row r="31" spans="1:16" s="143" customFormat="1" ht="36.75" customHeight="1">
      <c r="A31" s="55" t="s">
        <v>0</v>
      </c>
      <c r="B31" s="136">
        <v>126</v>
      </c>
      <c r="C31" s="55" t="s">
        <v>145</v>
      </c>
      <c r="D31" s="211">
        <f>VLOOKUP(B31,財管手收各月!B:P, 3, 0) *0.55</f>
        <v>5417500</v>
      </c>
      <c r="E31" s="211">
        <f>VLOOKUP(B31,財管手收各月!B:P, 4, 0) *0.55</f>
        <v>4167350.0000000005</v>
      </c>
      <c r="F31" s="211">
        <f>VLOOKUP(B31,財管手收各月!B:P, 5, 0) *0.55</f>
        <v>4167350.0000000005</v>
      </c>
      <c r="G31" s="211">
        <f>VLOOKUP(B31,財管手收各月!B:P, 6, 0) *0.55</f>
        <v>3959450.0000000005</v>
      </c>
      <c r="H31" s="211">
        <f>VLOOKUP(B31,財管手收各月!B:P, 7, 0) *0.55</f>
        <v>4583700</v>
      </c>
      <c r="I31" s="211">
        <f>VLOOKUP(B31,財管手收各月!B:P, 8, 0) *0.55</f>
        <v>3959450.0000000005</v>
      </c>
      <c r="J31" s="211">
        <f>VLOOKUP(B31,財管手收各月!B:P, 9, 0) *0.55</f>
        <v>3959450.0000000005</v>
      </c>
      <c r="K31" s="211">
        <f>VLOOKUP(B31,財管手收各月!B:P, 10, 0) *0.55</f>
        <v>4583700</v>
      </c>
      <c r="L31" s="211">
        <f>VLOOKUP(B31,財管手收各月!B:P, 11, 0) *0.55</f>
        <v>3959450.0000000005</v>
      </c>
      <c r="M31" s="211">
        <f>VLOOKUP(B31,財管手收各月!B:P, 12, 0) *0.55</f>
        <v>4167350.0000000005</v>
      </c>
      <c r="N31" s="211">
        <f>VLOOKUP(B31,財管手收各月!B:P, 13, 0) *0.55</f>
        <v>4583700</v>
      </c>
      <c r="O31" s="211">
        <f>VLOOKUP(B31,財管手收各月!B:P, 14, 0) *0.55</f>
        <v>1667050.0000000002</v>
      </c>
      <c r="P31" s="211">
        <f t="shared" si="0"/>
        <v>49175500</v>
      </c>
    </row>
    <row r="32" spans="1:16" s="143" customFormat="1" ht="36.75" customHeight="1">
      <c r="A32" s="55" t="s">
        <v>0</v>
      </c>
      <c r="B32" s="136">
        <v>127</v>
      </c>
      <c r="C32" s="55" t="s">
        <v>146</v>
      </c>
      <c r="D32" s="211">
        <f>VLOOKUP(B32,財管手收各月!B:P, 3, 0) *0.55</f>
        <v>4169000.0000000005</v>
      </c>
      <c r="E32" s="211">
        <f>VLOOKUP(B32,財管手收各月!B:P, 4, 0) *0.55</f>
        <v>3207050.0000000005</v>
      </c>
      <c r="F32" s="211">
        <f>VLOOKUP(B32,財管手收各月!B:P, 5, 0) *0.55</f>
        <v>3207050.0000000005</v>
      </c>
      <c r="G32" s="211">
        <f>VLOOKUP(B32,財管手收各月!B:P, 6, 0) *0.55</f>
        <v>3046450.0000000005</v>
      </c>
      <c r="H32" s="211">
        <f>VLOOKUP(B32,財管手收各月!B:P, 7, 0) *0.55</f>
        <v>3528250.0000000005</v>
      </c>
      <c r="I32" s="211">
        <f>VLOOKUP(B32,財管手收各月!B:P, 8, 0) *0.55</f>
        <v>3046450.0000000005</v>
      </c>
      <c r="J32" s="211">
        <f>VLOOKUP(B32,財管手收各月!B:P, 9, 0) *0.55</f>
        <v>3046450.0000000005</v>
      </c>
      <c r="K32" s="211">
        <f>VLOOKUP(B32,財管手收各月!B:P, 10, 0) *0.55</f>
        <v>3528250.0000000005</v>
      </c>
      <c r="L32" s="211">
        <f>VLOOKUP(B32,財管手收各月!B:P, 11, 0) *0.55</f>
        <v>3046450.0000000005</v>
      </c>
      <c r="M32" s="211">
        <f>VLOOKUP(B32,財管手收各月!B:P, 12, 0) *0.55</f>
        <v>3207050.0000000005</v>
      </c>
      <c r="N32" s="211">
        <f>VLOOKUP(B32,財管手收各月!B:P, 13, 0) *0.55</f>
        <v>3528250.0000000005</v>
      </c>
      <c r="O32" s="211">
        <f>VLOOKUP(B32,財管手收各月!B:P, 14, 0) *0.55</f>
        <v>1284800</v>
      </c>
      <c r="P32" s="211">
        <f t="shared" si="0"/>
        <v>37845500.000000007</v>
      </c>
    </row>
    <row r="33" spans="1:16" s="143" customFormat="1" ht="36.75" customHeight="1">
      <c r="A33" s="55" t="s">
        <v>0</v>
      </c>
      <c r="B33" s="136">
        <v>128</v>
      </c>
      <c r="C33" s="55" t="s">
        <v>78</v>
      </c>
      <c r="D33" s="211">
        <f>VLOOKUP(B33,財管手收各月!B:P, 3, 0) *0.55</f>
        <v>2860000</v>
      </c>
      <c r="E33" s="211">
        <f>VLOOKUP(B33,財管手收各月!B:P, 4, 0) *0.55</f>
        <v>2200000</v>
      </c>
      <c r="F33" s="211">
        <f>VLOOKUP(B33,財管手收各月!B:P, 5, 0) *0.55</f>
        <v>2200000</v>
      </c>
      <c r="G33" s="211">
        <f>VLOOKUP(B33,財管手收各月!B:P, 6, 0) *0.55</f>
        <v>2090000.0000000002</v>
      </c>
      <c r="H33" s="211">
        <f>VLOOKUP(B33,財管手收各月!B:P, 7, 0) *0.55</f>
        <v>2420000</v>
      </c>
      <c r="I33" s="211">
        <f>VLOOKUP(B33,財管手收各月!B:P, 8, 0) *0.55</f>
        <v>2090000.0000000002</v>
      </c>
      <c r="J33" s="211">
        <f>VLOOKUP(B33,財管手收各月!B:P, 9, 0) *0.55</f>
        <v>2090000.0000000002</v>
      </c>
      <c r="K33" s="211">
        <f>VLOOKUP(B33,財管手收各月!B:P, 10, 0) *0.55</f>
        <v>2420000</v>
      </c>
      <c r="L33" s="211">
        <f>VLOOKUP(B33,財管手收各月!B:P, 11, 0) *0.55</f>
        <v>2090000.0000000002</v>
      </c>
      <c r="M33" s="211">
        <f>VLOOKUP(B33,財管手收各月!B:P, 12, 0) *0.55</f>
        <v>2200000</v>
      </c>
      <c r="N33" s="211">
        <f>VLOOKUP(B33,財管手收各月!B:P, 13, 0) *0.55</f>
        <v>2420000</v>
      </c>
      <c r="O33" s="211">
        <f>VLOOKUP(B33,財管手收各月!B:P, 14, 0) *0.55</f>
        <v>874500.00000000012</v>
      </c>
      <c r="P33" s="211">
        <f t="shared" si="0"/>
        <v>25954500</v>
      </c>
    </row>
    <row r="34" spans="1:16" s="143" customFormat="1" ht="36.75" customHeight="1">
      <c r="A34" s="55" t="s">
        <v>0</v>
      </c>
      <c r="B34" s="136">
        <v>129</v>
      </c>
      <c r="C34" s="55" t="s">
        <v>79</v>
      </c>
      <c r="D34" s="211">
        <f>VLOOKUP(B34,財管手收各月!B:P, 3, 0) *0.55</f>
        <v>3630550.0000000005</v>
      </c>
      <c r="E34" s="211">
        <f>VLOOKUP(B34,財管手收各月!B:P, 4, 0) *0.55</f>
        <v>2792350</v>
      </c>
      <c r="F34" s="211">
        <f>VLOOKUP(B34,財管手收各月!B:P, 5, 0) *0.55</f>
        <v>2792350</v>
      </c>
      <c r="G34" s="211">
        <f>VLOOKUP(B34,財管手收各月!B:P, 6, 0) *0.55</f>
        <v>2653200</v>
      </c>
      <c r="H34" s="211">
        <f>VLOOKUP(B34,財管手收各月!B:P, 7, 0) *0.55</f>
        <v>3071750.0000000005</v>
      </c>
      <c r="I34" s="211">
        <f>VLOOKUP(B34,財管手收各月!B:P, 8, 0) *0.55</f>
        <v>2653200</v>
      </c>
      <c r="J34" s="211">
        <f>VLOOKUP(B34,財管手收各月!B:P, 9, 0) *0.55</f>
        <v>2653200</v>
      </c>
      <c r="K34" s="211">
        <f>VLOOKUP(B34,財管手收各月!B:P, 10, 0) *0.55</f>
        <v>3071750.0000000005</v>
      </c>
      <c r="L34" s="211">
        <f>VLOOKUP(B34,財管手收各月!B:P, 11, 0) *0.55</f>
        <v>2653200</v>
      </c>
      <c r="M34" s="211">
        <f>VLOOKUP(B34,財管手收各月!B:P, 12, 0) *0.55</f>
        <v>2792350</v>
      </c>
      <c r="N34" s="211">
        <f>VLOOKUP(B34,財管手收各月!B:P, 13, 0) *0.55</f>
        <v>3071750.0000000005</v>
      </c>
      <c r="O34" s="211">
        <f>VLOOKUP(B34,財管手收各月!B:P, 14, 0) *0.55</f>
        <v>1120350</v>
      </c>
      <c r="P34" s="211">
        <f t="shared" si="0"/>
        <v>32956000</v>
      </c>
    </row>
    <row r="35" spans="1:16" s="143" customFormat="1" ht="36.75" customHeight="1">
      <c r="A35" s="55" t="s">
        <v>0</v>
      </c>
      <c r="B35" s="136">
        <v>130</v>
      </c>
      <c r="C35" s="55" t="s">
        <v>147</v>
      </c>
      <c r="D35" s="211">
        <f>VLOOKUP(B35,財管手收各月!B:P, 3, 0) *0.55</f>
        <v>2869350</v>
      </c>
      <c r="E35" s="211">
        <f>VLOOKUP(B35,財管手收各月!B:P, 4, 0) *0.55</f>
        <v>2207150</v>
      </c>
      <c r="F35" s="211">
        <f>VLOOKUP(B35,財管手收各月!B:P, 5, 0) *0.55</f>
        <v>2207150</v>
      </c>
      <c r="G35" s="211">
        <f>VLOOKUP(B35,財管手收各月!B:P, 6, 0) *0.55</f>
        <v>2096600.0000000002</v>
      </c>
      <c r="H35" s="211">
        <f>VLOOKUP(B35,財管手收各月!B:P, 7, 0) *0.55</f>
        <v>2427700</v>
      </c>
      <c r="I35" s="211">
        <f>VLOOKUP(B35,財管手收各月!B:P, 8, 0) *0.55</f>
        <v>2096600.0000000002</v>
      </c>
      <c r="J35" s="211">
        <f>VLOOKUP(B35,財管手收各月!B:P, 9, 0) *0.55</f>
        <v>2096600.0000000002</v>
      </c>
      <c r="K35" s="211">
        <f>VLOOKUP(B35,財管手收各月!B:P, 10, 0) *0.55</f>
        <v>2427700</v>
      </c>
      <c r="L35" s="211">
        <f>VLOOKUP(B35,財管手收各月!B:P, 11, 0) *0.55</f>
        <v>2096600.0000000002</v>
      </c>
      <c r="M35" s="211">
        <f>VLOOKUP(B35,財管手收各月!B:P, 12, 0) *0.55</f>
        <v>2207150</v>
      </c>
      <c r="N35" s="211">
        <f>VLOOKUP(B35,財管手收各月!B:P, 13, 0) *0.55</f>
        <v>2427700</v>
      </c>
      <c r="O35" s="211">
        <f>VLOOKUP(B35,財管手收各月!B:P, 14, 0) *0.55</f>
        <v>882200.00000000012</v>
      </c>
      <c r="P35" s="211">
        <f t="shared" si="0"/>
        <v>26042500</v>
      </c>
    </row>
    <row r="36" spans="1:16" s="143" customFormat="1" ht="36.75" customHeight="1">
      <c r="A36" s="55" t="s">
        <v>0</v>
      </c>
      <c r="B36" s="136">
        <v>132</v>
      </c>
      <c r="C36" s="55" t="s">
        <v>6</v>
      </c>
      <c r="D36" s="211">
        <f>VLOOKUP(B36,財管手收各月!B:P, 3, 0) *0.55</f>
        <v>1492150.0000000002</v>
      </c>
      <c r="E36" s="211">
        <f>VLOOKUP(B36,財管手收各月!B:P, 4, 0) *0.55</f>
        <v>1147850</v>
      </c>
      <c r="F36" s="211">
        <f>VLOOKUP(B36,財管手收各月!B:P, 5, 0) *0.55</f>
        <v>1147850</v>
      </c>
      <c r="G36" s="211">
        <f>VLOOKUP(B36,財管手收各月!B:P, 6, 0) *0.55</f>
        <v>1090650</v>
      </c>
      <c r="H36" s="211">
        <f>VLOOKUP(B36,財管手收各月!B:P, 7, 0) *0.55</f>
        <v>1262800</v>
      </c>
      <c r="I36" s="211">
        <f>VLOOKUP(B36,財管手收各月!B:P, 8, 0) *0.55</f>
        <v>1090650</v>
      </c>
      <c r="J36" s="211">
        <f>VLOOKUP(B36,財管手收各月!B:P, 9, 0) *0.55</f>
        <v>1090650</v>
      </c>
      <c r="K36" s="211">
        <f>VLOOKUP(B36,財管手收各月!B:P, 10, 0) *0.55</f>
        <v>1262800</v>
      </c>
      <c r="L36" s="211">
        <f>VLOOKUP(B36,財管手收各月!B:P, 11, 0) *0.55</f>
        <v>1090650</v>
      </c>
      <c r="M36" s="211">
        <f>VLOOKUP(B36,財管手收各月!B:P, 12, 0) *0.55</f>
        <v>1147850</v>
      </c>
      <c r="N36" s="211">
        <f>VLOOKUP(B36,財管手收各月!B:P, 13, 0) *0.55</f>
        <v>1262800</v>
      </c>
      <c r="O36" s="211">
        <f>VLOOKUP(B36,財管手收各月!B:P, 14, 0) *0.55</f>
        <v>459800.00000000006</v>
      </c>
      <c r="P36" s="211">
        <f t="shared" si="0"/>
        <v>13546500</v>
      </c>
    </row>
    <row r="37" spans="1:16" s="143" customFormat="1" ht="36.75" customHeight="1">
      <c r="A37" s="55" t="s">
        <v>0</v>
      </c>
      <c r="B37" s="136">
        <v>133</v>
      </c>
      <c r="C37" s="55" t="s">
        <v>148</v>
      </c>
      <c r="D37" s="211">
        <f>VLOOKUP(B37,財管手收各月!B:P, 3, 0) *0.55</f>
        <v>3079450.0000000005</v>
      </c>
      <c r="E37" s="211">
        <f>VLOOKUP(B37,財管手收各月!B:P, 4, 0) *0.55</f>
        <v>2367750</v>
      </c>
      <c r="F37" s="211">
        <f>VLOOKUP(B37,財管手收各月!B:P, 5, 0) *0.55</f>
        <v>2367750</v>
      </c>
      <c r="G37" s="211">
        <f>VLOOKUP(B37,財管手收各月!B:P, 6, 0) *0.55</f>
        <v>2250600</v>
      </c>
      <c r="H37" s="211">
        <f>VLOOKUP(B37,財管手收各月!B:P, 7, 0) *0.55</f>
        <v>2605900</v>
      </c>
      <c r="I37" s="211">
        <f>VLOOKUP(B37,財管手收各月!B:P, 8, 0) *0.55</f>
        <v>2250600</v>
      </c>
      <c r="J37" s="211">
        <f>VLOOKUP(B37,財管手收各月!B:P, 9, 0) *0.55</f>
        <v>2250600</v>
      </c>
      <c r="K37" s="211">
        <f>VLOOKUP(B37,財管手收各月!B:P, 10, 0) *0.55</f>
        <v>2605900</v>
      </c>
      <c r="L37" s="211">
        <f>VLOOKUP(B37,財管手收各月!B:P, 11, 0) *0.55</f>
        <v>2250600</v>
      </c>
      <c r="M37" s="211">
        <f>VLOOKUP(B37,財管手收各月!B:P, 12, 0) *0.55</f>
        <v>2367750</v>
      </c>
      <c r="N37" s="211">
        <f>VLOOKUP(B37,財管手收各月!B:P, 13, 0) *0.55</f>
        <v>2605900</v>
      </c>
      <c r="O37" s="211">
        <f>VLOOKUP(B37,財管手收各月!B:P, 14, 0) *0.55</f>
        <v>948200.00000000012</v>
      </c>
      <c r="P37" s="211">
        <f t="shared" si="0"/>
        <v>27951000</v>
      </c>
    </row>
    <row r="38" spans="1:16" s="143" customFormat="1" ht="36.75" customHeight="1">
      <c r="A38" s="55" t="s">
        <v>7</v>
      </c>
      <c r="B38" s="136">
        <v>134</v>
      </c>
      <c r="C38" s="55" t="s">
        <v>149</v>
      </c>
      <c r="D38" s="211">
        <f>VLOOKUP(B38,財管手收各月!B:P, 3, 0) *0.55</f>
        <v>4594150</v>
      </c>
      <c r="E38" s="211">
        <f>VLOOKUP(B38,財管手收各月!B:P, 4, 0) *0.55</f>
        <v>3533200.0000000005</v>
      </c>
      <c r="F38" s="211">
        <f>VLOOKUP(B38,財管手收各月!B:P, 5, 0) *0.55</f>
        <v>3533200.0000000005</v>
      </c>
      <c r="G38" s="211">
        <f>VLOOKUP(B38,財管手收各月!B:P, 6, 0) *0.55</f>
        <v>3357200.0000000005</v>
      </c>
      <c r="H38" s="211">
        <f>VLOOKUP(B38,財管手收各月!B:P, 7, 0) *0.55</f>
        <v>3887400.0000000005</v>
      </c>
      <c r="I38" s="211">
        <f>VLOOKUP(B38,財管手收各月!B:P, 8, 0) *0.55</f>
        <v>3357200.0000000005</v>
      </c>
      <c r="J38" s="211">
        <f>VLOOKUP(B38,財管手收各月!B:P, 9, 0) *0.55</f>
        <v>3357200.0000000005</v>
      </c>
      <c r="K38" s="211">
        <f>VLOOKUP(B38,財管手收各月!B:P, 10, 0) *0.55</f>
        <v>3887400.0000000005</v>
      </c>
      <c r="L38" s="211">
        <f>VLOOKUP(B38,財管手收各月!B:P, 11, 0) *0.55</f>
        <v>3357200.0000000005</v>
      </c>
      <c r="M38" s="211">
        <f>VLOOKUP(B38,財管手收各月!B:P, 12, 0) *0.55</f>
        <v>3533200.0000000005</v>
      </c>
      <c r="N38" s="211">
        <f>VLOOKUP(B38,財管手收各月!B:P, 13, 0) *0.55</f>
        <v>3887400.0000000005</v>
      </c>
      <c r="O38" s="211">
        <f>VLOOKUP(B38,財管手收各月!B:P, 14, 0) *0.55</f>
        <v>1416250</v>
      </c>
      <c r="P38" s="211">
        <f t="shared" si="0"/>
        <v>41701000</v>
      </c>
    </row>
    <row r="39" spans="1:16" s="143" customFormat="1" ht="36.75" customHeight="1">
      <c r="A39" s="55" t="s">
        <v>0</v>
      </c>
      <c r="B39" s="136">
        <v>136</v>
      </c>
      <c r="C39" s="55" t="s">
        <v>150</v>
      </c>
      <c r="D39" s="211">
        <f>VLOOKUP(B39,財管手收各月!B:P, 3, 0) *0.55</f>
        <v>2104300</v>
      </c>
      <c r="E39" s="211">
        <f>VLOOKUP(B39,財管手收各月!B:P, 4, 0) *0.55</f>
        <v>1618650.0000000002</v>
      </c>
      <c r="F39" s="211">
        <f>VLOOKUP(B39,財管手收各月!B:P, 5, 0) *0.55</f>
        <v>1618650.0000000002</v>
      </c>
      <c r="G39" s="211">
        <f>VLOOKUP(B39,財管手收各月!B:P, 6, 0) *0.55</f>
        <v>1537800.0000000002</v>
      </c>
      <c r="H39" s="211">
        <f>VLOOKUP(B39,財管手收各月!B:P, 7, 0) *0.55</f>
        <v>1780900.0000000002</v>
      </c>
      <c r="I39" s="211">
        <f>VLOOKUP(B39,財管手收各月!B:P, 8, 0) *0.55</f>
        <v>1537800.0000000002</v>
      </c>
      <c r="J39" s="211">
        <f>VLOOKUP(B39,財管手收各月!B:P, 9, 0) *0.55</f>
        <v>1537800.0000000002</v>
      </c>
      <c r="K39" s="211">
        <f>VLOOKUP(B39,財管手收各月!B:P, 10, 0) *0.55</f>
        <v>1780900.0000000002</v>
      </c>
      <c r="L39" s="211">
        <f>VLOOKUP(B39,財管手收各月!B:P, 11, 0) *0.55</f>
        <v>1537800.0000000002</v>
      </c>
      <c r="M39" s="211">
        <f>VLOOKUP(B39,財管手收各月!B:P, 12, 0) *0.55</f>
        <v>1618650.0000000002</v>
      </c>
      <c r="N39" s="211">
        <f>VLOOKUP(B39,財管手收各月!B:P, 13, 0) *0.55</f>
        <v>1780900.0000000002</v>
      </c>
      <c r="O39" s="211">
        <f>VLOOKUP(B39,財管手收各月!B:P, 14, 0) *0.55</f>
        <v>647350</v>
      </c>
      <c r="P39" s="211">
        <f t="shared" si="0"/>
        <v>19101500</v>
      </c>
    </row>
    <row r="40" spans="1:16" s="143" customFormat="1" ht="36.75" customHeight="1">
      <c r="A40" s="55" t="s">
        <v>7</v>
      </c>
      <c r="B40" s="136">
        <v>137</v>
      </c>
      <c r="C40" s="55" t="s">
        <v>151</v>
      </c>
      <c r="D40" s="211">
        <f>VLOOKUP(B40,財管手收各月!B:P, 3, 0) *0.55</f>
        <v>2852300</v>
      </c>
      <c r="E40" s="211">
        <f>VLOOKUP(B40,財管手收各月!B:P, 4, 0) *0.55</f>
        <v>2194500</v>
      </c>
      <c r="F40" s="211">
        <f>VLOOKUP(B40,財管手收各月!B:P, 5, 0) *0.55</f>
        <v>2194500</v>
      </c>
      <c r="G40" s="211">
        <f>VLOOKUP(B40,財管手收各月!B:P, 6, 0) *0.55</f>
        <v>2084500.0000000002</v>
      </c>
      <c r="H40" s="211">
        <f>VLOOKUP(B40,財管手收各月!B:P, 7, 0) *0.55</f>
        <v>2413400</v>
      </c>
      <c r="I40" s="211">
        <f>VLOOKUP(B40,財管手收各月!B:P, 8, 0) *0.55</f>
        <v>2084500.0000000002</v>
      </c>
      <c r="J40" s="211">
        <f>VLOOKUP(B40,財管手收各月!B:P, 9, 0) *0.55</f>
        <v>2084500.0000000002</v>
      </c>
      <c r="K40" s="211">
        <f>VLOOKUP(B40,財管手收各月!B:P, 10, 0) *0.55</f>
        <v>2413400</v>
      </c>
      <c r="L40" s="211">
        <f>VLOOKUP(B40,財管手收各月!B:P, 11, 0) *0.55</f>
        <v>2084500.0000000002</v>
      </c>
      <c r="M40" s="211">
        <f>VLOOKUP(B40,財管手收各月!B:P, 12, 0) *0.55</f>
        <v>2194500</v>
      </c>
      <c r="N40" s="211">
        <f>VLOOKUP(B40,財管手收各月!B:P, 13, 0) *0.55</f>
        <v>2413400</v>
      </c>
      <c r="O40" s="211">
        <f>VLOOKUP(B40,財管手收各月!B:P, 14, 0) *0.55</f>
        <v>880000.00000000012</v>
      </c>
      <c r="P40" s="211">
        <f t="shared" si="0"/>
        <v>25894000</v>
      </c>
    </row>
    <row r="41" spans="1:16" s="143" customFormat="1" ht="36.75" customHeight="1">
      <c r="A41" s="55" t="s">
        <v>7</v>
      </c>
      <c r="B41" s="136">
        <v>143</v>
      </c>
      <c r="C41" s="55" t="s">
        <v>80</v>
      </c>
      <c r="D41" s="211">
        <f>VLOOKUP(B41,財管手收各月!B:P, 3, 0) *0.55</f>
        <v>2726900</v>
      </c>
      <c r="E41" s="211">
        <f>VLOOKUP(B41,財管手收各月!B:P, 4, 0) *0.55</f>
        <v>2098250</v>
      </c>
      <c r="F41" s="211">
        <f>VLOOKUP(B41,財管手收各月!B:P, 5, 0) *0.55</f>
        <v>2098250</v>
      </c>
      <c r="G41" s="211">
        <f>VLOOKUP(B41,財管手收各月!B:P, 6, 0) *0.55</f>
        <v>1992650.0000000002</v>
      </c>
      <c r="H41" s="211">
        <f>VLOOKUP(B41,財管手收各月!B:P, 7, 0) *0.55</f>
        <v>2307250</v>
      </c>
      <c r="I41" s="211">
        <f>VLOOKUP(B41,財管手收各月!B:P, 8, 0) *0.55</f>
        <v>1992650.0000000002</v>
      </c>
      <c r="J41" s="211">
        <f>VLOOKUP(B41,財管手收各月!B:P, 9, 0) *0.55</f>
        <v>1992650.0000000002</v>
      </c>
      <c r="K41" s="211">
        <f>VLOOKUP(B41,財管手收各月!B:P, 10, 0) *0.55</f>
        <v>2307250</v>
      </c>
      <c r="L41" s="211">
        <f>VLOOKUP(B41,財管手收各月!B:P, 11, 0) *0.55</f>
        <v>1992650.0000000002</v>
      </c>
      <c r="M41" s="211">
        <f>VLOOKUP(B41,財管手收各月!B:P, 12, 0) *0.55</f>
        <v>2098250</v>
      </c>
      <c r="N41" s="211">
        <f>VLOOKUP(B41,財管手收各月!B:P, 13, 0) *0.55</f>
        <v>2307250</v>
      </c>
      <c r="O41" s="211">
        <f>VLOOKUP(B41,財管手收各月!B:P, 14, 0) *0.55</f>
        <v>836000.00000000012</v>
      </c>
      <c r="P41" s="211">
        <f t="shared" si="0"/>
        <v>24750000</v>
      </c>
    </row>
    <row r="42" spans="1:16" s="143" customFormat="1" ht="36.75" customHeight="1">
      <c r="A42" s="55" t="s">
        <v>0</v>
      </c>
      <c r="B42" s="136">
        <v>145</v>
      </c>
      <c r="C42" s="55" t="s">
        <v>81</v>
      </c>
      <c r="D42" s="211">
        <f>VLOOKUP(B42,財管手收各月!B:P, 3, 0) *0.55</f>
        <v>1915650.0000000002</v>
      </c>
      <c r="E42" s="211">
        <f>VLOOKUP(B42,財管手收各月!B:P, 4, 0) *0.55</f>
        <v>1474000.0000000002</v>
      </c>
      <c r="F42" s="211">
        <f>VLOOKUP(B42,財管手收各月!B:P, 5, 0) *0.55</f>
        <v>1474000.0000000002</v>
      </c>
      <c r="G42" s="211">
        <f>VLOOKUP(B42,財管手收各月!B:P, 6, 0) *0.55</f>
        <v>1399750</v>
      </c>
      <c r="H42" s="211">
        <f>VLOOKUP(B42,財管手收各月!B:P, 7, 0) *0.55</f>
        <v>1620300.0000000002</v>
      </c>
      <c r="I42" s="211">
        <f>VLOOKUP(B42,財管手收各月!B:P, 8, 0) *0.55</f>
        <v>1399750</v>
      </c>
      <c r="J42" s="211">
        <f>VLOOKUP(B42,財管手收各月!B:P, 9, 0) *0.55</f>
        <v>1399750</v>
      </c>
      <c r="K42" s="211">
        <f>VLOOKUP(B42,財管手收各月!B:P, 10, 0) *0.55</f>
        <v>1620300.0000000002</v>
      </c>
      <c r="L42" s="211">
        <f>VLOOKUP(B42,財管手收各月!B:P, 11, 0) *0.55</f>
        <v>1399750</v>
      </c>
      <c r="M42" s="211">
        <f>VLOOKUP(B42,財管手收各月!B:P, 12, 0) *0.55</f>
        <v>1474000.0000000002</v>
      </c>
      <c r="N42" s="211">
        <f>VLOOKUP(B42,財管手收各月!B:P, 13, 0) *0.55</f>
        <v>1620300.0000000002</v>
      </c>
      <c r="O42" s="211">
        <f>VLOOKUP(B42,財管手收各月!B:P, 14, 0) *0.55</f>
        <v>587950</v>
      </c>
      <c r="P42" s="211">
        <f t="shared" si="0"/>
        <v>17385500</v>
      </c>
    </row>
    <row r="43" spans="1:16" s="143" customFormat="1" ht="36.75" customHeight="1">
      <c r="A43" s="55" t="s">
        <v>0</v>
      </c>
      <c r="B43" s="136">
        <v>147</v>
      </c>
      <c r="C43" s="55" t="s">
        <v>152</v>
      </c>
      <c r="D43" s="211">
        <f>VLOOKUP(B43,財管手收各月!B:P, 3, 0) *0.55</f>
        <v>4017750.0000000005</v>
      </c>
      <c r="E43" s="211">
        <f>VLOOKUP(B43,財管手收各月!B:P, 4, 0) *0.55</f>
        <v>3090450.0000000005</v>
      </c>
      <c r="F43" s="211">
        <f>VLOOKUP(B43,財管手收各月!B:P, 5, 0) *0.55</f>
        <v>3090450.0000000005</v>
      </c>
      <c r="G43" s="211">
        <f>VLOOKUP(B43,財管手收各月!B:P, 6, 0) *0.55</f>
        <v>2935900.0000000005</v>
      </c>
      <c r="H43" s="211">
        <f>VLOOKUP(B43,財管手收各月!B:P, 7, 0) *0.55</f>
        <v>3399550.0000000005</v>
      </c>
      <c r="I43" s="211">
        <f>VLOOKUP(B43,財管手收各月!B:P, 8, 0) *0.55</f>
        <v>2935900.0000000005</v>
      </c>
      <c r="J43" s="211">
        <f>VLOOKUP(B43,財管手收各月!B:P, 9, 0) *0.55</f>
        <v>2935900.0000000005</v>
      </c>
      <c r="K43" s="211">
        <f>VLOOKUP(B43,財管手收各月!B:P, 10, 0) *0.55</f>
        <v>3399550.0000000005</v>
      </c>
      <c r="L43" s="211">
        <f>VLOOKUP(B43,財管手收各月!B:P, 11, 0) *0.55</f>
        <v>2935900.0000000005</v>
      </c>
      <c r="M43" s="211">
        <f>VLOOKUP(B43,財管手收各月!B:P, 12, 0) *0.55</f>
        <v>3090450.0000000005</v>
      </c>
      <c r="N43" s="211">
        <f>VLOOKUP(B43,財管手收各月!B:P, 13, 0) *0.55</f>
        <v>3399550.0000000005</v>
      </c>
      <c r="O43" s="211">
        <f>VLOOKUP(B43,財管手收各月!B:P, 14, 0) *0.55</f>
        <v>1239150</v>
      </c>
      <c r="P43" s="211">
        <f t="shared" si="0"/>
        <v>36470500.000000007</v>
      </c>
    </row>
    <row r="44" spans="1:16" s="143" customFormat="1" ht="36.75" customHeight="1">
      <c r="A44" s="55" t="s">
        <v>0</v>
      </c>
      <c r="B44" s="136">
        <v>148</v>
      </c>
      <c r="C44" s="55" t="s">
        <v>82</v>
      </c>
      <c r="D44" s="211">
        <f>VLOOKUP(B44,財管手收各月!B:P, 3, 0) *0.55</f>
        <v>2688950</v>
      </c>
      <c r="E44" s="211">
        <f>VLOOKUP(B44,財管手收各月!B:P, 4, 0) *0.55</f>
        <v>2068000.0000000002</v>
      </c>
      <c r="F44" s="211">
        <f>VLOOKUP(B44,財管手收各月!B:P, 5, 0) *0.55</f>
        <v>2068000.0000000002</v>
      </c>
      <c r="G44" s="211">
        <f>VLOOKUP(B44,財管手收各月!B:P, 6, 0) *0.55</f>
        <v>1965700.0000000002</v>
      </c>
      <c r="H44" s="211">
        <f>VLOOKUP(B44,財管手收各月!B:P, 7, 0) *0.55</f>
        <v>2275350</v>
      </c>
      <c r="I44" s="211">
        <f>VLOOKUP(B44,財管手收各月!B:P, 8, 0) *0.55</f>
        <v>1965700.0000000002</v>
      </c>
      <c r="J44" s="211">
        <f>VLOOKUP(B44,財管手收各月!B:P, 9, 0) *0.55</f>
        <v>1965700.0000000002</v>
      </c>
      <c r="K44" s="211">
        <f>VLOOKUP(B44,財管手收各月!B:P, 10, 0) *0.55</f>
        <v>2275350</v>
      </c>
      <c r="L44" s="211">
        <f>VLOOKUP(B44,財管手收各月!B:P, 11, 0) *0.55</f>
        <v>1965700.0000000002</v>
      </c>
      <c r="M44" s="211">
        <f>VLOOKUP(B44,財管手收各月!B:P, 12, 0) *0.55</f>
        <v>2068000.0000000002</v>
      </c>
      <c r="N44" s="211">
        <f>VLOOKUP(B44,財管手收各月!B:P, 13, 0) *0.55</f>
        <v>2275350</v>
      </c>
      <c r="O44" s="211">
        <f>VLOOKUP(B44,財管手收各月!B:P, 14, 0) *0.55</f>
        <v>827200.00000000012</v>
      </c>
      <c r="P44" s="211">
        <f t="shared" si="0"/>
        <v>24409000</v>
      </c>
    </row>
    <row r="45" spans="1:16" s="143" customFormat="1" ht="36.75" customHeight="1">
      <c r="A45" s="55" t="s">
        <v>0</v>
      </c>
      <c r="B45" s="136">
        <v>149</v>
      </c>
      <c r="C45" s="55" t="s">
        <v>153</v>
      </c>
      <c r="D45" s="211">
        <f>VLOOKUP(B45,財管手收各月!B:P, 3, 0) *0.55</f>
        <v>3754850.0000000005</v>
      </c>
      <c r="E45" s="211">
        <f>VLOOKUP(B45,財管手收各月!B:P, 4, 0) *0.55</f>
        <v>2888050.0000000005</v>
      </c>
      <c r="F45" s="211">
        <f>VLOOKUP(B45,財管手收各月!B:P, 5, 0) *0.55</f>
        <v>2888050.0000000005</v>
      </c>
      <c r="G45" s="211">
        <f>VLOOKUP(B45,財管手收各月!B:P, 6, 0) *0.55</f>
        <v>2743400</v>
      </c>
      <c r="H45" s="211">
        <f>VLOOKUP(B45,財管手收各月!B:P, 7, 0) *0.55</f>
        <v>3177350.0000000005</v>
      </c>
      <c r="I45" s="211">
        <f>VLOOKUP(B45,財管手收各月!B:P, 8, 0) *0.55</f>
        <v>2743400</v>
      </c>
      <c r="J45" s="211">
        <f>VLOOKUP(B45,財管手收各月!B:P, 9, 0) *0.55</f>
        <v>2743400</v>
      </c>
      <c r="K45" s="211">
        <f>VLOOKUP(B45,財管手收各月!B:P, 10, 0) *0.55</f>
        <v>3177350.0000000005</v>
      </c>
      <c r="L45" s="211">
        <f>VLOOKUP(B45,財管手收各月!B:P, 11, 0) *0.55</f>
        <v>2743400</v>
      </c>
      <c r="M45" s="211">
        <f>VLOOKUP(B45,財管手收各月!B:P, 12, 0) *0.55</f>
        <v>2888050.0000000005</v>
      </c>
      <c r="N45" s="211">
        <f>VLOOKUP(B45,財管手收各月!B:P, 13, 0) *0.55</f>
        <v>3177350.0000000005</v>
      </c>
      <c r="O45" s="211">
        <f>VLOOKUP(B45,財管手收各月!B:P, 14, 0) *0.55</f>
        <v>1153350</v>
      </c>
      <c r="P45" s="211">
        <f t="shared" si="0"/>
        <v>34078000</v>
      </c>
    </row>
    <row r="46" spans="1:16" s="143" customFormat="1" ht="36.75" customHeight="1">
      <c r="A46" s="55" t="s">
        <v>7</v>
      </c>
      <c r="B46" s="136">
        <v>151</v>
      </c>
      <c r="C46" s="55" t="s">
        <v>154</v>
      </c>
      <c r="D46" s="211">
        <f>VLOOKUP(B46,財管手收各月!B:P, 3, 0) *0.55</f>
        <v>5004450</v>
      </c>
      <c r="E46" s="211">
        <f>VLOOKUP(B46,財管手收各月!B:P, 4, 0) *0.55</f>
        <v>3849450.0000000005</v>
      </c>
      <c r="F46" s="211">
        <f>VLOOKUP(B46,財管手收各月!B:P, 5, 0) *0.55</f>
        <v>3849450.0000000005</v>
      </c>
      <c r="G46" s="211">
        <f>VLOOKUP(B46,財管手收各月!B:P, 6, 0) *0.55</f>
        <v>3657500.0000000005</v>
      </c>
      <c r="H46" s="211">
        <f>VLOOKUP(B46,財管手收各月!B:P, 7, 0) *0.55</f>
        <v>4235000</v>
      </c>
      <c r="I46" s="211">
        <f>VLOOKUP(B46,財管手收各月!B:P, 8, 0) *0.55</f>
        <v>3657500.0000000005</v>
      </c>
      <c r="J46" s="211">
        <f>VLOOKUP(B46,財管手收各月!B:P, 9, 0) *0.55</f>
        <v>3657500.0000000005</v>
      </c>
      <c r="K46" s="211">
        <f>VLOOKUP(B46,財管手收各月!B:P, 10, 0) *0.55</f>
        <v>4235000</v>
      </c>
      <c r="L46" s="211">
        <f>VLOOKUP(B46,財管手收各月!B:P, 11, 0) *0.55</f>
        <v>3657500.0000000005</v>
      </c>
      <c r="M46" s="211">
        <f>VLOOKUP(B46,財管手收各月!B:P, 12, 0) *0.55</f>
        <v>3849450.0000000005</v>
      </c>
      <c r="N46" s="211">
        <f>VLOOKUP(B46,財管手收各月!B:P, 13, 0) *0.55</f>
        <v>4235000</v>
      </c>
      <c r="O46" s="211">
        <f>VLOOKUP(B46,財管手收各月!B:P, 14, 0) *0.55</f>
        <v>1542200.0000000002</v>
      </c>
      <c r="P46" s="211">
        <f t="shared" si="0"/>
        <v>45430000</v>
      </c>
    </row>
    <row r="47" spans="1:16" s="143" customFormat="1" ht="36.75" customHeight="1">
      <c r="A47" s="55" t="s">
        <v>0</v>
      </c>
      <c r="B47" s="136">
        <v>152</v>
      </c>
      <c r="C47" s="55" t="s">
        <v>155</v>
      </c>
      <c r="D47" s="211">
        <f>VLOOKUP(B47,財管手收各月!B:P, 3, 0) *0.55</f>
        <v>4650250</v>
      </c>
      <c r="E47" s="211">
        <f>VLOOKUP(B47,財管手收各月!B:P, 4, 0) *0.55</f>
        <v>3577200.0000000005</v>
      </c>
      <c r="F47" s="211">
        <f>VLOOKUP(B47,財管手收各月!B:P, 5, 0) *0.55</f>
        <v>3577200.0000000005</v>
      </c>
      <c r="G47" s="211">
        <f>VLOOKUP(B47,財管手收各月!B:P, 6, 0) *0.55</f>
        <v>3398450.0000000005</v>
      </c>
      <c r="H47" s="211">
        <f>VLOOKUP(B47,財管手收各月!B:P, 7, 0) *0.55</f>
        <v>3934700.0000000005</v>
      </c>
      <c r="I47" s="211">
        <f>VLOOKUP(B47,財管手收各月!B:P, 8, 0) *0.55</f>
        <v>3398450.0000000005</v>
      </c>
      <c r="J47" s="211">
        <f>VLOOKUP(B47,財管手收各月!B:P, 9, 0) *0.55</f>
        <v>3398450.0000000005</v>
      </c>
      <c r="K47" s="211">
        <f>VLOOKUP(B47,財管手收各月!B:P, 10, 0) *0.55</f>
        <v>3934700.0000000005</v>
      </c>
      <c r="L47" s="211">
        <f>VLOOKUP(B47,財管手收各月!B:P, 11, 0) *0.55</f>
        <v>3398450.0000000005</v>
      </c>
      <c r="M47" s="211">
        <f>VLOOKUP(B47,財管手收各月!B:P, 12, 0) *0.55</f>
        <v>3577200.0000000005</v>
      </c>
      <c r="N47" s="211">
        <f>VLOOKUP(B47,財管手收各月!B:P, 13, 0) *0.55</f>
        <v>3934700.0000000005</v>
      </c>
      <c r="O47" s="211">
        <f>VLOOKUP(B47,財管手收各月!B:P, 14, 0) *0.55</f>
        <v>1427250</v>
      </c>
      <c r="P47" s="211">
        <f t="shared" si="0"/>
        <v>42207000</v>
      </c>
    </row>
    <row r="48" spans="1:16" s="143" customFormat="1" ht="36.75" customHeight="1">
      <c r="A48" s="55" t="s">
        <v>0</v>
      </c>
      <c r="B48" s="136">
        <v>153</v>
      </c>
      <c r="C48" s="55" t="s">
        <v>156</v>
      </c>
      <c r="D48" s="211">
        <f>VLOOKUP(B48,財管手收各月!B:P, 3, 0) *0.55</f>
        <v>4262500</v>
      </c>
      <c r="E48" s="211">
        <f>VLOOKUP(B48,財管手收各月!B:P, 4, 0) *0.55</f>
        <v>3278550.0000000005</v>
      </c>
      <c r="F48" s="211">
        <f>VLOOKUP(B48,財管手收各月!B:P, 5, 0) *0.55</f>
        <v>3278550.0000000005</v>
      </c>
      <c r="G48" s="211">
        <f>VLOOKUP(B48,財管手收各月!B:P, 6, 0) *0.55</f>
        <v>3114650.0000000005</v>
      </c>
      <c r="H48" s="211">
        <f>VLOOKUP(B48,財管手收各月!B:P, 7, 0) *0.55</f>
        <v>3606350.0000000005</v>
      </c>
      <c r="I48" s="211">
        <f>VLOOKUP(B48,財管手收各月!B:P, 8, 0) *0.55</f>
        <v>3114650.0000000005</v>
      </c>
      <c r="J48" s="211">
        <f>VLOOKUP(B48,財管手收各月!B:P, 9, 0) *0.55</f>
        <v>3114650.0000000005</v>
      </c>
      <c r="K48" s="211">
        <f>VLOOKUP(B48,財管手收各月!B:P, 10, 0) *0.55</f>
        <v>3606350.0000000005</v>
      </c>
      <c r="L48" s="211">
        <f>VLOOKUP(B48,財管手收各月!B:P, 11, 0) *0.55</f>
        <v>3114650.0000000005</v>
      </c>
      <c r="M48" s="211">
        <f>VLOOKUP(B48,財管手收各月!B:P, 12, 0) *0.55</f>
        <v>3278550.0000000005</v>
      </c>
      <c r="N48" s="211">
        <f>VLOOKUP(B48,財管手收各月!B:P, 13, 0) *0.55</f>
        <v>3606350.0000000005</v>
      </c>
      <c r="O48" s="211">
        <f>VLOOKUP(B48,財管手收各月!B:P, 14, 0) *0.55</f>
        <v>1311200</v>
      </c>
      <c r="P48" s="211">
        <f t="shared" si="0"/>
        <v>38687000</v>
      </c>
    </row>
    <row r="49" spans="1:16" s="143" customFormat="1" ht="36.75" customHeight="1">
      <c r="A49" s="55" t="s">
        <v>0</v>
      </c>
      <c r="B49" s="136">
        <v>154</v>
      </c>
      <c r="C49" s="55" t="s">
        <v>8</v>
      </c>
      <c r="D49" s="211">
        <f>VLOOKUP(B49,財管手收各月!B:P, 3, 0) *0.55</f>
        <v>2336950</v>
      </c>
      <c r="E49" s="211">
        <f>VLOOKUP(B49,財管手收各月!B:P, 4, 0) *0.55</f>
        <v>1797400.0000000002</v>
      </c>
      <c r="F49" s="211">
        <f>VLOOKUP(B49,財管手收各月!B:P, 5, 0) *0.55</f>
        <v>1797400.0000000002</v>
      </c>
      <c r="G49" s="211">
        <f>VLOOKUP(B49,財管手收各月!B:P, 6, 0) *0.55</f>
        <v>1708300.0000000002</v>
      </c>
      <c r="H49" s="211">
        <f>VLOOKUP(B49,財管手收各月!B:P, 7, 0) *0.55</f>
        <v>1977800.0000000002</v>
      </c>
      <c r="I49" s="211">
        <f>VLOOKUP(B49,財管手收各月!B:P, 8, 0) *0.55</f>
        <v>1708300.0000000002</v>
      </c>
      <c r="J49" s="211">
        <f>VLOOKUP(B49,財管手收各月!B:P, 9, 0) *0.55</f>
        <v>1708300.0000000002</v>
      </c>
      <c r="K49" s="211">
        <f>VLOOKUP(B49,財管手收各月!B:P, 10, 0) *0.55</f>
        <v>1977800.0000000002</v>
      </c>
      <c r="L49" s="211">
        <f>VLOOKUP(B49,財管手收各月!B:P, 11, 0) *0.55</f>
        <v>1708300.0000000002</v>
      </c>
      <c r="M49" s="211">
        <f>VLOOKUP(B49,財管手收各月!B:P, 12, 0) *0.55</f>
        <v>1797400.0000000002</v>
      </c>
      <c r="N49" s="211">
        <f>VLOOKUP(B49,財管手收各月!B:P, 13, 0) *0.55</f>
        <v>1977800.0000000002</v>
      </c>
      <c r="O49" s="211">
        <f>VLOOKUP(B49,財管手收各月!B:P, 14, 0) *0.55</f>
        <v>717750</v>
      </c>
      <c r="P49" s="211">
        <f t="shared" si="0"/>
        <v>21213500</v>
      </c>
    </row>
    <row r="50" spans="1:16" s="143" customFormat="1" ht="36.75" customHeight="1">
      <c r="A50" s="55" t="s">
        <v>0</v>
      </c>
      <c r="B50" s="136">
        <v>156</v>
      </c>
      <c r="C50" s="55" t="s">
        <v>157</v>
      </c>
      <c r="D50" s="211">
        <f>VLOOKUP(B50,財管手收各月!B:P, 3, 0) *0.55</f>
        <v>3085500.0000000005</v>
      </c>
      <c r="E50" s="211">
        <f>VLOOKUP(B50,財管手收各月!B:P, 4, 0) *0.55</f>
        <v>2372700</v>
      </c>
      <c r="F50" s="211">
        <f>VLOOKUP(B50,財管手收各月!B:P, 5, 0) *0.55</f>
        <v>2372700</v>
      </c>
      <c r="G50" s="211">
        <f>VLOOKUP(B50,財管手收各月!B:P, 6, 0) *0.55</f>
        <v>2254450</v>
      </c>
      <c r="H50" s="211">
        <f>VLOOKUP(B50,財管手收各月!B:P, 7, 0) *0.55</f>
        <v>2610850</v>
      </c>
      <c r="I50" s="211">
        <f>VLOOKUP(B50,財管手收各月!B:P, 8, 0) *0.55</f>
        <v>2254450</v>
      </c>
      <c r="J50" s="211">
        <f>VLOOKUP(B50,財管手收各月!B:P, 9, 0) *0.55</f>
        <v>2254450</v>
      </c>
      <c r="K50" s="211">
        <f>VLOOKUP(B50,財管手收各月!B:P, 10, 0) *0.55</f>
        <v>2610850</v>
      </c>
      <c r="L50" s="211">
        <f>VLOOKUP(B50,財管手收各月!B:P, 11, 0) *0.55</f>
        <v>2254450</v>
      </c>
      <c r="M50" s="211">
        <f>VLOOKUP(B50,財管手收各月!B:P, 12, 0) *0.55</f>
        <v>2372700</v>
      </c>
      <c r="N50" s="211">
        <f>VLOOKUP(B50,財管手收各月!B:P, 13, 0) *0.55</f>
        <v>2610850</v>
      </c>
      <c r="O50" s="211">
        <f>VLOOKUP(B50,財管手收各月!B:P, 14, 0) *0.55</f>
        <v>946550.00000000012</v>
      </c>
      <c r="P50" s="211">
        <f t="shared" si="0"/>
        <v>28000500</v>
      </c>
    </row>
    <row r="51" spans="1:16" s="143" customFormat="1" ht="36.75" customHeight="1">
      <c r="A51" s="55" t="s">
        <v>0</v>
      </c>
      <c r="B51" s="136">
        <v>157</v>
      </c>
      <c r="C51" s="55" t="s">
        <v>158</v>
      </c>
      <c r="D51" s="211">
        <f>VLOOKUP(B51,財管手收各月!B:P, 3, 0) *0.55</f>
        <v>2273150</v>
      </c>
      <c r="E51" s="211">
        <f>VLOOKUP(B51,財管手收各月!B:P, 4, 0) *0.55</f>
        <v>1749550.0000000002</v>
      </c>
      <c r="F51" s="211">
        <f>VLOOKUP(B51,財管手收各月!B:P, 5, 0) *0.55</f>
        <v>1749550.0000000002</v>
      </c>
      <c r="G51" s="211">
        <f>VLOOKUP(B51,財管手收各月!B:P, 6, 0) *0.55</f>
        <v>1662100.0000000002</v>
      </c>
      <c r="H51" s="211">
        <f>VLOOKUP(B51,財管手收各月!B:P, 7, 0) *0.55</f>
        <v>1925000.0000000002</v>
      </c>
      <c r="I51" s="211">
        <f>VLOOKUP(B51,財管手收各月!B:P, 8, 0) *0.55</f>
        <v>1662100.0000000002</v>
      </c>
      <c r="J51" s="211">
        <f>VLOOKUP(B51,財管手收各月!B:P, 9, 0) *0.55</f>
        <v>1662100.0000000002</v>
      </c>
      <c r="K51" s="211">
        <f>VLOOKUP(B51,財管手收各月!B:P, 10, 0) *0.55</f>
        <v>1925000.0000000002</v>
      </c>
      <c r="L51" s="211">
        <f>VLOOKUP(B51,財管手收各月!B:P, 11, 0) *0.55</f>
        <v>1662100.0000000002</v>
      </c>
      <c r="M51" s="211">
        <f>VLOOKUP(B51,財管手收各月!B:P, 12, 0) *0.55</f>
        <v>1749550.0000000002</v>
      </c>
      <c r="N51" s="211">
        <f>VLOOKUP(B51,財管手收各月!B:P, 13, 0) *0.55</f>
        <v>1925000.0000000002</v>
      </c>
      <c r="O51" s="211">
        <f>VLOOKUP(B51,財管手收各月!B:P, 14, 0) *0.55</f>
        <v>696300</v>
      </c>
      <c r="P51" s="211">
        <f t="shared" si="0"/>
        <v>20641500</v>
      </c>
    </row>
    <row r="52" spans="1:16" s="143" customFormat="1" ht="36.75" customHeight="1">
      <c r="A52" s="55" t="s">
        <v>7</v>
      </c>
      <c r="B52" s="136">
        <v>158</v>
      </c>
      <c r="C52" s="55" t="s">
        <v>159</v>
      </c>
      <c r="D52" s="211">
        <f>VLOOKUP(B52,財管手收各月!B:P, 3, 0) *0.55</f>
        <v>4004550.0000000005</v>
      </c>
      <c r="E52" s="211">
        <f>VLOOKUP(B52,財管手收各月!B:P, 4, 0) *0.55</f>
        <v>3080550.0000000005</v>
      </c>
      <c r="F52" s="211">
        <f>VLOOKUP(B52,財管手收各月!B:P, 5, 0) *0.55</f>
        <v>3080550.0000000005</v>
      </c>
      <c r="G52" s="211">
        <f>VLOOKUP(B52,財管手收各月!B:P, 6, 0) *0.55</f>
        <v>2926550.0000000005</v>
      </c>
      <c r="H52" s="211">
        <f>VLOOKUP(B52,財管手收各月!B:P, 7, 0) *0.55</f>
        <v>3388550.0000000005</v>
      </c>
      <c r="I52" s="211">
        <f>VLOOKUP(B52,財管手收各月!B:P, 8, 0) *0.55</f>
        <v>2926550.0000000005</v>
      </c>
      <c r="J52" s="211">
        <f>VLOOKUP(B52,財管手收各月!B:P, 9, 0) *0.55</f>
        <v>2926550.0000000005</v>
      </c>
      <c r="K52" s="211">
        <f>VLOOKUP(B52,財管手收各月!B:P, 10, 0) *0.55</f>
        <v>3388550.0000000005</v>
      </c>
      <c r="L52" s="211">
        <f>VLOOKUP(B52,財管手收各月!B:P, 11, 0) *0.55</f>
        <v>2926550.0000000005</v>
      </c>
      <c r="M52" s="211">
        <f>VLOOKUP(B52,財管手收各月!B:P, 12, 0) *0.55</f>
        <v>3080550.0000000005</v>
      </c>
      <c r="N52" s="211">
        <f>VLOOKUP(B52,財管手收各月!B:P, 13, 0) *0.55</f>
        <v>3388550.0000000005</v>
      </c>
      <c r="O52" s="211">
        <f>VLOOKUP(B52,財管手收各月!B:P, 14, 0) *0.55</f>
        <v>1231450</v>
      </c>
      <c r="P52" s="211">
        <f t="shared" si="0"/>
        <v>36349500.000000007</v>
      </c>
    </row>
    <row r="53" spans="1:16" s="143" customFormat="1" ht="36.75" customHeight="1">
      <c r="A53" s="55" t="s">
        <v>7</v>
      </c>
      <c r="B53" s="136">
        <v>159</v>
      </c>
      <c r="C53" s="55" t="s">
        <v>83</v>
      </c>
      <c r="D53" s="211">
        <f>VLOOKUP(B53,財管手收各月!B:P, 3, 0) *0.55</f>
        <v>7210500.0000000009</v>
      </c>
      <c r="E53" s="211">
        <f>VLOOKUP(B53,財管手收各月!B:P, 4, 0) *0.55</f>
        <v>5546750</v>
      </c>
      <c r="F53" s="211">
        <f>VLOOKUP(B53,財管手收各月!B:P, 5, 0) *0.55</f>
        <v>5546750</v>
      </c>
      <c r="G53" s="211">
        <f>VLOOKUP(B53,財管手收各月!B:P, 6, 0) *0.55</f>
        <v>5269000</v>
      </c>
      <c r="H53" s="211">
        <f>VLOOKUP(B53,財管手收各月!B:P, 7, 0) *0.55</f>
        <v>6101150.0000000009</v>
      </c>
      <c r="I53" s="211">
        <f>VLOOKUP(B53,財管手收各月!B:P, 8, 0) *0.55</f>
        <v>5269000</v>
      </c>
      <c r="J53" s="211">
        <f>VLOOKUP(B53,財管手收各月!B:P, 9, 0) *0.55</f>
        <v>5269000</v>
      </c>
      <c r="K53" s="211">
        <f>VLOOKUP(B53,財管手收各月!B:P, 10, 0) *0.55</f>
        <v>6101150.0000000009</v>
      </c>
      <c r="L53" s="211">
        <f>VLOOKUP(B53,財管手收各月!B:P, 11, 0) *0.55</f>
        <v>5269000</v>
      </c>
      <c r="M53" s="211">
        <f>VLOOKUP(B53,財管手收各月!B:P, 12, 0) *0.55</f>
        <v>5546750</v>
      </c>
      <c r="N53" s="211">
        <f>VLOOKUP(B53,財管手收各月!B:P, 13, 0) *0.55</f>
        <v>6101150.0000000009</v>
      </c>
      <c r="O53" s="211">
        <f>VLOOKUP(B53,財管手收各月!B:P, 14, 0) *0.55</f>
        <v>2219800</v>
      </c>
      <c r="P53" s="211">
        <f t="shared" si="0"/>
        <v>65450000</v>
      </c>
    </row>
    <row r="54" spans="1:16" s="143" customFormat="1" ht="36.75" customHeight="1">
      <c r="A54" s="55" t="s">
        <v>7</v>
      </c>
      <c r="B54" s="136">
        <v>160</v>
      </c>
      <c r="C54" s="55" t="s">
        <v>9</v>
      </c>
      <c r="D54" s="211">
        <f>VLOOKUP(B54,財管手收各月!B:P, 3, 0) *0.55</f>
        <v>4841650</v>
      </c>
      <c r="E54" s="211">
        <f>VLOOKUP(B54,財管手收各月!B:P, 4, 0) *0.55</f>
        <v>3724600.0000000005</v>
      </c>
      <c r="F54" s="211">
        <f>VLOOKUP(B54,財管手收各月!B:P, 5, 0) *0.55</f>
        <v>3724600.0000000005</v>
      </c>
      <c r="G54" s="211">
        <f>VLOOKUP(B54,財管手收各月!B:P, 6, 0) *0.55</f>
        <v>3538150.0000000005</v>
      </c>
      <c r="H54" s="211">
        <f>VLOOKUP(B54,財管手收各月!B:P, 7, 0) *0.55</f>
        <v>4096950.0000000005</v>
      </c>
      <c r="I54" s="211">
        <f>VLOOKUP(B54,財管手收各月!B:P, 8, 0) *0.55</f>
        <v>3538150.0000000005</v>
      </c>
      <c r="J54" s="211">
        <f>VLOOKUP(B54,財管手收各月!B:P, 9, 0) *0.55</f>
        <v>3538150.0000000005</v>
      </c>
      <c r="K54" s="211">
        <f>VLOOKUP(B54,財管手收各月!B:P, 10, 0) *0.55</f>
        <v>4096950.0000000005</v>
      </c>
      <c r="L54" s="211">
        <f>VLOOKUP(B54,財管手收各月!B:P, 11, 0) *0.55</f>
        <v>3538150.0000000005</v>
      </c>
      <c r="M54" s="211">
        <f>VLOOKUP(B54,財管手收各月!B:P, 12, 0) *0.55</f>
        <v>3724600.0000000005</v>
      </c>
      <c r="N54" s="211">
        <f>VLOOKUP(B54,財管手收各月!B:P, 13, 0) *0.55</f>
        <v>4096950.0000000005</v>
      </c>
      <c r="O54" s="211">
        <f>VLOOKUP(B54,財管手收各月!B:P, 14, 0) *0.55</f>
        <v>1491600.0000000002</v>
      </c>
      <c r="P54" s="211">
        <f t="shared" si="0"/>
        <v>43950500</v>
      </c>
    </row>
    <row r="55" spans="1:16" s="143" customFormat="1" ht="36.75" customHeight="1">
      <c r="A55" s="55" t="s">
        <v>7</v>
      </c>
      <c r="B55" s="136">
        <v>161</v>
      </c>
      <c r="C55" s="55" t="s">
        <v>160</v>
      </c>
      <c r="D55" s="211">
        <f>VLOOKUP(B55,財管手收各月!B:P, 3, 0) *0.55</f>
        <v>3143250.0000000005</v>
      </c>
      <c r="E55" s="211">
        <f>VLOOKUP(B55,財管手收各月!B:P, 4, 0) *0.55</f>
        <v>2418350</v>
      </c>
      <c r="F55" s="211">
        <f>VLOOKUP(B55,財管手收各月!B:P, 5, 0) *0.55</f>
        <v>2418350</v>
      </c>
      <c r="G55" s="211">
        <f>VLOOKUP(B55,財管手收各月!B:P, 6, 0) *0.55</f>
        <v>2297350</v>
      </c>
      <c r="H55" s="211">
        <f>VLOOKUP(B55,財管手收各月!B:P, 7, 0) *0.55</f>
        <v>2660900</v>
      </c>
      <c r="I55" s="211">
        <f>VLOOKUP(B55,財管手收各月!B:P, 8, 0) *0.55</f>
        <v>2297350</v>
      </c>
      <c r="J55" s="211">
        <f>VLOOKUP(B55,財管手收各月!B:P, 9, 0) *0.55</f>
        <v>2297350</v>
      </c>
      <c r="K55" s="211">
        <f>VLOOKUP(B55,財管手收各月!B:P, 10, 0) *0.55</f>
        <v>2660900</v>
      </c>
      <c r="L55" s="211">
        <f>VLOOKUP(B55,財管手收各月!B:P, 11, 0) *0.55</f>
        <v>2297350</v>
      </c>
      <c r="M55" s="211">
        <f>VLOOKUP(B55,財管手收各月!B:P, 12, 0) *0.55</f>
        <v>2418350</v>
      </c>
      <c r="N55" s="211">
        <f>VLOOKUP(B55,財管手收各月!B:P, 13, 0) *0.55</f>
        <v>2660900</v>
      </c>
      <c r="O55" s="211">
        <f>VLOOKUP(B55,財管手收各月!B:P, 14, 0) *0.55</f>
        <v>963600.00000000012</v>
      </c>
      <c r="P55" s="211">
        <f t="shared" si="0"/>
        <v>28534000</v>
      </c>
    </row>
    <row r="56" spans="1:16" s="143" customFormat="1" ht="36.75" customHeight="1">
      <c r="A56" s="55" t="s">
        <v>7</v>
      </c>
      <c r="B56" s="136">
        <v>162</v>
      </c>
      <c r="C56" s="55" t="s">
        <v>10</v>
      </c>
      <c r="D56" s="211">
        <f>VLOOKUP(B56,財管手收各月!B:P, 3, 0) *0.55</f>
        <v>6740800.0000000009</v>
      </c>
      <c r="E56" s="211">
        <f>VLOOKUP(B56,財管手收各月!B:P, 4, 0) *0.55</f>
        <v>5185400</v>
      </c>
      <c r="F56" s="211">
        <f>VLOOKUP(B56,財管手收各月!B:P, 5, 0) *0.55</f>
        <v>5185400</v>
      </c>
      <c r="G56" s="211">
        <f>VLOOKUP(B56,財管手收各月!B:P, 6, 0) *0.55</f>
        <v>4925800</v>
      </c>
      <c r="H56" s="211">
        <f>VLOOKUP(B56,財管手收各月!B:P, 7, 0) *0.55</f>
        <v>5704050</v>
      </c>
      <c r="I56" s="211">
        <f>VLOOKUP(B56,財管手收各月!B:P, 8, 0) *0.55</f>
        <v>4925800</v>
      </c>
      <c r="J56" s="211">
        <f>VLOOKUP(B56,財管手收各月!B:P, 9, 0) *0.55</f>
        <v>4925800</v>
      </c>
      <c r="K56" s="211">
        <f>VLOOKUP(B56,財管手收各月!B:P, 10, 0) *0.55</f>
        <v>5704050</v>
      </c>
      <c r="L56" s="211">
        <f>VLOOKUP(B56,財管手收各月!B:P, 11, 0) *0.55</f>
        <v>4925800</v>
      </c>
      <c r="M56" s="211">
        <f>VLOOKUP(B56,財管手收各月!B:P, 12, 0) *0.55</f>
        <v>5185400</v>
      </c>
      <c r="N56" s="211">
        <f>VLOOKUP(B56,財管手收各月!B:P, 13, 0) *0.55</f>
        <v>5704050</v>
      </c>
      <c r="O56" s="211">
        <f>VLOOKUP(B56,財管手收各月!B:P, 14, 0) *0.55</f>
        <v>2075150.0000000002</v>
      </c>
      <c r="P56" s="211">
        <f t="shared" si="0"/>
        <v>61187500</v>
      </c>
    </row>
    <row r="57" spans="1:16" s="143" customFormat="1" ht="36.75" customHeight="1">
      <c r="A57" s="55" t="s">
        <v>11</v>
      </c>
      <c r="B57" s="136">
        <v>163</v>
      </c>
      <c r="C57" s="55" t="s">
        <v>12</v>
      </c>
      <c r="D57" s="211">
        <f>VLOOKUP(B57,財管手收各月!B:P, 3, 0) *0.55</f>
        <v>3500200.0000000005</v>
      </c>
      <c r="E57" s="211">
        <f>VLOOKUP(B57,財管手收各月!B:P, 4, 0) *0.55</f>
        <v>2692250</v>
      </c>
      <c r="F57" s="211">
        <f>VLOOKUP(B57,財管手收各月!B:P, 5, 0) *0.55</f>
        <v>2692250</v>
      </c>
      <c r="G57" s="211">
        <f>VLOOKUP(B57,財管手收各月!B:P, 6, 0) *0.55</f>
        <v>2558050</v>
      </c>
      <c r="H57" s="211">
        <f>VLOOKUP(B57,財管手收各月!B:P, 7, 0) *0.55</f>
        <v>2961200.0000000005</v>
      </c>
      <c r="I57" s="211">
        <f>VLOOKUP(B57,財管手收各月!B:P, 8, 0) *0.55</f>
        <v>2558050</v>
      </c>
      <c r="J57" s="211">
        <f>VLOOKUP(B57,財管手收各月!B:P, 9, 0) *0.55</f>
        <v>2558050</v>
      </c>
      <c r="K57" s="211">
        <f>VLOOKUP(B57,財管手收各月!B:P, 10, 0) *0.55</f>
        <v>2961200.0000000005</v>
      </c>
      <c r="L57" s="211">
        <f>VLOOKUP(B57,財管手收各月!B:P, 11, 0) *0.55</f>
        <v>2558050</v>
      </c>
      <c r="M57" s="211">
        <f>VLOOKUP(B57,財管手收各月!B:P, 12, 0) *0.55</f>
        <v>2692250</v>
      </c>
      <c r="N57" s="211">
        <f>VLOOKUP(B57,財管手收各月!B:P, 13, 0) *0.55</f>
        <v>2961200.0000000005</v>
      </c>
      <c r="O57" s="211">
        <f>VLOOKUP(B57,財管手收各月!B:P, 14, 0) *0.55</f>
        <v>1075250</v>
      </c>
      <c r="P57" s="211">
        <f t="shared" si="0"/>
        <v>31768000</v>
      </c>
    </row>
    <row r="58" spans="1:16" s="143" customFormat="1" ht="36.75" customHeight="1">
      <c r="A58" s="55" t="s">
        <v>7</v>
      </c>
      <c r="B58" s="136">
        <v>164</v>
      </c>
      <c r="C58" s="55" t="s">
        <v>161</v>
      </c>
      <c r="D58" s="211">
        <f>VLOOKUP(B58,財管手收各月!B:P, 3, 0) *0.55</f>
        <v>4329600</v>
      </c>
      <c r="E58" s="211">
        <f>VLOOKUP(B58,財管手收各月!B:P, 4, 0) *0.55</f>
        <v>3329700.0000000005</v>
      </c>
      <c r="F58" s="211">
        <f>VLOOKUP(B58,財管手收各月!B:P, 5, 0) *0.55</f>
        <v>3329700.0000000005</v>
      </c>
      <c r="G58" s="211">
        <f>VLOOKUP(B58,財管手收各月!B:P, 6, 0) *0.55</f>
        <v>3163050.0000000005</v>
      </c>
      <c r="H58" s="211">
        <f>VLOOKUP(B58,財管手收各月!B:P, 7, 0) *0.55</f>
        <v>3663000.0000000005</v>
      </c>
      <c r="I58" s="211">
        <f>VLOOKUP(B58,財管手收各月!B:P, 8, 0) *0.55</f>
        <v>3163050.0000000005</v>
      </c>
      <c r="J58" s="211">
        <f>VLOOKUP(B58,財管手收各月!B:P, 9, 0) *0.55</f>
        <v>3163050.0000000005</v>
      </c>
      <c r="K58" s="211">
        <f>VLOOKUP(B58,財管手收各月!B:P, 10, 0) *0.55</f>
        <v>3663000.0000000005</v>
      </c>
      <c r="L58" s="211">
        <f>VLOOKUP(B58,財管手收各月!B:P, 11, 0) *0.55</f>
        <v>3163050.0000000005</v>
      </c>
      <c r="M58" s="211">
        <f>VLOOKUP(B58,財管手收各月!B:P, 12, 0) *0.55</f>
        <v>3329700.0000000005</v>
      </c>
      <c r="N58" s="211">
        <f>VLOOKUP(B58,財管手收各月!B:P, 13, 0) *0.55</f>
        <v>3663000.0000000005</v>
      </c>
      <c r="O58" s="211">
        <f>VLOOKUP(B58,財管手收各月!B:P, 14, 0) *0.55</f>
        <v>1337600</v>
      </c>
      <c r="P58" s="211">
        <f t="shared" si="0"/>
        <v>39297500</v>
      </c>
    </row>
    <row r="59" spans="1:16" s="143" customFormat="1" ht="36.75" customHeight="1">
      <c r="A59" s="55" t="s">
        <v>7</v>
      </c>
      <c r="B59" s="136">
        <v>165</v>
      </c>
      <c r="C59" s="55" t="s">
        <v>13</v>
      </c>
      <c r="D59" s="211">
        <f>VLOOKUP(B59,財管手收各月!B:P, 3, 0) *0.55</f>
        <v>5179900</v>
      </c>
      <c r="E59" s="211">
        <f>VLOOKUP(B59,財管手收各月!B:P, 4, 0) *0.55</f>
        <v>3984750.0000000005</v>
      </c>
      <c r="F59" s="211">
        <f>VLOOKUP(B59,財管手收各月!B:P, 5, 0) *0.55</f>
        <v>3984750.0000000005</v>
      </c>
      <c r="G59" s="211">
        <f>VLOOKUP(B59,財管手收各月!B:P, 6, 0) *0.55</f>
        <v>3785100.0000000005</v>
      </c>
      <c r="H59" s="211">
        <f>VLOOKUP(B59,財管手收各月!B:P, 7, 0) *0.55</f>
        <v>4382950</v>
      </c>
      <c r="I59" s="211">
        <f>VLOOKUP(B59,財管手收各月!B:P, 8, 0) *0.55</f>
        <v>3785100.0000000005</v>
      </c>
      <c r="J59" s="211">
        <f>VLOOKUP(B59,財管手收各月!B:P, 9, 0) *0.55</f>
        <v>3785100.0000000005</v>
      </c>
      <c r="K59" s="211">
        <f>VLOOKUP(B59,財管手收各月!B:P, 10, 0) *0.55</f>
        <v>4382950</v>
      </c>
      <c r="L59" s="211">
        <f>VLOOKUP(B59,財管手收各月!B:P, 11, 0) *0.55</f>
        <v>3785100.0000000005</v>
      </c>
      <c r="M59" s="211">
        <f>VLOOKUP(B59,財管手收各月!B:P, 12, 0) *0.55</f>
        <v>3984750.0000000005</v>
      </c>
      <c r="N59" s="211">
        <f>VLOOKUP(B59,財管手收各月!B:P, 13, 0) *0.55</f>
        <v>4382950</v>
      </c>
      <c r="O59" s="211">
        <f>VLOOKUP(B59,財管手收各月!B:P, 14, 0) *0.55</f>
        <v>1596100.0000000002</v>
      </c>
      <c r="P59" s="211">
        <f t="shared" si="0"/>
        <v>47019500</v>
      </c>
    </row>
    <row r="60" spans="1:16" s="143" customFormat="1" ht="36.75" customHeight="1">
      <c r="A60" s="55" t="s">
        <v>7</v>
      </c>
      <c r="B60" s="136">
        <v>166</v>
      </c>
      <c r="C60" s="55" t="s">
        <v>84</v>
      </c>
      <c r="D60" s="211">
        <f>VLOOKUP(B60,財管手收各月!B:P, 3, 0) *0.55</f>
        <v>3929200.0000000005</v>
      </c>
      <c r="E60" s="211">
        <f>VLOOKUP(B60,財管手收各月!B:P, 4, 0) *0.55</f>
        <v>3022800.0000000005</v>
      </c>
      <c r="F60" s="211">
        <f>VLOOKUP(B60,財管手收各月!B:P, 5, 0) *0.55</f>
        <v>3022800.0000000005</v>
      </c>
      <c r="G60" s="211">
        <f>VLOOKUP(B60,財管手收各月!B:P, 6, 0) *0.55</f>
        <v>2871550</v>
      </c>
      <c r="H60" s="211">
        <f>VLOOKUP(B60,財管手收各月!B:P, 7, 0) *0.55</f>
        <v>3324750.0000000005</v>
      </c>
      <c r="I60" s="211">
        <f>VLOOKUP(B60,財管手收各月!B:P, 8, 0) *0.55</f>
        <v>2871550</v>
      </c>
      <c r="J60" s="211">
        <f>VLOOKUP(B60,財管手收各月!B:P, 9, 0) *0.55</f>
        <v>2871550</v>
      </c>
      <c r="K60" s="211">
        <f>VLOOKUP(B60,財管手收各月!B:P, 10, 0) *0.55</f>
        <v>3324750.0000000005</v>
      </c>
      <c r="L60" s="211">
        <f>VLOOKUP(B60,財管手收各月!B:P, 11, 0) *0.55</f>
        <v>2871550</v>
      </c>
      <c r="M60" s="211">
        <f>VLOOKUP(B60,財管手收各月!B:P, 12, 0) *0.55</f>
        <v>3022800.0000000005</v>
      </c>
      <c r="N60" s="211">
        <f>VLOOKUP(B60,財管手收各月!B:P, 13, 0) *0.55</f>
        <v>3324750.0000000005</v>
      </c>
      <c r="O60" s="211">
        <f>VLOOKUP(B60,財管手收各月!B:P, 14, 0) *0.55</f>
        <v>1209450</v>
      </c>
      <c r="P60" s="211">
        <f t="shared" si="0"/>
        <v>35667500</v>
      </c>
    </row>
    <row r="61" spans="1:16" s="143" customFormat="1" ht="36.75" customHeight="1">
      <c r="A61" s="55" t="s">
        <v>7</v>
      </c>
      <c r="B61" s="136">
        <v>167</v>
      </c>
      <c r="C61" s="55" t="s">
        <v>162</v>
      </c>
      <c r="D61" s="211">
        <f>VLOOKUP(B61,財管手收各月!B:P, 3, 0) *0.55</f>
        <v>6114900.0000000009</v>
      </c>
      <c r="E61" s="211">
        <f>VLOOKUP(B61,財管手收各月!B:P, 4, 0) *0.55</f>
        <v>4704150</v>
      </c>
      <c r="F61" s="211">
        <f>VLOOKUP(B61,財管手收各月!B:P, 5, 0) *0.55</f>
        <v>4704150</v>
      </c>
      <c r="G61" s="211">
        <f>VLOOKUP(B61,財管手收各月!B:P, 6, 0) *0.55</f>
        <v>4468750</v>
      </c>
      <c r="H61" s="211">
        <f>VLOOKUP(B61,財管手收各月!B:P, 7, 0) *0.55</f>
        <v>5173850</v>
      </c>
      <c r="I61" s="211">
        <f>VLOOKUP(B61,財管手收各月!B:P, 8, 0) *0.55</f>
        <v>4468750</v>
      </c>
      <c r="J61" s="211">
        <f>VLOOKUP(B61,財管手收各月!B:P, 9, 0) *0.55</f>
        <v>4468750</v>
      </c>
      <c r="K61" s="211">
        <f>VLOOKUP(B61,財管手收各月!B:P, 10, 0) *0.55</f>
        <v>5173850</v>
      </c>
      <c r="L61" s="211">
        <f>VLOOKUP(B61,財管手收各月!B:P, 11, 0) *0.55</f>
        <v>4468750</v>
      </c>
      <c r="M61" s="211">
        <f>VLOOKUP(B61,財管手收各月!B:P, 12, 0) *0.55</f>
        <v>4704150</v>
      </c>
      <c r="N61" s="211">
        <f>VLOOKUP(B61,財管手收各月!B:P, 13, 0) *0.55</f>
        <v>5173850</v>
      </c>
      <c r="O61" s="211">
        <f>VLOOKUP(B61,財管手收各月!B:P, 14, 0) *0.55</f>
        <v>1876600.0000000002</v>
      </c>
      <c r="P61" s="211">
        <f t="shared" si="0"/>
        <v>55500500</v>
      </c>
    </row>
    <row r="62" spans="1:16" s="143" customFormat="1" ht="36.75" customHeight="1">
      <c r="A62" s="55" t="s">
        <v>7</v>
      </c>
      <c r="B62" s="136">
        <v>168</v>
      </c>
      <c r="C62" s="55" t="s">
        <v>163</v>
      </c>
      <c r="D62" s="211">
        <f>VLOOKUP(B62,財管手收各月!B:P, 3, 0) *0.55</f>
        <v>5690850</v>
      </c>
      <c r="E62" s="211">
        <f>VLOOKUP(B62,財管手收各月!B:P, 4, 0) *0.55</f>
        <v>4376900</v>
      </c>
      <c r="F62" s="211">
        <f>VLOOKUP(B62,財管手收各月!B:P, 5, 0) *0.55</f>
        <v>4376900</v>
      </c>
      <c r="G62" s="211">
        <f>VLOOKUP(B62,財管手收各月!B:P, 6, 0) *0.55</f>
        <v>4158550.0000000005</v>
      </c>
      <c r="H62" s="211">
        <f>VLOOKUP(B62,財管手收各月!B:P, 7, 0) *0.55</f>
        <v>4815250</v>
      </c>
      <c r="I62" s="211">
        <f>VLOOKUP(B62,財管手收各月!B:P, 8, 0) *0.55</f>
        <v>4158550.0000000005</v>
      </c>
      <c r="J62" s="211">
        <f>VLOOKUP(B62,財管手收各月!B:P, 9, 0) *0.55</f>
        <v>4158550.0000000005</v>
      </c>
      <c r="K62" s="211">
        <f>VLOOKUP(B62,財管手收各月!B:P, 10, 0) *0.55</f>
        <v>4815250</v>
      </c>
      <c r="L62" s="211">
        <f>VLOOKUP(B62,財管手收各月!B:P, 11, 0) *0.55</f>
        <v>4158550.0000000005</v>
      </c>
      <c r="M62" s="211">
        <f>VLOOKUP(B62,財管手收各月!B:P, 12, 0) *0.55</f>
        <v>4376900</v>
      </c>
      <c r="N62" s="211">
        <f>VLOOKUP(B62,財管手收各月!B:P, 13, 0) *0.55</f>
        <v>4815250</v>
      </c>
      <c r="O62" s="211">
        <f>VLOOKUP(B62,財管手收各月!B:P, 14, 0) *0.55</f>
        <v>1749000.0000000002</v>
      </c>
      <c r="P62" s="211">
        <f t="shared" si="0"/>
        <v>51650500</v>
      </c>
    </row>
    <row r="63" spans="1:16" s="143" customFormat="1" ht="36.75" customHeight="1">
      <c r="A63" s="55" t="s">
        <v>7</v>
      </c>
      <c r="B63" s="136">
        <v>169</v>
      </c>
      <c r="C63" s="55" t="s">
        <v>85</v>
      </c>
      <c r="D63" s="211">
        <f>VLOOKUP(B63,財管手收各月!B:P, 3, 0) *0.55</f>
        <v>4552900</v>
      </c>
      <c r="E63" s="211">
        <f>VLOOKUP(B63,財管手收各月!B:P, 4, 0) *0.55</f>
        <v>3501850.0000000005</v>
      </c>
      <c r="F63" s="211">
        <f>VLOOKUP(B63,財管手收各月!B:P, 5, 0) *0.55</f>
        <v>3501850.0000000005</v>
      </c>
      <c r="G63" s="211">
        <f>VLOOKUP(B63,財管手收各月!B:P, 6, 0) *0.55</f>
        <v>3326400.0000000005</v>
      </c>
      <c r="H63" s="211">
        <f>VLOOKUP(B63,財管手收各月!B:P, 7, 0) *0.55</f>
        <v>3852200.0000000005</v>
      </c>
      <c r="I63" s="211">
        <f>VLOOKUP(B63,財管手收各月!B:P, 8, 0) *0.55</f>
        <v>3326400.0000000005</v>
      </c>
      <c r="J63" s="211">
        <f>VLOOKUP(B63,財管手收各月!B:P, 9, 0) *0.55</f>
        <v>3326400.0000000005</v>
      </c>
      <c r="K63" s="211">
        <f>VLOOKUP(B63,財管手收各月!B:P, 10, 0) *0.55</f>
        <v>3852200.0000000005</v>
      </c>
      <c r="L63" s="211">
        <f>VLOOKUP(B63,財管手收各月!B:P, 11, 0) *0.55</f>
        <v>3326400.0000000005</v>
      </c>
      <c r="M63" s="211">
        <f>VLOOKUP(B63,財管手收各月!B:P, 12, 0) *0.55</f>
        <v>3501850.0000000005</v>
      </c>
      <c r="N63" s="211">
        <f>VLOOKUP(B63,財管手收各月!B:P, 13, 0) *0.55</f>
        <v>3852200.0000000005</v>
      </c>
      <c r="O63" s="211">
        <f>VLOOKUP(B63,財管手收各月!B:P, 14, 0) *0.55</f>
        <v>1400850</v>
      </c>
      <c r="P63" s="211">
        <f t="shared" si="0"/>
        <v>41321500</v>
      </c>
    </row>
    <row r="64" spans="1:16" s="143" customFormat="1" ht="36.75" customHeight="1">
      <c r="A64" s="55" t="s">
        <v>7</v>
      </c>
      <c r="B64" s="136">
        <v>170</v>
      </c>
      <c r="C64" s="55" t="s">
        <v>164</v>
      </c>
      <c r="D64" s="211">
        <f>VLOOKUP(B64,財管手收各月!B:P, 3, 0) *0.55</f>
        <v>3898400.0000000005</v>
      </c>
      <c r="E64" s="211">
        <f>VLOOKUP(B64,財管手收各月!B:P, 4, 0) *0.55</f>
        <v>2998600.0000000005</v>
      </c>
      <c r="F64" s="211">
        <f>VLOOKUP(B64,財管手收各月!B:P, 5, 0) *0.55</f>
        <v>2998600.0000000005</v>
      </c>
      <c r="G64" s="211">
        <f>VLOOKUP(B64,財管手收各月!B:P, 6, 0) *0.55</f>
        <v>2848450</v>
      </c>
      <c r="H64" s="211">
        <f>VLOOKUP(B64,財管手收各月!B:P, 7, 0) *0.55</f>
        <v>3298900.0000000005</v>
      </c>
      <c r="I64" s="211">
        <f>VLOOKUP(B64,財管手收各月!B:P, 8, 0) *0.55</f>
        <v>2848450</v>
      </c>
      <c r="J64" s="211">
        <f>VLOOKUP(B64,財管手收各月!B:P, 9, 0) *0.55</f>
        <v>2848450</v>
      </c>
      <c r="K64" s="211">
        <f>VLOOKUP(B64,財管手收各月!B:P, 10, 0) *0.55</f>
        <v>3298900.0000000005</v>
      </c>
      <c r="L64" s="211">
        <f>VLOOKUP(B64,財管手收各月!B:P, 11, 0) *0.55</f>
        <v>2848450</v>
      </c>
      <c r="M64" s="211">
        <f>VLOOKUP(B64,財管手收各月!B:P, 12, 0) *0.55</f>
        <v>2998600.0000000005</v>
      </c>
      <c r="N64" s="211">
        <f>VLOOKUP(B64,財管手收各月!B:P, 13, 0) *0.55</f>
        <v>3298900.0000000005</v>
      </c>
      <c r="O64" s="211">
        <f>VLOOKUP(B64,財管手收各月!B:P, 14, 0) *0.55</f>
        <v>1202300</v>
      </c>
      <c r="P64" s="211">
        <f t="shared" si="0"/>
        <v>35387000</v>
      </c>
    </row>
    <row r="65" spans="1:16" s="143" customFormat="1" ht="36.75" customHeight="1">
      <c r="A65" s="55" t="s">
        <v>7</v>
      </c>
      <c r="B65" s="136">
        <v>171</v>
      </c>
      <c r="C65" s="55" t="s">
        <v>86</v>
      </c>
      <c r="D65" s="211">
        <f>VLOOKUP(B65,財管手收各月!B:P, 3, 0) *0.55</f>
        <v>3709200.0000000005</v>
      </c>
      <c r="E65" s="211">
        <f>VLOOKUP(B65,財管手收各月!B:P, 4, 0) *0.55</f>
        <v>2853400</v>
      </c>
      <c r="F65" s="211">
        <f>VLOOKUP(B65,財管手收各月!B:P, 5, 0) *0.55</f>
        <v>2853400</v>
      </c>
      <c r="G65" s="211">
        <f>VLOOKUP(B65,財管手收各月!B:P, 6, 0) *0.55</f>
        <v>2710400</v>
      </c>
      <c r="H65" s="211">
        <f>VLOOKUP(B65,財管手收各月!B:P, 7, 0) *0.55</f>
        <v>3139400.0000000005</v>
      </c>
      <c r="I65" s="211">
        <f>VLOOKUP(B65,財管手收各月!B:P, 8, 0) *0.55</f>
        <v>2710400</v>
      </c>
      <c r="J65" s="211">
        <f>VLOOKUP(B65,財管手收各月!B:P, 9, 0) *0.55</f>
        <v>2710400</v>
      </c>
      <c r="K65" s="211">
        <f>VLOOKUP(B65,財管手收各月!B:P, 10, 0) *0.55</f>
        <v>3139400.0000000005</v>
      </c>
      <c r="L65" s="211">
        <f>VLOOKUP(B65,財管手收各月!B:P, 11, 0) *0.55</f>
        <v>2710400</v>
      </c>
      <c r="M65" s="211">
        <f>VLOOKUP(B65,財管手收各月!B:P, 12, 0) *0.55</f>
        <v>2853400</v>
      </c>
      <c r="N65" s="211">
        <f>VLOOKUP(B65,財管手收各月!B:P, 13, 0) *0.55</f>
        <v>3139400.0000000005</v>
      </c>
      <c r="O65" s="211">
        <f>VLOOKUP(B65,財管手收各月!B:P, 14, 0) *0.55</f>
        <v>1141800</v>
      </c>
      <c r="P65" s="211">
        <f t="shared" si="0"/>
        <v>33671000</v>
      </c>
    </row>
    <row r="66" spans="1:16" s="143" customFormat="1" ht="36.75" customHeight="1">
      <c r="A66" s="55" t="s">
        <v>7</v>
      </c>
      <c r="B66" s="136">
        <v>172</v>
      </c>
      <c r="C66" s="55" t="s">
        <v>14</v>
      </c>
      <c r="D66" s="211">
        <f>VLOOKUP(B66,財管手收各月!B:P, 3, 0) *0.55</f>
        <v>2312200</v>
      </c>
      <c r="E66" s="211">
        <f>VLOOKUP(B66,財管手收各月!B:P, 4, 0) *0.55</f>
        <v>1778700.0000000002</v>
      </c>
      <c r="F66" s="211">
        <f>VLOOKUP(B66,財管手收各月!B:P, 5, 0) *0.55</f>
        <v>1778700.0000000002</v>
      </c>
      <c r="G66" s="211">
        <f>VLOOKUP(B66,財管手收各月!B:P, 6, 0) *0.55</f>
        <v>1689600.0000000002</v>
      </c>
      <c r="H66" s="211">
        <f>VLOOKUP(B66,財管手收各月!B:P, 7, 0) *0.55</f>
        <v>1956350.0000000002</v>
      </c>
      <c r="I66" s="211">
        <f>VLOOKUP(B66,財管手收各月!B:P, 8, 0) *0.55</f>
        <v>1689600.0000000002</v>
      </c>
      <c r="J66" s="211">
        <f>VLOOKUP(B66,財管手收各月!B:P, 9, 0) *0.55</f>
        <v>1689600.0000000002</v>
      </c>
      <c r="K66" s="211">
        <f>VLOOKUP(B66,財管手收各月!B:P, 10, 0) *0.55</f>
        <v>1956350.0000000002</v>
      </c>
      <c r="L66" s="211">
        <f>VLOOKUP(B66,財管手收各月!B:P, 11, 0) *0.55</f>
        <v>1689600.0000000002</v>
      </c>
      <c r="M66" s="211">
        <f>VLOOKUP(B66,財管手收各月!B:P, 12, 0) *0.55</f>
        <v>1778700.0000000002</v>
      </c>
      <c r="N66" s="211">
        <f>VLOOKUP(B66,財管手收各月!B:P, 13, 0) *0.55</f>
        <v>1956350.0000000002</v>
      </c>
      <c r="O66" s="211">
        <f>VLOOKUP(B66,財管手收各月!B:P, 14, 0) *0.55</f>
        <v>712250</v>
      </c>
      <c r="P66" s="211">
        <f t="shared" si="0"/>
        <v>20988000</v>
      </c>
    </row>
    <row r="67" spans="1:16" s="143" customFormat="1" ht="36.75" customHeight="1">
      <c r="A67" s="55" t="s">
        <v>11</v>
      </c>
      <c r="B67" s="136">
        <v>173</v>
      </c>
      <c r="C67" s="55" t="s">
        <v>15</v>
      </c>
      <c r="D67" s="211">
        <f>VLOOKUP(B67,財管手收各月!B:P, 3, 0) *0.55</f>
        <v>3102000.0000000005</v>
      </c>
      <c r="E67" s="211">
        <f>VLOOKUP(B67,財管手收各月!B:P, 4, 0) *0.55</f>
        <v>2387000</v>
      </c>
      <c r="F67" s="211">
        <f>VLOOKUP(B67,財管手收各月!B:P, 5, 0) *0.55</f>
        <v>2387000</v>
      </c>
      <c r="G67" s="211">
        <f>VLOOKUP(B67,財管手收各月!B:P, 6, 0) *0.55</f>
        <v>2267100</v>
      </c>
      <c r="H67" s="211">
        <f>VLOOKUP(B67,財管手收各月!B:P, 7, 0) *0.55</f>
        <v>2625150</v>
      </c>
      <c r="I67" s="211">
        <f>VLOOKUP(B67,財管手收各月!B:P, 8, 0) *0.55</f>
        <v>2267100</v>
      </c>
      <c r="J67" s="211">
        <f>VLOOKUP(B67,財管手收各月!B:P, 9, 0) *0.55</f>
        <v>2267100</v>
      </c>
      <c r="K67" s="211">
        <f>VLOOKUP(B67,財管手收各月!B:P, 10, 0) *0.55</f>
        <v>2625150</v>
      </c>
      <c r="L67" s="211">
        <f>VLOOKUP(B67,財管手收各月!B:P, 11, 0) *0.55</f>
        <v>2267100</v>
      </c>
      <c r="M67" s="211">
        <f>VLOOKUP(B67,財管手收各月!B:P, 12, 0) *0.55</f>
        <v>2387000</v>
      </c>
      <c r="N67" s="211">
        <f>VLOOKUP(B67,財管手收各月!B:P, 13, 0) *0.55</f>
        <v>2625150</v>
      </c>
      <c r="O67" s="211">
        <f>VLOOKUP(B67,財管手收各月!B:P, 14, 0) *0.55</f>
        <v>953150.00000000012</v>
      </c>
      <c r="P67" s="211">
        <f t="shared" si="0"/>
        <v>28160000</v>
      </c>
    </row>
    <row r="68" spans="1:16" s="143" customFormat="1" ht="36.75" customHeight="1">
      <c r="A68" s="55" t="s">
        <v>7</v>
      </c>
      <c r="B68" s="136">
        <v>174</v>
      </c>
      <c r="C68" s="55" t="s">
        <v>16</v>
      </c>
      <c r="D68" s="211">
        <f>VLOOKUP(B68,財管手收各月!B:P, 3, 0) *0.55</f>
        <v>6354700.0000000009</v>
      </c>
      <c r="E68" s="211">
        <f>VLOOKUP(B68,財管手收各月!B:P, 4, 0) *0.55</f>
        <v>4887850</v>
      </c>
      <c r="F68" s="211">
        <f>VLOOKUP(B68,財管手收各月!B:P, 5, 0) *0.55</f>
        <v>4887850</v>
      </c>
      <c r="G68" s="211">
        <f>VLOOKUP(B68,財管手收各月!B:P, 6, 0) *0.55</f>
        <v>4644750</v>
      </c>
      <c r="H68" s="211">
        <f>VLOOKUP(B68,財管手收各月!B:P, 7, 0) *0.55</f>
        <v>5377350</v>
      </c>
      <c r="I68" s="211">
        <f>VLOOKUP(B68,財管手收各月!B:P, 8, 0) *0.55</f>
        <v>4644750</v>
      </c>
      <c r="J68" s="211">
        <f>VLOOKUP(B68,財管手收各月!B:P, 9, 0) *0.55</f>
        <v>4644750</v>
      </c>
      <c r="K68" s="211">
        <f>VLOOKUP(B68,財管手收各月!B:P, 10, 0) *0.55</f>
        <v>5377350</v>
      </c>
      <c r="L68" s="211">
        <f>VLOOKUP(B68,財管手收各月!B:P, 11, 0) *0.55</f>
        <v>4644750</v>
      </c>
      <c r="M68" s="211">
        <f>VLOOKUP(B68,財管手收各月!B:P, 12, 0) *0.55</f>
        <v>4887850</v>
      </c>
      <c r="N68" s="211">
        <f>VLOOKUP(B68,財管手收各月!B:P, 13, 0) *0.55</f>
        <v>5377350</v>
      </c>
      <c r="O68" s="211">
        <f>VLOOKUP(B68,財管手收各月!B:P, 14, 0) *0.55</f>
        <v>1954700.0000000002</v>
      </c>
      <c r="P68" s="211">
        <f t="shared" si="0"/>
        <v>57684000</v>
      </c>
    </row>
    <row r="69" spans="1:16" s="143" customFormat="1" ht="36.75" customHeight="1">
      <c r="A69" s="55" t="s">
        <v>7</v>
      </c>
      <c r="B69" s="136">
        <v>175</v>
      </c>
      <c r="C69" s="55" t="s">
        <v>165</v>
      </c>
      <c r="D69" s="211">
        <f>VLOOKUP(B69,財管手收各月!B:P, 3, 0) *0.55</f>
        <v>4325750</v>
      </c>
      <c r="E69" s="211">
        <f>VLOOKUP(B69,財管手收各月!B:P, 4, 0) *0.55</f>
        <v>3326950.0000000005</v>
      </c>
      <c r="F69" s="211">
        <f>VLOOKUP(B69,財管手收各月!B:P, 5, 0) *0.55</f>
        <v>3326950.0000000005</v>
      </c>
      <c r="G69" s="211">
        <f>VLOOKUP(B69,財管手收各月!B:P, 6, 0) *0.55</f>
        <v>3160300.0000000005</v>
      </c>
      <c r="H69" s="211">
        <f>VLOOKUP(B69,財管手收各月!B:P, 7, 0) *0.55</f>
        <v>3659700.0000000005</v>
      </c>
      <c r="I69" s="211">
        <f>VLOOKUP(B69,財管手收各月!B:P, 8, 0) *0.55</f>
        <v>3160300.0000000005</v>
      </c>
      <c r="J69" s="211">
        <f>VLOOKUP(B69,財管手收各月!B:P, 9, 0) *0.55</f>
        <v>3160300.0000000005</v>
      </c>
      <c r="K69" s="211">
        <f>VLOOKUP(B69,財管手收各月!B:P, 10, 0) *0.55</f>
        <v>3659700.0000000005</v>
      </c>
      <c r="L69" s="211">
        <f>VLOOKUP(B69,財管手收各月!B:P, 11, 0) *0.55</f>
        <v>3160300.0000000005</v>
      </c>
      <c r="M69" s="211">
        <f>VLOOKUP(B69,財管手收各月!B:P, 12, 0) *0.55</f>
        <v>3326950.0000000005</v>
      </c>
      <c r="N69" s="211">
        <f>VLOOKUP(B69,財管手收各月!B:P, 13, 0) *0.55</f>
        <v>3659700.0000000005</v>
      </c>
      <c r="O69" s="211">
        <f>VLOOKUP(B69,財管手收各月!B:P, 14, 0) *0.55</f>
        <v>1332100</v>
      </c>
      <c r="P69" s="211">
        <f t="shared" si="0"/>
        <v>39259000</v>
      </c>
    </row>
    <row r="70" spans="1:16" s="143" customFormat="1" ht="36.75" customHeight="1">
      <c r="A70" s="55" t="s">
        <v>11</v>
      </c>
      <c r="B70" s="136">
        <v>176</v>
      </c>
      <c r="C70" s="55" t="s">
        <v>166</v>
      </c>
      <c r="D70" s="211">
        <f>VLOOKUP(B70,財管手收各月!B:P, 3, 0) *0.55</f>
        <v>2565200</v>
      </c>
      <c r="E70" s="211">
        <f>VLOOKUP(B70,財管手收各月!B:P, 4, 0) *0.55</f>
        <v>1973950.0000000002</v>
      </c>
      <c r="F70" s="211">
        <f>VLOOKUP(B70,財管手收各月!B:P, 5, 0) *0.55</f>
        <v>1973950.0000000002</v>
      </c>
      <c r="G70" s="211">
        <f>VLOOKUP(B70,財管手收各月!B:P, 6, 0) *0.55</f>
        <v>1874400.0000000002</v>
      </c>
      <c r="H70" s="211">
        <f>VLOOKUP(B70,財管手收各月!B:P, 7, 0) *0.55</f>
        <v>2170300</v>
      </c>
      <c r="I70" s="211">
        <f>VLOOKUP(B70,財管手收各月!B:P, 8, 0) *0.55</f>
        <v>1874400.0000000002</v>
      </c>
      <c r="J70" s="211">
        <f>VLOOKUP(B70,財管手收各月!B:P, 9, 0) *0.55</f>
        <v>1874400.0000000002</v>
      </c>
      <c r="K70" s="211">
        <f>VLOOKUP(B70,財管手收各月!B:P, 10, 0) *0.55</f>
        <v>2170300</v>
      </c>
      <c r="L70" s="211">
        <f>VLOOKUP(B70,財管手收各月!B:P, 11, 0) *0.55</f>
        <v>1874400.0000000002</v>
      </c>
      <c r="M70" s="211">
        <f>VLOOKUP(B70,財管手收各月!B:P, 12, 0) *0.55</f>
        <v>1973950.0000000002</v>
      </c>
      <c r="N70" s="211">
        <f>VLOOKUP(B70,財管手收各月!B:P, 13, 0) *0.55</f>
        <v>2170300</v>
      </c>
      <c r="O70" s="211">
        <f>VLOOKUP(B70,財管手收各月!B:P, 14, 0) *0.55</f>
        <v>791450.00000000012</v>
      </c>
      <c r="P70" s="211">
        <f t="shared" si="0"/>
        <v>23287000</v>
      </c>
    </row>
    <row r="71" spans="1:16" s="143" customFormat="1" ht="36.75" customHeight="1">
      <c r="A71" s="55" t="s">
        <v>400</v>
      </c>
      <c r="B71" s="136">
        <v>177</v>
      </c>
      <c r="C71" s="55" t="s">
        <v>648</v>
      </c>
      <c r="D71" s="211">
        <f>VLOOKUP(B71,財管手收各月!B:P, 3, 0) *0.55</f>
        <v>955350.00000000012</v>
      </c>
      <c r="E71" s="211">
        <f>VLOOKUP(B71,財管手收各月!B:P, 4, 0) *0.55</f>
        <v>733700.00000000012</v>
      </c>
      <c r="F71" s="211">
        <f>VLOOKUP(B71,財管手收各月!B:P, 5, 0) *0.55</f>
        <v>733700.00000000012</v>
      </c>
      <c r="G71" s="211">
        <f>VLOOKUP(B71,財管手收各月!B:P, 6, 0) *0.55</f>
        <v>697400</v>
      </c>
      <c r="H71" s="211">
        <f>VLOOKUP(B71,財管手收各月!B:P, 7, 0) *0.55</f>
        <v>807400.00000000012</v>
      </c>
      <c r="I71" s="211">
        <f>VLOOKUP(B71,財管手收各月!B:P, 8, 0) *0.55</f>
        <v>697400</v>
      </c>
      <c r="J71" s="211">
        <f>VLOOKUP(B71,財管手收各月!B:P, 9, 0) *0.55</f>
        <v>697400</v>
      </c>
      <c r="K71" s="211">
        <f>VLOOKUP(B71,財管手收各月!B:P, 10, 0) *0.55</f>
        <v>807400.00000000012</v>
      </c>
      <c r="L71" s="211">
        <f>VLOOKUP(B71,財管手收各月!B:P, 11, 0) *0.55</f>
        <v>697400</v>
      </c>
      <c r="M71" s="211">
        <f>VLOOKUP(B71,財管手收各月!B:P, 12, 0) *0.55</f>
        <v>733700.00000000012</v>
      </c>
      <c r="N71" s="211">
        <f>VLOOKUP(B71,財管手收各月!B:P, 13, 0) *0.55</f>
        <v>807400.00000000012</v>
      </c>
      <c r="O71" s="211">
        <f>VLOOKUP(B71,財管手收各月!B:P, 14, 0) *0.55</f>
        <v>299750</v>
      </c>
      <c r="P71" s="211">
        <f t="shared" ref="P71:P135" si="1">SUM(D71:O71)</f>
        <v>8668000</v>
      </c>
    </row>
    <row r="72" spans="1:16" s="143" customFormat="1" ht="36.75" customHeight="1">
      <c r="A72" s="55" t="s">
        <v>0</v>
      </c>
      <c r="B72" s="136">
        <v>178</v>
      </c>
      <c r="C72" s="55" t="s">
        <v>17</v>
      </c>
      <c r="D72" s="211">
        <f>VLOOKUP(B72,財管手收各月!B:P, 3, 0) *0.55</f>
        <v>4171200.0000000005</v>
      </c>
      <c r="E72" s="211">
        <f>VLOOKUP(B72,財管手收各月!B:P, 4, 0) *0.55</f>
        <v>3208150.0000000005</v>
      </c>
      <c r="F72" s="211">
        <f>VLOOKUP(B72,財管手收各月!B:P, 5, 0) *0.55</f>
        <v>3208150.0000000005</v>
      </c>
      <c r="G72" s="211">
        <f>VLOOKUP(B72,財管手收各月!B:P, 6, 0) *0.55</f>
        <v>3047550.0000000005</v>
      </c>
      <c r="H72" s="211">
        <f>VLOOKUP(B72,財管手收各月!B:P, 7, 0) *0.55</f>
        <v>3528800.0000000005</v>
      </c>
      <c r="I72" s="211">
        <f>VLOOKUP(B72,財管手收各月!B:P, 8, 0) *0.55</f>
        <v>3047550.0000000005</v>
      </c>
      <c r="J72" s="211">
        <f>VLOOKUP(B72,財管手收各月!B:P, 9, 0) *0.55</f>
        <v>3047550.0000000005</v>
      </c>
      <c r="K72" s="211">
        <f>VLOOKUP(B72,財管手收各月!B:P, 10, 0) *0.55</f>
        <v>3528800.0000000005</v>
      </c>
      <c r="L72" s="211">
        <f>VLOOKUP(B72,財管手收各月!B:P, 11, 0) *0.55</f>
        <v>3047550.0000000005</v>
      </c>
      <c r="M72" s="211">
        <f>VLOOKUP(B72,財管手收各月!B:P, 12, 0) *0.55</f>
        <v>3208150.0000000005</v>
      </c>
      <c r="N72" s="211">
        <f>VLOOKUP(B72,財管手收各月!B:P, 13, 0) *0.55</f>
        <v>3528800.0000000005</v>
      </c>
      <c r="O72" s="211">
        <f>VLOOKUP(B72,財管手收各月!B:P, 14, 0) *0.55</f>
        <v>1284250</v>
      </c>
      <c r="P72" s="211">
        <f t="shared" si="1"/>
        <v>37856500.000000007</v>
      </c>
    </row>
    <row r="73" spans="1:16" s="143" customFormat="1" ht="36.75" customHeight="1">
      <c r="A73" s="55" t="s">
        <v>7</v>
      </c>
      <c r="B73" s="136">
        <v>179</v>
      </c>
      <c r="C73" s="55" t="s">
        <v>167</v>
      </c>
      <c r="D73" s="211">
        <f>VLOOKUP(B73,財管手收各月!B:P, 3, 0) *0.55</f>
        <v>4694250</v>
      </c>
      <c r="E73" s="211">
        <f>VLOOKUP(B73,財管手收各月!B:P, 4, 0) *0.55</f>
        <v>3610750.0000000005</v>
      </c>
      <c r="F73" s="211">
        <f>VLOOKUP(B73,財管手收各月!B:P, 5, 0) *0.55</f>
        <v>3610750.0000000005</v>
      </c>
      <c r="G73" s="211">
        <f>VLOOKUP(B73,財管手收各月!B:P, 6, 0) *0.55</f>
        <v>3429800.0000000005</v>
      </c>
      <c r="H73" s="211">
        <f>VLOOKUP(B73,財管手收各月!B:P, 7, 0) *0.55</f>
        <v>3972100.0000000005</v>
      </c>
      <c r="I73" s="211">
        <f>VLOOKUP(B73,財管手收各月!B:P, 8, 0) *0.55</f>
        <v>3429800.0000000005</v>
      </c>
      <c r="J73" s="211">
        <f>VLOOKUP(B73,財管手收各月!B:P, 9, 0) *0.55</f>
        <v>3429800.0000000005</v>
      </c>
      <c r="K73" s="211">
        <f>VLOOKUP(B73,財管手收各月!B:P, 10, 0) *0.55</f>
        <v>3972100.0000000005</v>
      </c>
      <c r="L73" s="211">
        <f>VLOOKUP(B73,財管手收各月!B:P, 11, 0) *0.55</f>
        <v>3429800.0000000005</v>
      </c>
      <c r="M73" s="211">
        <f>VLOOKUP(B73,財管手收各月!B:P, 12, 0) *0.55</f>
        <v>3610750.0000000005</v>
      </c>
      <c r="N73" s="211">
        <f>VLOOKUP(B73,財管手收各月!B:P, 13, 0) *0.55</f>
        <v>3972100.0000000005</v>
      </c>
      <c r="O73" s="211">
        <f>VLOOKUP(B73,財管手收各月!B:P, 14, 0) *0.55</f>
        <v>1446500.0000000002</v>
      </c>
      <c r="P73" s="211">
        <f t="shared" si="1"/>
        <v>42608500</v>
      </c>
    </row>
    <row r="74" spans="1:16" s="143" customFormat="1" ht="36.75" customHeight="1">
      <c r="A74" s="55" t="s">
        <v>7</v>
      </c>
      <c r="B74" s="136">
        <v>180</v>
      </c>
      <c r="C74" s="55" t="s">
        <v>168</v>
      </c>
      <c r="D74" s="211">
        <f>VLOOKUP(B74,財管手收各月!B:P, 3, 0) *0.55</f>
        <v>5025350</v>
      </c>
      <c r="E74" s="211">
        <f>VLOOKUP(B74,財管手收各月!B:P, 4, 0) *0.55</f>
        <v>3865950.0000000005</v>
      </c>
      <c r="F74" s="211">
        <f>VLOOKUP(B74,財管手收各月!B:P, 5, 0) *0.55</f>
        <v>3865950.0000000005</v>
      </c>
      <c r="G74" s="211">
        <f>VLOOKUP(B74,財管手收各月!B:P, 6, 0) *0.55</f>
        <v>3672900.0000000005</v>
      </c>
      <c r="H74" s="211">
        <f>VLOOKUP(B74,財管手收各月!B:P, 7, 0) *0.55</f>
        <v>4252600</v>
      </c>
      <c r="I74" s="211">
        <f>VLOOKUP(B74,財管手收各月!B:P, 8, 0) *0.55</f>
        <v>3672900.0000000005</v>
      </c>
      <c r="J74" s="211">
        <f>VLOOKUP(B74,財管手收各月!B:P, 9, 0) *0.55</f>
        <v>3672900.0000000005</v>
      </c>
      <c r="K74" s="211">
        <f>VLOOKUP(B74,財管手收各月!B:P, 10, 0) *0.55</f>
        <v>4252600</v>
      </c>
      <c r="L74" s="211">
        <f>VLOOKUP(B74,財管手收各月!B:P, 11, 0) *0.55</f>
        <v>3672900.0000000005</v>
      </c>
      <c r="M74" s="211">
        <f>VLOOKUP(B74,財管手收各月!B:P, 12, 0) *0.55</f>
        <v>3865950.0000000005</v>
      </c>
      <c r="N74" s="211">
        <f>VLOOKUP(B74,財管手收各月!B:P, 13, 0) *0.55</f>
        <v>4252600</v>
      </c>
      <c r="O74" s="211">
        <f>VLOOKUP(B74,財管手收各月!B:P, 14, 0) *0.55</f>
        <v>1544400.0000000002</v>
      </c>
      <c r="P74" s="211">
        <f t="shared" si="1"/>
        <v>45617000</v>
      </c>
    </row>
    <row r="75" spans="1:16" s="143" customFormat="1" ht="36.75" customHeight="1">
      <c r="A75" s="55" t="s">
        <v>7</v>
      </c>
      <c r="B75" s="136">
        <v>182</v>
      </c>
      <c r="C75" s="55" t="s">
        <v>169</v>
      </c>
      <c r="D75" s="211">
        <f>VLOOKUP(B75,財管手收各月!B:P, 3, 0) *0.55</f>
        <v>2646050</v>
      </c>
      <c r="E75" s="211">
        <f>VLOOKUP(B75,財管手收各月!B:P, 4, 0) *0.55</f>
        <v>2035550.0000000002</v>
      </c>
      <c r="F75" s="211">
        <f>VLOOKUP(B75,財管手收各月!B:P, 5, 0) *0.55</f>
        <v>2035550.0000000002</v>
      </c>
      <c r="G75" s="211">
        <f>VLOOKUP(B75,財管手收各月!B:P, 6, 0) *0.55</f>
        <v>1933800.0000000002</v>
      </c>
      <c r="H75" s="211">
        <f>VLOOKUP(B75,財管手收各月!B:P, 7, 0) *0.55</f>
        <v>2239050</v>
      </c>
      <c r="I75" s="211">
        <f>VLOOKUP(B75,財管手收各月!B:P, 8, 0) *0.55</f>
        <v>1933800.0000000002</v>
      </c>
      <c r="J75" s="211">
        <f>VLOOKUP(B75,財管手收各月!B:P, 9, 0) *0.55</f>
        <v>1933800.0000000002</v>
      </c>
      <c r="K75" s="211">
        <f>VLOOKUP(B75,財管手收各月!B:P, 10, 0) *0.55</f>
        <v>2239050</v>
      </c>
      <c r="L75" s="211">
        <f>VLOOKUP(B75,財管手收各月!B:P, 11, 0) *0.55</f>
        <v>1933800.0000000002</v>
      </c>
      <c r="M75" s="211">
        <f>VLOOKUP(B75,財管手收各月!B:P, 12, 0) *0.55</f>
        <v>2035550.0000000002</v>
      </c>
      <c r="N75" s="211">
        <f>VLOOKUP(B75,財管手收各月!B:P, 13, 0) *0.55</f>
        <v>2239050</v>
      </c>
      <c r="O75" s="211">
        <f>VLOOKUP(B75,財管手收各月!B:P, 14, 0) *0.55</f>
        <v>813450.00000000012</v>
      </c>
      <c r="P75" s="211">
        <f t="shared" si="1"/>
        <v>24018500</v>
      </c>
    </row>
    <row r="76" spans="1:16" s="143" customFormat="1" ht="36.75" customHeight="1">
      <c r="A76" s="55" t="s">
        <v>7</v>
      </c>
      <c r="B76" s="136">
        <v>183</v>
      </c>
      <c r="C76" s="55" t="s">
        <v>18</v>
      </c>
      <c r="D76" s="211">
        <f>VLOOKUP(B76,財管手收各月!B:P, 3, 0) *0.55</f>
        <v>2350150</v>
      </c>
      <c r="E76" s="211">
        <f>VLOOKUP(B76,財管手收各月!B:P, 4, 0) *0.55</f>
        <v>1807300.0000000002</v>
      </c>
      <c r="F76" s="211">
        <f>VLOOKUP(B76,財管手收各月!B:P, 5, 0) *0.55</f>
        <v>1807300.0000000002</v>
      </c>
      <c r="G76" s="211">
        <f>VLOOKUP(B76,財管手收各月!B:P, 6, 0) *0.55</f>
        <v>1717650.0000000002</v>
      </c>
      <c r="H76" s="211">
        <f>VLOOKUP(B76,財管手收各月!B:P, 7, 0) *0.55</f>
        <v>1988800.0000000002</v>
      </c>
      <c r="I76" s="211">
        <f>VLOOKUP(B76,財管手收各月!B:P, 8, 0) *0.55</f>
        <v>1717650.0000000002</v>
      </c>
      <c r="J76" s="211">
        <f>VLOOKUP(B76,財管手收各月!B:P, 9, 0) *0.55</f>
        <v>1717650.0000000002</v>
      </c>
      <c r="K76" s="211">
        <f>VLOOKUP(B76,財管手收各月!B:P, 10, 0) *0.55</f>
        <v>1988800.0000000002</v>
      </c>
      <c r="L76" s="211">
        <f>VLOOKUP(B76,財管手收各月!B:P, 11, 0) *0.55</f>
        <v>1717650.0000000002</v>
      </c>
      <c r="M76" s="211">
        <f>VLOOKUP(B76,財管手收各月!B:P, 12, 0) *0.55</f>
        <v>1807300.0000000002</v>
      </c>
      <c r="N76" s="211">
        <f>VLOOKUP(B76,財管手收各月!B:P, 13, 0) *0.55</f>
        <v>1988800.0000000002</v>
      </c>
      <c r="O76" s="211">
        <f>VLOOKUP(B76,財管手收各月!B:P, 14, 0) *0.55</f>
        <v>719950</v>
      </c>
      <c r="P76" s="211">
        <f t="shared" si="1"/>
        <v>21329000</v>
      </c>
    </row>
    <row r="77" spans="1:16" s="143" customFormat="1" ht="36.75" customHeight="1">
      <c r="A77" s="55" t="s">
        <v>7</v>
      </c>
      <c r="B77" s="136">
        <v>184</v>
      </c>
      <c r="C77" s="55" t="s">
        <v>19</v>
      </c>
      <c r="D77" s="211">
        <f>VLOOKUP(B77,財管手收各月!B:P, 3, 0) *0.55</f>
        <v>3476000.0000000005</v>
      </c>
      <c r="E77" s="211">
        <f>VLOOKUP(B77,財管手收各月!B:P, 4, 0) *0.55</f>
        <v>2674100</v>
      </c>
      <c r="F77" s="211">
        <f>VLOOKUP(B77,財管手收各月!B:P, 5, 0) *0.55</f>
        <v>2674100</v>
      </c>
      <c r="G77" s="211">
        <f>VLOOKUP(B77,財管手收各月!B:P, 6, 0) *0.55</f>
        <v>2539900</v>
      </c>
      <c r="H77" s="211">
        <f>VLOOKUP(B77,財管手收各月!B:P, 7, 0) *0.55</f>
        <v>2941400.0000000005</v>
      </c>
      <c r="I77" s="211">
        <f>VLOOKUP(B77,財管手收各月!B:P, 8, 0) *0.55</f>
        <v>2539900</v>
      </c>
      <c r="J77" s="211">
        <f>VLOOKUP(B77,財管手收各月!B:P, 9, 0) *0.55</f>
        <v>2539900</v>
      </c>
      <c r="K77" s="211">
        <f>VLOOKUP(B77,財管手收各月!B:P, 10, 0) *0.55</f>
        <v>2941400.0000000005</v>
      </c>
      <c r="L77" s="211">
        <f>VLOOKUP(B77,財管手收各月!B:P, 11, 0) *0.55</f>
        <v>2539900</v>
      </c>
      <c r="M77" s="211">
        <f>VLOOKUP(B77,財管手收各月!B:P, 12, 0) *0.55</f>
        <v>2674100</v>
      </c>
      <c r="N77" s="211">
        <f>VLOOKUP(B77,財管手收各月!B:P, 13, 0) *0.55</f>
        <v>2941400.0000000005</v>
      </c>
      <c r="O77" s="211">
        <f>VLOOKUP(B77,財管手收各月!B:P, 14, 0) *0.55</f>
        <v>1071400</v>
      </c>
      <c r="P77" s="211">
        <f t="shared" si="1"/>
        <v>31553500</v>
      </c>
    </row>
    <row r="78" spans="1:16" s="143" customFormat="1" ht="36.75" customHeight="1">
      <c r="A78" s="55" t="s">
        <v>7</v>
      </c>
      <c r="B78" s="136">
        <v>185</v>
      </c>
      <c r="C78" s="55" t="s">
        <v>170</v>
      </c>
      <c r="D78" s="211">
        <f>VLOOKUP(B78,財管手收各月!B:P, 3, 0) *0.55</f>
        <v>4976400</v>
      </c>
      <c r="E78" s="211">
        <f>VLOOKUP(B78,財管手收各月!B:P, 4, 0) *0.55</f>
        <v>3828000.0000000005</v>
      </c>
      <c r="F78" s="211">
        <f>VLOOKUP(B78,財管手收各月!B:P, 5, 0) *0.55</f>
        <v>3828000.0000000005</v>
      </c>
      <c r="G78" s="211">
        <f>VLOOKUP(B78,財管手收各月!B:P, 6, 0) *0.55</f>
        <v>3636600.0000000005</v>
      </c>
      <c r="H78" s="211">
        <f>VLOOKUP(B78,財管手收各月!B:P, 7, 0) *0.55</f>
        <v>4210800</v>
      </c>
      <c r="I78" s="211">
        <f>VLOOKUP(B78,財管手收各月!B:P, 8, 0) *0.55</f>
        <v>3636600.0000000005</v>
      </c>
      <c r="J78" s="211">
        <f>VLOOKUP(B78,財管手收各月!B:P, 9, 0) *0.55</f>
        <v>3636600.0000000005</v>
      </c>
      <c r="K78" s="211">
        <f>VLOOKUP(B78,財管手收各月!B:P, 10, 0) *0.55</f>
        <v>4210800</v>
      </c>
      <c r="L78" s="211">
        <f>VLOOKUP(B78,財管手收各月!B:P, 11, 0) *0.55</f>
        <v>3636600.0000000005</v>
      </c>
      <c r="M78" s="211">
        <f>VLOOKUP(B78,財管手收各月!B:P, 12, 0) *0.55</f>
        <v>3828000.0000000005</v>
      </c>
      <c r="N78" s="211">
        <f>VLOOKUP(B78,財管手收各月!B:P, 13, 0) *0.55</f>
        <v>4210800</v>
      </c>
      <c r="O78" s="211">
        <f>VLOOKUP(B78,財管手收各月!B:P, 14, 0) *0.55</f>
        <v>1532300.0000000002</v>
      </c>
      <c r="P78" s="211">
        <f t="shared" si="1"/>
        <v>45171500</v>
      </c>
    </row>
    <row r="79" spans="1:16" s="143" customFormat="1" ht="36.75" customHeight="1">
      <c r="A79" s="55" t="s">
        <v>11</v>
      </c>
      <c r="B79" s="136">
        <v>186</v>
      </c>
      <c r="C79" s="55" t="s">
        <v>87</v>
      </c>
      <c r="D79" s="211">
        <f>VLOOKUP(B79,財管手收各月!B:P, 3, 0) *0.55</f>
        <v>4678300</v>
      </c>
      <c r="E79" s="211">
        <f>VLOOKUP(B79,財管手收各月!B:P, 4, 0) *0.55</f>
        <v>3599200.0000000005</v>
      </c>
      <c r="F79" s="211">
        <f>VLOOKUP(B79,財管手收各月!B:P, 5, 0) *0.55</f>
        <v>3599200.0000000005</v>
      </c>
      <c r="G79" s="211">
        <f>VLOOKUP(B79,財管手收各月!B:P, 6, 0) *0.55</f>
        <v>3418800.0000000005</v>
      </c>
      <c r="H79" s="211">
        <f>VLOOKUP(B79,財管手收各月!B:P, 7, 0) *0.55</f>
        <v>3958900.0000000005</v>
      </c>
      <c r="I79" s="211">
        <f>VLOOKUP(B79,財管手收各月!B:P, 8, 0) *0.55</f>
        <v>3418800.0000000005</v>
      </c>
      <c r="J79" s="211">
        <f>VLOOKUP(B79,財管手收各月!B:P, 9, 0) *0.55</f>
        <v>3418800.0000000005</v>
      </c>
      <c r="K79" s="211">
        <f>VLOOKUP(B79,財管手收各月!B:P, 10, 0) *0.55</f>
        <v>3958900.0000000005</v>
      </c>
      <c r="L79" s="211">
        <f>VLOOKUP(B79,財管手收各月!B:P, 11, 0) *0.55</f>
        <v>3418800.0000000005</v>
      </c>
      <c r="M79" s="211">
        <f>VLOOKUP(B79,財管手收各月!B:P, 12, 0) *0.55</f>
        <v>3599200.0000000005</v>
      </c>
      <c r="N79" s="211">
        <f>VLOOKUP(B79,財管手收各月!B:P, 13, 0) *0.55</f>
        <v>3958900.0000000005</v>
      </c>
      <c r="O79" s="211">
        <f>VLOOKUP(B79,財管手收各月!B:P, 14, 0) *0.55</f>
        <v>1437700</v>
      </c>
      <c r="P79" s="211">
        <f t="shared" si="1"/>
        <v>42465500</v>
      </c>
    </row>
    <row r="80" spans="1:16" s="143" customFormat="1" ht="36.75" customHeight="1">
      <c r="A80" s="55" t="s">
        <v>7</v>
      </c>
      <c r="B80" s="136">
        <v>187</v>
      </c>
      <c r="C80" s="55" t="s">
        <v>171</v>
      </c>
      <c r="D80" s="211">
        <f>VLOOKUP(B80,財管手收各月!B:P, 3, 0) *0.55</f>
        <v>3473800.0000000005</v>
      </c>
      <c r="E80" s="211">
        <f>VLOOKUP(B80,財管手收各月!B:P, 4, 0) *0.55</f>
        <v>2672450</v>
      </c>
      <c r="F80" s="211">
        <f>VLOOKUP(B80,財管手收各月!B:P, 5, 0) *0.55</f>
        <v>2672450</v>
      </c>
      <c r="G80" s="211">
        <f>VLOOKUP(B80,財管手收各月!B:P, 6, 0) *0.55</f>
        <v>2538800</v>
      </c>
      <c r="H80" s="211">
        <f>VLOOKUP(B80,財管手收各月!B:P, 7, 0) *0.55</f>
        <v>2939750.0000000005</v>
      </c>
      <c r="I80" s="211">
        <f>VLOOKUP(B80,財管手收各月!B:P, 8, 0) *0.55</f>
        <v>2538800</v>
      </c>
      <c r="J80" s="211">
        <f>VLOOKUP(B80,財管手收各月!B:P, 9, 0) *0.55</f>
        <v>2538800</v>
      </c>
      <c r="K80" s="211">
        <f>VLOOKUP(B80,財管手收各月!B:P, 10, 0) *0.55</f>
        <v>2939750.0000000005</v>
      </c>
      <c r="L80" s="211">
        <f>VLOOKUP(B80,財管手收各月!B:P, 11, 0) *0.55</f>
        <v>2538800</v>
      </c>
      <c r="M80" s="211">
        <f>VLOOKUP(B80,財管手收各月!B:P, 12, 0) *0.55</f>
        <v>2672450</v>
      </c>
      <c r="N80" s="211">
        <f>VLOOKUP(B80,財管手收各月!B:P, 13, 0) *0.55</f>
        <v>2939750.0000000005</v>
      </c>
      <c r="O80" s="211">
        <f>VLOOKUP(B80,財管手收各月!B:P, 14, 0) *0.55</f>
        <v>1065900</v>
      </c>
      <c r="P80" s="211">
        <f t="shared" si="1"/>
        <v>31531500</v>
      </c>
    </row>
    <row r="81" spans="1:16" s="143" customFormat="1" ht="36.75" customHeight="1">
      <c r="A81" s="55" t="s">
        <v>0</v>
      </c>
      <c r="B81" s="136">
        <v>189</v>
      </c>
      <c r="C81" s="55" t="s">
        <v>172</v>
      </c>
      <c r="D81" s="211">
        <f>VLOOKUP(B81,財管手收各月!B:P, 3, 0) *0.55</f>
        <v>4877400</v>
      </c>
      <c r="E81" s="211">
        <f>VLOOKUP(B81,財管手收各月!B:P, 4, 0) *0.55</f>
        <v>3752100.0000000005</v>
      </c>
      <c r="F81" s="211">
        <f>VLOOKUP(B81,財管手收各月!B:P, 5, 0) *0.55</f>
        <v>3752100.0000000005</v>
      </c>
      <c r="G81" s="211">
        <f>VLOOKUP(B81,財管手收各月!B:P, 6, 0) *0.55</f>
        <v>3564000.0000000005</v>
      </c>
      <c r="H81" s="211">
        <f>VLOOKUP(B81,財管手收各月!B:P, 7, 0) *0.55</f>
        <v>4126650.0000000005</v>
      </c>
      <c r="I81" s="211">
        <f>VLOOKUP(B81,財管手收各月!B:P, 8, 0) *0.55</f>
        <v>3564000.0000000005</v>
      </c>
      <c r="J81" s="211">
        <f>VLOOKUP(B81,財管手收各月!B:P, 9, 0) *0.55</f>
        <v>3564000.0000000005</v>
      </c>
      <c r="K81" s="211">
        <f>VLOOKUP(B81,財管手收各月!B:P, 10, 0) *0.55</f>
        <v>4126650.0000000005</v>
      </c>
      <c r="L81" s="211">
        <f>VLOOKUP(B81,財管手收各月!B:P, 11, 0) *0.55</f>
        <v>3564000.0000000005</v>
      </c>
      <c r="M81" s="211">
        <f>VLOOKUP(B81,財管手收各月!B:P, 12, 0) *0.55</f>
        <v>3752100.0000000005</v>
      </c>
      <c r="N81" s="211">
        <f>VLOOKUP(B81,財管手收各月!B:P, 13, 0) *0.55</f>
        <v>4126650.0000000005</v>
      </c>
      <c r="O81" s="211">
        <f>VLOOKUP(B81,財管手收各月!B:P, 14, 0) *0.55</f>
        <v>1499850.0000000002</v>
      </c>
      <c r="P81" s="211">
        <f t="shared" si="1"/>
        <v>44269500</v>
      </c>
    </row>
    <row r="82" spans="1:16" s="143" customFormat="1" ht="36.75" customHeight="1">
      <c r="A82" s="55" t="s">
        <v>7</v>
      </c>
      <c r="B82" s="136">
        <v>190</v>
      </c>
      <c r="C82" s="55" t="s">
        <v>173</v>
      </c>
      <c r="D82" s="211">
        <f>VLOOKUP(B82,財管手收各月!B:P, 3, 0) *0.55</f>
        <v>3580500.0000000005</v>
      </c>
      <c r="E82" s="211">
        <f>VLOOKUP(B82,財管手收各月!B:P, 4, 0) *0.55</f>
        <v>2755500</v>
      </c>
      <c r="F82" s="211">
        <f>VLOOKUP(B82,財管手收各月!B:P, 5, 0) *0.55</f>
        <v>2755500</v>
      </c>
      <c r="G82" s="211">
        <f>VLOOKUP(B82,財管手收各月!B:P, 6, 0) *0.55</f>
        <v>2616900</v>
      </c>
      <c r="H82" s="211">
        <f>VLOOKUP(B82,財管手收各月!B:P, 7, 0) *0.55</f>
        <v>3029950.0000000005</v>
      </c>
      <c r="I82" s="211">
        <f>VLOOKUP(B82,財管手收各月!B:P, 8, 0) *0.55</f>
        <v>2616900</v>
      </c>
      <c r="J82" s="211">
        <f>VLOOKUP(B82,財管手收各月!B:P, 9, 0) *0.55</f>
        <v>2616900</v>
      </c>
      <c r="K82" s="211">
        <f>VLOOKUP(B82,財管手收各月!B:P, 10, 0) *0.55</f>
        <v>3029950.0000000005</v>
      </c>
      <c r="L82" s="211">
        <f>VLOOKUP(B82,財管手收各月!B:P, 11, 0) *0.55</f>
        <v>2616900</v>
      </c>
      <c r="M82" s="211">
        <f>VLOOKUP(B82,財管手收各月!B:P, 12, 0) *0.55</f>
        <v>2755500</v>
      </c>
      <c r="N82" s="211">
        <f>VLOOKUP(B82,財管手收各月!B:P, 13, 0) *0.55</f>
        <v>3029950.0000000005</v>
      </c>
      <c r="O82" s="211">
        <f>VLOOKUP(B82,財管手收各月!B:P, 14, 0) *0.55</f>
        <v>1100550</v>
      </c>
      <c r="P82" s="211">
        <f t="shared" si="1"/>
        <v>32505000</v>
      </c>
    </row>
    <row r="83" spans="1:16" s="143" customFormat="1" ht="36.75" customHeight="1">
      <c r="A83" s="55" t="s">
        <v>11</v>
      </c>
      <c r="B83" s="136">
        <v>191</v>
      </c>
      <c r="C83" s="55" t="s">
        <v>20</v>
      </c>
      <c r="D83" s="211">
        <f>VLOOKUP(B83,財管手收各月!B:P, 3, 0) *0.55</f>
        <v>4586450</v>
      </c>
      <c r="E83" s="211">
        <f>VLOOKUP(B83,財管手收各月!B:P, 4, 0) *0.55</f>
        <v>3528250.0000000005</v>
      </c>
      <c r="F83" s="211">
        <f>VLOOKUP(B83,財管手收各月!B:P, 5, 0) *0.55</f>
        <v>3528250.0000000005</v>
      </c>
      <c r="G83" s="211">
        <f>VLOOKUP(B83,財管手收各月!B:P, 6, 0) *0.55</f>
        <v>3351700.0000000005</v>
      </c>
      <c r="H83" s="211">
        <f>VLOOKUP(B83,財管手收各月!B:P, 7, 0) *0.55</f>
        <v>3881350.0000000005</v>
      </c>
      <c r="I83" s="211">
        <f>VLOOKUP(B83,財管手收各月!B:P, 8, 0) *0.55</f>
        <v>3351700.0000000005</v>
      </c>
      <c r="J83" s="211">
        <f>VLOOKUP(B83,財管手收各月!B:P, 9, 0) *0.55</f>
        <v>3351700.0000000005</v>
      </c>
      <c r="K83" s="211">
        <f>VLOOKUP(B83,財管手收各月!B:P, 10, 0) *0.55</f>
        <v>3881350.0000000005</v>
      </c>
      <c r="L83" s="211">
        <f>VLOOKUP(B83,財管手收各月!B:P, 11, 0) *0.55</f>
        <v>3351700.0000000005</v>
      </c>
      <c r="M83" s="211">
        <f>VLOOKUP(B83,財管手收各月!B:P, 12, 0) *0.55</f>
        <v>3528250.0000000005</v>
      </c>
      <c r="N83" s="211">
        <f>VLOOKUP(B83,財管手收各月!B:P, 13, 0) *0.55</f>
        <v>3881350.0000000005</v>
      </c>
      <c r="O83" s="211">
        <f>VLOOKUP(B83,財管手收各月!B:P, 14, 0) *0.55</f>
        <v>1412950</v>
      </c>
      <c r="P83" s="211">
        <f t="shared" si="1"/>
        <v>41635000</v>
      </c>
    </row>
    <row r="84" spans="1:16" s="143" customFormat="1" ht="36.75" customHeight="1">
      <c r="A84" s="55" t="s">
        <v>7</v>
      </c>
      <c r="B84" s="136">
        <v>192</v>
      </c>
      <c r="C84" s="55" t="s">
        <v>174</v>
      </c>
      <c r="D84" s="211">
        <f>VLOOKUP(B84,財管手收各月!B:P, 3, 0) *0.55</f>
        <v>4689850</v>
      </c>
      <c r="E84" s="211">
        <f>VLOOKUP(B84,財管手收各月!B:P, 4, 0) *0.55</f>
        <v>3607450.0000000005</v>
      </c>
      <c r="F84" s="211">
        <f>VLOOKUP(B84,財管手收各月!B:P, 5, 0) *0.55</f>
        <v>3607450.0000000005</v>
      </c>
      <c r="G84" s="211">
        <f>VLOOKUP(B84,財管手收各月!B:P, 6, 0) *0.55</f>
        <v>3427050.0000000005</v>
      </c>
      <c r="H84" s="211">
        <f>VLOOKUP(B84,財管手收各月!B:P, 7, 0) *0.55</f>
        <v>3968250.0000000005</v>
      </c>
      <c r="I84" s="211">
        <f>VLOOKUP(B84,財管手收各月!B:P, 8, 0) *0.55</f>
        <v>3427050.0000000005</v>
      </c>
      <c r="J84" s="211">
        <f>VLOOKUP(B84,財管手收各月!B:P, 9, 0) *0.55</f>
        <v>3427050.0000000005</v>
      </c>
      <c r="K84" s="211">
        <f>VLOOKUP(B84,財管手收各月!B:P, 10, 0) *0.55</f>
        <v>3968250.0000000005</v>
      </c>
      <c r="L84" s="211">
        <f>VLOOKUP(B84,財管手收各月!B:P, 11, 0) *0.55</f>
        <v>3427050.0000000005</v>
      </c>
      <c r="M84" s="211">
        <f>VLOOKUP(B84,財管手收各月!B:P, 12, 0) *0.55</f>
        <v>3607450.0000000005</v>
      </c>
      <c r="N84" s="211">
        <f>VLOOKUP(B84,財管手收各月!B:P, 13, 0) *0.55</f>
        <v>3968250.0000000005</v>
      </c>
      <c r="O84" s="211">
        <f>VLOOKUP(B84,財管手收各月!B:P, 14, 0) *0.55</f>
        <v>1444850.0000000002</v>
      </c>
      <c r="P84" s="211">
        <f t="shared" si="1"/>
        <v>42570000</v>
      </c>
    </row>
    <row r="85" spans="1:16" s="143" customFormat="1" ht="36.75" customHeight="1">
      <c r="A85" s="55" t="s">
        <v>11</v>
      </c>
      <c r="B85" s="136">
        <v>193</v>
      </c>
      <c r="C85" s="55" t="s">
        <v>21</v>
      </c>
      <c r="D85" s="211">
        <f>VLOOKUP(B85,財管手收各月!B:P, 3, 0) *0.55</f>
        <v>3406700.0000000005</v>
      </c>
      <c r="E85" s="211">
        <f>VLOOKUP(B85,財管手收各月!B:P, 4, 0) *0.55</f>
        <v>2619650</v>
      </c>
      <c r="F85" s="211">
        <f>VLOOKUP(B85,財管手收各月!B:P, 5, 0) *0.55</f>
        <v>2619650</v>
      </c>
      <c r="G85" s="211">
        <f>VLOOKUP(B85,財管手收各月!B:P, 6, 0) *0.55</f>
        <v>2488750</v>
      </c>
      <c r="H85" s="211">
        <f>VLOOKUP(B85,財管手收各月!B:P, 7, 0) *0.55</f>
        <v>2882000</v>
      </c>
      <c r="I85" s="211">
        <f>VLOOKUP(B85,財管手收各月!B:P, 8, 0) *0.55</f>
        <v>2488750</v>
      </c>
      <c r="J85" s="211">
        <f>VLOOKUP(B85,財管手收各月!B:P, 9, 0) *0.55</f>
        <v>2488750</v>
      </c>
      <c r="K85" s="211">
        <f>VLOOKUP(B85,財管手收各月!B:P, 10, 0) *0.55</f>
        <v>2882000</v>
      </c>
      <c r="L85" s="211">
        <f>VLOOKUP(B85,財管手收各月!B:P, 11, 0) *0.55</f>
        <v>2488750</v>
      </c>
      <c r="M85" s="211">
        <f>VLOOKUP(B85,財管手收各月!B:P, 12, 0) *0.55</f>
        <v>2619650</v>
      </c>
      <c r="N85" s="211">
        <f>VLOOKUP(B85,財管手收各月!B:P, 13, 0) *0.55</f>
        <v>2882000</v>
      </c>
      <c r="O85" s="211">
        <f>VLOOKUP(B85,財管手收各月!B:P, 14, 0) *0.55</f>
        <v>1048850</v>
      </c>
      <c r="P85" s="211">
        <f t="shared" si="1"/>
        <v>30915500</v>
      </c>
    </row>
    <row r="86" spans="1:16" s="143" customFormat="1" ht="36.75" customHeight="1">
      <c r="A86" s="55" t="s">
        <v>11</v>
      </c>
      <c r="B86" s="136">
        <v>194</v>
      </c>
      <c r="C86" s="55" t="s">
        <v>175</v>
      </c>
      <c r="D86" s="211">
        <f>VLOOKUP(B86,財管手收各月!B:P, 3, 0) *0.55</f>
        <v>2973300.0000000005</v>
      </c>
      <c r="E86" s="211">
        <f>VLOOKUP(B86,財管手收各月!B:P, 4, 0) *0.55</f>
        <v>2286900</v>
      </c>
      <c r="F86" s="211">
        <f>VLOOKUP(B86,財管手收各月!B:P, 5, 0) *0.55</f>
        <v>2286900</v>
      </c>
      <c r="G86" s="211">
        <f>VLOOKUP(B86,財管手收各月!B:P, 6, 0) *0.55</f>
        <v>2171950</v>
      </c>
      <c r="H86" s="211">
        <f>VLOOKUP(B86,財管手收各月!B:P, 7, 0) *0.55</f>
        <v>2515700</v>
      </c>
      <c r="I86" s="211">
        <f>VLOOKUP(B86,財管手收各月!B:P, 8, 0) *0.55</f>
        <v>2171950</v>
      </c>
      <c r="J86" s="211">
        <f>VLOOKUP(B86,財管手收各月!B:P, 9, 0) *0.55</f>
        <v>2171950</v>
      </c>
      <c r="K86" s="211">
        <f>VLOOKUP(B86,財管手收各月!B:P, 10, 0) *0.55</f>
        <v>2515700</v>
      </c>
      <c r="L86" s="211">
        <f>VLOOKUP(B86,財管手收各月!B:P, 11, 0) *0.55</f>
        <v>2171950</v>
      </c>
      <c r="M86" s="211">
        <f>VLOOKUP(B86,財管手收各月!B:P, 12, 0) *0.55</f>
        <v>2286900</v>
      </c>
      <c r="N86" s="211">
        <f>VLOOKUP(B86,財管手收各月!B:P, 13, 0) *0.55</f>
        <v>2515700</v>
      </c>
      <c r="O86" s="211">
        <f>VLOOKUP(B86,財管手收各月!B:P, 14, 0) *0.55</f>
        <v>914100.00000000012</v>
      </c>
      <c r="P86" s="211">
        <f t="shared" si="1"/>
        <v>26983000</v>
      </c>
    </row>
    <row r="87" spans="1:16" s="143" customFormat="1" ht="36.75" customHeight="1">
      <c r="A87" s="55" t="s">
        <v>7</v>
      </c>
      <c r="B87" s="136">
        <v>195</v>
      </c>
      <c r="C87" s="55" t="s">
        <v>22</v>
      </c>
      <c r="D87" s="211">
        <f>VLOOKUP(B87,財管手收各月!B:P, 3, 0) *0.55</f>
        <v>2868250</v>
      </c>
      <c r="E87" s="211">
        <f>VLOOKUP(B87,財管手收各月!B:P, 4, 0) *0.55</f>
        <v>2206600</v>
      </c>
      <c r="F87" s="211">
        <f>VLOOKUP(B87,財管手收各月!B:P, 5, 0) *0.55</f>
        <v>2206600</v>
      </c>
      <c r="G87" s="211">
        <f>VLOOKUP(B87,財管手收各月!B:P, 6, 0) *0.55</f>
        <v>2096050.0000000002</v>
      </c>
      <c r="H87" s="211">
        <f>VLOOKUP(B87,財管手收各月!B:P, 7, 0) *0.55</f>
        <v>2427150</v>
      </c>
      <c r="I87" s="211">
        <f>VLOOKUP(B87,財管手收各月!B:P, 8, 0) *0.55</f>
        <v>2096050.0000000002</v>
      </c>
      <c r="J87" s="211">
        <f>VLOOKUP(B87,財管手收各月!B:P, 9, 0) *0.55</f>
        <v>2096050.0000000002</v>
      </c>
      <c r="K87" s="211">
        <f>VLOOKUP(B87,財管手收各月!B:P, 10, 0) *0.55</f>
        <v>2427150</v>
      </c>
      <c r="L87" s="211">
        <f>VLOOKUP(B87,財管手收各月!B:P, 11, 0) *0.55</f>
        <v>2096050.0000000002</v>
      </c>
      <c r="M87" s="211">
        <f>VLOOKUP(B87,財管手收各月!B:P, 12, 0) *0.55</f>
        <v>2206600</v>
      </c>
      <c r="N87" s="211">
        <f>VLOOKUP(B87,財管手收各月!B:P, 13, 0) *0.55</f>
        <v>2427150</v>
      </c>
      <c r="O87" s="211">
        <f>VLOOKUP(B87,財管手收各月!B:P, 14, 0) *0.55</f>
        <v>883300.00000000012</v>
      </c>
      <c r="P87" s="211">
        <f t="shared" si="1"/>
        <v>26037000</v>
      </c>
    </row>
    <row r="88" spans="1:16" s="143" customFormat="1" ht="36.75" customHeight="1">
      <c r="A88" s="55" t="s">
        <v>11</v>
      </c>
      <c r="B88" s="136">
        <v>196</v>
      </c>
      <c r="C88" s="55" t="s">
        <v>88</v>
      </c>
      <c r="D88" s="211">
        <f>VLOOKUP(B88,財管手收各月!B:P, 3, 0) *0.55</f>
        <v>3267550.0000000005</v>
      </c>
      <c r="E88" s="211">
        <f>VLOOKUP(B88,財管手收各月!B:P, 4, 0) *0.55</f>
        <v>2512950</v>
      </c>
      <c r="F88" s="211">
        <f>VLOOKUP(B88,財管手收各月!B:P, 5, 0) *0.55</f>
        <v>2512950</v>
      </c>
      <c r="G88" s="211">
        <f>VLOOKUP(B88,財管手收各月!B:P, 6, 0) *0.55</f>
        <v>2388100</v>
      </c>
      <c r="H88" s="211">
        <f>VLOOKUP(B88,財管手收各月!B:P, 7, 0) *0.55</f>
        <v>2764850</v>
      </c>
      <c r="I88" s="211">
        <f>VLOOKUP(B88,財管手收各月!B:P, 8, 0) *0.55</f>
        <v>2388100</v>
      </c>
      <c r="J88" s="211">
        <f>VLOOKUP(B88,財管手收各月!B:P, 9, 0) *0.55</f>
        <v>2388100</v>
      </c>
      <c r="K88" s="211">
        <f>VLOOKUP(B88,財管手收各月!B:P, 10, 0) *0.55</f>
        <v>2764850</v>
      </c>
      <c r="L88" s="211">
        <f>VLOOKUP(B88,財管手收各月!B:P, 11, 0) *0.55</f>
        <v>2388100</v>
      </c>
      <c r="M88" s="211">
        <f>VLOOKUP(B88,財管手收各月!B:P, 12, 0) *0.55</f>
        <v>2512950</v>
      </c>
      <c r="N88" s="211">
        <f>VLOOKUP(B88,財管手收各月!B:P, 13, 0) *0.55</f>
        <v>2764850</v>
      </c>
      <c r="O88" s="211">
        <f>VLOOKUP(B88,財管手收各月!B:P, 14, 0) *0.55</f>
        <v>1002650.0000000001</v>
      </c>
      <c r="P88" s="211">
        <f t="shared" si="1"/>
        <v>29656000</v>
      </c>
    </row>
    <row r="89" spans="1:16" s="143" customFormat="1" ht="36.75" customHeight="1">
      <c r="A89" s="55" t="s">
        <v>11</v>
      </c>
      <c r="B89" s="136">
        <v>197</v>
      </c>
      <c r="C89" s="55" t="s">
        <v>23</v>
      </c>
      <c r="D89" s="211">
        <f>VLOOKUP(B89,財管手收各月!B:P, 3, 0) *0.55</f>
        <v>2030600.0000000002</v>
      </c>
      <c r="E89" s="211">
        <f>VLOOKUP(B89,財管手收各月!B:P, 4, 0) *0.55</f>
        <v>1561450.0000000002</v>
      </c>
      <c r="F89" s="211">
        <f>VLOOKUP(B89,財管手收各月!B:P, 5, 0) *0.55</f>
        <v>1561450.0000000002</v>
      </c>
      <c r="G89" s="211">
        <f>VLOOKUP(B89,財管手收各月!B:P, 6, 0) *0.55</f>
        <v>1483350.0000000002</v>
      </c>
      <c r="H89" s="211">
        <f>VLOOKUP(B89,財管手收各月!B:P, 7, 0) *0.55</f>
        <v>1717650.0000000002</v>
      </c>
      <c r="I89" s="211">
        <f>VLOOKUP(B89,財管手收各月!B:P, 8, 0) *0.55</f>
        <v>1483350.0000000002</v>
      </c>
      <c r="J89" s="211">
        <f>VLOOKUP(B89,財管手收各月!B:P, 9, 0) *0.55</f>
        <v>1483350.0000000002</v>
      </c>
      <c r="K89" s="211">
        <f>VLOOKUP(B89,財管手收各月!B:P, 10, 0) *0.55</f>
        <v>1717650.0000000002</v>
      </c>
      <c r="L89" s="211">
        <f>VLOOKUP(B89,財管手收各月!B:P, 11, 0) *0.55</f>
        <v>1483350.0000000002</v>
      </c>
      <c r="M89" s="211">
        <f>VLOOKUP(B89,財管手收各月!B:P, 12, 0) *0.55</f>
        <v>1561450.0000000002</v>
      </c>
      <c r="N89" s="211">
        <f>VLOOKUP(B89,財管手收各月!B:P, 13, 0) *0.55</f>
        <v>1717650.0000000002</v>
      </c>
      <c r="O89" s="211">
        <f>VLOOKUP(B89,財管手收各月!B:P, 14, 0) *0.55</f>
        <v>623700</v>
      </c>
      <c r="P89" s="211">
        <f t="shared" si="1"/>
        <v>18425000.000000004</v>
      </c>
    </row>
    <row r="90" spans="1:16" s="143" customFormat="1" ht="36.75" customHeight="1">
      <c r="A90" s="55" t="s">
        <v>11</v>
      </c>
      <c r="B90" s="136">
        <v>199</v>
      </c>
      <c r="C90" s="55" t="s">
        <v>24</v>
      </c>
      <c r="D90" s="211">
        <f>VLOOKUP(B90,財管手收各月!B:P, 3, 0) *0.55</f>
        <v>2551450</v>
      </c>
      <c r="E90" s="211">
        <f>VLOOKUP(B90,財管手收各月!B:P, 4, 0) *0.55</f>
        <v>1962400.0000000002</v>
      </c>
      <c r="F90" s="211">
        <f>VLOOKUP(B90,財管手收各月!B:P, 5, 0) *0.55</f>
        <v>1962400.0000000002</v>
      </c>
      <c r="G90" s="211">
        <f>VLOOKUP(B90,財管手收各月!B:P, 6, 0) *0.55</f>
        <v>1865050.0000000002</v>
      </c>
      <c r="H90" s="211">
        <f>VLOOKUP(B90,財管手收各月!B:P, 7, 0) *0.55</f>
        <v>2158750</v>
      </c>
      <c r="I90" s="211">
        <f>VLOOKUP(B90,財管手收各月!B:P, 8, 0) *0.55</f>
        <v>1865050.0000000002</v>
      </c>
      <c r="J90" s="211">
        <f>VLOOKUP(B90,財管手收各月!B:P, 9, 0) *0.55</f>
        <v>1865050.0000000002</v>
      </c>
      <c r="K90" s="211">
        <f>VLOOKUP(B90,財管手收各月!B:P, 10, 0) *0.55</f>
        <v>2158750</v>
      </c>
      <c r="L90" s="211">
        <f>VLOOKUP(B90,財管手收各月!B:P, 11, 0) *0.55</f>
        <v>1865050.0000000002</v>
      </c>
      <c r="M90" s="211">
        <f>VLOOKUP(B90,財管手收各月!B:P, 12, 0) *0.55</f>
        <v>1962400.0000000002</v>
      </c>
      <c r="N90" s="211">
        <f>VLOOKUP(B90,財管手收各月!B:P, 13, 0) *0.55</f>
        <v>2158750</v>
      </c>
      <c r="O90" s="211">
        <f>VLOOKUP(B90,財管手收各月!B:P, 14, 0) *0.55</f>
        <v>785400.00000000012</v>
      </c>
      <c r="P90" s="211">
        <f t="shared" si="1"/>
        <v>23160500</v>
      </c>
    </row>
    <row r="91" spans="1:16" s="143" customFormat="1" ht="36.75" customHeight="1">
      <c r="A91" s="55" t="s">
        <v>7</v>
      </c>
      <c r="B91" s="136">
        <v>200</v>
      </c>
      <c r="C91" s="55" t="s">
        <v>89</v>
      </c>
      <c r="D91" s="211">
        <f>VLOOKUP(B91,財管手收各月!B:P, 3, 0) *0.55</f>
        <v>2798400</v>
      </c>
      <c r="E91" s="211">
        <f>VLOOKUP(B91,財管手收各月!B:P, 4, 0) *0.55</f>
        <v>2153250</v>
      </c>
      <c r="F91" s="211">
        <f>VLOOKUP(B91,財管手收各月!B:P, 5, 0) *0.55</f>
        <v>2153250</v>
      </c>
      <c r="G91" s="211">
        <f>VLOOKUP(B91,財管手收各月!B:P, 6, 0) *0.55</f>
        <v>2045450.0000000002</v>
      </c>
      <c r="H91" s="211">
        <f>VLOOKUP(B91,財管手收各月!B:P, 7, 0) *0.55</f>
        <v>2368850</v>
      </c>
      <c r="I91" s="211">
        <f>VLOOKUP(B91,財管手收各月!B:P, 8, 0) *0.55</f>
        <v>2045450.0000000002</v>
      </c>
      <c r="J91" s="211">
        <f>VLOOKUP(B91,財管手收各月!B:P, 9, 0) *0.55</f>
        <v>2045450.0000000002</v>
      </c>
      <c r="K91" s="211">
        <f>VLOOKUP(B91,財管手收各月!B:P, 10, 0) *0.55</f>
        <v>2368850</v>
      </c>
      <c r="L91" s="211">
        <f>VLOOKUP(B91,財管手收各月!B:P, 11, 0) *0.55</f>
        <v>2045450.0000000002</v>
      </c>
      <c r="M91" s="211">
        <f>VLOOKUP(B91,財管手收各月!B:P, 12, 0) *0.55</f>
        <v>2153250</v>
      </c>
      <c r="N91" s="211">
        <f>VLOOKUP(B91,財管手收各月!B:P, 13, 0) *0.55</f>
        <v>2368850</v>
      </c>
      <c r="O91" s="211">
        <f>VLOOKUP(B91,財管手收各月!B:P, 14, 0) *0.55</f>
        <v>858000.00000000012</v>
      </c>
      <c r="P91" s="211">
        <f t="shared" si="1"/>
        <v>25404500</v>
      </c>
    </row>
    <row r="92" spans="1:16" s="143" customFormat="1" ht="36.75" customHeight="1">
      <c r="A92" s="55" t="s">
        <v>7</v>
      </c>
      <c r="B92" s="136">
        <v>201</v>
      </c>
      <c r="C92" s="55" t="s">
        <v>90</v>
      </c>
      <c r="D92" s="211">
        <f>VLOOKUP(B92,財管手收各月!B:P, 3, 0) *0.55</f>
        <v>3143250.0000000005</v>
      </c>
      <c r="E92" s="211">
        <f>VLOOKUP(B92,財管手收各月!B:P, 4, 0) *0.55</f>
        <v>2417800</v>
      </c>
      <c r="F92" s="211">
        <f>VLOOKUP(B92,財管手收各月!B:P, 5, 0) *0.55</f>
        <v>2417800</v>
      </c>
      <c r="G92" s="211">
        <f>VLOOKUP(B92,財管手收各月!B:P, 6, 0) *0.55</f>
        <v>2296800</v>
      </c>
      <c r="H92" s="211">
        <f>VLOOKUP(B92,財管手收各月!B:P, 7, 0) *0.55</f>
        <v>2660900</v>
      </c>
      <c r="I92" s="211">
        <f>VLOOKUP(B92,財管手收各月!B:P, 8, 0) *0.55</f>
        <v>2296800</v>
      </c>
      <c r="J92" s="211">
        <f>VLOOKUP(B92,財管手收各月!B:P, 9, 0) *0.55</f>
        <v>2296800</v>
      </c>
      <c r="K92" s="211">
        <f>VLOOKUP(B92,財管手收各月!B:P, 10, 0) *0.55</f>
        <v>2660900</v>
      </c>
      <c r="L92" s="211">
        <f>VLOOKUP(B92,財管手收各月!B:P, 11, 0) *0.55</f>
        <v>2296800</v>
      </c>
      <c r="M92" s="211">
        <f>VLOOKUP(B92,財管手收各月!B:P, 12, 0) *0.55</f>
        <v>2417800</v>
      </c>
      <c r="N92" s="211">
        <f>VLOOKUP(B92,財管手收各月!B:P, 13, 0) *0.55</f>
        <v>2660900</v>
      </c>
      <c r="O92" s="211">
        <f>VLOOKUP(B92,財管手收各月!B:P, 14, 0) *0.55</f>
        <v>967450.00000000012</v>
      </c>
      <c r="P92" s="211">
        <f t="shared" si="1"/>
        <v>28534000</v>
      </c>
    </row>
    <row r="93" spans="1:16" s="143" customFormat="1" ht="36.75" customHeight="1">
      <c r="A93" s="55" t="s">
        <v>7</v>
      </c>
      <c r="B93" s="136">
        <v>211</v>
      </c>
      <c r="C93" s="55" t="s">
        <v>25</v>
      </c>
      <c r="D93" s="211">
        <f>VLOOKUP(B93,財管手收各月!B:P, 3, 0) *0.55</f>
        <v>3256550.0000000005</v>
      </c>
      <c r="E93" s="211">
        <f>VLOOKUP(B93,財管手收各月!B:P, 4, 0) *0.55</f>
        <v>2505250</v>
      </c>
      <c r="F93" s="211">
        <f>VLOOKUP(B93,財管手收各月!B:P, 5, 0) *0.55</f>
        <v>2505250</v>
      </c>
      <c r="G93" s="211">
        <f>VLOOKUP(B93,財管手收各月!B:P, 6, 0) *0.55</f>
        <v>2380400</v>
      </c>
      <c r="H93" s="211">
        <f>VLOOKUP(B93,財管手收各月!B:P, 7, 0) *0.55</f>
        <v>2756050</v>
      </c>
      <c r="I93" s="211">
        <f>VLOOKUP(B93,財管手收各月!B:P, 8, 0) *0.55</f>
        <v>2380400</v>
      </c>
      <c r="J93" s="211">
        <f>VLOOKUP(B93,財管手收各月!B:P, 9, 0) *0.55</f>
        <v>2380400</v>
      </c>
      <c r="K93" s="211">
        <f>VLOOKUP(B93,財管手收各月!B:P, 10, 0) *0.55</f>
        <v>2756050</v>
      </c>
      <c r="L93" s="211">
        <f>VLOOKUP(B93,財管手收各月!B:P, 11, 0) *0.55</f>
        <v>2380400</v>
      </c>
      <c r="M93" s="211">
        <f>VLOOKUP(B93,財管手收各月!B:P, 12, 0) *0.55</f>
        <v>2505250</v>
      </c>
      <c r="N93" s="211">
        <f>VLOOKUP(B93,財管手收各月!B:P, 13, 0) *0.55</f>
        <v>2756050</v>
      </c>
      <c r="O93" s="211">
        <f>VLOOKUP(B93,財管手收各月!B:P, 14, 0) *0.55</f>
        <v>1000450.0000000001</v>
      </c>
      <c r="P93" s="211">
        <f t="shared" si="1"/>
        <v>29562500</v>
      </c>
    </row>
    <row r="94" spans="1:16" s="143" customFormat="1" ht="36.75" customHeight="1">
      <c r="A94" s="55" t="s">
        <v>7</v>
      </c>
      <c r="B94" s="136">
        <v>220</v>
      </c>
      <c r="C94" s="55" t="s">
        <v>26</v>
      </c>
      <c r="D94" s="211">
        <f>VLOOKUP(B94,財管手收各月!B:P, 3, 0) *0.55</f>
        <v>2589400</v>
      </c>
      <c r="E94" s="211">
        <f>VLOOKUP(B94,財管手收各月!B:P, 4, 0) *0.55</f>
        <v>1992100.0000000002</v>
      </c>
      <c r="F94" s="211">
        <f>VLOOKUP(B94,財管手收各月!B:P, 5, 0) *0.55</f>
        <v>1992100.0000000002</v>
      </c>
      <c r="G94" s="211">
        <f>VLOOKUP(B94,財管手收各月!B:P, 6, 0) *0.55</f>
        <v>1891450.0000000002</v>
      </c>
      <c r="H94" s="211">
        <f>VLOOKUP(B94,財管手收各月!B:P, 7, 0) *0.55</f>
        <v>2191200</v>
      </c>
      <c r="I94" s="211">
        <f>VLOOKUP(B94,財管手收各月!B:P, 8, 0) *0.55</f>
        <v>1891450.0000000002</v>
      </c>
      <c r="J94" s="211">
        <f>VLOOKUP(B94,財管手收各月!B:P, 9, 0) *0.55</f>
        <v>1891450.0000000002</v>
      </c>
      <c r="K94" s="211">
        <f>VLOOKUP(B94,財管手收各月!B:P, 10, 0) *0.55</f>
        <v>2191200</v>
      </c>
      <c r="L94" s="211">
        <f>VLOOKUP(B94,財管手收各月!B:P, 11, 0) *0.55</f>
        <v>1891450.0000000002</v>
      </c>
      <c r="M94" s="211">
        <f>VLOOKUP(B94,財管手收各月!B:P, 12, 0) *0.55</f>
        <v>1992100.0000000002</v>
      </c>
      <c r="N94" s="211">
        <f>VLOOKUP(B94,財管手收各月!B:P, 13, 0) *0.55</f>
        <v>2191200</v>
      </c>
      <c r="O94" s="211">
        <f>VLOOKUP(B94,財管手收各月!B:P, 14, 0) *0.55</f>
        <v>796400.00000000012</v>
      </c>
      <c r="P94" s="211">
        <f t="shared" si="1"/>
        <v>23501500</v>
      </c>
    </row>
    <row r="95" spans="1:16" s="143" customFormat="1" ht="36.75" customHeight="1">
      <c r="A95" s="55" t="s">
        <v>7</v>
      </c>
      <c r="B95" s="136">
        <v>221</v>
      </c>
      <c r="C95" s="55" t="s">
        <v>27</v>
      </c>
      <c r="D95" s="211">
        <f>VLOOKUP(B95,財管手收各月!B:P, 3, 0) *0.55</f>
        <v>2594350</v>
      </c>
      <c r="E95" s="211">
        <f>VLOOKUP(B95,財管手收各月!B:P, 4, 0) *0.55</f>
        <v>1995950.0000000002</v>
      </c>
      <c r="F95" s="211">
        <f>VLOOKUP(B95,財管手收各月!B:P, 5, 0) *0.55</f>
        <v>1995950.0000000002</v>
      </c>
      <c r="G95" s="211">
        <f>VLOOKUP(B95,財管手收各月!B:P, 6, 0) *0.55</f>
        <v>1896400.0000000002</v>
      </c>
      <c r="H95" s="211">
        <f>VLOOKUP(B95,財管手收各月!B:P, 7, 0) *0.55</f>
        <v>2195600</v>
      </c>
      <c r="I95" s="211">
        <f>VLOOKUP(B95,財管手收各月!B:P, 8, 0) *0.55</f>
        <v>1896400.0000000002</v>
      </c>
      <c r="J95" s="211">
        <f>VLOOKUP(B95,財管手收各月!B:P, 9, 0) *0.55</f>
        <v>1896400.0000000002</v>
      </c>
      <c r="K95" s="211">
        <f>VLOOKUP(B95,財管手收各月!B:P, 10, 0) *0.55</f>
        <v>2195600</v>
      </c>
      <c r="L95" s="211">
        <f>VLOOKUP(B95,財管手收各月!B:P, 11, 0) *0.55</f>
        <v>1896400.0000000002</v>
      </c>
      <c r="M95" s="211">
        <f>VLOOKUP(B95,財管手收各月!B:P, 12, 0) *0.55</f>
        <v>1995950.0000000002</v>
      </c>
      <c r="N95" s="211">
        <f>VLOOKUP(B95,財管手收各月!B:P, 13, 0) *0.55</f>
        <v>2195600</v>
      </c>
      <c r="O95" s="211">
        <f>VLOOKUP(B95,財管手收各月!B:P, 14, 0) *0.55</f>
        <v>801900.00000000012</v>
      </c>
      <c r="P95" s="211">
        <f t="shared" si="1"/>
        <v>23556500</v>
      </c>
    </row>
    <row r="96" spans="1:16" s="143" customFormat="1" ht="36.75" customHeight="1">
      <c r="A96" s="55" t="s">
        <v>11</v>
      </c>
      <c r="B96" s="136">
        <v>240</v>
      </c>
      <c r="C96" s="55" t="s">
        <v>177</v>
      </c>
      <c r="D96" s="211">
        <f>VLOOKUP(B96,財管手收各月!B:P, 3, 0) *0.55</f>
        <v>5385050</v>
      </c>
      <c r="E96" s="211">
        <f>VLOOKUP(B96,財管手收各月!B:P, 4, 0) *0.55</f>
        <v>4142050.0000000005</v>
      </c>
      <c r="F96" s="211">
        <f>VLOOKUP(B96,財管手收各月!B:P, 5, 0) *0.55</f>
        <v>4142050.0000000005</v>
      </c>
      <c r="G96" s="211">
        <f>VLOOKUP(B96,財管手收各月!B:P, 6, 0) *0.55</f>
        <v>3934700.0000000005</v>
      </c>
      <c r="H96" s="211">
        <f>VLOOKUP(B96,財管手收各月!B:P, 7, 0) *0.55</f>
        <v>4556750</v>
      </c>
      <c r="I96" s="211">
        <f>VLOOKUP(B96,財管手收各月!B:P, 8, 0) *0.55</f>
        <v>3934700.0000000005</v>
      </c>
      <c r="J96" s="211">
        <f>VLOOKUP(B96,財管手收各月!B:P, 9, 0) *0.55</f>
        <v>3934700.0000000005</v>
      </c>
      <c r="K96" s="211">
        <f>VLOOKUP(B96,財管手收各月!B:P, 10, 0) *0.55</f>
        <v>4556750</v>
      </c>
      <c r="L96" s="211">
        <f>VLOOKUP(B96,財管手收各月!B:P, 11, 0) *0.55</f>
        <v>3934700.0000000005</v>
      </c>
      <c r="M96" s="211">
        <f>VLOOKUP(B96,財管手收各月!B:P, 12, 0) *0.55</f>
        <v>4142050.0000000005</v>
      </c>
      <c r="N96" s="211">
        <f>VLOOKUP(B96,財管手收各月!B:P, 13, 0) *0.55</f>
        <v>4556750</v>
      </c>
      <c r="O96" s="211">
        <f>VLOOKUP(B96,財管手收各月!B:P, 14, 0) *0.55</f>
        <v>1658250.0000000002</v>
      </c>
      <c r="P96" s="211">
        <f t="shared" si="1"/>
        <v>48878500</v>
      </c>
    </row>
    <row r="97" spans="1:16" s="143" customFormat="1" ht="36.75" customHeight="1">
      <c r="A97" s="55" t="s">
        <v>11</v>
      </c>
      <c r="B97" s="136">
        <v>241</v>
      </c>
      <c r="C97" s="55" t="s">
        <v>91</v>
      </c>
      <c r="D97" s="211">
        <f>VLOOKUP(B97,財管手收各月!B:P, 3, 0) *0.55</f>
        <v>5806900.0000000009</v>
      </c>
      <c r="E97" s="211">
        <f>VLOOKUP(B97,財管手收各月!B:P, 4, 0) *0.55</f>
        <v>4466550</v>
      </c>
      <c r="F97" s="211">
        <f>VLOOKUP(B97,財管手收各月!B:P, 5, 0) *0.55</f>
        <v>4466550</v>
      </c>
      <c r="G97" s="211">
        <f>VLOOKUP(B97,財管手收各月!B:P, 6, 0) *0.55</f>
        <v>4242700</v>
      </c>
      <c r="H97" s="211">
        <f>VLOOKUP(B97,財管手收各月!B:P, 7, 0) *0.55</f>
        <v>4913700</v>
      </c>
      <c r="I97" s="211">
        <f>VLOOKUP(B97,財管手收各月!B:P, 8, 0) *0.55</f>
        <v>4242700</v>
      </c>
      <c r="J97" s="211">
        <f>VLOOKUP(B97,財管手收各月!B:P, 9, 0) *0.55</f>
        <v>4242700</v>
      </c>
      <c r="K97" s="211">
        <f>VLOOKUP(B97,財管手收各月!B:P, 10, 0) *0.55</f>
        <v>4913700</v>
      </c>
      <c r="L97" s="211">
        <f>VLOOKUP(B97,財管手收各月!B:P, 11, 0) *0.55</f>
        <v>4242700</v>
      </c>
      <c r="M97" s="211">
        <f>VLOOKUP(B97,財管手收各月!B:P, 12, 0) *0.55</f>
        <v>4466550</v>
      </c>
      <c r="N97" s="211">
        <f>VLOOKUP(B97,財管手收各月!B:P, 13, 0) *0.55</f>
        <v>4913700</v>
      </c>
      <c r="O97" s="211">
        <f>VLOOKUP(B97,財管手收各月!B:P, 14, 0) *0.55</f>
        <v>1788050.0000000002</v>
      </c>
      <c r="P97" s="211">
        <f t="shared" si="1"/>
        <v>52706500</v>
      </c>
    </row>
    <row r="98" spans="1:16" s="143" customFormat="1" ht="36.75" customHeight="1">
      <c r="A98" s="55" t="s">
        <v>11</v>
      </c>
      <c r="B98" s="136">
        <v>242</v>
      </c>
      <c r="C98" s="55" t="s">
        <v>28</v>
      </c>
      <c r="D98" s="211">
        <f>VLOOKUP(B98,財管手收各月!B:P, 3, 0) *0.55</f>
        <v>5499450</v>
      </c>
      <c r="E98" s="211">
        <f>VLOOKUP(B98,財管手收各月!B:P, 4, 0) *0.55</f>
        <v>4230600</v>
      </c>
      <c r="F98" s="211">
        <f>VLOOKUP(B98,財管手收各月!B:P, 5, 0) *0.55</f>
        <v>4230600</v>
      </c>
      <c r="G98" s="211">
        <f>VLOOKUP(B98,財管手收各月!B:P, 6, 0) *0.55</f>
        <v>4018850.0000000005</v>
      </c>
      <c r="H98" s="211">
        <f>VLOOKUP(B98,財管手收各月!B:P, 7, 0) *0.55</f>
        <v>4653550</v>
      </c>
      <c r="I98" s="211">
        <f>VLOOKUP(B98,財管手收各月!B:P, 8, 0) *0.55</f>
        <v>4018850.0000000005</v>
      </c>
      <c r="J98" s="211">
        <f>VLOOKUP(B98,財管手收各月!B:P, 9, 0) *0.55</f>
        <v>4018850.0000000005</v>
      </c>
      <c r="K98" s="211">
        <f>VLOOKUP(B98,財管手收各月!B:P, 10, 0) *0.55</f>
        <v>4653550</v>
      </c>
      <c r="L98" s="211">
        <f>VLOOKUP(B98,財管手收各月!B:P, 11, 0) *0.55</f>
        <v>4018850.0000000005</v>
      </c>
      <c r="M98" s="211">
        <f>VLOOKUP(B98,財管手收各月!B:P, 12, 0) *0.55</f>
        <v>4230600</v>
      </c>
      <c r="N98" s="211">
        <f>VLOOKUP(B98,財管手收各月!B:P, 13, 0) *0.55</f>
        <v>4653550</v>
      </c>
      <c r="O98" s="211">
        <f>VLOOKUP(B98,財管手收各月!B:P, 14, 0) *0.55</f>
        <v>1690700.0000000002</v>
      </c>
      <c r="P98" s="211">
        <f t="shared" si="1"/>
        <v>49918000</v>
      </c>
    </row>
    <row r="99" spans="1:16" s="143" customFormat="1" ht="36.75" customHeight="1">
      <c r="A99" s="55" t="s">
        <v>11</v>
      </c>
      <c r="B99" s="136">
        <v>243</v>
      </c>
      <c r="C99" s="55" t="s">
        <v>92</v>
      </c>
      <c r="D99" s="211">
        <f>VLOOKUP(B99,財管手收各月!B:P, 3, 0) *0.55</f>
        <v>4015550.0000000005</v>
      </c>
      <c r="E99" s="211">
        <f>VLOOKUP(B99,財管手收各月!B:P, 4, 0) *0.55</f>
        <v>3088800.0000000005</v>
      </c>
      <c r="F99" s="211">
        <f>VLOOKUP(B99,財管手收各月!B:P, 5, 0) *0.55</f>
        <v>3088800.0000000005</v>
      </c>
      <c r="G99" s="211">
        <f>VLOOKUP(B99,財管手收各月!B:P, 6, 0) *0.55</f>
        <v>2934250.0000000005</v>
      </c>
      <c r="H99" s="211">
        <f>VLOOKUP(B99,財管手收各月!B:P, 7, 0) *0.55</f>
        <v>3397350.0000000005</v>
      </c>
      <c r="I99" s="211">
        <f>VLOOKUP(B99,財管手收各月!B:P, 8, 0) *0.55</f>
        <v>2934250.0000000005</v>
      </c>
      <c r="J99" s="211">
        <f>VLOOKUP(B99,財管手收各月!B:P, 9, 0) *0.55</f>
        <v>2934250.0000000005</v>
      </c>
      <c r="K99" s="211">
        <f>VLOOKUP(B99,財管手收各月!B:P, 10, 0) *0.55</f>
        <v>3397350.0000000005</v>
      </c>
      <c r="L99" s="211">
        <f>VLOOKUP(B99,財管手收各月!B:P, 11, 0) *0.55</f>
        <v>2934250.0000000005</v>
      </c>
      <c r="M99" s="211">
        <f>VLOOKUP(B99,財管手收各月!B:P, 12, 0) *0.55</f>
        <v>3088800.0000000005</v>
      </c>
      <c r="N99" s="211">
        <f>VLOOKUP(B99,財管手收各月!B:P, 13, 0) *0.55</f>
        <v>3397350.0000000005</v>
      </c>
      <c r="O99" s="211">
        <f>VLOOKUP(B99,財管手收各月!B:P, 14, 0) *0.55</f>
        <v>1237500</v>
      </c>
      <c r="P99" s="211">
        <f t="shared" si="1"/>
        <v>36448500.000000007</v>
      </c>
    </row>
    <row r="100" spans="1:16" s="143" customFormat="1" ht="36.75" customHeight="1">
      <c r="A100" s="55" t="s">
        <v>11</v>
      </c>
      <c r="B100" s="136">
        <v>244</v>
      </c>
      <c r="C100" s="55" t="s">
        <v>29</v>
      </c>
      <c r="D100" s="211">
        <f>VLOOKUP(B100,財管手收各月!B:P, 3, 0) *0.55</f>
        <v>5252500</v>
      </c>
      <c r="E100" s="211">
        <f>VLOOKUP(B100,財管手收各月!B:P, 4, 0) *0.55</f>
        <v>4040300.0000000005</v>
      </c>
      <c r="F100" s="211">
        <f>VLOOKUP(B100,財管手收各月!B:P, 5, 0) *0.55</f>
        <v>4040300.0000000005</v>
      </c>
      <c r="G100" s="211">
        <f>VLOOKUP(B100,財管手收各月!B:P, 6, 0) *0.55</f>
        <v>3839000.0000000005</v>
      </c>
      <c r="H100" s="211">
        <f>VLOOKUP(B100,財管手收各月!B:P, 7, 0) *0.55</f>
        <v>4445100</v>
      </c>
      <c r="I100" s="211">
        <f>VLOOKUP(B100,財管手收各月!B:P, 8, 0) *0.55</f>
        <v>3839000.0000000005</v>
      </c>
      <c r="J100" s="211">
        <f>VLOOKUP(B100,財管手收各月!B:P, 9, 0) *0.55</f>
        <v>3839000.0000000005</v>
      </c>
      <c r="K100" s="211">
        <f>VLOOKUP(B100,財管手收各月!B:P, 10, 0) *0.55</f>
        <v>4445100</v>
      </c>
      <c r="L100" s="211">
        <f>VLOOKUP(B100,財管手收各月!B:P, 11, 0) *0.55</f>
        <v>3839000.0000000005</v>
      </c>
      <c r="M100" s="211">
        <f>VLOOKUP(B100,財管手收各月!B:P, 12, 0) *0.55</f>
        <v>4040300.0000000005</v>
      </c>
      <c r="N100" s="211">
        <f>VLOOKUP(B100,財管手收各月!B:P, 13, 0) *0.55</f>
        <v>4445100</v>
      </c>
      <c r="O100" s="211">
        <f>VLOOKUP(B100,財管手收各月!B:P, 14, 0) *0.55</f>
        <v>1614800.0000000002</v>
      </c>
      <c r="P100" s="211">
        <f t="shared" si="1"/>
        <v>47679500</v>
      </c>
    </row>
    <row r="101" spans="1:16" s="143" customFormat="1" ht="36.75" customHeight="1">
      <c r="A101" s="55" t="s">
        <v>11</v>
      </c>
      <c r="B101" s="136">
        <v>245</v>
      </c>
      <c r="C101" s="55" t="s">
        <v>93</v>
      </c>
      <c r="D101" s="211">
        <f>VLOOKUP(B101,財管手收各月!B:P, 3, 0) *0.55</f>
        <v>3258750.0000000005</v>
      </c>
      <c r="E101" s="211">
        <f>VLOOKUP(B101,財管手收各月!B:P, 4, 0) *0.55</f>
        <v>2506900</v>
      </c>
      <c r="F101" s="211">
        <f>VLOOKUP(B101,財管手收各月!B:P, 5, 0) *0.55</f>
        <v>2506900</v>
      </c>
      <c r="G101" s="211">
        <f>VLOOKUP(B101,財管手收各月!B:P, 6, 0) *0.55</f>
        <v>2381500</v>
      </c>
      <c r="H101" s="211">
        <f>VLOOKUP(B101,財管手收各月!B:P, 7, 0) *0.55</f>
        <v>2758250</v>
      </c>
      <c r="I101" s="211">
        <f>VLOOKUP(B101,財管手收各月!B:P, 8, 0) *0.55</f>
        <v>2381500</v>
      </c>
      <c r="J101" s="211">
        <f>VLOOKUP(B101,財管手收各月!B:P, 9, 0) *0.55</f>
        <v>2381500</v>
      </c>
      <c r="K101" s="211">
        <f>VLOOKUP(B101,財管手收各月!B:P, 10, 0) *0.55</f>
        <v>2758250</v>
      </c>
      <c r="L101" s="211">
        <f>VLOOKUP(B101,財管手收各月!B:P, 11, 0) *0.55</f>
        <v>2381500</v>
      </c>
      <c r="M101" s="211">
        <f>VLOOKUP(B101,財管手收各月!B:P, 12, 0) *0.55</f>
        <v>2506900</v>
      </c>
      <c r="N101" s="211">
        <f>VLOOKUP(B101,財管手收各月!B:P, 13, 0) *0.55</f>
        <v>2758250</v>
      </c>
      <c r="O101" s="211">
        <f>VLOOKUP(B101,財管手收各月!B:P, 14, 0) *0.55</f>
        <v>1004300.0000000001</v>
      </c>
      <c r="P101" s="211">
        <f t="shared" si="1"/>
        <v>29584500</v>
      </c>
    </row>
    <row r="102" spans="1:16" s="143" customFormat="1" ht="36.75" customHeight="1">
      <c r="A102" s="55" t="s">
        <v>11</v>
      </c>
      <c r="B102" s="136">
        <v>246</v>
      </c>
      <c r="C102" s="55" t="s">
        <v>178</v>
      </c>
      <c r="D102" s="211">
        <f>VLOOKUP(B102,財管手收各月!B:P, 3, 0) *0.55</f>
        <v>3559600.0000000005</v>
      </c>
      <c r="E102" s="211">
        <f>VLOOKUP(B102,財管手收各月!B:P, 4, 0) *0.55</f>
        <v>2738450</v>
      </c>
      <c r="F102" s="211">
        <f>VLOOKUP(B102,財管手收各月!B:P, 5, 0) *0.55</f>
        <v>2738450</v>
      </c>
      <c r="G102" s="211">
        <f>VLOOKUP(B102,財管手收各月!B:P, 6, 0) *0.55</f>
        <v>2601500</v>
      </c>
      <c r="H102" s="211">
        <f>VLOOKUP(B102,財管手收各月!B:P, 7, 0) *0.55</f>
        <v>3011800.0000000005</v>
      </c>
      <c r="I102" s="211">
        <f>VLOOKUP(B102,財管手收各月!B:P, 8, 0) *0.55</f>
        <v>2601500</v>
      </c>
      <c r="J102" s="211">
        <f>VLOOKUP(B102,財管手收各月!B:P, 9, 0) *0.55</f>
        <v>2601500</v>
      </c>
      <c r="K102" s="211">
        <f>VLOOKUP(B102,財管手收各月!B:P, 10, 0) *0.55</f>
        <v>3011800.0000000005</v>
      </c>
      <c r="L102" s="211">
        <f>VLOOKUP(B102,財管手收各月!B:P, 11, 0) *0.55</f>
        <v>2601500</v>
      </c>
      <c r="M102" s="211">
        <f>VLOOKUP(B102,財管手收各月!B:P, 12, 0) *0.55</f>
        <v>2738450</v>
      </c>
      <c r="N102" s="211">
        <f>VLOOKUP(B102,財管手收各月!B:P, 13, 0) *0.55</f>
        <v>3011800.0000000005</v>
      </c>
      <c r="O102" s="211">
        <f>VLOOKUP(B102,財管手收各月!B:P, 14, 0) *0.55</f>
        <v>1096150</v>
      </c>
      <c r="P102" s="211">
        <f t="shared" si="1"/>
        <v>32312500</v>
      </c>
    </row>
    <row r="103" spans="1:16" s="143" customFormat="1" ht="36.75" customHeight="1">
      <c r="A103" s="55" t="s">
        <v>11</v>
      </c>
      <c r="B103" s="136">
        <v>247</v>
      </c>
      <c r="C103" s="55" t="s">
        <v>179</v>
      </c>
      <c r="D103" s="211">
        <f>VLOOKUP(B103,財管手收各月!B:P, 3, 0) *0.55</f>
        <v>3623400.0000000005</v>
      </c>
      <c r="E103" s="211">
        <f>VLOOKUP(B103,財管手收各月!B:P, 4, 0) *0.55</f>
        <v>2787400</v>
      </c>
      <c r="F103" s="211">
        <f>VLOOKUP(B103,財管手收各月!B:P, 5, 0) *0.55</f>
        <v>2787400</v>
      </c>
      <c r="G103" s="211">
        <f>VLOOKUP(B103,財管手收各月!B:P, 6, 0) *0.55</f>
        <v>2647700</v>
      </c>
      <c r="H103" s="211">
        <f>VLOOKUP(B103,財管手收各月!B:P, 7, 0) *0.55</f>
        <v>3066250.0000000005</v>
      </c>
      <c r="I103" s="211">
        <f>VLOOKUP(B103,財管手收各月!B:P, 8, 0) *0.55</f>
        <v>2647700</v>
      </c>
      <c r="J103" s="211">
        <f>VLOOKUP(B103,財管手收各月!B:P, 9, 0) *0.55</f>
        <v>2647700</v>
      </c>
      <c r="K103" s="211">
        <f>VLOOKUP(B103,財管手收各月!B:P, 10, 0) *0.55</f>
        <v>3066250.0000000005</v>
      </c>
      <c r="L103" s="211">
        <f>VLOOKUP(B103,財管手收各月!B:P, 11, 0) *0.55</f>
        <v>2647700</v>
      </c>
      <c r="M103" s="211">
        <f>VLOOKUP(B103,財管手收各月!B:P, 12, 0) *0.55</f>
        <v>2787400</v>
      </c>
      <c r="N103" s="211">
        <f>VLOOKUP(B103,財管手收各月!B:P, 13, 0) *0.55</f>
        <v>3066250.0000000005</v>
      </c>
      <c r="O103" s="211">
        <f>VLOOKUP(B103,財管手收各月!B:P, 14, 0) *0.55</f>
        <v>1114850</v>
      </c>
      <c r="P103" s="211">
        <f t="shared" si="1"/>
        <v>32890000</v>
      </c>
    </row>
    <row r="104" spans="1:16" s="143" customFormat="1" ht="36.75" customHeight="1">
      <c r="A104" s="55" t="s">
        <v>11</v>
      </c>
      <c r="B104" s="136">
        <v>248</v>
      </c>
      <c r="C104" s="55" t="s">
        <v>94</v>
      </c>
      <c r="D104" s="211">
        <f>VLOOKUP(B104,財管手收各月!B:P, 3, 0) *0.55</f>
        <v>3793900.0000000005</v>
      </c>
      <c r="E104" s="211">
        <f>VLOOKUP(B104,財管手收各月!B:P, 4, 0) *0.55</f>
        <v>2918850.0000000005</v>
      </c>
      <c r="F104" s="211">
        <f>VLOOKUP(B104,財管手收各月!B:P, 5, 0) *0.55</f>
        <v>2918850.0000000005</v>
      </c>
      <c r="G104" s="211">
        <f>VLOOKUP(B104,財管手收各月!B:P, 6, 0) *0.55</f>
        <v>2772550</v>
      </c>
      <c r="H104" s="211">
        <f>VLOOKUP(B104,財管手收各月!B:P, 7, 0) *0.55</f>
        <v>3210350.0000000005</v>
      </c>
      <c r="I104" s="211">
        <f>VLOOKUP(B104,財管手收各月!B:P, 8, 0) *0.55</f>
        <v>2772550</v>
      </c>
      <c r="J104" s="211">
        <f>VLOOKUP(B104,財管手收各月!B:P, 9, 0) *0.55</f>
        <v>2772550</v>
      </c>
      <c r="K104" s="211">
        <f>VLOOKUP(B104,財管手收各月!B:P, 10, 0) *0.55</f>
        <v>3210350.0000000005</v>
      </c>
      <c r="L104" s="211">
        <f>VLOOKUP(B104,財管手收各月!B:P, 11, 0) *0.55</f>
        <v>2772550</v>
      </c>
      <c r="M104" s="211">
        <f>VLOOKUP(B104,財管手收各月!B:P, 12, 0) *0.55</f>
        <v>2918850.0000000005</v>
      </c>
      <c r="N104" s="211">
        <f>VLOOKUP(B104,財管手收各月!B:P, 13, 0) *0.55</f>
        <v>3210350.0000000005</v>
      </c>
      <c r="O104" s="211">
        <f>VLOOKUP(B104,財管手收各月!B:P, 14, 0) *0.55</f>
        <v>1163800</v>
      </c>
      <c r="P104" s="211">
        <f t="shared" si="1"/>
        <v>34435500</v>
      </c>
    </row>
    <row r="105" spans="1:16" s="143" customFormat="1" ht="36.75" customHeight="1">
      <c r="A105" s="55" t="s">
        <v>11</v>
      </c>
      <c r="B105" s="136">
        <v>249</v>
      </c>
      <c r="C105" s="55" t="s">
        <v>30</v>
      </c>
      <c r="D105" s="211">
        <f>VLOOKUP(B105,財管手收各月!B:P, 3, 0) *0.55</f>
        <v>2959000.0000000005</v>
      </c>
      <c r="E105" s="211">
        <f>VLOOKUP(B105,財管手收各月!B:P, 4, 0) *0.55</f>
        <v>2275900</v>
      </c>
      <c r="F105" s="211">
        <f>VLOOKUP(B105,財管手收各月!B:P, 5, 0) *0.55</f>
        <v>2275900</v>
      </c>
      <c r="G105" s="211">
        <f>VLOOKUP(B105,財管手收各月!B:P, 6, 0) *0.55</f>
        <v>2162050</v>
      </c>
      <c r="H105" s="211">
        <f>VLOOKUP(B105,財管手收各月!B:P, 7, 0) *0.55</f>
        <v>2503600</v>
      </c>
      <c r="I105" s="211">
        <f>VLOOKUP(B105,財管手收各月!B:P, 8, 0) *0.55</f>
        <v>2162050</v>
      </c>
      <c r="J105" s="211">
        <f>VLOOKUP(B105,財管手收各月!B:P, 9, 0) *0.55</f>
        <v>2162050</v>
      </c>
      <c r="K105" s="211">
        <f>VLOOKUP(B105,財管手收各月!B:P, 10, 0) *0.55</f>
        <v>2503600</v>
      </c>
      <c r="L105" s="211">
        <f>VLOOKUP(B105,財管手收各月!B:P, 11, 0) *0.55</f>
        <v>2162050</v>
      </c>
      <c r="M105" s="211">
        <f>VLOOKUP(B105,財管手收各月!B:P, 12, 0) *0.55</f>
        <v>2275900</v>
      </c>
      <c r="N105" s="211">
        <f>VLOOKUP(B105,財管手收各月!B:P, 13, 0) *0.55</f>
        <v>2503600</v>
      </c>
      <c r="O105" s="211">
        <f>VLOOKUP(B105,財管手收各月!B:P, 14, 0) *0.55</f>
        <v>910800.00000000012</v>
      </c>
      <c r="P105" s="211">
        <f t="shared" si="1"/>
        <v>26856500</v>
      </c>
    </row>
    <row r="106" spans="1:16" s="143" customFormat="1" ht="36.75" customHeight="1">
      <c r="A106" s="55" t="s">
        <v>11</v>
      </c>
      <c r="B106" s="136">
        <v>250</v>
      </c>
      <c r="C106" s="55" t="s">
        <v>180</v>
      </c>
      <c r="D106" s="211">
        <f>VLOOKUP(B106,財管手收各月!B:P, 3, 0) *0.55</f>
        <v>2217050</v>
      </c>
      <c r="E106" s="211">
        <f>VLOOKUP(B106,財管手收各月!B:P, 4, 0) *0.55</f>
        <v>1705550.0000000002</v>
      </c>
      <c r="F106" s="211">
        <f>VLOOKUP(B106,財管手收各月!B:P, 5, 0) *0.55</f>
        <v>1705550.0000000002</v>
      </c>
      <c r="G106" s="211">
        <f>VLOOKUP(B106,財管手收各月!B:P, 6, 0) *0.55</f>
        <v>1620850.0000000002</v>
      </c>
      <c r="H106" s="211">
        <f>VLOOKUP(B106,財管手收各月!B:P, 7, 0) *0.55</f>
        <v>1876600.0000000002</v>
      </c>
      <c r="I106" s="211">
        <f>VLOOKUP(B106,財管手收各月!B:P, 8, 0) *0.55</f>
        <v>1620850.0000000002</v>
      </c>
      <c r="J106" s="211">
        <f>VLOOKUP(B106,財管手收各月!B:P, 9, 0) *0.55</f>
        <v>1620850.0000000002</v>
      </c>
      <c r="K106" s="211">
        <f>VLOOKUP(B106,財管手收各月!B:P, 10, 0) *0.55</f>
        <v>1876600.0000000002</v>
      </c>
      <c r="L106" s="211">
        <f>VLOOKUP(B106,財管手收各月!B:P, 11, 0) *0.55</f>
        <v>1620850.0000000002</v>
      </c>
      <c r="M106" s="211">
        <f>VLOOKUP(B106,財管手收各月!B:P, 12, 0) *0.55</f>
        <v>1705550.0000000002</v>
      </c>
      <c r="N106" s="211">
        <f>VLOOKUP(B106,財管手收各月!B:P, 13, 0) *0.55</f>
        <v>1876600.0000000002</v>
      </c>
      <c r="O106" s="211">
        <f>VLOOKUP(B106,財管手收各月!B:P, 14, 0) *0.55</f>
        <v>677600</v>
      </c>
      <c r="P106" s="211">
        <f t="shared" si="1"/>
        <v>20124500</v>
      </c>
    </row>
    <row r="107" spans="1:16" s="143" customFormat="1" ht="36.75" customHeight="1">
      <c r="A107" s="55" t="s">
        <v>11</v>
      </c>
      <c r="B107" s="136">
        <v>251</v>
      </c>
      <c r="C107" s="55" t="s">
        <v>181</v>
      </c>
      <c r="D107" s="211">
        <f>VLOOKUP(B107,財管手收各月!B:P, 3, 0) *0.55</f>
        <v>2454100</v>
      </c>
      <c r="E107" s="211">
        <f>VLOOKUP(B107,財管手收各月!B:P, 4, 0) *0.55</f>
        <v>1887600.0000000002</v>
      </c>
      <c r="F107" s="211">
        <f>VLOOKUP(B107,財管手收各月!B:P, 5, 0) *0.55</f>
        <v>1887600.0000000002</v>
      </c>
      <c r="G107" s="211">
        <f>VLOOKUP(B107,財管手收各月!B:P, 6, 0) *0.55</f>
        <v>1793000.0000000002</v>
      </c>
      <c r="H107" s="211">
        <f>VLOOKUP(B107,財管手收各月!B:P, 7, 0) *0.55</f>
        <v>2077350.0000000002</v>
      </c>
      <c r="I107" s="211">
        <f>VLOOKUP(B107,財管手收各月!B:P, 8, 0) *0.55</f>
        <v>1793000.0000000002</v>
      </c>
      <c r="J107" s="211">
        <f>VLOOKUP(B107,財管手收各月!B:P, 9, 0) *0.55</f>
        <v>1793000.0000000002</v>
      </c>
      <c r="K107" s="211">
        <f>VLOOKUP(B107,財管手收各月!B:P, 10, 0) *0.55</f>
        <v>2077350.0000000002</v>
      </c>
      <c r="L107" s="211">
        <f>VLOOKUP(B107,財管手收各月!B:P, 11, 0) *0.55</f>
        <v>1793000.0000000002</v>
      </c>
      <c r="M107" s="211">
        <f>VLOOKUP(B107,財管手收各月!B:P, 12, 0) *0.55</f>
        <v>1887600.0000000002</v>
      </c>
      <c r="N107" s="211">
        <f>VLOOKUP(B107,財管手收各月!B:P, 13, 0) *0.55</f>
        <v>2077350.0000000002</v>
      </c>
      <c r="O107" s="211">
        <f>VLOOKUP(B107,財管手收各月!B:P, 14, 0) *0.55</f>
        <v>754050.00000000012</v>
      </c>
      <c r="P107" s="211">
        <f t="shared" si="1"/>
        <v>22275000</v>
      </c>
    </row>
    <row r="108" spans="1:16" s="143" customFormat="1" ht="36.75" customHeight="1">
      <c r="A108" s="55" t="s">
        <v>11</v>
      </c>
      <c r="B108" s="136">
        <v>252</v>
      </c>
      <c r="C108" s="55" t="s">
        <v>95</v>
      </c>
      <c r="D108" s="211">
        <f>VLOOKUP(B108,財管手收各月!B:P, 3, 0) *0.55</f>
        <v>3714150.0000000005</v>
      </c>
      <c r="E108" s="211">
        <f>VLOOKUP(B108,財管手收各月!B:P, 4, 0) *0.55</f>
        <v>2856700</v>
      </c>
      <c r="F108" s="211">
        <f>VLOOKUP(B108,財管手收各月!B:P, 5, 0) *0.55</f>
        <v>2856700</v>
      </c>
      <c r="G108" s="211">
        <f>VLOOKUP(B108,財管手收各月!B:P, 6, 0) *0.55</f>
        <v>2713700</v>
      </c>
      <c r="H108" s="211">
        <f>VLOOKUP(B108,財管手收各月!B:P, 7, 0) *0.55</f>
        <v>3142700.0000000005</v>
      </c>
      <c r="I108" s="211">
        <f>VLOOKUP(B108,財管手收各月!B:P, 8, 0) *0.55</f>
        <v>2713700</v>
      </c>
      <c r="J108" s="211">
        <f>VLOOKUP(B108,財管手收各月!B:P, 9, 0) *0.55</f>
        <v>2713700</v>
      </c>
      <c r="K108" s="211">
        <f>VLOOKUP(B108,財管手收各月!B:P, 10, 0) *0.55</f>
        <v>3142700.0000000005</v>
      </c>
      <c r="L108" s="211">
        <f>VLOOKUP(B108,財管手收各月!B:P, 11, 0) *0.55</f>
        <v>2713700</v>
      </c>
      <c r="M108" s="211">
        <f>VLOOKUP(B108,財管手收各月!B:P, 12, 0) *0.55</f>
        <v>2856700</v>
      </c>
      <c r="N108" s="211">
        <f>VLOOKUP(B108,財管手收各月!B:P, 13, 0) *0.55</f>
        <v>3142700.0000000005</v>
      </c>
      <c r="O108" s="211">
        <f>VLOOKUP(B108,財管手收各月!B:P, 14, 0) *0.55</f>
        <v>1142350</v>
      </c>
      <c r="P108" s="211">
        <f t="shared" si="1"/>
        <v>33709500</v>
      </c>
    </row>
    <row r="109" spans="1:16" s="143" customFormat="1" ht="36.75" customHeight="1">
      <c r="A109" s="55" t="s">
        <v>11</v>
      </c>
      <c r="B109" s="136">
        <v>260</v>
      </c>
      <c r="C109" s="55" t="s">
        <v>96</v>
      </c>
      <c r="D109" s="211">
        <f>VLOOKUP(B109,財管手收各月!B:P, 3, 0) *0.55</f>
        <v>4694800</v>
      </c>
      <c r="E109" s="211">
        <f>VLOOKUP(B109,財管手收各月!B:P, 4, 0) *0.55</f>
        <v>3611300.0000000005</v>
      </c>
      <c r="F109" s="211">
        <f>VLOOKUP(B109,財管手收各月!B:P, 5, 0) *0.55</f>
        <v>3611300.0000000005</v>
      </c>
      <c r="G109" s="211">
        <f>VLOOKUP(B109,財管手收各月!B:P, 6, 0) *0.55</f>
        <v>3429800.0000000005</v>
      </c>
      <c r="H109" s="211">
        <f>VLOOKUP(B109,財管手收各月!B:P, 7, 0) *0.55</f>
        <v>3972650.0000000005</v>
      </c>
      <c r="I109" s="211">
        <f>VLOOKUP(B109,財管手收各月!B:P, 8, 0) *0.55</f>
        <v>3429800.0000000005</v>
      </c>
      <c r="J109" s="211">
        <f>VLOOKUP(B109,財管手收各月!B:P, 9, 0) *0.55</f>
        <v>3429800.0000000005</v>
      </c>
      <c r="K109" s="211">
        <f>VLOOKUP(B109,財管手收各月!B:P, 10, 0) *0.55</f>
        <v>3972650.0000000005</v>
      </c>
      <c r="L109" s="211">
        <f>VLOOKUP(B109,財管手收各月!B:P, 11, 0) *0.55</f>
        <v>3429800.0000000005</v>
      </c>
      <c r="M109" s="211">
        <f>VLOOKUP(B109,財管手收各月!B:P, 12, 0) *0.55</f>
        <v>3611300.0000000005</v>
      </c>
      <c r="N109" s="211">
        <f>VLOOKUP(B109,財管手收各月!B:P, 13, 0) *0.55</f>
        <v>3972650.0000000005</v>
      </c>
      <c r="O109" s="211">
        <f>VLOOKUP(B109,財管手收各月!B:P, 14, 0) *0.55</f>
        <v>1448150.0000000002</v>
      </c>
      <c r="P109" s="211">
        <f t="shared" si="1"/>
        <v>42614000</v>
      </c>
    </row>
    <row r="110" spans="1:16" s="143" customFormat="1" ht="36.75" customHeight="1">
      <c r="A110" s="55" t="s">
        <v>11</v>
      </c>
      <c r="B110" s="136">
        <v>262</v>
      </c>
      <c r="C110" s="55" t="s">
        <v>97</v>
      </c>
      <c r="D110" s="211">
        <f>VLOOKUP(B110,財管手收各月!B:P, 3, 0) *0.55</f>
        <v>3606900.0000000005</v>
      </c>
      <c r="E110" s="211">
        <f>VLOOKUP(B110,財管手收各月!B:P, 4, 0) *0.55</f>
        <v>2775300</v>
      </c>
      <c r="F110" s="211">
        <f>VLOOKUP(B110,財管手收各月!B:P, 5, 0) *0.55</f>
        <v>2775300</v>
      </c>
      <c r="G110" s="211">
        <f>VLOOKUP(B110,財管手收各月!B:P, 6, 0) *0.55</f>
        <v>2635600</v>
      </c>
      <c r="H110" s="211">
        <f>VLOOKUP(B110,財管手收各月!B:P, 7, 0) *0.55</f>
        <v>3051950.0000000005</v>
      </c>
      <c r="I110" s="211">
        <f>VLOOKUP(B110,財管手收各月!B:P, 8, 0) *0.55</f>
        <v>2635600</v>
      </c>
      <c r="J110" s="211">
        <f>VLOOKUP(B110,財管手收各月!B:P, 9, 0) *0.55</f>
        <v>2635600</v>
      </c>
      <c r="K110" s="211">
        <f>VLOOKUP(B110,財管手收各月!B:P, 10, 0) *0.55</f>
        <v>3051950.0000000005</v>
      </c>
      <c r="L110" s="211">
        <f>VLOOKUP(B110,財管手收各月!B:P, 11, 0) *0.55</f>
        <v>2635600</v>
      </c>
      <c r="M110" s="211">
        <f>VLOOKUP(B110,財管手收各月!B:P, 12, 0) *0.55</f>
        <v>2775300</v>
      </c>
      <c r="N110" s="211">
        <f>VLOOKUP(B110,財管手收各月!B:P, 13, 0) *0.55</f>
        <v>3051950.0000000005</v>
      </c>
      <c r="O110" s="211">
        <f>VLOOKUP(B110,財管手收各月!B:P, 14, 0) *0.55</f>
        <v>1110450</v>
      </c>
      <c r="P110" s="211">
        <f t="shared" si="1"/>
        <v>32741500</v>
      </c>
    </row>
    <row r="111" spans="1:16" s="143" customFormat="1" ht="36.75" customHeight="1">
      <c r="A111" s="55" t="s">
        <v>11</v>
      </c>
      <c r="B111" s="136">
        <v>268</v>
      </c>
      <c r="C111" s="55" t="s">
        <v>1282</v>
      </c>
      <c r="D111" s="211">
        <f>VLOOKUP(B111,財管手收各月!B:P, 3, 0) *0.55</f>
        <v>1269400</v>
      </c>
      <c r="E111" s="211">
        <f>VLOOKUP(B111,財管手收各月!B:P, 4, 0) *0.55</f>
        <v>977350.00000000012</v>
      </c>
      <c r="F111" s="211">
        <f>VLOOKUP(B111,財管手收各月!B:P, 5, 0) *0.55</f>
        <v>977350.00000000012</v>
      </c>
      <c r="G111" s="211">
        <f>VLOOKUP(B111,財管手收各月!B:P, 6, 0) *0.55</f>
        <v>928950.00000000012</v>
      </c>
      <c r="H111" s="211">
        <f>VLOOKUP(B111,財管手收各月!B:P, 7, 0) *0.55</f>
        <v>1074700</v>
      </c>
      <c r="I111" s="211">
        <f>VLOOKUP(B111,財管手收各月!B:P, 8, 0) *0.55</f>
        <v>928950.00000000012</v>
      </c>
      <c r="J111" s="211">
        <f>VLOOKUP(B111,財管手收各月!B:P, 9, 0) *0.55</f>
        <v>928950.00000000012</v>
      </c>
      <c r="K111" s="211">
        <f>VLOOKUP(B111,財管手收各月!B:P, 10, 0) *0.55</f>
        <v>1074700</v>
      </c>
      <c r="L111" s="211">
        <f>VLOOKUP(B111,財管手收各月!B:P, 11, 0) *0.55</f>
        <v>928950.00000000012</v>
      </c>
      <c r="M111" s="211">
        <f>VLOOKUP(B111,財管手收各月!B:P, 12, 0) *0.55</f>
        <v>977350.00000000012</v>
      </c>
      <c r="N111" s="211">
        <f>VLOOKUP(B111,財管手收各月!B:P, 13, 0) *0.55</f>
        <v>1074700</v>
      </c>
      <c r="O111" s="211">
        <f>VLOOKUP(B111,財管手收各月!B:P, 14, 0) *0.55</f>
        <v>386650.00000000006</v>
      </c>
      <c r="P111" s="211">
        <f t="shared" si="1"/>
        <v>11528000</v>
      </c>
    </row>
    <row r="112" spans="1:16" s="143" customFormat="1" ht="36.75" customHeight="1">
      <c r="A112" s="55" t="s">
        <v>11</v>
      </c>
      <c r="B112" s="136">
        <v>300</v>
      </c>
      <c r="C112" s="55" t="s">
        <v>98</v>
      </c>
      <c r="D112" s="211">
        <f>VLOOKUP(B112,財管手收各月!B:P, 3, 0) *0.55</f>
        <v>4602400</v>
      </c>
      <c r="E112" s="211">
        <f>VLOOKUP(B112,財管手收各月!B:P, 4, 0) *0.55</f>
        <v>3540900.0000000005</v>
      </c>
      <c r="F112" s="211">
        <f>VLOOKUP(B112,財管手收各月!B:P, 5, 0) *0.55</f>
        <v>3540900.0000000005</v>
      </c>
      <c r="G112" s="211">
        <f>VLOOKUP(B112,財管手收各月!B:P, 6, 0) *0.55</f>
        <v>3363250.0000000005</v>
      </c>
      <c r="H112" s="211">
        <f>VLOOKUP(B112,財管手收各月!B:P, 7, 0) *0.55</f>
        <v>3894000.0000000005</v>
      </c>
      <c r="I112" s="211">
        <f>VLOOKUP(B112,財管手收各月!B:P, 8, 0) *0.55</f>
        <v>3363250.0000000005</v>
      </c>
      <c r="J112" s="211">
        <f>VLOOKUP(B112,財管手收各月!B:P, 9, 0) *0.55</f>
        <v>3363250.0000000005</v>
      </c>
      <c r="K112" s="211">
        <f>VLOOKUP(B112,財管手收各月!B:P, 10, 0) *0.55</f>
        <v>3894000.0000000005</v>
      </c>
      <c r="L112" s="211">
        <f>VLOOKUP(B112,財管手收各月!B:P, 11, 0) *0.55</f>
        <v>3363250.0000000005</v>
      </c>
      <c r="M112" s="211">
        <f>VLOOKUP(B112,財管手收各月!B:P, 12, 0) *0.55</f>
        <v>3540900.0000000005</v>
      </c>
      <c r="N112" s="211">
        <f>VLOOKUP(B112,財管手收各月!B:P, 13, 0) *0.55</f>
        <v>3894000.0000000005</v>
      </c>
      <c r="O112" s="211">
        <f>VLOOKUP(B112,財管手收各月!B:P, 14, 0) *0.55</f>
        <v>1417900</v>
      </c>
      <c r="P112" s="211">
        <f t="shared" si="1"/>
        <v>41778000</v>
      </c>
    </row>
    <row r="113" spans="1:16" s="143" customFormat="1" ht="36.75" customHeight="1">
      <c r="A113" s="55" t="s">
        <v>11</v>
      </c>
      <c r="B113" s="136">
        <v>301</v>
      </c>
      <c r="C113" s="55" t="s">
        <v>99</v>
      </c>
      <c r="D113" s="211">
        <f>VLOOKUP(B113,財管手收各月!B:P, 3, 0) *0.55</f>
        <v>3792250.0000000005</v>
      </c>
      <c r="E113" s="211">
        <f>VLOOKUP(B113,財管手收各月!B:P, 4, 0) *0.55</f>
        <v>2917200.0000000005</v>
      </c>
      <c r="F113" s="211">
        <f>VLOOKUP(B113,財管手收各月!B:P, 5, 0) *0.55</f>
        <v>2917200.0000000005</v>
      </c>
      <c r="G113" s="211">
        <f>VLOOKUP(B113,財管手收各月!B:P, 6, 0) *0.55</f>
        <v>2771450</v>
      </c>
      <c r="H113" s="211">
        <f>VLOOKUP(B113,財管手收各月!B:P, 7, 0) *0.55</f>
        <v>3208700.0000000005</v>
      </c>
      <c r="I113" s="211">
        <f>VLOOKUP(B113,財管手收各月!B:P, 8, 0) *0.55</f>
        <v>2771450</v>
      </c>
      <c r="J113" s="211">
        <f>VLOOKUP(B113,財管手收各月!B:P, 9, 0) *0.55</f>
        <v>2771450</v>
      </c>
      <c r="K113" s="211">
        <f>VLOOKUP(B113,財管手收各月!B:P, 10, 0) *0.55</f>
        <v>3208700.0000000005</v>
      </c>
      <c r="L113" s="211">
        <f>VLOOKUP(B113,財管手收各月!B:P, 11, 0) *0.55</f>
        <v>2771450</v>
      </c>
      <c r="M113" s="211">
        <f>VLOOKUP(B113,財管手收各月!B:P, 12, 0) *0.55</f>
        <v>2917200.0000000005</v>
      </c>
      <c r="N113" s="211">
        <f>VLOOKUP(B113,財管手收各月!B:P, 13, 0) *0.55</f>
        <v>3208700.0000000005</v>
      </c>
      <c r="O113" s="211">
        <f>VLOOKUP(B113,財管手收各月!B:P, 14, 0) *0.55</f>
        <v>1168750</v>
      </c>
      <c r="P113" s="211">
        <f t="shared" si="1"/>
        <v>34424500</v>
      </c>
    </row>
    <row r="114" spans="1:16" s="144" customFormat="1" ht="36.75" customHeight="1">
      <c r="A114" s="119" t="s">
        <v>11</v>
      </c>
      <c r="B114" s="139">
        <v>302</v>
      </c>
      <c r="C114" s="119" t="s">
        <v>31</v>
      </c>
      <c r="D114" s="211">
        <f>VLOOKUP(B114,財管手收各月!B:P, 3, 0) *0.55</f>
        <v>3031600.0000000005</v>
      </c>
      <c r="E114" s="211">
        <f>VLOOKUP(B114,財管手收各月!B:P, 4, 0) *0.55</f>
        <v>2332550</v>
      </c>
      <c r="F114" s="211">
        <f>VLOOKUP(B114,財管手收各月!B:P, 5, 0) *0.55</f>
        <v>2332550</v>
      </c>
      <c r="G114" s="211">
        <f>VLOOKUP(B114,財管手收各月!B:P, 6, 0) *0.55</f>
        <v>2215400</v>
      </c>
      <c r="H114" s="211">
        <f>VLOOKUP(B114,財管手收各月!B:P, 7, 0) *0.55</f>
        <v>2565750</v>
      </c>
      <c r="I114" s="211">
        <f>VLOOKUP(B114,財管手收各月!B:P, 8, 0) *0.55</f>
        <v>2215400</v>
      </c>
      <c r="J114" s="211">
        <f>VLOOKUP(B114,財管手收各月!B:P, 9, 0) *0.55</f>
        <v>2215400</v>
      </c>
      <c r="K114" s="211">
        <f>VLOOKUP(B114,財管手收各月!B:P, 10, 0) *0.55</f>
        <v>2565750</v>
      </c>
      <c r="L114" s="211">
        <f>VLOOKUP(B114,財管手收各月!B:P, 11, 0) *0.55</f>
        <v>2215400</v>
      </c>
      <c r="M114" s="211">
        <f>VLOOKUP(B114,財管手收各月!B:P, 12, 0) *0.55</f>
        <v>2332550</v>
      </c>
      <c r="N114" s="211">
        <f>VLOOKUP(B114,財管手收各月!B:P, 13, 0) *0.55</f>
        <v>2565750</v>
      </c>
      <c r="O114" s="211">
        <f>VLOOKUP(B114,財管手收各月!B:P, 14, 0) *0.55</f>
        <v>933900.00000000012</v>
      </c>
      <c r="P114" s="211">
        <f t="shared" si="1"/>
        <v>27522000</v>
      </c>
    </row>
    <row r="115" spans="1:16" s="143" customFormat="1" ht="36.75" customHeight="1">
      <c r="A115" s="55" t="s">
        <v>11</v>
      </c>
      <c r="B115" s="136">
        <v>310</v>
      </c>
      <c r="C115" s="55" t="s">
        <v>32</v>
      </c>
      <c r="D115" s="211">
        <f>VLOOKUP(B115,財管手收各月!B:P, 3, 0) *0.55</f>
        <v>3445200.0000000005</v>
      </c>
      <c r="E115" s="211">
        <f>VLOOKUP(B115,財管手收各月!B:P, 4, 0) *0.55</f>
        <v>2650450</v>
      </c>
      <c r="F115" s="211">
        <f>VLOOKUP(B115,財管手收各月!B:P, 5, 0) *0.55</f>
        <v>2650450</v>
      </c>
      <c r="G115" s="211">
        <f>VLOOKUP(B115,財管手收各月!B:P, 6, 0) *0.55</f>
        <v>2517900</v>
      </c>
      <c r="H115" s="211">
        <f>VLOOKUP(B115,財管手收各月!B:P, 7, 0) *0.55</f>
        <v>2915550.0000000005</v>
      </c>
      <c r="I115" s="211">
        <f>VLOOKUP(B115,財管手收各月!B:P, 8, 0) *0.55</f>
        <v>2517900</v>
      </c>
      <c r="J115" s="211">
        <f>VLOOKUP(B115,財管手收各月!B:P, 9, 0) *0.55</f>
        <v>2517900</v>
      </c>
      <c r="K115" s="211">
        <f>VLOOKUP(B115,財管手收各月!B:P, 10, 0) *0.55</f>
        <v>2915550.0000000005</v>
      </c>
      <c r="L115" s="211">
        <f>VLOOKUP(B115,財管手收各月!B:P, 11, 0) *0.55</f>
        <v>2517900</v>
      </c>
      <c r="M115" s="211">
        <f>VLOOKUP(B115,財管手收各月!B:P, 12, 0) *0.55</f>
        <v>2650450</v>
      </c>
      <c r="N115" s="211">
        <f>VLOOKUP(B115,財管手收各月!B:P, 13, 0) *0.55</f>
        <v>2915550.0000000005</v>
      </c>
      <c r="O115" s="211">
        <f>VLOOKUP(B115,財管手收各月!B:P, 14, 0) *0.55</f>
        <v>1058200</v>
      </c>
      <c r="P115" s="211">
        <f t="shared" si="1"/>
        <v>31273000</v>
      </c>
    </row>
    <row r="116" spans="1:16" s="143" customFormat="1" ht="36.75" customHeight="1">
      <c r="A116" s="55" t="s">
        <v>11</v>
      </c>
      <c r="B116" s="136">
        <v>313</v>
      </c>
      <c r="C116" s="55" t="s">
        <v>182</v>
      </c>
      <c r="D116" s="211">
        <f>VLOOKUP(B116,財管手收各月!B:P, 3, 0) *0.55</f>
        <v>1855700.0000000002</v>
      </c>
      <c r="E116" s="211">
        <f>VLOOKUP(B116,財管手收各月!B:P, 4, 0) *0.55</f>
        <v>1428350</v>
      </c>
      <c r="F116" s="211">
        <f>VLOOKUP(B116,財管手收各月!B:P, 5, 0) *0.55</f>
        <v>1428350</v>
      </c>
      <c r="G116" s="211">
        <f>VLOOKUP(B116,財管手收各月!B:P, 6, 0) *0.55</f>
        <v>1356300</v>
      </c>
      <c r="H116" s="211">
        <f>VLOOKUP(B116,財管手收各月!B:P, 7, 0) *0.55</f>
        <v>1570800.0000000002</v>
      </c>
      <c r="I116" s="211">
        <f>VLOOKUP(B116,財管手收各月!B:P, 8, 0) *0.55</f>
        <v>1356300</v>
      </c>
      <c r="J116" s="211">
        <f>VLOOKUP(B116,財管手收各月!B:P, 9, 0) *0.55</f>
        <v>1356300</v>
      </c>
      <c r="K116" s="211">
        <f>VLOOKUP(B116,財管手收各月!B:P, 10, 0) *0.55</f>
        <v>1570800.0000000002</v>
      </c>
      <c r="L116" s="211">
        <f>VLOOKUP(B116,財管手收各月!B:P, 11, 0) *0.55</f>
        <v>1356300</v>
      </c>
      <c r="M116" s="211">
        <f>VLOOKUP(B116,財管手收各月!B:P, 12, 0) *0.55</f>
        <v>1428350</v>
      </c>
      <c r="N116" s="211">
        <f>VLOOKUP(B116,財管手收各月!B:P, 13, 0) *0.55</f>
        <v>1570800.0000000002</v>
      </c>
      <c r="O116" s="211">
        <f>VLOOKUP(B116,財管手收各月!B:P, 14, 0) *0.55</f>
        <v>568150</v>
      </c>
      <c r="P116" s="211">
        <f t="shared" si="1"/>
        <v>16846500</v>
      </c>
    </row>
    <row r="117" spans="1:16" s="143" customFormat="1" ht="36.75" customHeight="1">
      <c r="A117" s="55" t="s">
        <v>33</v>
      </c>
      <c r="B117" s="136">
        <v>320</v>
      </c>
      <c r="C117" s="55" t="s">
        <v>183</v>
      </c>
      <c r="D117" s="211">
        <f>VLOOKUP(B117,財管手收各月!B:P, 3, 0) *0.55</f>
        <v>3883000.0000000005</v>
      </c>
      <c r="E117" s="211">
        <f>VLOOKUP(B117,財管手收各月!B:P, 4, 0) *0.55</f>
        <v>2987050.0000000005</v>
      </c>
      <c r="F117" s="211">
        <f>VLOOKUP(B117,財管手收各月!B:P, 5, 0) *0.55</f>
        <v>2987050.0000000005</v>
      </c>
      <c r="G117" s="211">
        <f>VLOOKUP(B117,財管手收各月!B:P, 6, 0) *0.55</f>
        <v>2836900</v>
      </c>
      <c r="H117" s="211">
        <f>VLOOKUP(B117,財管手收各月!B:P, 7, 0) *0.55</f>
        <v>3285150.0000000005</v>
      </c>
      <c r="I117" s="211">
        <f>VLOOKUP(B117,財管手收各月!B:P, 8, 0) *0.55</f>
        <v>2836900</v>
      </c>
      <c r="J117" s="211">
        <f>VLOOKUP(B117,財管手收各月!B:P, 9, 0) *0.55</f>
        <v>2836900</v>
      </c>
      <c r="K117" s="211">
        <f>VLOOKUP(B117,財管手收各月!B:P, 10, 0) *0.55</f>
        <v>3285150.0000000005</v>
      </c>
      <c r="L117" s="211">
        <f>VLOOKUP(B117,財管手收各月!B:P, 11, 0) *0.55</f>
        <v>2836900</v>
      </c>
      <c r="M117" s="211">
        <f>VLOOKUP(B117,財管手收各月!B:P, 12, 0) *0.55</f>
        <v>2987050.0000000005</v>
      </c>
      <c r="N117" s="211">
        <f>VLOOKUP(B117,財管手收各月!B:P, 13, 0) *0.55</f>
        <v>3285150.0000000005</v>
      </c>
      <c r="O117" s="211">
        <f>VLOOKUP(B117,財管手收各月!B:P, 14, 0) *0.55</f>
        <v>1196800</v>
      </c>
      <c r="P117" s="211">
        <f t="shared" si="1"/>
        <v>35244000</v>
      </c>
    </row>
    <row r="118" spans="1:16" s="143" customFormat="1" ht="36.75" customHeight="1">
      <c r="A118" s="55" t="s">
        <v>33</v>
      </c>
      <c r="B118" s="136">
        <v>321</v>
      </c>
      <c r="C118" s="55" t="s">
        <v>184</v>
      </c>
      <c r="D118" s="211">
        <f>VLOOKUP(B118,財管手收各月!B:P, 3, 0) *0.55</f>
        <v>4496250</v>
      </c>
      <c r="E118" s="211">
        <f>VLOOKUP(B118,財管手收各月!B:P, 4, 0) *0.55</f>
        <v>3458950.0000000005</v>
      </c>
      <c r="F118" s="211">
        <f>VLOOKUP(B118,財管手收各月!B:P, 5, 0) *0.55</f>
        <v>3458950.0000000005</v>
      </c>
      <c r="G118" s="211">
        <f>VLOOKUP(B118,財管手收各月!B:P, 6, 0) *0.55</f>
        <v>3285700.0000000005</v>
      </c>
      <c r="H118" s="211">
        <f>VLOOKUP(B118,財管手收各月!B:P, 7, 0) *0.55</f>
        <v>3804350.0000000005</v>
      </c>
      <c r="I118" s="211">
        <f>VLOOKUP(B118,財管手收各月!B:P, 8, 0) *0.55</f>
        <v>3285700.0000000005</v>
      </c>
      <c r="J118" s="211">
        <f>VLOOKUP(B118,財管手收各月!B:P, 9, 0) *0.55</f>
        <v>3285700.0000000005</v>
      </c>
      <c r="K118" s="211">
        <f>VLOOKUP(B118,財管手收各月!B:P, 10, 0) *0.55</f>
        <v>3804350.0000000005</v>
      </c>
      <c r="L118" s="211">
        <f>VLOOKUP(B118,財管手收各月!B:P, 11, 0) *0.55</f>
        <v>3285700.0000000005</v>
      </c>
      <c r="M118" s="211">
        <f>VLOOKUP(B118,財管手收各月!B:P, 12, 0) *0.55</f>
        <v>3458950.0000000005</v>
      </c>
      <c r="N118" s="211">
        <f>VLOOKUP(B118,財管手收各月!B:P, 13, 0) *0.55</f>
        <v>3804350.0000000005</v>
      </c>
      <c r="O118" s="211">
        <f>VLOOKUP(B118,財管手收各月!B:P, 14, 0) *0.55</f>
        <v>1381050</v>
      </c>
      <c r="P118" s="211">
        <f t="shared" si="1"/>
        <v>40810000</v>
      </c>
    </row>
    <row r="119" spans="1:16" s="143" customFormat="1" ht="36.75" customHeight="1">
      <c r="A119" s="55" t="s">
        <v>33</v>
      </c>
      <c r="B119" s="136">
        <v>322</v>
      </c>
      <c r="C119" s="55" t="s">
        <v>34</v>
      </c>
      <c r="D119" s="211">
        <f>VLOOKUP(B119,財管手收各月!B:P, 3, 0) *0.55</f>
        <v>2752750</v>
      </c>
      <c r="E119" s="211">
        <f>VLOOKUP(B119,財管手收各月!B:P, 4, 0) *0.55</f>
        <v>2118050</v>
      </c>
      <c r="F119" s="211">
        <f>VLOOKUP(B119,財管手收各月!B:P, 5, 0) *0.55</f>
        <v>2118050</v>
      </c>
      <c r="G119" s="211">
        <f>VLOOKUP(B119,財管手收各月!B:P, 6, 0) *0.55</f>
        <v>2011350.0000000002</v>
      </c>
      <c r="H119" s="211">
        <f>VLOOKUP(B119,財管手收各月!B:P, 7, 0) *0.55</f>
        <v>2329250</v>
      </c>
      <c r="I119" s="211">
        <f>VLOOKUP(B119,財管手收各月!B:P, 8, 0) *0.55</f>
        <v>2011350.0000000002</v>
      </c>
      <c r="J119" s="211">
        <f>VLOOKUP(B119,財管手收各月!B:P, 9, 0) *0.55</f>
        <v>2011350.0000000002</v>
      </c>
      <c r="K119" s="211">
        <f>VLOOKUP(B119,財管手收各月!B:P, 10, 0) *0.55</f>
        <v>2329250</v>
      </c>
      <c r="L119" s="211">
        <f>VLOOKUP(B119,財管手收各月!B:P, 11, 0) *0.55</f>
        <v>2011350.0000000002</v>
      </c>
      <c r="M119" s="211">
        <f>VLOOKUP(B119,財管手收各月!B:P, 12, 0) *0.55</f>
        <v>2118050</v>
      </c>
      <c r="N119" s="211">
        <f>VLOOKUP(B119,財管手收各月!B:P, 13, 0) *0.55</f>
        <v>2329250</v>
      </c>
      <c r="O119" s="211">
        <f>VLOOKUP(B119,財管手收各月!B:P, 14, 0) *0.55</f>
        <v>846450.00000000012</v>
      </c>
      <c r="P119" s="211">
        <f t="shared" si="1"/>
        <v>24986500</v>
      </c>
    </row>
    <row r="120" spans="1:16" s="143" customFormat="1" ht="36.75" customHeight="1">
      <c r="A120" s="55" t="s">
        <v>11</v>
      </c>
      <c r="B120" s="136">
        <v>323</v>
      </c>
      <c r="C120" s="55" t="s">
        <v>185</v>
      </c>
      <c r="D120" s="211">
        <f>VLOOKUP(B120,財管手收各月!B:P, 3, 0) *0.55</f>
        <v>2879800</v>
      </c>
      <c r="E120" s="211">
        <f>VLOOKUP(B120,財管手收各月!B:P, 4, 0) *0.55</f>
        <v>2214850</v>
      </c>
      <c r="F120" s="211">
        <f>VLOOKUP(B120,財管手收各月!B:P, 5, 0) *0.55</f>
        <v>2214850</v>
      </c>
      <c r="G120" s="211">
        <f>VLOOKUP(B120,財管手收各月!B:P, 6, 0) *0.55</f>
        <v>2104300</v>
      </c>
      <c r="H120" s="211">
        <f>VLOOKUP(B120,財管手收各月!B:P, 7, 0) *0.55</f>
        <v>2435950</v>
      </c>
      <c r="I120" s="211">
        <f>VLOOKUP(B120,財管手收各月!B:P, 8, 0) *0.55</f>
        <v>2104300</v>
      </c>
      <c r="J120" s="211">
        <f>VLOOKUP(B120,財管手收各月!B:P, 9, 0) *0.55</f>
        <v>2104300</v>
      </c>
      <c r="K120" s="211">
        <f>VLOOKUP(B120,財管手收各月!B:P, 10, 0) *0.55</f>
        <v>2435950</v>
      </c>
      <c r="L120" s="211">
        <f>VLOOKUP(B120,財管手收各月!B:P, 11, 0) *0.55</f>
        <v>2104300</v>
      </c>
      <c r="M120" s="211">
        <f>VLOOKUP(B120,財管手收各月!B:P, 12, 0) *0.55</f>
        <v>2214850</v>
      </c>
      <c r="N120" s="211">
        <f>VLOOKUP(B120,財管手收各月!B:P, 13, 0) *0.55</f>
        <v>2435950</v>
      </c>
      <c r="O120" s="211">
        <f>VLOOKUP(B120,財管手收各月!B:P, 14, 0) *0.55</f>
        <v>886600.00000000012</v>
      </c>
      <c r="P120" s="211">
        <f t="shared" si="1"/>
        <v>26136000</v>
      </c>
    </row>
    <row r="121" spans="1:16" s="143" customFormat="1" ht="36.75" customHeight="1">
      <c r="A121" s="55" t="s">
        <v>11</v>
      </c>
      <c r="B121" s="136">
        <v>351</v>
      </c>
      <c r="C121" s="55" t="s">
        <v>100</v>
      </c>
      <c r="D121" s="211">
        <f>VLOOKUP(B121,財管手收各月!B:P, 3, 0) *0.55</f>
        <v>2881450</v>
      </c>
      <c r="E121" s="211">
        <f>VLOOKUP(B121,財管手收各月!B:P, 4, 0) *0.55</f>
        <v>2215950</v>
      </c>
      <c r="F121" s="211">
        <f>VLOOKUP(B121,財管手收各月!B:P, 5, 0) *0.55</f>
        <v>2215950</v>
      </c>
      <c r="G121" s="211">
        <f>VLOOKUP(B121,財管手收各月!B:P, 6, 0) *0.55</f>
        <v>2105400</v>
      </c>
      <c r="H121" s="211">
        <f>VLOOKUP(B121,財管手收各月!B:P, 7, 0) *0.55</f>
        <v>2437600</v>
      </c>
      <c r="I121" s="211">
        <f>VLOOKUP(B121,財管手收各月!B:P, 8, 0) *0.55</f>
        <v>2105400</v>
      </c>
      <c r="J121" s="211">
        <f>VLOOKUP(B121,財管手收各月!B:P, 9, 0) *0.55</f>
        <v>2105400</v>
      </c>
      <c r="K121" s="211">
        <f>VLOOKUP(B121,財管手收各月!B:P, 10, 0) *0.55</f>
        <v>2437600</v>
      </c>
      <c r="L121" s="211">
        <f>VLOOKUP(B121,財管手收各月!B:P, 11, 0) *0.55</f>
        <v>2105400</v>
      </c>
      <c r="M121" s="211">
        <f>VLOOKUP(B121,財管手收各月!B:P, 12, 0) *0.55</f>
        <v>2215950</v>
      </c>
      <c r="N121" s="211">
        <f>VLOOKUP(B121,財管手收各月!B:P, 13, 0) *0.55</f>
        <v>2437600</v>
      </c>
      <c r="O121" s="211">
        <f>VLOOKUP(B121,財管手收各月!B:P, 14, 0) *0.55</f>
        <v>888800.00000000012</v>
      </c>
      <c r="P121" s="211">
        <f t="shared" si="1"/>
        <v>26152500</v>
      </c>
    </row>
    <row r="122" spans="1:16" s="143" customFormat="1" ht="36.75" customHeight="1">
      <c r="A122" s="55" t="s">
        <v>33</v>
      </c>
      <c r="B122" s="136">
        <v>400</v>
      </c>
      <c r="C122" s="55" t="s">
        <v>35</v>
      </c>
      <c r="D122" s="211">
        <f>VLOOKUP(B122,財管手收各月!B:P, 3, 0) *0.55</f>
        <v>6155600.0000000009</v>
      </c>
      <c r="E122" s="211">
        <f>VLOOKUP(B122,財管手收各月!B:P, 4, 0) *0.55</f>
        <v>4734950</v>
      </c>
      <c r="F122" s="211">
        <f>VLOOKUP(B122,財管手收各月!B:P, 5, 0) *0.55</f>
        <v>4734950</v>
      </c>
      <c r="G122" s="211">
        <f>VLOOKUP(B122,財管手收各月!B:P, 6, 0) *0.55</f>
        <v>4498450</v>
      </c>
      <c r="H122" s="211">
        <f>VLOOKUP(B122,財管手收各月!B:P, 7, 0) *0.55</f>
        <v>5207950</v>
      </c>
      <c r="I122" s="211">
        <f>VLOOKUP(B122,財管手收各月!B:P, 8, 0) *0.55</f>
        <v>4498450</v>
      </c>
      <c r="J122" s="211">
        <f>VLOOKUP(B122,財管手收各月!B:P, 9, 0) *0.55</f>
        <v>4498450</v>
      </c>
      <c r="K122" s="211">
        <f>VLOOKUP(B122,財管手收各月!B:P, 10, 0) *0.55</f>
        <v>5207950</v>
      </c>
      <c r="L122" s="211">
        <f>VLOOKUP(B122,財管手收各月!B:P, 11, 0) *0.55</f>
        <v>4498450</v>
      </c>
      <c r="M122" s="211">
        <f>VLOOKUP(B122,財管手收各月!B:P, 12, 0) *0.55</f>
        <v>4734950</v>
      </c>
      <c r="N122" s="211">
        <f>VLOOKUP(B122,財管手收各月!B:P, 13, 0) *0.55</f>
        <v>5207950</v>
      </c>
      <c r="O122" s="211">
        <f>VLOOKUP(B122,財管手收各月!B:P, 14, 0) *0.55</f>
        <v>1896400.0000000002</v>
      </c>
      <c r="P122" s="211">
        <f t="shared" si="1"/>
        <v>55874500</v>
      </c>
    </row>
    <row r="123" spans="1:16" s="143" customFormat="1" ht="36.75" customHeight="1">
      <c r="A123" s="55" t="s">
        <v>33</v>
      </c>
      <c r="B123" s="136">
        <v>401</v>
      </c>
      <c r="C123" s="55" t="s">
        <v>36</v>
      </c>
      <c r="D123" s="211">
        <f>VLOOKUP(B123,財管手收各月!B:P, 3, 0) *0.55</f>
        <v>3722950.0000000005</v>
      </c>
      <c r="E123" s="211">
        <f>VLOOKUP(B123,財管手收各月!B:P, 4, 0) *0.55</f>
        <v>2864400</v>
      </c>
      <c r="F123" s="211">
        <f>VLOOKUP(B123,財管手收各月!B:P, 5, 0) *0.55</f>
        <v>2864400</v>
      </c>
      <c r="G123" s="211">
        <f>VLOOKUP(B123,財管手收各月!B:P, 6, 0) *0.55</f>
        <v>2720850</v>
      </c>
      <c r="H123" s="211">
        <f>VLOOKUP(B123,財管手收各月!B:P, 7, 0) *0.55</f>
        <v>3150400.0000000005</v>
      </c>
      <c r="I123" s="211">
        <f>VLOOKUP(B123,財管手收各月!B:P, 8, 0) *0.55</f>
        <v>2720850</v>
      </c>
      <c r="J123" s="211">
        <f>VLOOKUP(B123,財管手收各月!B:P, 9, 0) *0.55</f>
        <v>2720850</v>
      </c>
      <c r="K123" s="211">
        <f>VLOOKUP(B123,財管手收各月!B:P, 10, 0) *0.55</f>
        <v>3150400.0000000005</v>
      </c>
      <c r="L123" s="211">
        <f>VLOOKUP(B123,財管手收各月!B:P, 11, 0) *0.55</f>
        <v>2720850</v>
      </c>
      <c r="M123" s="211">
        <f>VLOOKUP(B123,財管手收各月!B:P, 12, 0) *0.55</f>
        <v>2864400</v>
      </c>
      <c r="N123" s="211">
        <f>VLOOKUP(B123,財管手收各月!B:P, 13, 0) *0.55</f>
        <v>3150400.0000000005</v>
      </c>
      <c r="O123" s="211">
        <f>VLOOKUP(B123,財管手收各月!B:P, 14, 0) *0.55</f>
        <v>1141250</v>
      </c>
      <c r="P123" s="211">
        <f t="shared" si="1"/>
        <v>33792000</v>
      </c>
    </row>
    <row r="124" spans="1:16" s="143" customFormat="1" ht="36.75" customHeight="1">
      <c r="A124" s="55" t="s">
        <v>33</v>
      </c>
      <c r="B124" s="136">
        <v>402</v>
      </c>
      <c r="C124" s="55" t="s">
        <v>37</v>
      </c>
      <c r="D124" s="211">
        <f>VLOOKUP(B124,財管手收各月!B:P, 3, 0) *0.55</f>
        <v>4663450</v>
      </c>
      <c r="E124" s="211">
        <f>VLOOKUP(B124,財管手收各月!B:P, 4, 0) *0.55</f>
        <v>3587650.0000000005</v>
      </c>
      <c r="F124" s="211">
        <f>VLOOKUP(B124,財管手收各月!B:P, 5, 0) *0.55</f>
        <v>3587650.0000000005</v>
      </c>
      <c r="G124" s="211">
        <f>VLOOKUP(B124,財管手收各月!B:P, 6, 0) *0.55</f>
        <v>3408350.0000000005</v>
      </c>
      <c r="H124" s="211">
        <f>VLOOKUP(B124,財管手收各月!B:P, 7, 0) *0.55</f>
        <v>3946250.0000000005</v>
      </c>
      <c r="I124" s="211">
        <f>VLOOKUP(B124,財管手收各月!B:P, 8, 0) *0.55</f>
        <v>3408350.0000000005</v>
      </c>
      <c r="J124" s="211">
        <f>VLOOKUP(B124,財管手收各月!B:P, 9, 0) *0.55</f>
        <v>3408350.0000000005</v>
      </c>
      <c r="K124" s="211">
        <f>VLOOKUP(B124,財管手收各月!B:P, 10, 0) *0.55</f>
        <v>3946250.0000000005</v>
      </c>
      <c r="L124" s="211">
        <f>VLOOKUP(B124,財管手收各月!B:P, 11, 0) *0.55</f>
        <v>3408350.0000000005</v>
      </c>
      <c r="M124" s="211">
        <f>VLOOKUP(B124,財管手收各月!B:P, 12, 0) *0.55</f>
        <v>3587650.0000000005</v>
      </c>
      <c r="N124" s="211">
        <f>VLOOKUP(B124,財管手收各月!B:P, 13, 0) *0.55</f>
        <v>3946250.0000000005</v>
      </c>
      <c r="O124" s="211">
        <f>VLOOKUP(B124,財管手收各月!B:P, 14, 0) *0.55</f>
        <v>1434950</v>
      </c>
      <c r="P124" s="211">
        <f t="shared" si="1"/>
        <v>42333500</v>
      </c>
    </row>
    <row r="125" spans="1:16" s="143" customFormat="1" ht="36.75" customHeight="1">
      <c r="A125" s="55" t="s">
        <v>33</v>
      </c>
      <c r="B125" s="136">
        <v>403</v>
      </c>
      <c r="C125" s="55" t="s">
        <v>186</v>
      </c>
      <c r="D125" s="211">
        <f>VLOOKUP(B125,財管手收各月!B:P, 3, 0) *0.55</f>
        <v>4354900</v>
      </c>
      <c r="E125" s="211">
        <f>VLOOKUP(B125,財管手收各月!B:P, 4, 0) *0.55</f>
        <v>3350600.0000000005</v>
      </c>
      <c r="F125" s="211">
        <f>VLOOKUP(B125,財管手收各月!B:P, 5, 0) *0.55</f>
        <v>3350600.0000000005</v>
      </c>
      <c r="G125" s="211">
        <f>VLOOKUP(B125,財管手收各月!B:P, 6, 0) *0.55</f>
        <v>3182850.0000000005</v>
      </c>
      <c r="H125" s="211">
        <f>VLOOKUP(B125,財管手收各月!B:P, 7, 0) *0.55</f>
        <v>3685000.0000000005</v>
      </c>
      <c r="I125" s="211">
        <f>VLOOKUP(B125,財管手收各月!B:P, 8, 0) *0.55</f>
        <v>3182850.0000000005</v>
      </c>
      <c r="J125" s="211">
        <f>VLOOKUP(B125,財管手收各月!B:P, 9, 0) *0.55</f>
        <v>3182850.0000000005</v>
      </c>
      <c r="K125" s="211">
        <f>VLOOKUP(B125,財管手收各月!B:P, 10, 0) *0.55</f>
        <v>3685000.0000000005</v>
      </c>
      <c r="L125" s="211">
        <f>VLOOKUP(B125,財管手收各月!B:P, 11, 0) *0.55</f>
        <v>3182850.0000000005</v>
      </c>
      <c r="M125" s="211">
        <f>VLOOKUP(B125,財管手收各月!B:P, 12, 0) *0.55</f>
        <v>3350600.0000000005</v>
      </c>
      <c r="N125" s="211">
        <f>VLOOKUP(B125,財管手收各月!B:P, 13, 0) *0.55</f>
        <v>3685000.0000000005</v>
      </c>
      <c r="O125" s="211">
        <f>VLOOKUP(B125,財管手收各月!B:P, 14, 0) *0.55</f>
        <v>1340900</v>
      </c>
      <c r="P125" s="211">
        <f t="shared" si="1"/>
        <v>39534000</v>
      </c>
    </row>
    <row r="126" spans="1:16" s="143" customFormat="1" ht="36.75" customHeight="1">
      <c r="A126" s="55" t="s">
        <v>33</v>
      </c>
      <c r="B126" s="136">
        <v>420</v>
      </c>
      <c r="C126" s="55" t="s">
        <v>38</v>
      </c>
      <c r="D126" s="211">
        <f>VLOOKUP(B126,財管手收各月!B:P, 3, 0) *0.55</f>
        <v>7349650.0000000009</v>
      </c>
      <c r="E126" s="211">
        <f>VLOOKUP(B126,財管手收各月!B:P, 4, 0) *0.55</f>
        <v>5654000</v>
      </c>
      <c r="F126" s="211">
        <f>VLOOKUP(B126,財管手收各月!B:P, 5, 0) *0.55</f>
        <v>5654000</v>
      </c>
      <c r="G126" s="211">
        <f>VLOOKUP(B126,財管手收各月!B:P, 6, 0) *0.55</f>
        <v>5370200</v>
      </c>
      <c r="H126" s="211">
        <f>VLOOKUP(B126,財管手收各月!B:P, 7, 0) *0.55</f>
        <v>6218300.0000000009</v>
      </c>
      <c r="I126" s="211">
        <f>VLOOKUP(B126,財管手收各月!B:P, 8, 0) *0.55</f>
        <v>5370200</v>
      </c>
      <c r="J126" s="211">
        <f>VLOOKUP(B126,財管手收各月!B:P, 9, 0) *0.55</f>
        <v>5370200</v>
      </c>
      <c r="K126" s="211">
        <f>VLOOKUP(B126,財管手收各月!B:P, 10, 0) *0.55</f>
        <v>6218300.0000000009</v>
      </c>
      <c r="L126" s="211">
        <f>VLOOKUP(B126,財管手收各月!B:P, 11, 0) *0.55</f>
        <v>5370200</v>
      </c>
      <c r="M126" s="211">
        <f>VLOOKUP(B126,財管手收各月!B:P, 12, 0) *0.55</f>
        <v>5654000</v>
      </c>
      <c r="N126" s="211">
        <f>VLOOKUP(B126,財管手收各月!B:P, 13, 0) *0.55</f>
        <v>6218300.0000000009</v>
      </c>
      <c r="O126" s="211">
        <f>VLOOKUP(B126,財管手收各月!B:P, 14, 0) *0.55</f>
        <v>2262150</v>
      </c>
      <c r="P126" s="211">
        <f t="shared" si="1"/>
        <v>66709500</v>
      </c>
    </row>
    <row r="127" spans="1:16" s="143" customFormat="1" ht="36.75" customHeight="1">
      <c r="A127" s="55" t="s">
        <v>33</v>
      </c>
      <c r="B127" s="136">
        <v>422</v>
      </c>
      <c r="C127" s="55" t="s">
        <v>101</v>
      </c>
      <c r="D127" s="211">
        <f>VLOOKUP(B127,財管手收各月!B:P, 3, 0) *0.55</f>
        <v>4962100</v>
      </c>
      <c r="E127" s="211">
        <f>VLOOKUP(B127,財管手收各月!B:P, 4, 0) *0.55</f>
        <v>3817000.0000000005</v>
      </c>
      <c r="F127" s="211">
        <f>VLOOKUP(B127,財管手收各月!B:P, 5, 0) *0.55</f>
        <v>3817000.0000000005</v>
      </c>
      <c r="G127" s="211">
        <f>VLOOKUP(B127,財管手收各月!B:P, 6, 0) *0.55</f>
        <v>3625600.0000000005</v>
      </c>
      <c r="H127" s="211">
        <f>VLOOKUP(B127,財管手收各月!B:P, 7, 0) *0.55</f>
        <v>4198700</v>
      </c>
      <c r="I127" s="211">
        <f>VLOOKUP(B127,財管手收各月!B:P, 8, 0) *0.55</f>
        <v>3625600.0000000005</v>
      </c>
      <c r="J127" s="211">
        <f>VLOOKUP(B127,財管手收各月!B:P, 9, 0) *0.55</f>
        <v>3625600.0000000005</v>
      </c>
      <c r="K127" s="211">
        <f>VLOOKUP(B127,財管手收各月!B:P, 10, 0) *0.55</f>
        <v>4198700</v>
      </c>
      <c r="L127" s="211">
        <f>VLOOKUP(B127,財管手收各月!B:P, 11, 0) *0.55</f>
        <v>3625600.0000000005</v>
      </c>
      <c r="M127" s="211">
        <f>VLOOKUP(B127,財管手收各月!B:P, 12, 0) *0.55</f>
        <v>3817000.0000000005</v>
      </c>
      <c r="N127" s="211">
        <f>VLOOKUP(B127,財管手收各月!B:P, 13, 0) *0.55</f>
        <v>4198700</v>
      </c>
      <c r="O127" s="211">
        <f>VLOOKUP(B127,財管手收各月!B:P, 14, 0) *0.55</f>
        <v>1527900.0000000002</v>
      </c>
      <c r="P127" s="211">
        <f t="shared" si="1"/>
        <v>45039500</v>
      </c>
    </row>
    <row r="128" spans="1:16" s="143" customFormat="1" ht="36.75" customHeight="1">
      <c r="A128" s="55" t="s">
        <v>33</v>
      </c>
      <c r="B128" s="136">
        <v>423</v>
      </c>
      <c r="C128" s="55" t="s">
        <v>187</v>
      </c>
      <c r="D128" s="211">
        <f>VLOOKUP(B128,財管手收各月!B:P, 3, 0) *0.55</f>
        <v>3681150.0000000005</v>
      </c>
      <c r="E128" s="211">
        <f>VLOOKUP(B128,財管手收各月!B:P, 4, 0) *0.55</f>
        <v>2831400</v>
      </c>
      <c r="F128" s="211">
        <f>VLOOKUP(B128,財管手收各月!B:P, 5, 0) *0.55</f>
        <v>2831400</v>
      </c>
      <c r="G128" s="211">
        <f>VLOOKUP(B128,財管手收各月!B:P, 6, 0) *0.55</f>
        <v>2689500</v>
      </c>
      <c r="H128" s="211">
        <f>VLOOKUP(B128,財管手收各月!B:P, 7, 0) *0.55</f>
        <v>3114650.0000000005</v>
      </c>
      <c r="I128" s="211">
        <f>VLOOKUP(B128,財管手收各月!B:P, 8, 0) *0.55</f>
        <v>2689500</v>
      </c>
      <c r="J128" s="211">
        <f>VLOOKUP(B128,財管手收各月!B:P, 9, 0) *0.55</f>
        <v>2689500</v>
      </c>
      <c r="K128" s="211">
        <f>VLOOKUP(B128,財管手收各月!B:P, 10, 0) *0.55</f>
        <v>3114650.0000000005</v>
      </c>
      <c r="L128" s="211">
        <f>VLOOKUP(B128,財管手收各月!B:P, 11, 0) *0.55</f>
        <v>2689500</v>
      </c>
      <c r="M128" s="211">
        <f>VLOOKUP(B128,財管手收各月!B:P, 12, 0) *0.55</f>
        <v>2831400</v>
      </c>
      <c r="N128" s="211">
        <f>VLOOKUP(B128,財管手收各月!B:P, 13, 0) *0.55</f>
        <v>3114650.0000000005</v>
      </c>
      <c r="O128" s="211">
        <f>VLOOKUP(B128,財管手收各月!B:P, 14, 0) *0.55</f>
        <v>1135200</v>
      </c>
      <c r="P128" s="211">
        <f t="shared" si="1"/>
        <v>33412500</v>
      </c>
    </row>
    <row r="129" spans="1:16" s="143" customFormat="1" ht="36.75" customHeight="1">
      <c r="A129" s="55" t="s">
        <v>33</v>
      </c>
      <c r="B129" s="136">
        <v>424</v>
      </c>
      <c r="C129" s="55" t="s">
        <v>188</v>
      </c>
      <c r="D129" s="211">
        <f>VLOOKUP(B129,財管手收各月!B:P, 3, 0) *0.55</f>
        <v>6589000.0000000009</v>
      </c>
      <c r="E129" s="211">
        <f>VLOOKUP(B129,財管手收各月!B:P, 4, 0) *0.55</f>
        <v>5068250</v>
      </c>
      <c r="F129" s="211">
        <f>VLOOKUP(B129,財管手收各月!B:P, 5, 0) *0.55</f>
        <v>5068250</v>
      </c>
      <c r="G129" s="211">
        <f>VLOOKUP(B129,財管手收各月!B:P, 6, 0) *0.55</f>
        <v>4815250</v>
      </c>
      <c r="H129" s="211">
        <f>VLOOKUP(B129,財管手收各月!B:P, 7, 0) *0.55</f>
        <v>5574800</v>
      </c>
      <c r="I129" s="211">
        <f>VLOOKUP(B129,財管手收各月!B:P, 8, 0) *0.55</f>
        <v>4815250</v>
      </c>
      <c r="J129" s="211">
        <f>VLOOKUP(B129,財管手收各月!B:P, 9, 0) *0.55</f>
        <v>4815250</v>
      </c>
      <c r="K129" s="211">
        <f>VLOOKUP(B129,財管手收各月!B:P, 10, 0) *0.55</f>
        <v>5574800</v>
      </c>
      <c r="L129" s="211">
        <f>VLOOKUP(B129,財管手收各月!B:P, 11, 0) *0.55</f>
        <v>4815250</v>
      </c>
      <c r="M129" s="211">
        <f>VLOOKUP(B129,財管手收各月!B:P, 12, 0) *0.55</f>
        <v>5068250</v>
      </c>
      <c r="N129" s="211">
        <f>VLOOKUP(B129,財管手收各月!B:P, 13, 0) *0.55</f>
        <v>5574800</v>
      </c>
      <c r="O129" s="211">
        <f>VLOOKUP(B129,財管手收各月!B:P, 14, 0) *0.55</f>
        <v>2027850.0000000002</v>
      </c>
      <c r="P129" s="211">
        <f t="shared" si="1"/>
        <v>59807000</v>
      </c>
    </row>
    <row r="130" spans="1:16" s="143" customFormat="1" ht="36.75" customHeight="1">
      <c r="A130" s="55" t="s">
        <v>33</v>
      </c>
      <c r="B130" s="136">
        <v>425</v>
      </c>
      <c r="C130" s="55" t="s">
        <v>39</v>
      </c>
      <c r="D130" s="211">
        <f>VLOOKUP(B130,財管手收各月!B:P, 3, 0) *0.55</f>
        <v>4940100</v>
      </c>
      <c r="E130" s="211">
        <f>VLOOKUP(B130,財管手收各月!B:P, 4, 0) *0.55</f>
        <v>3799400.0000000005</v>
      </c>
      <c r="F130" s="211">
        <f>VLOOKUP(B130,財管手收各月!B:P, 5, 0) *0.55</f>
        <v>3799400.0000000005</v>
      </c>
      <c r="G130" s="211">
        <f>VLOOKUP(B130,財管手收各月!B:P, 6, 0) *0.55</f>
        <v>3610200.0000000005</v>
      </c>
      <c r="H130" s="211">
        <f>VLOOKUP(B130,財管手收各月!B:P, 7, 0) *0.55</f>
        <v>4180000.0000000005</v>
      </c>
      <c r="I130" s="211">
        <f>VLOOKUP(B130,財管手收各月!B:P, 8, 0) *0.55</f>
        <v>3610200.0000000005</v>
      </c>
      <c r="J130" s="211">
        <f>VLOOKUP(B130,財管手收各月!B:P, 9, 0) *0.55</f>
        <v>3610200.0000000005</v>
      </c>
      <c r="K130" s="211">
        <f>VLOOKUP(B130,財管手收各月!B:P, 10, 0) *0.55</f>
        <v>4180000.0000000005</v>
      </c>
      <c r="L130" s="211">
        <f>VLOOKUP(B130,財管手收各月!B:P, 11, 0) *0.55</f>
        <v>3610200.0000000005</v>
      </c>
      <c r="M130" s="211">
        <f>VLOOKUP(B130,財管手收各月!B:P, 12, 0) *0.55</f>
        <v>3799400.0000000005</v>
      </c>
      <c r="N130" s="211">
        <f>VLOOKUP(B130,財管手收各月!B:P, 13, 0) *0.55</f>
        <v>4180000.0000000005</v>
      </c>
      <c r="O130" s="211">
        <f>VLOOKUP(B130,財管手收各月!B:P, 14, 0) *0.55</f>
        <v>1522400.0000000002</v>
      </c>
      <c r="P130" s="211">
        <f t="shared" si="1"/>
        <v>44841500</v>
      </c>
    </row>
    <row r="131" spans="1:16" s="143" customFormat="1" ht="36.75" customHeight="1">
      <c r="A131" s="55" t="s">
        <v>33</v>
      </c>
      <c r="B131" s="136">
        <v>426</v>
      </c>
      <c r="C131" s="55" t="s">
        <v>189</v>
      </c>
      <c r="D131" s="211">
        <f>VLOOKUP(B131,財管手收各月!B:P, 3, 0) *0.55</f>
        <v>3663550.0000000005</v>
      </c>
      <c r="E131" s="211">
        <f>VLOOKUP(B131,財管手收各月!B:P, 4, 0) *0.55</f>
        <v>2817650</v>
      </c>
      <c r="F131" s="211">
        <f>VLOOKUP(B131,財管手收各月!B:P, 5, 0) *0.55</f>
        <v>2817650</v>
      </c>
      <c r="G131" s="211">
        <f>VLOOKUP(B131,財管手收各月!B:P, 6, 0) *0.55</f>
        <v>2676850</v>
      </c>
      <c r="H131" s="211">
        <f>VLOOKUP(B131,財管手收各月!B:P, 7, 0) *0.55</f>
        <v>3099250.0000000005</v>
      </c>
      <c r="I131" s="211">
        <f>VLOOKUP(B131,財管手收各月!B:P, 8, 0) *0.55</f>
        <v>2676850</v>
      </c>
      <c r="J131" s="211">
        <f>VLOOKUP(B131,財管手收各月!B:P, 9, 0) *0.55</f>
        <v>2676850</v>
      </c>
      <c r="K131" s="211">
        <f>VLOOKUP(B131,財管手收各月!B:P, 10, 0) *0.55</f>
        <v>3099250.0000000005</v>
      </c>
      <c r="L131" s="211">
        <f>VLOOKUP(B131,財管手收各月!B:P, 11, 0) *0.55</f>
        <v>2676850</v>
      </c>
      <c r="M131" s="211">
        <f>VLOOKUP(B131,財管手收各月!B:P, 12, 0) *0.55</f>
        <v>2817650</v>
      </c>
      <c r="N131" s="211">
        <f>VLOOKUP(B131,財管手收各月!B:P, 13, 0) *0.55</f>
        <v>3099250.0000000005</v>
      </c>
      <c r="O131" s="211">
        <f>VLOOKUP(B131,財管手收各月!B:P, 14, 0) *0.55</f>
        <v>1125850</v>
      </c>
      <c r="P131" s="211">
        <f t="shared" si="1"/>
        <v>33247500</v>
      </c>
    </row>
    <row r="132" spans="1:16" s="143" customFormat="1" ht="36.75" customHeight="1">
      <c r="A132" s="55" t="s">
        <v>33</v>
      </c>
      <c r="B132" s="136">
        <v>427</v>
      </c>
      <c r="C132" s="55" t="s">
        <v>190</v>
      </c>
      <c r="D132" s="211">
        <f>VLOOKUP(B132,財管手收各月!B:P, 3, 0) *0.55</f>
        <v>4121700.0000000005</v>
      </c>
      <c r="E132" s="211">
        <f>VLOOKUP(B132,財管手收各月!B:P, 4, 0) *0.55</f>
        <v>3170200.0000000005</v>
      </c>
      <c r="F132" s="211">
        <f>VLOOKUP(B132,財管手收各月!B:P, 5, 0) *0.55</f>
        <v>3170200.0000000005</v>
      </c>
      <c r="G132" s="211">
        <f>VLOOKUP(B132,財管手收各月!B:P, 6, 0) *0.55</f>
        <v>3010700.0000000005</v>
      </c>
      <c r="H132" s="211">
        <f>VLOOKUP(B132,財管手收各月!B:P, 7, 0) *0.55</f>
        <v>3486450.0000000005</v>
      </c>
      <c r="I132" s="211">
        <f>VLOOKUP(B132,財管手收各月!B:P, 8, 0) *0.55</f>
        <v>3010700.0000000005</v>
      </c>
      <c r="J132" s="211">
        <f>VLOOKUP(B132,財管手收各月!B:P, 9, 0) *0.55</f>
        <v>3010700.0000000005</v>
      </c>
      <c r="K132" s="211">
        <f>VLOOKUP(B132,財管手收各月!B:P, 10, 0) *0.55</f>
        <v>3486450.0000000005</v>
      </c>
      <c r="L132" s="211">
        <f>VLOOKUP(B132,財管手收各月!B:P, 11, 0) *0.55</f>
        <v>3010700.0000000005</v>
      </c>
      <c r="M132" s="211">
        <f>VLOOKUP(B132,財管手收各月!B:P, 12, 0) *0.55</f>
        <v>3170200.0000000005</v>
      </c>
      <c r="N132" s="211">
        <f>VLOOKUP(B132,財管手收各月!B:P, 13, 0) *0.55</f>
        <v>3486450.0000000005</v>
      </c>
      <c r="O132" s="211">
        <f>VLOOKUP(B132,財管手收各月!B:P, 14, 0) *0.55</f>
        <v>1271050</v>
      </c>
      <c r="P132" s="211">
        <f t="shared" si="1"/>
        <v>37405500.000000007</v>
      </c>
    </row>
    <row r="133" spans="1:16" s="143" customFormat="1" ht="36.75" customHeight="1">
      <c r="A133" s="55" t="s">
        <v>33</v>
      </c>
      <c r="B133" s="136">
        <v>429</v>
      </c>
      <c r="C133" s="55" t="s">
        <v>191</v>
      </c>
      <c r="D133" s="211">
        <f>VLOOKUP(B133,財管手收各月!B:P, 3, 0) *0.55</f>
        <v>3252150.0000000005</v>
      </c>
      <c r="E133" s="211">
        <f>VLOOKUP(B133,財管手收各月!B:P, 4, 0) *0.55</f>
        <v>2501400</v>
      </c>
      <c r="F133" s="211">
        <f>VLOOKUP(B133,財管手收各月!B:P, 5, 0) *0.55</f>
        <v>2501400</v>
      </c>
      <c r="G133" s="211">
        <f>VLOOKUP(B133,財管手收各月!B:P, 6, 0) *0.55</f>
        <v>2376000</v>
      </c>
      <c r="H133" s="211">
        <f>VLOOKUP(B133,財管手收各月!B:P, 7, 0) *0.55</f>
        <v>2751100</v>
      </c>
      <c r="I133" s="211">
        <f>VLOOKUP(B133,財管手收各月!B:P, 8, 0) *0.55</f>
        <v>2376000</v>
      </c>
      <c r="J133" s="211">
        <f>VLOOKUP(B133,財管手收各月!B:P, 9, 0) *0.55</f>
        <v>2376000</v>
      </c>
      <c r="K133" s="211">
        <f>VLOOKUP(B133,財管手收各月!B:P, 10, 0) *0.55</f>
        <v>2751100</v>
      </c>
      <c r="L133" s="211">
        <f>VLOOKUP(B133,財管手收各月!B:P, 11, 0) *0.55</f>
        <v>2376000</v>
      </c>
      <c r="M133" s="211">
        <f>VLOOKUP(B133,財管手收各月!B:P, 12, 0) *0.55</f>
        <v>2501400</v>
      </c>
      <c r="N133" s="211">
        <f>VLOOKUP(B133,財管手收各月!B:P, 13, 0) *0.55</f>
        <v>2751100</v>
      </c>
      <c r="O133" s="211">
        <f>VLOOKUP(B133,財管手收各月!B:P, 14, 0) *0.55</f>
        <v>1004850.0000000001</v>
      </c>
      <c r="P133" s="211">
        <f t="shared" si="1"/>
        <v>29518500</v>
      </c>
    </row>
    <row r="134" spans="1:16" s="143" customFormat="1" ht="36.75" customHeight="1">
      <c r="A134" s="55" t="s">
        <v>33</v>
      </c>
      <c r="B134" s="136">
        <v>430</v>
      </c>
      <c r="C134" s="55" t="s">
        <v>40</v>
      </c>
      <c r="D134" s="211">
        <f>VLOOKUP(B134,財管手收各月!B:P, 3, 0) *0.55</f>
        <v>2739550</v>
      </c>
      <c r="E134" s="211">
        <f>VLOOKUP(B134,財管手收各月!B:P, 4, 0) *0.55</f>
        <v>2108150</v>
      </c>
      <c r="F134" s="211">
        <f>VLOOKUP(B134,財管手收各月!B:P, 5, 0) *0.55</f>
        <v>2108150</v>
      </c>
      <c r="G134" s="211">
        <f>VLOOKUP(B134,財管手收各月!B:P, 6, 0) *0.55</f>
        <v>2002000.0000000002</v>
      </c>
      <c r="H134" s="211">
        <f>VLOOKUP(B134,財管手收各月!B:P, 7, 0) *0.55</f>
        <v>2318250</v>
      </c>
      <c r="I134" s="211">
        <f>VLOOKUP(B134,財管手收各月!B:P, 8, 0) *0.55</f>
        <v>2002000.0000000002</v>
      </c>
      <c r="J134" s="211">
        <f>VLOOKUP(B134,財管手收各月!B:P, 9, 0) *0.55</f>
        <v>2002000.0000000002</v>
      </c>
      <c r="K134" s="211">
        <f>VLOOKUP(B134,財管手收各月!B:P, 10, 0) *0.55</f>
        <v>2318250</v>
      </c>
      <c r="L134" s="211">
        <f>VLOOKUP(B134,財管手收各月!B:P, 11, 0) *0.55</f>
        <v>2002000.0000000002</v>
      </c>
      <c r="M134" s="211">
        <f>VLOOKUP(B134,財管手收各月!B:P, 12, 0) *0.55</f>
        <v>2108150</v>
      </c>
      <c r="N134" s="211">
        <f>VLOOKUP(B134,財管手收各月!B:P, 13, 0) *0.55</f>
        <v>2318250</v>
      </c>
      <c r="O134" s="211">
        <f>VLOOKUP(B134,財管手收各月!B:P, 14, 0) *0.55</f>
        <v>844250.00000000012</v>
      </c>
      <c r="P134" s="211">
        <f t="shared" si="1"/>
        <v>24871000</v>
      </c>
    </row>
    <row r="135" spans="1:16" s="143" customFormat="1" ht="36.75" customHeight="1">
      <c r="A135" s="55" t="s">
        <v>33</v>
      </c>
      <c r="B135" s="136">
        <v>431</v>
      </c>
      <c r="C135" s="55" t="s">
        <v>102</v>
      </c>
      <c r="D135" s="211">
        <f>VLOOKUP(B135,財管手收各月!B:P, 3, 0) *0.55</f>
        <v>2288000</v>
      </c>
      <c r="E135" s="211">
        <f>VLOOKUP(B135,財管手收各月!B:P, 4, 0) *0.55</f>
        <v>1759450.0000000002</v>
      </c>
      <c r="F135" s="211">
        <f>VLOOKUP(B135,財管手收各月!B:P, 5, 0) *0.55</f>
        <v>1759450.0000000002</v>
      </c>
      <c r="G135" s="211">
        <f>VLOOKUP(B135,財管手收各月!B:P, 6, 0) *0.55</f>
        <v>1672000.0000000002</v>
      </c>
      <c r="H135" s="211">
        <f>VLOOKUP(B135,財管手收各月!B:P, 7, 0) *0.55</f>
        <v>1935450.0000000002</v>
      </c>
      <c r="I135" s="211">
        <f>VLOOKUP(B135,財管手收各月!B:P, 8, 0) *0.55</f>
        <v>1672000.0000000002</v>
      </c>
      <c r="J135" s="211">
        <f>VLOOKUP(B135,財管手收各月!B:P, 9, 0) *0.55</f>
        <v>1672000.0000000002</v>
      </c>
      <c r="K135" s="211">
        <f>VLOOKUP(B135,財管手收各月!B:P, 10, 0) *0.55</f>
        <v>1935450.0000000002</v>
      </c>
      <c r="L135" s="211">
        <f>VLOOKUP(B135,財管手收各月!B:P, 11, 0) *0.55</f>
        <v>1672000.0000000002</v>
      </c>
      <c r="M135" s="211">
        <f>VLOOKUP(B135,財管手收各月!B:P, 12, 0) *0.55</f>
        <v>1759450.0000000002</v>
      </c>
      <c r="N135" s="211">
        <f>VLOOKUP(B135,財管手收各月!B:P, 13, 0) *0.55</f>
        <v>1935450.0000000002</v>
      </c>
      <c r="O135" s="211">
        <f>VLOOKUP(B135,財管手收各月!B:P, 14, 0) *0.55</f>
        <v>701800</v>
      </c>
      <c r="P135" s="211">
        <f t="shared" si="1"/>
        <v>20762500</v>
      </c>
    </row>
    <row r="136" spans="1:16" s="143" customFormat="1" ht="36.75" customHeight="1">
      <c r="A136" s="55" t="s">
        <v>33</v>
      </c>
      <c r="B136" s="136">
        <v>451</v>
      </c>
      <c r="C136" s="55" t="s">
        <v>103</v>
      </c>
      <c r="D136" s="211">
        <f>VLOOKUP(B136,財管手收各月!B:P, 3, 0) *0.55</f>
        <v>3408350.0000000005</v>
      </c>
      <c r="E136" s="211">
        <f>VLOOKUP(B136,財管手收各月!B:P, 4, 0) *0.55</f>
        <v>2621850</v>
      </c>
      <c r="F136" s="211">
        <f>VLOOKUP(B136,財管手收各月!B:P, 5, 0) *0.55</f>
        <v>2621850</v>
      </c>
      <c r="G136" s="211">
        <f>VLOOKUP(B136,財管手收各月!B:P, 6, 0) *0.55</f>
        <v>2490400</v>
      </c>
      <c r="H136" s="211">
        <f>VLOOKUP(B136,財管手收各月!B:P, 7, 0) *0.55</f>
        <v>2884200</v>
      </c>
      <c r="I136" s="211">
        <f>VLOOKUP(B136,財管手收各月!B:P, 8, 0) *0.55</f>
        <v>2490400</v>
      </c>
      <c r="J136" s="211">
        <f>VLOOKUP(B136,財管手收各月!B:P, 9, 0) *0.55</f>
        <v>2490400</v>
      </c>
      <c r="K136" s="211">
        <f>VLOOKUP(B136,財管手收各月!B:P, 10, 0) *0.55</f>
        <v>2884200</v>
      </c>
      <c r="L136" s="211">
        <f>VLOOKUP(B136,財管手收各月!B:P, 11, 0) *0.55</f>
        <v>2490400</v>
      </c>
      <c r="M136" s="211">
        <f>VLOOKUP(B136,財管手收各月!B:P, 12, 0) *0.55</f>
        <v>2621850</v>
      </c>
      <c r="N136" s="211">
        <f>VLOOKUP(B136,財管手收各月!B:P, 13, 0) *0.55</f>
        <v>2884200</v>
      </c>
      <c r="O136" s="211">
        <f>VLOOKUP(B136,財管手收各月!B:P, 14, 0) *0.55</f>
        <v>1049400</v>
      </c>
      <c r="P136" s="211">
        <f t="shared" ref="P136:P196" si="2">SUM(D136:O136)</f>
        <v>30937500</v>
      </c>
    </row>
    <row r="137" spans="1:16" s="143" customFormat="1" ht="36.75" customHeight="1">
      <c r="A137" s="55" t="s">
        <v>33</v>
      </c>
      <c r="B137" s="136">
        <v>500</v>
      </c>
      <c r="C137" s="55" t="s">
        <v>41</v>
      </c>
      <c r="D137" s="211">
        <f>VLOOKUP(B137,財管手收各月!B:P, 3, 0) *0.55</f>
        <v>3798850.0000000005</v>
      </c>
      <c r="E137" s="211">
        <f>VLOOKUP(B137,財管手收各月!B:P, 4, 0) *0.55</f>
        <v>2922150.0000000005</v>
      </c>
      <c r="F137" s="211">
        <f>VLOOKUP(B137,財管手收各月!B:P, 5, 0) *0.55</f>
        <v>2922150.0000000005</v>
      </c>
      <c r="G137" s="211">
        <f>VLOOKUP(B137,財管手收各月!B:P, 6, 0) *0.55</f>
        <v>2775850</v>
      </c>
      <c r="H137" s="211">
        <f>VLOOKUP(B137,財管手收各月!B:P, 7, 0) *0.55</f>
        <v>3214200.0000000005</v>
      </c>
      <c r="I137" s="211">
        <f>VLOOKUP(B137,財管手收各月!B:P, 8, 0) *0.55</f>
        <v>2775850</v>
      </c>
      <c r="J137" s="211">
        <f>VLOOKUP(B137,財管手收各月!B:P, 9, 0) *0.55</f>
        <v>2775850</v>
      </c>
      <c r="K137" s="211">
        <f>VLOOKUP(B137,財管手收各月!B:P, 10, 0) *0.55</f>
        <v>3214200.0000000005</v>
      </c>
      <c r="L137" s="211">
        <f>VLOOKUP(B137,財管手收各月!B:P, 11, 0) *0.55</f>
        <v>2775850</v>
      </c>
      <c r="M137" s="211">
        <f>VLOOKUP(B137,財管手收各月!B:P, 12, 0) *0.55</f>
        <v>2922150.0000000005</v>
      </c>
      <c r="N137" s="211">
        <f>VLOOKUP(B137,財管手收各月!B:P, 13, 0) *0.55</f>
        <v>3214200.0000000005</v>
      </c>
      <c r="O137" s="211">
        <f>VLOOKUP(B137,財管手收各月!B:P, 14, 0) *0.55</f>
        <v>1173700</v>
      </c>
      <c r="P137" s="211">
        <f t="shared" si="2"/>
        <v>34485000</v>
      </c>
    </row>
    <row r="138" spans="1:16" s="143" customFormat="1" ht="36.75" customHeight="1">
      <c r="A138" s="55" t="s">
        <v>33</v>
      </c>
      <c r="B138" s="136">
        <v>501</v>
      </c>
      <c r="C138" s="55" t="s">
        <v>192</v>
      </c>
      <c r="D138" s="211">
        <f>VLOOKUP(B138,財管手收各月!B:P, 3, 0) *0.55</f>
        <v>3282400.0000000005</v>
      </c>
      <c r="E138" s="211">
        <f>VLOOKUP(B138,財管手收各月!B:P, 4, 0) *0.55</f>
        <v>2525050</v>
      </c>
      <c r="F138" s="211">
        <f>VLOOKUP(B138,財管手收各月!B:P, 5, 0) *0.55</f>
        <v>2525050</v>
      </c>
      <c r="G138" s="211">
        <f>VLOOKUP(B138,財管手收各月!B:P, 6, 0) *0.55</f>
        <v>2399100</v>
      </c>
      <c r="H138" s="211">
        <f>VLOOKUP(B138,財管手收各月!B:P, 7, 0) *0.55</f>
        <v>2778050</v>
      </c>
      <c r="I138" s="211">
        <f>VLOOKUP(B138,財管手收各月!B:P, 8, 0) *0.55</f>
        <v>2399100</v>
      </c>
      <c r="J138" s="211">
        <f>VLOOKUP(B138,財管手收各月!B:P, 9, 0) *0.55</f>
        <v>2399100</v>
      </c>
      <c r="K138" s="211">
        <f>VLOOKUP(B138,財管手收各月!B:P, 10, 0) *0.55</f>
        <v>2778050</v>
      </c>
      <c r="L138" s="211">
        <f>VLOOKUP(B138,財管手收各月!B:P, 11, 0) *0.55</f>
        <v>2399100</v>
      </c>
      <c r="M138" s="211">
        <f>VLOOKUP(B138,財管手收各月!B:P, 12, 0) *0.55</f>
        <v>2525050</v>
      </c>
      <c r="N138" s="211">
        <f>VLOOKUP(B138,財管手收各月!B:P, 13, 0) *0.55</f>
        <v>2778050</v>
      </c>
      <c r="O138" s="211">
        <f>VLOOKUP(B138,財管手收各月!B:P, 14, 0) *0.55</f>
        <v>1010900.0000000001</v>
      </c>
      <c r="P138" s="211">
        <f t="shared" si="2"/>
        <v>29799000</v>
      </c>
    </row>
    <row r="139" spans="1:16" s="143" customFormat="1" ht="36.75" customHeight="1">
      <c r="A139" s="55" t="s">
        <v>33</v>
      </c>
      <c r="B139" s="136">
        <v>520</v>
      </c>
      <c r="C139" s="55" t="s">
        <v>193</v>
      </c>
      <c r="D139" s="211">
        <f>VLOOKUP(B139,財管手收各月!B:P, 3, 0) *0.55</f>
        <v>5553350</v>
      </c>
      <c r="E139" s="211">
        <f>VLOOKUP(B139,財管手收各月!B:P, 4, 0) *0.55</f>
        <v>4271850</v>
      </c>
      <c r="F139" s="211">
        <f>VLOOKUP(B139,財管手收各月!B:P, 5, 0) *0.55</f>
        <v>4271850</v>
      </c>
      <c r="G139" s="211">
        <f>VLOOKUP(B139,財管手收各月!B:P, 6, 0) *0.55</f>
        <v>4058450.0000000005</v>
      </c>
      <c r="H139" s="211">
        <f>VLOOKUP(B139,財管手收各月!B:P, 7, 0) *0.55</f>
        <v>4699200</v>
      </c>
      <c r="I139" s="211">
        <f>VLOOKUP(B139,財管手收各月!B:P, 8, 0) *0.55</f>
        <v>4058450.0000000005</v>
      </c>
      <c r="J139" s="211">
        <f>VLOOKUP(B139,財管手收各月!B:P, 9, 0) *0.55</f>
        <v>4058450.0000000005</v>
      </c>
      <c r="K139" s="211">
        <f>VLOOKUP(B139,財管手收各月!B:P, 10, 0) *0.55</f>
        <v>4699200</v>
      </c>
      <c r="L139" s="211">
        <f>VLOOKUP(B139,財管手收各月!B:P, 11, 0) *0.55</f>
        <v>4058450.0000000005</v>
      </c>
      <c r="M139" s="211">
        <f>VLOOKUP(B139,財管手收各月!B:P, 12, 0) *0.55</f>
        <v>4271850</v>
      </c>
      <c r="N139" s="211">
        <f>VLOOKUP(B139,財管手收各月!B:P, 13, 0) *0.55</f>
        <v>4699200</v>
      </c>
      <c r="O139" s="211">
        <f>VLOOKUP(B139,財管手收各月!B:P, 14, 0) *0.55</f>
        <v>1712700.0000000002</v>
      </c>
      <c r="P139" s="211">
        <f t="shared" si="2"/>
        <v>50413000</v>
      </c>
    </row>
    <row r="140" spans="1:16" s="143" customFormat="1" ht="36.75" customHeight="1">
      <c r="A140" s="55" t="s">
        <v>33</v>
      </c>
      <c r="B140" s="136">
        <v>521</v>
      </c>
      <c r="C140" s="55" t="s">
        <v>194</v>
      </c>
      <c r="D140" s="211">
        <f>VLOOKUP(B140,財管手收各月!B:P, 3, 0) *0.55</f>
        <v>7150000.0000000009</v>
      </c>
      <c r="E140" s="211">
        <f>VLOOKUP(B140,財管手收各月!B:P, 4, 0) *0.55</f>
        <v>5500000</v>
      </c>
      <c r="F140" s="211">
        <f>VLOOKUP(B140,財管手收各月!B:P, 5, 0) *0.55</f>
        <v>5500000</v>
      </c>
      <c r="G140" s="211">
        <f>VLOOKUP(B140,財管手收各月!B:P, 6, 0) *0.55</f>
        <v>5225000</v>
      </c>
      <c r="H140" s="211">
        <f>VLOOKUP(B140,財管手收各月!B:P, 7, 0) *0.55</f>
        <v>6050000.0000000009</v>
      </c>
      <c r="I140" s="211">
        <f>VLOOKUP(B140,財管手收各月!B:P, 8, 0) *0.55</f>
        <v>5225000</v>
      </c>
      <c r="J140" s="211">
        <f>VLOOKUP(B140,財管手收各月!B:P, 9, 0) *0.55</f>
        <v>5225000</v>
      </c>
      <c r="K140" s="211">
        <f>VLOOKUP(B140,財管手收各月!B:P, 10, 0) *0.55</f>
        <v>6050000.0000000009</v>
      </c>
      <c r="L140" s="211">
        <f>VLOOKUP(B140,財管手收各月!B:P, 11, 0) *0.55</f>
        <v>5225000</v>
      </c>
      <c r="M140" s="211">
        <f>VLOOKUP(B140,財管手收各月!B:P, 12, 0) *0.55</f>
        <v>5500000</v>
      </c>
      <c r="N140" s="211">
        <f>VLOOKUP(B140,財管手收各月!B:P, 13, 0) *0.55</f>
        <v>6050000.0000000009</v>
      </c>
      <c r="O140" s="211">
        <f>VLOOKUP(B140,財管手收各月!B:P, 14, 0) *0.55</f>
        <v>2200000</v>
      </c>
      <c r="P140" s="211">
        <f t="shared" si="2"/>
        <v>64900000</v>
      </c>
    </row>
    <row r="141" spans="1:16" s="143" customFormat="1" ht="36.75" customHeight="1">
      <c r="A141" s="55" t="s">
        <v>33</v>
      </c>
      <c r="B141" s="136">
        <v>522</v>
      </c>
      <c r="C141" s="55" t="s">
        <v>42</v>
      </c>
      <c r="D141" s="211">
        <f>VLOOKUP(B141,財管手收各月!B:P, 3, 0) *0.55</f>
        <v>7048250.0000000009</v>
      </c>
      <c r="E141" s="211">
        <f>VLOOKUP(B141,財管手收各月!B:P, 4, 0) *0.55</f>
        <v>5421900</v>
      </c>
      <c r="F141" s="211">
        <f>VLOOKUP(B141,財管手收各月!B:P, 5, 0) *0.55</f>
        <v>5421900</v>
      </c>
      <c r="G141" s="211">
        <f>VLOOKUP(B141,財管手收各月!B:P, 6, 0) *0.55</f>
        <v>5150750</v>
      </c>
      <c r="H141" s="211">
        <f>VLOOKUP(B141,財管手收各月!B:P, 7, 0) *0.55</f>
        <v>5964200.0000000009</v>
      </c>
      <c r="I141" s="211">
        <f>VLOOKUP(B141,財管手收各月!B:P, 8, 0) *0.55</f>
        <v>5150750</v>
      </c>
      <c r="J141" s="211">
        <f>VLOOKUP(B141,財管手收各月!B:P, 9, 0) *0.55</f>
        <v>5150750</v>
      </c>
      <c r="K141" s="211">
        <f>VLOOKUP(B141,財管手收各月!B:P, 10, 0) *0.55</f>
        <v>5964200.0000000009</v>
      </c>
      <c r="L141" s="211">
        <f>VLOOKUP(B141,財管手收各月!B:P, 11, 0) *0.55</f>
        <v>5150750</v>
      </c>
      <c r="M141" s="211">
        <f>VLOOKUP(B141,財管手收各月!B:P, 12, 0) *0.55</f>
        <v>5421900</v>
      </c>
      <c r="N141" s="211">
        <f>VLOOKUP(B141,財管手收各月!B:P, 13, 0) *0.55</f>
        <v>5964200.0000000009</v>
      </c>
      <c r="O141" s="211">
        <f>VLOOKUP(B141,財管手收各月!B:P, 14, 0) *0.55</f>
        <v>2166450</v>
      </c>
      <c r="P141" s="211">
        <f t="shared" si="2"/>
        <v>63976000</v>
      </c>
    </row>
    <row r="142" spans="1:16" s="143" customFormat="1" ht="36.75" customHeight="1">
      <c r="A142" s="55" t="s">
        <v>33</v>
      </c>
      <c r="B142" s="136">
        <v>523</v>
      </c>
      <c r="C142" s="55" t="s">
        <v>104</v>
      </c>
      <c r="D142" s="211">
        <f>VLOOKUP(B142,財管手收各月!B:P, 3, 0) *0.55</f>
        <v>4203100</v>
      </c>
      <c r="E142" s="211">
        <f>VLOOKUP(B142,財管手收各月!B:P, 4, 0) *0.55</f>
        <v>3233450.0000000005</v>
      </c>
      <c r="F142" s="211">
        <f>VLOOKUP(B142,財管手收各月!B:P, 5, 0) *0.55</f>
        <v>3233450.0000000005</v>
      </c>
      <c r="G142" s="211">
        <f>VLOOKUP(B142,財管手收各月!B:P, 6, 0) *0.55</f>
        <v>3071750.0000000005</v>
      </c>
      <c r="H142" s="211">
        <f>VLOOKUP(B142,財管手收各月!B:P, 7, 0) *0.55</f>
        <v>3556850.0000000005</v>
      </c>
      <c r="I142" s="211">
        <f>VLOOKUP(B142,財管手收各月!B:P, 8, 0) *0.55</f>
        <v>3071750.0000000005</v>
      </c>
      <c r="J142" s="211">
        <f>VLOOKUP(B142,財管手收各月!B:P, 9, 0) *0.55</f>
        <v>3071750.0000000005</v>
      </c>
      <c r="K142" s="211">
        <f>VLOOKUP(B142,財管手收各月!B:P, 10, 0) *0.55</f>
        <v>3556850.0000000005</v>
      </c>
      <c r="L142" s="211">
        <f>VLOOKUP(B142,財管手收各月!B:P, 11, 0) *0.55</f>
        <v>3071750.0000000005</v>
      </c>
      <c r="M142" s="211">
        <f>VLOOKUP(B142,財管手收各月!B:P, 12, 0) *0.55</f>
        <v>3233450.0000000005</v>
      </c>
      <c r="N142" s="211">
        <f>VLOOKUP(B142,財管手收各月!B:P, 13, 0) *0.55</f>
        <v>3556850.0000000005</v>
      </c>
      <c r="O142" s="211">
        <f>VLOOKUP(B142,財管手收各月!B:P, 14, 0) *0.55</f>
        <v>1292500</v>
      </c>
      <c r="P142" s="211">
        <f t="shared" si="2"/>
        <v>38153500</v>
      </c>
    </row>
    <row r="143" spans="1:16" s="143" customFormat="1" ht="36.75" customHeight="1">
      <c r="A143" s="55" t="s">
        <v>33</v>
      </c>
      <c r="B143" s="136">
        <v>524</v>
      </c>
      <c r="C143" s="55" t="s">
        <v>43</v>
      </c>
      <c r="D143" s="211">
        <f>VLOOKUP(B143,財管手收各月!B:P, 3, 0) *0.55</f>
        <v>3451250.0000000005</v>
      </c>
      <c r="E143" s="211">
        <f>VLOOKUP(B143,財管手收各月!B:P, 4, 0) *0.55</f>
        <v>2654850</v>
      </c>
      <c r="F143" s="211">
        <f>VLOOKUP(B143,財管手收各月!B:P, 5, 0) *0.55</f>
        <v>2654850</v>
      </c>
      <c r="G143" s="211">
        <f>VLOOKUP(B143,財管手收各月!B:P, 6, 0) *0.55</f>
        <v>2521750</v>
      </c>
      <c r="H143" s="211">
        <f>VLOOKUP(B143,財管手收各月!B:P, 7, 0) *0.55</f>
        <v>2919950.0000000005</v>
      </c>
      <c r="I143" s="211">
        <f>VLOOKUP(B143,財管手收各月!B:P, 8, 0) *0.55</f>
        <v>2521750</v>
      </c>
      <c r="J143" s="211">
        <f>VLOOKUP(B143,財管手收各月!B:P, 9, 0) *0.55</f>
        <v>2521750</v>
      </c>
      <c r="K143" s="211">
        <f>VLOOKUP(B143,財管手收各月!B:P, 10, 0) *0.55</f>
        <v>2919950.0000000005</v>
      </c>
      <c r="L143" s="211">
        <f>VLOOKUP(B143,財管手收各月!B:P, 11, 0) *0.55</f>
        <v>2521750</v>
      </c>
      <c r="M143" s="211">
        <f>VLOOKUP(B143,財管手收各月!B:P, 12, 0) *0.55</f>
        <v>2654850</v>
      </c>
      <c r="N143" s="211">
        <f>VLOOKUP(B143,財管手收各月!B:P, 13, 0) *0.55</f>
        <v>2919950.0000000005</v>
      </c>
      <c r="O143" s="211">
        <f>VLOOKUP(B143,財管手收各月!B:P, 14, 0) *0.55</f>
        <v>1059850</v>
      </c>
      <c r="P143" s="211">
        <f t="shared" si="2"/>
        <v>31322500</v>
      </c>
    </row>
    <row r="144" spans="1:16" s="143" customFormat="1" ht="36.75" customHeight="1">
      <c r="A144" s="55" t="s">
        <v>33</v>
      </c>
      <c r="B144" s="136">
        <v>540</v>
      </c>
      <c r="C144" s="55" t="s">
        <v>44</v>
      </c>
      <c r="D144" s="211">
        <f>VLOOKUP(B144,財管手收各月!B:P, 3, 0) *0.55</f>
        <v>2712600</v>
      </c>
      <c r="E144" s="211">
        <f>VLOOKUP(B144,財管手收各月!B:P, 4, 0) *0.55</f>
        <v>2086700.0000000002</v>
      </c>
      <c r="F144" s="211">
        <f>VLOOKUP(B144,財管手收各月!B:P, 5, 0) *0.55</f>
        <v>2086700.0000000002</v>
      </c>
      <c r="G144" s="211">
        <f>VLOOKUP(B144,財管手收各月!B:P, 6, 0) *0.55</f>
        <v>1982750.0000000002</v>
      </c>
      <c r="H144" s="211">
        <f>VLOOKUP(B144,財管手收各月!B:P, 7, 0) *0.55</f>
        <v>2295700</v>
      </c>
      <c r="I144" s="211">
        <f>VLOOKUP(B144,財管手收各月!B:P, 8, 0) *0.55</f>
        <v>1982750.0000000002</v>
      </c>
      <c r="J144" s="211">
        <f>VLOOKUP(B144,財管手收各月!B:P, 9, 0) *0.55</f>
        <v>1982750.0000000002</v>
      </c>
      <c r="K144" s="211">
        <f>VLOOKUP(B144,財管手收各月!B:P, 10, 0) *0.55</f>
        <v>2295700</v>
      </c>
      <c r="L144" s="211">
        <f>VLOOKUP(B144,財管手收各月!B:P, 11, 0) *0.55</f>
        <v>1982750.0000000002</v>
      </c>
      <c r="M144" s="211">
        <f>VLOOKUP(B144,財管手收各月!B:P, 12, 0) *0.55</f>
        <v>2086700.0000000002</v>
      </c>
      <c r="N144" s="211">
        <f>VLOOKUP(B144,財管手收各月!B:P, 13, 0) *0.55</f>
        <v>2295700</v>
      </c>
      <c r="O144" s="211">
        <f>VLOOKUP(B144,財管手收各月!B:P, 14, 0) *0.55</f>
        <v>838200.00000000012</v>
      </c>
      <c r="P144" s="211">
        <f t="shared" si="2"/>
        <v>24629000</v>
      </c>
    </row>
    <row r="145" spans="1:16" s="143" customFormat="1" ht="36.75" customHeight="1">
      <c r="A145" s="55" t="s">
        <v>33</v>
      </c>
      <c r="B145" s="136">
        <v>541</v>
      </c>
      <c r="C145" s="55" t="s">
        <v>105</v>
      </c>
      <c r="D145" s="211">
        <f>VLOOKUP(B145,財管手收各月!B:P, 3, 0) *0.55</f>
        <v>4222350</v>
      </c>
      <c r="E145" s="211">
        <f>VLOOKUP(B145,財管手收各月!B:P, 4, 0) *0.55</f>
        <v>3247750.0000000005</v>
      </c>
      <c r="F145" s="211">
        <f>VLOOKUP(B145,財管手收各月!B:P, 5, 0) *0.55</f>
        <v>3247750.0000000005</v>
      </c>
      <c r="G145" s="211">
        <f>VLOOKUP(B145,財管手收各月!B:P, 6, 0) *0.55</f>
        <v>3085500.0000000005</v>
      </c>
      <c r="H145" s="211">
        <f>VLOOKUP(B145,財管手收各月!B:P, 7, 0) *0.55</f>
        <v>3572250.0000000005</v>
      </c>
      <c r="I145" s="211">
        <f>VLOOKUP(B145,財管手收各月!B:P, 8, 0) *0.55</f>
        <v>3085500.0000000005</v>
      </c>
      <c r="J145" s="211">
        <f>VLOOKUP(B145,財管手收各月!B:P, 9, 0) *0.55</f>
        <v>3085500.0000000005</v>
      </c>
      <c r="K145" s="211">
        <f>VLOOKUP(B145,財管手收各月!B:P, 10, 0) *0.55</f>
        <v>3572250.0000000005</v>
      </c>
      <c r="L145" s="211">
        <f>VLOOKUP(B145,財管手收各月!B:P, 11, 0) *0.55</f>
        <v>3085500.0000000005</v>
      </c>
      <c r="M145" s="211">
        <f>VLOOKUP(B145,財管手收各月!B:P, 12, 0) *0.55</f>
        <v>3247750.0000000005</v>
      </c>
      <c r="N145" s="211">
        <f>VLOOKUP(B145,財管手收各月!B:P, 13, 0) *0.55</f>
        <v>3572250.0000000005</v>
      </c>
      <c r="O145" s="211">
        <f>VLOOKUP(B145,財管手收各月!B:P, 14, 0) *0.55</f>
        <v>1299650</v>
      </c>
      <c r="P145" s="211">
        <f t="shared" si="2"/>
        <v>38324000</v>
      </c>
    </row>
    <row r="146" spans="1:16" s="143" customFormat="1" ht="36.75" customHeight="1">
      <c r="A146" s="55" t="s">
        <v>33</v>
      </c>
      <c r="B146" s="136">
        <v>542</v>
      </c>
      <c r="C146" s="55" t="s">
        <v>45</v>
      </c>
      <c r="D146" s="211">
        <f>VLOOKUP(B146,財管手收各月!B:P, 3, 0) *0.55</f>
        <v>2849000</v>
      </c>
      <c r="E146" s="211">
        <f>VLOOKUP(B146,財管手收各月!B:P, 4, 0) *0.55</f>
        <v>2191750</v>
      </c>
      <c r="F146" s="211">
        <f>VLOOKUP(B146,財管手收各月!B:P, 5, 0) *0.55</f>
        <v>2191750</v>
      </c>
      <c r="G146" s="211">
        <f>VLOOKUP(B146,財管手收各月!B:P, 6, 0) *0.55</f>
        <v>2082850.0000000002</v>
      </c>
      <c r="H146" s="211">
        <f>VLOOKUP(B146,財管手收各月!B:P, 7, 0) *0.55</f>
        <v>2411200</v>
      </c>
      <c r="I146" s="211">
        <f>VLOOKUP(B146,財管手收各月!B:P, 8, 0) *0.55</f>
        <v>2082850.0000000002</v>
      </c>
      <c r="J146" s="211">
        <f>VLOOKUP(B146,財管手收各月!B:P, 9, 0) *0.55</f>
        <v>2082850.0000000002</v>
      </c>
      <c r="K146" s="211">
        <f>VLOOKUP(B146,財管手收各月!B:P, 10, 0) *0.55</f>
        <v>2411200</v>
      </c>
      <c r="L146" s="211">
        <f>VLOOKUP(B146,財管手收各月!B:P, 11, 0) *0.55</f>
        <v>2082850.0000000002</v>
      </c>
      <c r="M146" s="211">
        <f>VLOOKUP(B146,財管手收各月!B:P, 12, 0) *0.55</f>
        <v>2191750</v>
      </c>
      <c r="N146" s="211">
        <f>VLOOKUP(B146,財管手收各月!B:P, 13, 0) *0.55</f>
        <v>2411200</v>
      </c>
      <c r="O146" s="211">
        <f>VLOOKUP(B146,財管手收各月!B:P, 14, 0) *0.55</f>
        <v>877250.00000000012</v>
      </c>
      <c r="P146" s="211">
        <f t="shared" si="2"/>
        <v>25866500</v>
      </c>
    </row>
    <row r="147" spans="1:16" s="143" customFormat="1" ht="36.75" customHeight="1">
      <c r="A147" s="55" t="s">
        <v>33</v>
      </c>
      <c r="B147" s="136">
        <v>600</v>
      </c>
      <c r="C147" s="55" t="s">
        <v>46</v>
      </c>
      <c r="D147" s="211">
        <f>VLOOKUP(B147,財管手收各月!B:P, 3, 0) *0.55</f>
        <v>4561150</v>
      </c>
      <c r="E147" s="211">
        <f>VLOOKUP(B147,財管手收各月!B:P, 4, 0) *0.55</f>
        <v>3507900.0000000005</v>
      </c>
      <c r="F147" s="211">
        <f>VLOOKUP(B147,財管手收各月!B:P, 5, 0) *0.55</f>
        <v>3507900.0000000005</v>
      </c>
      <c r="G147" s="211">
        <f>VLOOKUP(B147,財管手收各月!B:P, 6, 0) *0.55</f>
        <v>3333550.0000000005</v>
      </c>
      <c r="H147" s="211">
        <f>VLOOKUP(B147,財管手收各月!B:P, 7, 0) *0.55</f>
        <v>3859350.0000000005</v>
      </c>
      <c r="I147" s="211">
        <f>VLOOKUP(B147,財管手收各月!B:P, 8, 0) *0.55</f>
        <v>3333550.0000000005</v>
      </c>
      <c r="J147" s="211">
        <f>VLOOKUP(B147,財管手收各月!B:P, 9, 0) *0.55</f>
        <v>3333550.0000000005</v>
      </c>
      <c r="K147" s="211">
        <f>VLOOKUP(B147,財管手收各月!B:P, 10, 0) *0.55</f>
        <v>3859350.0000000005</v>
      </c>
      <c r="L147" s="211">
        <f>VLOOKUP(B147,財管手收各月!B:P, 11, 0) *0.55</f>
        <v>3333550.0000000005</v>
      </c>
      <c r="M147" s="211">
        <f>VLOOKUP(B147,財管手收各月!B:P, 12, 0) *0.55</f>
        <v>3507900.0000000005</v>
      </c>
      <c r="N147" s="211">
        <f>VLOOKUP(B147,財管手收各月!B:P, 13, 0) *0.55</f>
        <v>3859350.0000000005</v>
      </c>
      <c r="O147" s="211">
        <f>VLOOKUP(B147,財管手收各月!B:P, 14, 0) *0.55</f>
        <v>1401400</v>
      </c>
      <c r="P147" s="211">
        <f t="shared" si="2"/>
        <v>41398500</v>
      </c>
    </row>
    <row r="148" spans="1:16" s="143" customFormat="1" ht="36.75" customHeight="1">
      <c r="A148" s="55" t="s">
        <v>33</v>
      </c>
      <c r="B148" s="136">
        <v>601</v>
      </c>
      <c r="C148" s="55" t="s">
        <v>195</v>
      </c>
      <c r="D148" s="211">
        <f>VLOOKUP(B148,財管手收各月!B:P, 3, 0) *0.55</f>
        <v>4293300</v>
      </c>
      <c r="E148" s="211">
        <f>VLOOKUP(B148,財管手收各月!B:P, 4, 0) *0.55</f>
        <v>3302200.0000000005</v>
      </c>
      <c r="F148" s="211">
        <f>VLOOKUP(B148,財管手收各月!B:P, 5, 0) *0.55</f>
        <v>3302200.0000000005</v>
      </c>
      <c r="G148" s="211">
        <f>VLOOKUP(B148,財管手收各月!B:P, 6, 0) *0.55</f>
        <v>3137200.0000000005</v>
      </c>
      <c r="H148" s="211">
        <f>VLOOKUP(B148,財管手收各月!B:P, 7, 0) *0.55</f>
        <v>3632750.0000000005</v>
      </c>
      <c r="I148" s="211">
        <f>VLOOKUP(B148,財管手收各月!B:P, 8, 0) *0.55</f>
        <v>3137200.0000000005</v>
      </c>
      <c r="J148" s="211">
        <f>VLOOKUP(B148,財管手收各月!B:P, 9, 0) *0.55</f>
        <v>3137200.0000000005</v>
      </c>
      <c r="K148" s="211">
        <f>VLOOKUP(B148,財管手收各月!B:P, 10, 0) *0.55</f>
        <v>3632750.0000000005</v>
      </c>
      <c r="L148" s="211">
        <f>VLOOKUP(B148,財管手收各月!B:P, 11, 0) *0.55</f>
        <v>3137200.0000000005</v>
      </c>
      <c r="M148" s="211">
        <f>VLOOKUP(B148,財管手收各月!B:P, 12, 0) *0.55</f>
        <v>3302200.0000000005</v>
      </c>
      <c r="N148" s="211">
        <f>VLOOKUP(B148,財管手收各月!B:P, 13, 0) *0.55</f>
        <v>3632750.0000000005</v>
      </c>
      <c r="O148" s="211">
        <f>VLOOKUP(B148,財管手收各月!B:P, 14, 0) *0.55</f>
        <v>1320550</v>
      </c>
      <c r="P148" s="211">
        <f t="shared" si="2"/>
        <v>38967500</v>
      </c>
    </row>
    <row r="149" spans="1:16" s="143" customFormat="1" ht="36.75" customHeight="1">
      <c r="A149" s="55" t="s">
        <v>33</v>
      </c>
      <c r="B149" s="136">
        <v>602</v>
      </c>
      <c r="C149" s="55" t="s">
        <v>47</v>
      </c>
      <c r="D149" s="211">
        <f>VLOOKUP(B149,財管手收各月!B:P, 3, 0) *0.55</f>
        <v>2938650.0000000005</v>
      </c>
      <c r="E149" s="211">
        <f>VLOOKUP(B149,財管手收各月!B:P, 4, 0) *0.55</f>
        <v>2260500</v>
      </c>
      <c r="F149" s="211">
        <f>VLOOKUP(B149,財管手收各月!B:P, 5, 0) *0.55</f>
        <v>2260500</v>
      </c>
      <c r="G149" s="211">
        <f>VLOOKUP(B149,財管手收各月!B:P, 6, 0) *0.55</f>
        <v>2147750</v>
      </c>
      <c r="H149" s="211">
        <f>VLOOKUP(B149,財管手收各月!B:P, 7, 0) *0.55</f>
        <v>2486550</v>
      </c>
      <c r="I149" s="211">
        <f>VLOOKUP(B149,財管手收各月!B:P, 8, 0) *0.55</f>
        <v>2147750</v>
      </c>
      <c r="J149" s="211">
        <f>VLOOKUP(B149,財管手收各月!B:P, 9, 0) *0.55</f>
        <v>2147750</v>
      </c>
      <c r="K149" s="211">
        <f>VLOOKUP(B149,財管手收各月!B:P, 10, 0) *0.55</f>
        <v>2486550</v>
      </c>
      <c r="L149" s="211">
        <f>VLOOKUP(B149,財管手收各月!B:P, 11, 0) *0.55</f>
        <v>2147750</v>
      </c>
      <c r="M149" s="211">
        <f>VLOOKUP(B149,財管手收各月!B:P, 12, 0) *0.55</f>
        <v>2260500</v>
      </c>
      <c r="N149" s="211">
        <f>VLOOKUP(B149,財管手收各月!B:P, 13, 0) *0.55</f>
        <v>2486550</v>
      </c>
      <c r="O149" s="211">
        <f>VLOOKUP(B149,財管手收各月!B:P, 14, 0) *0.55</f>
        <v>904200.00000000012</v>
      </c>
      <c r="P149" s="211">
        <f t="shared" si="2"/>
        <v>26675000</v>
      </c>
    </row>
    <row r="150" spans="1:16" s="143" customFormat="1" ht="36.75" customHeight="1">
      <c r="A150" s="55" t="s">
        <v>48</v>
      </c>
      <c r="B150" s="136">
        <v>620</v>
      </c>
      <c r="C150" s="55" t="s">
        <v>106</v>
      </c>
      <c r="D150" s="211">
        <f>VLOOKUP(B150,財管手收各月!B:P, 3, 0) *0.55</f>
        <v>3754850.0000000005</v>
      </c>
      <c r="E150" s="211">
        <f>VLOOKUP(B150,財管手收各月!B:P, 4, 0) *0.55</f>
        <v>2888050.0000000005</v>
      </c>
      <c r="F150" s="211">
        <f>VLOOKUP(B150,財管手收各月!B:P, 5, 0) *0.55</f>
        <v>2888050.0000000005</v>
      </c>
      <c r="G150" s="211">
        <f>VLOOKUP(B150,財管手收各月!B:P, 6, 0) *0.55</f>
        <v>2743950</v>
      </c>
      <c r="H150" s="211">
        <f>VLOOKUP(B150,財管手收各月!B:P, 7, 0) *0.55</f>
        <v>3177350.0000000005</v>
      </c>
      <c r="I150" s="211">
        <f>VLOOKUP(B150,財管手收各月!B:P, 8, 0) *0.55</f>
        <v>2743950</v>
      </c>
      <c r="J150" s="211">
        <f>VLOOKUP(B150,財管手收各月!B:P, 9, 0) *0.55</f>
        <v>2743950</v>
      </c>
      <c r="K150" s="211">
        <f>VLOOKUP(B150,財管手收各月!B:P, 10, 0) *0.55</f>
        <v>3177350.0000000005</v>
      </c>
      <c r="L150" s="211">
        <f>VLOOKUP(B150,財管手收各月!B:P, 11, 0) *0.55</f>
        <v>2743950</v>
      </c>
      <c r="M150" s="211">
        <f>VLOOKUP(B150,財管手收各月!B:P, 12, 0) *0.55</f>
        <v>2888050.0000000005</v>
      </c>
      <c r="N150" s="211">
        <f>VLOOKUP(B150,財管手收各月!B:P, 13, 0) *0.55</f>
        <v>3177350.0000000005</v>
      </c>
      <c r="O150" s="211">
        <f>VLOOKUP(B150,財管手收各月!B:P, 14, 0) *0.55</f>
        <v>1156650</v>
      </c>
      <c r="P150" s="211">
        <f t="shared" si="2"/>
        <v>34083500</v>
      </c>
    </row>
    <row r="151" spans="1:16" s="143" customFormat="1" ht="36.75" customHeight="1">
      <c r="A151" s="55" t="s">
        <v>48</v>
      </c>
      <c r="B151" s="136">
        <v>621</v>
      </c>
      <c r="C151" s="55" t="s">
        <v>49</v>
      </c>
      <c r="D151" s="211">
        <f>VLOOKUP(B151,財管手收各月!B:P, 3, 0) *0.55</f>
        <v>5161750</v>
      </c>
      <c r="E151" s="211">
        <f>VLOOKUP(B151,財管手收各月!B:P, 4, 0) *0.55</f>
        <v>3970450.0000000005</v>
      </c>
      <c r="F151" s="211">
        <f>VLOOKUP(B151,財管手收各月!B:P, 5, 0) *0.55</f>
        <v>3970450.0000000005</v>
      </c>
      <c r="G151" s="211">
        <f>VLOOKUP(B151,財管手收各月!B:P, 6, 0) *0.55</f>
        <v>3771900.0000000005</v>
      </c>
      <c r="H151" s="211">
        <f>VLOOKUP(B151,財管手收各月!B:P, 7, 0) *0.55</f>
        <v>4368100</v>
      </c>
      <c r="I151" s="211">
        <f>VLOOKUP(B151,財管手收各月!B:P, 8, 0) *0.55</f>
        <v>3771900.0000000005</v>
      </c>
      <c r="J151" s="211">
        <f>VLOOKUP(B151,財管手收各月!B:P, 9, 0) *0.55</f>
        <v>3771900.0000000005</v>
      </c>
      <c r="K151" s="211">
        <f>VLOOKUP(B151,財管手收各月!B:P, 10, 0) *0.55</f>
        <v>4368100</v>
      </c>
      <c r="L151" s="211">
        <f>VLOOKUP(B151,財管手收各月!B:P, 11, 0) *0.55</f>
        <v>3771900.0000000005</v>
      </c>
      <c r="M151" s="211">
        <f>VLOOKUP(B151,財管手收各月!B:P, 12, 0) *0.55</f>
        <v>3970450.0000000005</v>
      </c>
      <c r="N151" s="211">
        <f>VLOOKUP(B151,財管手收各月!B:P, 13, 0) *0.55</f>
        <v>4368100</v>
      </c>
      <c r="O151" s="211">
        <f>VLOOKUP(B151,財管手收各月!B:P, 14, 0) *0.55</f>
        <v>1589500.0000000002</v>
      </c>
      <c r="P151" s="211">
        <f t="shared" si="2"/>
        <v>46854500</v>
      </c>
    </row>
    <row r="152" spans="1:16" s="143" customFormat="1" ht="36.75" customHeight="1">
      <c r="A152" s="55" t="s">
        <v>48</v>
      </c>
      <c r="B152" s="136">
        <v>622</v>
      </c>
      <c r="C152" s="55" t="s">
        <v>107</v>
      </c>
      <c r="D152" s="211">
        <f>VLOOKUP(B152,財管手收各月!B:P, 3, 0) *0.55</f>
        <v>4571600</v>
      </c>
      <c r="E152" s="211">
        <f>VLOOKUP(B152,財管手收各月!B:P, 4, 0) *0.55</f>
        <v>3516700.0000000005</v>
      </c>
      <c r="F152" s="211">
        <f>VLOOKUP(B152,財管手收各月!B:P, 5, 0) *0.55</f>
        <v>3516700.0000000005</v>
      </c>
      <c r="G152" s="211">
        <f>VLOOKUP(B152,財管手收各月!B:P, 6, 0) *0.55</f>
        <v>3341250.0000000005</v>
      </c>
      <c r="H152" s="211">
        <f>VLOOKUP(B152,財管手收各月!B:P, 7, 0) *0.55</f>
        <v>3868150.0000000005</v>
      </c>
      <c r="I152" s="211">
        <f>VLOOKUP(B152,財管手收各月!B:P, 8, 0) *0.55</f>
        <v>3341250.0000000005</v>
      </c>
      <c r="J152" s="211">
        <f>VLOOKUP(B152,財管手收各月!B:P, 9, 0) *0.55</f>
        <v>3341250.0000000005</v>
      </c>
      <c r="K152" s="211">
        <f>VLOOKUP(B152,財管手收各月!B:P, 10, 0) *0.55</f>
        <v>3868150.0000000005</v>
      </c>
      <c r="L152" s="211">
        <f>VLOOKUP(B152,財管手收各月!B:P, 11, 0) *0.55</f>
        <v>3341250.0000000005</v>
      </c>
      <c r="M152" s="211">
        <f>VLOOKUP(B152,財管手收各月!B:P, 12, 0) *0.55</f>
        <v>3516700.0000000005</v>
      </c>
      <c r="N152" s="211">
        <f>VLOOKUP(B152,財管手收各月!B:P, 13, 0) *0.55</f>
        <v>3868150.0000000005</v>
      </c>
      <c r="O152" s="211">
        <f>VLOOKUP(B152,財管手收各月!B:P, 14, 0) *0.55</f>
        <v>1406350</v>
      </c>
      <c r="P152" s="211">
        <f t="shared" si="2"/>
        <v>41497500</v>
      </c>
    </row>
    <row r="153" spans="1:16" s="143" customFormat="1" ht="36.75" customHeight="1">
      <c r="A153" s="55" t="s">
        <v>48</v>
      </c>
      <c r="B153" s="136">
        <v>640</v>
      </c>
      <c r="C153" s="55" t="s">
        <v>50</v>
      </c>
      <c r="D153" s="211">
        <f>VLOOKUP(B153,財管手收各月!B:P, 3, 0) *0.55</f>
        <v>6146800.0000000009</v>
      </c>
      <c r="E153" s="211">
        <f>VLOOKUP(B153,財管手收各月!B:P, 4, 0) *0.55</f>
        <v>4728350</v>
      </c>
      <c r="F153" s="211">
        <f>VLOOKUP(B153,財管手收各月!B:P, 5, 0) *0.55</f>
        <v>4728350</v>
      </c>
      <c r="G153" s="211">
        <f>VLOOKUP(B153,財管手收各月!B:P, 6, 0) *0.55</f>
        <v>4491850</v>
      </c>
      <c r="H153" s="211">
        <f>VLOOKUP(B153,財管手收各月!B:P, 7, 0) *0.55</f>
        <v>5200800</v>
      </c>
      <c r="I153" s="211">
        <f>VLOOKUP(B153,財管手收各月!B:P, 8, 0) *0.55</f>
        <v>4491850</v>
      </c>
      <c r="J153" s="211">
        <f>VLOOKUP(B153,財管手收各月!B:P, 9, 0) *0.55</f>
        <v>4491850</v>
      </c>
      <c r="K153" s="211">
        <f>VLOOKUP(B153,財管手收各月!B:P, 10, 0) *0.55</f>
        <v>5200800</v>
      </c>
      <c r="L153" s="211">
        <f>VLOOKUP(B153,財管手收各月!B:P, 11, 0) *0.55</f>
        <v>4491850</v>
      </c>
      <c r="M153" s="211">
        <f>VLOOKUP(B153,財管手收各月!B:P, 12, 0) *0.55</f>
        <v>4728350</v>
      </c>
      <c r="N153" s="211">
        <f>VLOOKUP(B153,財管手收各月!B:P, 13, 0) *0.55</f>
        <v>5200800</v>
      </c>
      <c r="O153" s="211">
        <f>VLOOKUP(B153,財管手收各月!B:P, 14, 0) *0.55</f>
        <v>1890350.0000000002</v>
      </c>
      <c r="P153" s="211">
        <f t="shared" si="2"/>
        <v>55792000</v>
      </c>
    </row>
    <row r="154" spans="1:16" s="143" customFormat="1" ht="36.75" customHeight="1">
      <c r="A154" s="55" t="s">
        <v>48</v>
      </c>
      <c r="B154" s="136">
        <v>642</v>
      </c>
      <c r="C154" s="55" t="s">
        <v>196</v>
      </c>
      <c r="D154" s="211">
        <f>VLOOKUP(B154,財管手收各月!B:P, 3, 0) *0.55</f>
        <v>5813500.0000000009</v>
      </c>
      <c r="E154" s="211">
        <f>VLOOKUP(B154,財管手收各月!B:P, 4, 0) *0.55</f>
        <v>4472600</v>
      </c>
      <c r="F154" s="211">
        <f>VLOOKUP(B154,財管手收各月!B:P, 5, 0) *0.55</f>
        <v>4472600</v>
      </c>
      <c r="G154" s="211">
        <f>VLOOKUP(B154,財管手收各月!B:P, 6, 0) *0.55</f>
        <v>4248750</v>
      </c>
      <c r="H154" s="211">
        <f>VLOOKUP(B154,財管手收各月!B:P, 7, 0) *0.55</f>
        <v>4919750</v>
      </c>
      <c r="I154" s="211">
        <f>VLOOKUP(B154,財管手收各月!B:P, 8, 0) *0.55</f>
        <v>4248750</v>
      </c>
      <c r="J154" s="211">
        <f>VLOOKUP(B154,財管手收各月!B:P, 9, 0) *0.55</f>
        <v>4248750</v>
      </c>
      <c r="K154" s="211">
        <f>VLOOKUP(B154,財管手收各月!B:P, 10, 0) *0.55</f>
        <v>4919750</v>
      </c>
      <c r="L154" s="211">
        <f>VLOOKUP(B154,財管手收各月!B:P, 11, 0) *0.55</f>
        <v>4248750</v>
      </c>
      <c r="M154" s="211">
        <f>VLOOKUP(B154,財管手收各月!B:P, 12, 0) *0.55</f>
        <v>4472600</v>
      </c>
      <c r="N154" s="211">
        <f>VLOOKUP(B154,財管手收各月!B:P, 13, 0) *0.55</f>
        <v>4919750</v>
      </c>
      <c r="O154" s="211">
        <f>VLOOKUP(B154,財管手收各月!B:P, 14, 0) *0.55</f>
        <v>1786950.0000000002</v>
      </c>
      <c r="P154" s="211">
        <f t="shared" si="2"/>
        <v>52772500</v>
      </c>
    </row>
    <row r="155" spans="1:16" s="143" customFormat="1" ht="36.75" customHeight="1">
      <c r="A155" s="55" t="s">
        <v>48</v>
      </c>
      <c r="B155" s="136">
        <v>643</v>
      </c>
      <c r="C155" s="55" t="s">
        <v>197</v>
      </c>
      <c r="D155" s="211">
        <f>VLOOKUP(B155,財管手收各月!B:P, 3, 0) *0.55</f>
        <v>3085500.0000000005</v>
      </c>
      <c r="E155" s="211">
        <f>VLOOKUP(B155,財管手收各月!B:P, 4, 0) *0.55</f>
        <v>2373800</v>
      </c>
      <c r="F155" s="211">
        <f>VLOOKUP(B155,財管手收各月!B:P, 5, 0) *0.55</f>
        <v>2373800</v>
      </c>
      <c r="G155" s="211">
        <f>VLOOKUP(B155,財管手收各月!B:P, 6, 0) *0.55</f>
        <v>2254450</v>
      </c>
      <c r="H155" s="211">
        <f>VLOOKUP(B155,財管手收各月!B:P, 7, 0) *0.55</f>
        <v>2611400</v>
      </c>
      <c r="I155" s="211">
        <f>VLOOKUP(B155,財管手收各月!B:P, 8, 0) *0.55</f>
        <v>2254450</v>
      </c>
      <c r="J155" s="211">
        <f>VLOOKUP(B155,財管手收各月!B:P, 9, 0) *0.55</f>
        <v>2254450</v>
      </c>
      <c r="K155" s="211">
        <f>VLOOKUP(B155,財管手收各月!B:P, 10, 0) *0.55</f>
        <v>2611400</v>
      </c>
      <c r="L155" s="211">
        <f>VLOOKUP(B155,財管手收各月!B:P, 11, 0) *0.55</f>
        <v>2254450</v>
      </c>
      <c r="M155" s="211">
        <f>VLOOKUP(B155,財管手收各月!B:P, 12, 0) *0.55</f>
        <v>2373800</v>
      </c>
      <c r="N155" s="211">
        <f>VLOOKUP(B155,財管手收各月!B:P, 13, 0) *0.55</f>
        <v>2611400</v>
      </c>
      <c r="O155" s="211">
        <f>VLOOKUP(B155,財管手收各月!B:P, 14, 0) *0.55</f>
        <v>947100.00000000012</v>
      </c>
      <c r="P155" s="211">
        <f t="shared" si="2"/>
        <v>28006000</v>
      </c>
    </row>
    <row r="156" spans="1:16" s="143" customFormat="1" ht="36.75" customHeight="1">
      <c r="A156" s="55" t="s">
        <v>48</v>
      </c>
      <c r="B156" s="136">
        <v>644</v>
      </c>
      <c r="C156" s="55" t="s">
        <v>51</v>
      </c>
      <c r="D156" s="211">
        <f>VLOOKUP(B156,財管手收各月!B:P, 3, 0) *0.55</f>
        <v>4356550</v>
      </c>
      <c r="E156" s="211">
        <f>VLOOKUP(B156,財管手收各月!B:P, 4, 0) *0.55</f>
        <v>3351150.0000000005</v>
      </c>
      <c r="F156" s="211">
        <f>VLOOKUP(B156,財管手收各月!B:P, 5, 0) *0.55</f>
        <v>3351150.0000000005</v>
      </c>
      <c r="G156" s="211">
        <f>VLOOKUP(B156,財管手收各月!B:P, 6, 0) *0.55</f>
        <v>3183950.0000000005</v>
      </c>
      <c r="H156" s="211">
        <f>VLOOKUP(B156,財管手收各月!B:P, 7, 0) *0.55</f>
        <v>3686650.0000000005</v>
      </c>
      <c r="I156" s="211">
        <f>VLOOKUP(B156,財管手收各月!B:P, 8, 0) *0.55</f>
        <v>3183950.0000000005</v>
      </c>
      <c r="J156" s="211">
        <f>VLOOKUP(B156,財管手收各月!B:P, 9, 0) *0.55</f>
        <v>3183950.0000000005</v>
      </c>
      <c r="K156" s="211">
        <f>VLOOKUP(B156,財管手收各月!B:P, 10, 0) *0.55</f>
        <v>3686650.0000000005</v>
      </c>
      <c r="L156" s="211">
        <f>VLOOKUP(B156,財管手收各月!B:P, 11, 0) *0.55</f>
        <v>3183950.0000000005</v>
      </c>
      <c r="M156" s="211">
        <f>VLOOKUP(B156,財管手收各月!B:P, 12, 0) *0.55</f>
        <v>3351150.0000000005</v>
      </c>
      <c r="N156" s="211">
        <f>VLOOKUP(B156,財管手收各月!B:P, 13, 0) *0.55</f>
        <v>3686650.0000000005</v>
      </c>
      <c r="O156" s="211">
        <f>VLOOKUP(B156,財管手收各月!B:P, 14, 0) *0.55</f>
        <v>1339250</v>
      </c>
      <c r="P156" s="211">
        <f t="shared" si="2"/>
        <v>39545000</v>
      </c>
    </row>
    <row r="157" spans="1:16" s="143" customFormat="1" ht="36.75" customHeight="1">
      <c r="A157" s="55" t="s">
        <v>48</v>
      </c>
      <c r="B157" s="136">
        <v>645</v>
      </c>
      <c r="C157" s="55" t="s">
        <v>198</v>
      </c>
      <c r="D157" s="211">
        <f>VLOOKUP(B157,財管手收各月!B:P, 3, 0) *0.55</f>
        <v>4333450</v>
      </c>
      <c r="E157" s="211">
        <f>VLOOKUP(B157,財管手收各月!B:P, 4, 0) *0.55</f>
        <v>3333000.0000000005</v>
      </c>
      <c r="F157" s="211">
        <f>VLOOKUP(B157,財管手收各月!B:P, 5, 0) *0.55</f>
        <v>3333000.0000000005</v>
      </c>
      <c r="G157" s="211">
        <f>VLOOKUP(B157,財管手收各月!B:P, 6, 0) *0.55</f>
        <v>3166900.0000000005</v>
      </c>
      <c r="H157" s="211">
        <f>VLOOKUP(B157,財管手收各月!B:P, 7, 0) *0.55</f>
        <v>3666850.0000000005</v>
      </c>
      <c r="I157" s="211">
        <f>VLOOKUP(B157,財管手收各月!B:P, 8, 0) *0.55</f>
        <v>3166900.0000000005</v>
      </c>
      <c r="J157" s="211">
        <f>VLOOKUP(B157,財管手收各月!B:P, 9, 0) *0.55</f>
        <v>3166900.0000000005</v>
      </c>
      <c r="K157" s="211">
        <f>VLOOKUP(B157,財管手收各月!B:P, 10, 0) *0.55</f>
        <v>3666850.0000000005</v>
      </c>
      <c r="L157" s="211">
        <f>VLOOKUP(B157,財管手收各月!B:P, 11, 0) *0.55</f>
        <v>3166900.0000000005</v>
      </c>
      <c r="M157" s="211">
        <f>VLOOKUP(B157,財管手收各月!B:P, 12, 0) *0.55</f>
        <v>3333000.0000000005</v>
      </c>
      <c r="N157" s="211">
        <f>VLOOKUP(B157,財管手收各月!B:P, 13, 0) *0.55</f>
        <v>3666850.0000000005</v>
      </c>
      <c r="O157" s="211">
        <f>VLOOKUP(B157,財管手收各月!B:P, 14, 0) *0.55</f>
        <v>1329900</v>
      </c>
      <c r="P157" s="211">
        <f t="shared" si="2"/>
        <v>39330500</v>
      </c>
    </row>
    <row r="158" spans="1:16" s="143" customFormat="1" ht="36.75" customHeight="1">
      <c r="A158" s="55" t="s">
        <v>48</v>
      </c>
      <c r="B158" s="136">
        <v>646</v>
      </c>
      <c r="C158" s="55" t="s">
        <v>199</v>
      </c>
      <c r="D158" s="211">
        <f>VLOOKUP(B158,財管手收各月!B:P, 3, 0) *0.55</f>
        <v>2927100.0000000005</v>
      </c>
      <c r="E158" s="211">
        <f>VLOOKUP(B158,財管手收各月!B:P, 4, 0) *0.55</f>
        <v>2250600</v>
      </c>
      <c r="F158" s="211">
        <f>VLOOKUP(B158,財管手收各月!B:P, 5, 0) *0.55</f>
        <v>2250600</v>
      </c>
      <c r="G158" s="211">
        <f>VLOOKUP(B158,財管手收各月!B:P, 6, 0) *0.55</f>
        <v>2138400</v>
      </c>
      <c r="H158" s="211">
        <f>VLOOKUP(B158,財管手收各月!B:P, 7, 0) *0.55</f>
        <v>2476100</v>
      </c>
      <c r="I158" s="211">
        <f>VLOOKUP(B158,財管手收各月!B:P, 8, 0) *0.55</f>
        <v>2138400</v>
      </c>
      <c r="J158" s="211">
        <f>VLOOKUP(B158,財管手收各月!B:P, 9, 0) *0.55</f>
        <v>2138400</v>
      </c>
      <c r="K158" s="211">
        <f>VLOOKUP(B158,財管手收各月!B:P, 10, 0) *0.55</f>
        <v>2476100</v>
      </c>
      <c r="L158" s="211">
        <f>VLOOKUP(B158,財管手收各月!B:P, 11, 0) *0.55</f>
        <v>2138400</v>
      </c>
      <c r="M158" s="211">
        <f>VLOOKUP(B158,財管手收各月!B:P, 12, 0) *0.55</f>
        <v>2250600</v>
      </c>
      <c r="N158" s="211">
        <f>VLOOKUP(B158,財管手收各月!B:P, 13, 0) *0.55</f>
        <v>2476100</v>
      </c>
      <c r="O158" s="211">
        <f>VLOOKUP(B158,財管手收各月!B:P, 14, 0) *0.55</f>
        <v>904200.00000000012</v>
      </c>
      <c r="P158" s="211">
        <f t="shared" si="2"/>
        <v>26565000</v>
      </c>
    </row>
    <row r="159" spans="1:16" s="143" customFormat="1" ht="36.75" customHeight="1">
      <c r="A159" s="55" t="s">
        <v>48</v>
      </c>
      <c r="B159" s="136">
        <v>647</v>
      </c>
      <c r="C159" s="55" t="s">
        <v>108</v>
      </c>
      <c r="D159" s="211">
        <f>VLOOKUP(B159,財管手收各月!B:P, 3, 0) *0.55</f>
        <v>3876400.0000000005</v>
      </c>
      <c r="E159" s="211">
        <f>VLOOKUP(B159,財管手收各月!B:P, 4, 0) *0.55</f>
        <v>2982100.0000000005</v>
      </c>
      <c r="F159" s="211">
        <f>VLOOKUP(B159,財管手收各月!B:P, 5, 0) *0.55</f>
        <v>2982100.0000000005</v>
      </c>
      <c r="G159" s="211">
        <f>VLOOKUP(B159,財管手收各月!B:P, 6, 0) *0.55</f>
        <v>2832500</v>
      </c>
      <c r="H159" s="211">
        <f>VLOOKUP(B159,財管手收各月!B:P, 7, 0) *0.55</f>
        <v>3280200.0000000005</v>
      </c>
      <c r="I159" s="211">
        <f>VLOOKUP(B159,財管手收各月!B:P, 8, 0) *0.55</f>
        <v>2832500</v>
      </c>
      <c r="J159" s="211">
        <f>VLOOKUP(B159,財管手收各月!B:P, 9, 0) *0.55</f>
        <v>2832500</v>
      </c>
      <c r="K159" s="211">
        <f>VLOOKUP(B159,財管手收各月!B:P, 10, 0) *0.55</f>
        <v>3280200.0000000005</v>
      </c>
      <c r="L159" s="211">
        <f>VLOOKUP(B159,財管手收各月!B:P, 11, 0) *0.55</f>
        <v>2832500</v>
      </c>
      <c r="M159" s="211">
        <f>VLOOKUP(B159,財管手收各月!B:P, 12, 0) *0.55</f>
        <v>2982100.0000000005</v>
      </c>
      <c r="N159" s="211">
        <f>VLOOKUP(B159,財管手收各月!B:P, 13, 0) *0.55</f>
        <v>3280200.0000000005</v>
      </c>
      <c r="O159" s="211">
        <f>VLOOKUP(B159,財管手收各月!B:P, 14, 0) *0.55</f>
        <v>1190200</v>
      </c>
      <c r="P159" s="211">
        <f t="shared" si="2"/>
        <v>35183500</v>
      </c>
    </row>
    <row r="160" spans="1:16" s="143" customFormat="1" ht="36.75" customHeight="1">
      <c r="A160" s="55" t="s">
        <v>48</v>
      </c>
      <c r="B160" s="136">
        <v>648</v>
      </c>
      <c r="C160" s="55" t="s">
        <v>200</v>
      </c>
      <c r="D160" s="211">
        <f>VLOOKUP(B160,財管手收各月!B:P, 3, 0) *0.55</f>
        <v>3014550.0000000005</v>
      </c>
      <c r="E160" s="211">
        <f>VLOOKUP(B160,財管手收各月!B:P, 4, 0) *0.55</f>
        <v>2318800</v>
      </c>
      <c r="F160" s="211">
        <f>VLOOKUP(B160,財管手收各月!B:P, 5, 0) *0.55</f>
        <v>2318800</v>
      </c>
      <c r="G160" s="211">
        <f>VLOOKUP(B160,財管手收各月!B:P, 6, 0) *0.55</f>
        <v>2202750</v>
      </c>
      <c r="H160" s="211">
        <f>VLOOKUP(B160,財管手收各月!B:P, 7, 0) *0.55</f>
        <v>2550900</v>
      </c>
      <c r="I160" s="211">
        <f>VLOOKUP(B160,財管手收各月!B:P, 8, 0) *0.55</f>
        <v>2202750</v>
      </c>
      <c r="J160" s="211">
        <f>VLOOKUP(B160,財管手收各月!B:P, 9, 0) *0.55</f>
        <v>2202750</v>
      </c>
      <c r="K160" s="211">
        <f>VLOOKUP(B160,財管手收各月!B:P, 10, 0) *0.55</f>
        <v>2550900</v>
      </c>
      <c r="L160" s="211">
        <f>VLOOKUP(B160,財管手收各月!B:P, 11, 0) *0.55</f>
        <v>2202750</v>
      </c>
      <c r="M160" s="211">
        <f>VLOOKUP(B160,財管手收各月!B:P, 12, 0) *0.55</f>
        <v>2318800</v>
      </c>
      <c r="N160" s="211">
        <f>VLOOKUP(B160,財管手收各月!B:P, 13, 0) *0.55</f>
        <v>2550900</v>
      </c>
      <c r="O160" s="211">
        <f>VLOOKUP(B160,財管手收各月!B:P, 14, 0) *0.55</f>
        <v>927850.00000000012</v>
      </c>
      <c r="P160" s="211">
        <f t="shared" si="2"/>
        <v>27362500</v>
      </c>
    </row>
    <row r="161" spans="1:16" s="143" customFormat="1" ht="36.75" customHeight="1">
      <c r="A161" s="55" t="s">
        <v>48</v>
      </c>
      <c r="B161" s="136">
        <v>681</v>
      </c>
      <c r="C161" s="55" t="s">
        <v>52</v>
      </c>
      <c r="D161" s="211">
        <f>VLOOKUP(B161,財管手收各月!B:P, 3, 0) *0.55</f>
        <v>3378100.0000000005</v>
      </c>
      <c r="E161" s="211">
        <f>VLOOKUP(B161,財管手收各月!B:P, 4, 0) *0.55</f>
        <v>2599300</v>
      </c>
      <c r="F161" s="211">
        <f>VLOOKUP(B161,財管手收各月!B:P, 5, 0) *0.55</f>
        <v>2599300</v>
      </c>
      <c r="G161" s="211">
        <f>VLOOKUP(B161,財管手收各月!B:P, 6, 0) *0.55</f>
        <v>2468950</v>
      </c>
      <c r="H161" s="211">
        <f>VLOOKUP(B161,財管手收各月!B:P, 7, 0) *0.55</f>
        <v>2858900</v>
      </c>
      <c r="I161" s="211">
        <f>VLOOKUP(B161,財管手收各月!B:P, 8, 0) *0.55</f>
        <v>2468950</v>
      </c>
      <c r="J161" s="211">
        <f>VLOOKUP(B161,財管手收各月!B:P, 9, 0) *0.55</f>
        <v>2468950</v>
      </c>
      <c r="K161" s="211">
        <f>VLOOKUP(B161,財管手收各月!B:P, 10, 0) *0.55</f>
        <v>2858900</v>
      </c>
      <c r="L161" s="211">
        <f>VLOOKUP(B161,財管手收各月!B:P, 11, 0) *0.55</f>
        <v>2468950</v>
      </c>
      <c r="M161" s="211">
        <f>VLOOKUP(B161,財管手收各月!B:P, 12, 0) *0.55</f>
        <v>2599300</v>
      </c>
      <c r="N161" s="211">
        <f>VLOOKUP(B161,財管手收各月!B:P, 13, 0) *0.55</f>
        <v>2858900</v>
      </c>
      <c r="O161" s="211">
        <f>VLOOKUP(B161,財管手收各月!B:P, 14, 0) *0.55</f>
        <v>1039500.0000000001</v>
      </c>
      <c r="P161" s="211">
        <f t="shared" si="2"/>
        <v>30668000</v>
      </c>
    </row>
    <row r="162" spans="1:16" s="143" customFormat="1" ht="36.75" customHeight="1">
      <c r="A162" s="55" t="s">
        <v>48</v>
      </c>
      <c r="B162" s="136">
        <v>700</v>
      </c>
      <c r="C162" s="55" t="s">
        <v>201</v>
      </c>
      <c r="D162" s="211">
        <f>VLOOKUP(B162,財管手收各月!B:P, 3, 0) *0.55</f>
        <v>5451600</v>
      </c>
      <c r="E162" s="211">
        <f>VLOOKUP(B162,財管手收各月!B:P, 4, 0) *0.55</f>
        <v>4193200.0000000005</v>
      </c>
      <c r="F162" s="211">
        <f>VLOOKUP(B162,財管手收各月!B:P, 5, 0) *0.55</f>
        <v>4193200.0000000005</v>
      </c>
      <c r="G162" s="211">
        <f>VLOOKUP(B162,財管手收各月!B:P, 6, 0) *0.55</f>
        <v>3983650.0000000005</v>
      </c>
      <c r="H162" s="211">
        <f>VLOOKUP(B162,財管手收各月!B:P, 7, 0) *0.55</f>
        <v>4612300</v>
      </c>
      <c r="I162" s="211">
        <f>VLOOKUP(B162,財管手收各月!B:P, 8, 0) *0.55</f>
        <v>3983650.0000000005</v>
      </c>
      <c r="J162" s="211">
        <f>VLOOKUP(B162,財管手收各月!B:P, 9, 0) *0.55</f>
        <v>3983650.0000000005</v>
      </c>
      <c r="K162" s="211">
        <f>VLOOKUP(B162,財管手收各月!B:P, 10, 0) *0.55</f>
        <v>4612300</v>
      </c>
      <c r="L162" s="211">
        <f>VLOOKUP(B162,財管手收各月!B:P, 11, 0) *0.55</f>
        <v>3983650.0000000005</v>
      </c>
      <c r="M162" s="211">
        <f>VLOOKUP(B162,財管手收各月!B:P, 12, 0) *0.55</f>
        <v>4193200.0000000005</v>
      </c>
      <c r="N162" s="211">
        <f>VLOOKUP(B162,財管手收各月!B:P, 13, 0) *0.55</f>
        <v>4612300</v>
      </c>
      <c r="O162" s="211">
        <f>VLOOKUP(B162,財管手收各月!B:P, 14, 0) *0.55</f>
        <v>1680800.0000000002</v>
      </c>
      <c r="P162" s="211">
        <f t="shared" si="2"/>
        <v>49483500</v>
      </c>
    </row>
    <row r="163" spans="1:16" s="143" customFormat="1" ht="36.75" customHeight="1">
      <c r="A163" s="55" t="s">
        <v>48</v>
      </c>
      <c r="B163" s="136">
        <v>701</v>
      </c>
      <c r="C163" s="55" t="s">
        <v>202</v>
      </c>
      <c r="D163" s="211">
        <f>VLOOKUP(B163,財管手收各月!B:P, 3, 0) *0.55</f>
        <v>2824800</v>
      </c>
      <c r="E163" s="211">
        <f>VLOOKUP(B163,財管手收各月!B:P, 4, 0) *0.55</f>
        <v>2172500</v>
      </c>
      <c r="F163" s="211">
        <f>VLOOKUP(B163,財管手收各月!B:P, 5, 0) *0.55</f>
        <v>2172500</v>
      </c>
      <c r="G163" s="211">
        <f>VLOOKUP(B163,財管手收各月!B:P, 6, 0) *0.55</f>
        <v>2064700.0000000002</v>
      </c>
      <c r="H163" s="211">
        <f>VLOOKUP(B163,財管手收各月!B:P, 7, 0) *0.55</f>
        <v>2390300</v>
      </c>
      <c r="I163" s="211">
        <f>VLOOKUP(B163,財管手收各月!B:P, 8, 0) *0.55</f>
        <v>2064700.0000000002</v>
      </c>
      <c r="J163" s="211">
        <f>VLOOKUP(B163,財管手收各月!B:P, 9, 0) *0.55</f>
        <v>2064700.0000000002</v>
      </c>
      <c r="K163" s="211">
        <f>VLOOKUP(B163,財管手收各月!B:P, 10, 0) *0.55</f>
        <v>2390300</v>
      </c>
      <c r="L163" s="211">
        <f>VLOOKUP(B163,財管手收各月!B:P, 11, 0) *0.55</f>
        <v>2064700.0000000002</v>
      </c>
      <c r="M163" s="211">
        <f>VLOOKUP(B163,財管手收各月!B:P, 12, 0) *0.55</f>
        <v>2172500</v>
      </c>
      <c r="N163" s="211">
        <f>VLOOKUP(B163,財管手收各月!B:P, 13, 0) *0.55</f>
        <v>2390300</v>
      </c>
      <c r="O163" s="211">
        <f>VLOOKUP(B163,財管手收各月!B:P, 14, 0) *0.55</f>
        <v>869000.00000000012</v>
      </c>
      <c r="P163" s="211">
        <f t="shared" si="2"/>
        <v>25641000</v>
      </c>
    </row>
    <row r="164" spans="1:16" s="143" customFormat="1" ht="36.75" customHeight="1">
      <c r="A164" s="55" t="s">
        <v>48</v>
      </c>
      <c r="B164" s="136">
        <v>702</v>
      </c>
      <c r="C164" s="55" t="s">
        <v>203</v>
      </c>
      <c r="D164" s="211">
        <f>VLOOKUP(B164,財管手收各月!B:P, 3, 0) *0.55</f>
        <v>4144800.0000000005</v>
      </c>
      <c r="E164" s="211">
        <f>VLOOKUP(B164,財管手收各月!B:P, 4, 0) *0.55</f>
        <v>3187800.0000000005</v>
      </c>
      <c r="F164" s="211">
        <f>VLOOKUP(B164,財管手收各月!B:P, 5, 0) *0.55</f>
        <v>3187800.0000000005</v>
      </c>
      <c r="G164" s="211">
        <f>VLOOKUP(B164,財管手收各月!B:P, 6, 0) *0.55</f>
        <v>3028850.0000000005</v>
      </c>
      <c r="H164" s="211">
        <f>VLOOKUP(B164,財管手收各月!B:P, 7, 0) *0.55</f>
        <v>3506800.0000000005</v>
      </c>
      <c r="I164" s="211">
        <f>VLOOKUP(B164,財管手收各月!B:P, 8, 0) *0.55</f>
        <v>3028850.0000000005</v>
      </c>
      <c r="J164" s="211">
        <f>VLOOKUP(B164,財管手收各月!B:P, 9, 0) *0.55</f>
        <v>3028850.0000000005</v>
      </c>
      <c r="K164" s="211">
        <f>VLOOKUP(B164,財管手收各月!B:P, 10, 0) *0.55</f>
        <v>3506800.0000000005</v>
      </c>
      <c r="L164" s="211">
        <f>VLOOKUP(B164,財管手收各月!B:P, 11, 0) *0.55</f>
        <v>3028850.0000000005</v>
      </c>
      <c r="M164" s="211">
        <f>VLOOKUP(B164,財管手收各月!B:P, 12, 0) *0.55</f>
        <v>3187800.0000000005</v>
      </c>
      <c r="N164" s="211">
        <f>VLOOKUP(B164,財管手收各月!B:P, 13, 0) *0.55</f>
        <v>3506800.0000000005</v>
      </c>
      <c r="O164" s="211">
        <f>VLOOKUP(B164,財管手收各月!B:P, 14, 0) *0.55</f>
        <v>1276000</v>
      </c>
      <c r="P164" s="211">
        <f t="shared" si="2"/>
        <v>37620000.000000007</v>
      </c>
    </row>
    <row r="165" spans="1:16" s="143" customFormat="1" ht="36.75" customHeight="1">
      <c r="A165" s="55" t="s">
        <v>48</v>
      </c>
      <c r="B165" s="136">
        <v>703</v>
      </c>
      <c r="C165" s="55" t="s">
        <v>53</v>
      </c>
      <c r="D165" s="211">
        <f>VLOOKUP(B165,財管手收各月!B:P, 3, 0) *0.55</f>
        <v>2957350.0000000005</v>
      </c>
      <c r="E165" s="211">
        <f>VLOOKUP(B165,財管手收各月!B:P, 4, 0) *0.55</f>
        <v>2274800</v>
      </c>
      <c r="F165" s="211">
        <f>VLOOKUP(B165,財管手收各月!B:P, 5, 0) *0.55</f>
        <v>2274800</v>
      </c>
      <c r="G165" s="211">
        <f>VLOOKUP(B165,財管手收各月!B:P, 6, 0) *0.55</f>
        <v>2160950</v>
      </c>
      <c r="H165" s="211">
        <f>VLOOKUP(B165,財管手收各月!B:P, 7, 0) *0.55</f>
        <v>2502500</v>
      </c>
      <c r="I165" s="211">
        <f>VLOOKUP(B165,財管手收各月!B:P, 8, 0) *0.55</f>
        <v>2160950</v>
      </c>
      <c r="J165" s="211">
        <f>VLOOKUP(B165,財管手收各月!B:P, 9, 0) *0.55</f>
        <v>2160950</v>
      </c>
      <c r="K165" s="211">
        <f>VLOOKUP(B165,財管手收各月!B:P, 10, 0) *0.55</f>
        <v>2502500</v>
      </c>
      <c r="L165" s="211">
        <f>VLOOKUP(B165,財管手收各月!B:P, 11, 0) *0.55</f>
        <v>2160950</v>
      </c>
      <c r="M165" s="211">
        <f>VLOOKUP(B165,財管手收各月!B:P, 12, 0) *0.55</f>
        <v>2274800</v>
      </c>
      <c r="N165" s="211">
        <f>VLOOKUP(B165,財管手收各月!B:P, 13, 0) *0.55</f>
        <v>2502500</v>
      </c>
      <c r="O165" s="211">
        <f>VLOOKUP(B165,財管手收各月!B:P, 14, 0) *0.55</f>
        <v>912450.00000000012</v>
      </c>
      <c r="P165" s="211">
        <f t="shared" si="2"/>
        <v>26845500</v>
      </c>
    </row>
    <row r="166" spans="1:16" s="143" customFormat="1" ht="36.75" customHeight="1">
      <c r="A166" s="55" t="s">
        <v>48</v>
      </c>
      <c r="B166" s="136">
        <v>704</v>
      </c>
      <c r="C166" s="55" t="s">
        <v>54</v>
      </c>
      <c r="D166" s="211">
        <f>VLOOKUP(B166,財管手收各月!B:P, 3, 0) *0.55</f>
        <v>2790150</v>
      </c>
      <c r="E166" s="211">
        <f>VLOOKUP(B166,財管手收各月!B:P, 4, 0) *0.55</f>
        <v>2146100</v>
      </c>
      <c r="F166" s="211">
        <f>VLOOKUP(B166,財管手收各月!B:P, 5, 0) *0.55</f>
        <v>2146100</v>
      </c>
      <c r="G166" s="211">
        <f>VLOOKUP(B166,財管手收各月!B:P, 6, 0) *0.55</f>
        <v>2039400.0000000002</v>
      </c>
      <c r="H166" s="211">
        <f>VLOOKUP(B166,財管手收各月!B:P, 7, 0) *0.55</f>
        <v>2360600</v>
      </c>
      <c r="I166" s="211">
        <f>VLOOKUP(B166,財管手收各月!B:P, 8, 0) *0.55</f>
        <v>2039400.0000000002</v>
      </c>
      <c r="J166" s="211">
        <f>VLOOKUP(B166,財管手收各月!B:P, 9, 0) *0.55</f>
        <v>2039400.0000000002</v>
      </c>
      <c r="K166" s="211">
        <f>VLOOKUP(B166,財管手收各月!B:P, 10, 0) *0.55</f>
        <v>2360600</v>
      </c>
      <c r="L166" s="211">
        <f>VLOOKUP(B166,財管手收各月!B:P, 11, 0) *0.55</f>
        <v>2039400.0000000002</v>
      </c>
      <c r="M166" s="211">
        <f>VLOOKUP(B166,財管手收各月!B:P, 12, 0) *0.55</f>
        <v>2146100</v>
      </c>
      <c r="N166" s="211">
        <f>VLOOKUP(B166,財管手收各月!B:P, 13, 0) *0.55</f>
        <v>2360600</v>
      </c>
      <c r="O166" s="211">
        <f>VLOOKUP(B166,財管手收各月!B:P, 14, 0) *0.55</f>
        <v>859650.00000000012</v>
      </c>
      <c r="P166" s="211">
        <f t="shared" si="2"/>
        <v>25327500</v>
      </c>
    </row>
    <row r="167" spans="1:16" s="143" customFormat="1" ht="36.75" customHeight="1">
      <c r="A167" s="55" t="s">
        <v>48</v>
      </c>
      <c r="B167" s="136">
        <v>705</v>
      </c>
      <c r="C167" s="55" t="s">
        <v>109</v>
      </c>
      <c r="D167" s="211">
        <f>VLOOKUP(B167,財管手收各月!B:P, 3, 0) *0.55</f>
        <v>2455750</v>
      </c>
      <c r="E167" s="211">
        <f>VLOOKUP(B167,財管手收各月!B:P, 4, 0) *0.55</f>
        <v>1889250.0000000002</v>
      </c>
      <c r="F167" s="211">
        <f>VLOOKUP(B167,財管手收各月!B:P, 5, 0) *0.55</f>
        <v>1889250.0000000002</v>
      </c>
      <c r="G167" s="211">
        <f>VLOOKUP(B167,財管手收各月!B:P, 6, 0) *0.55</f>
        <v>1794650.0000000002</v>
      </c>
      <c r="H167" s="211">
        <f>VLOOKUP(B167,財管手收各月!B:P, 7, 0) *0.55</f>
        <v>2078450.0000000002</v>
      </c>
      <c r="I167" s="211">
        <f>VLOOKUP(B167,財管手收各月!B:P, 8, 0) *0.55</f>
        <v>1794650.0000000002</v>
      </c>
      <c r="J167" s="211">
        <f>VLOOKUP(B167,財管手收各月!B:P, 9, 0) *0.55</f>
        <v>1794650.0000000002</v>
      </c>
      <c r="K167" s="211">
        <f>VLOOKUP(B167,財管手收各月!B:P, 10, 0) *0.55</f>
        <v>2078450.0000000002</v>
      </c>
      <c r="L167" s="211">
        <f>VLOOKUP(B167,財管手收各月!B:P, 11, 0) *0.55</f>
        <v>1794650.0000000002</v>
      </c>
      <c r="M167" s="211">
        <f>VLOOKUP(B167,財管手收各月!B:P, 12, 0) *0.55</f>
        <v>1889250.0000000002</v>
      </c>
      <c r="N167" s="211">
        <f>VLOOKUP(B167,財管手收各月!B:P, 13, 0) *0.55</f>
        <v>2078450.0000000002</v>
      </c>
      <c r="O167" s="211">
        <f>VLOOKUP(B167,財管手收各月!B:P, 14, 0) *0.55</f>
        <v>754050.00000000012</v>
      </c>
      <c r="P167" s="211">
        <f t="shared" si="2"/>
        <v>22291500</v>
      </c>
    </row>
    <row r="168" spans="1:16" s="143" customFormat="1" ht="36.75" customHeight="1">
      <c r="A168" s="55" t="s">
        <v>48</v>
      </c>
      <c r="B168" s="136">
        <v>706</v>
      </c>
      <c r="C168" s="55" t="s">
        <v>55</v>
      </c>
      <c r="D168" s="211">
        <f>VLOOKUP(B168,財管手收各月!B:P, 3, 0) *0.55</f>
        <v>3852200.0000000005</v>
      </c>
      <c r="E168" s="211">
        <f>VLOOKUP(B168,財管手收各月!B:P, 4, 0) *0.55</f>
        <v>2963950.0000000005</v>
      </c>
      <c r="F168" s="211">
        <f>VLOOKUP(B168,財管手收各月!B:P, 5, 0) *0.55</f>
        <v>2963950.0000000005</v>
      </c>
      <c r="G168" s="211">
        <f>VLOOKUP(B168,財管手收各月!B:P, 6, 0) *0.55</f>
        <v>2816000</v>
      </c>
      <c r="H168" s="211">
        <f>VLOOKUP(B168,財管手收各月!B:P, 7, 0) *0.55</f>
        <v>3259850.0000000005</v>
      </c>
      <c r="I168" s="211">
        <f>VLOOKUP(B168,財管手收各月!B:P, 8, 0) *0.55</f>
        <v>2816000</v>
      </c>
      <c r="J168" s="211">
        <f>VLOOKUP(B168,財管手收各月!B:P, 9, 0) *0.55</f>
        <v>2816000</v>
      </c>
      <c r="K168" s="211">
        <f>VLOOKUP(B168,財管手收各月!B:P, 10, 0) *0.55</f>
        <v>3259850.0000000005</v>
      </c>
      <c r="L168" s="211">
        <f>VLOOKUP(B168,財管手收各月!B:P, 11, 0) *0.55</f>
        <v>2816000</v>
      </c>
      <c r="M168" s="211">
        <f>VLOOKUP(B168,財管手收各月!B:P, 12, 0) *0.55</f>
        <v>2963950.0000000005</v>
      </c>
      <c r="N168" s="211">
        <f>VLOOKUP(B168,財管手收各月!B:P, 13, 0) *0.55</f>
        <v>3259850.0000000005</v>
      </c>
      <c r="O168" s="211">
        <f>VLOOKUP(B168,財管手收各月!B:P, 14, 0) *0.55</f>
        <v>1181400</v>
      </c>
      <c r="P168" s="211">
        <f t="shared" si="2"/>
        <v>34969000</v>
      </c>
    </row>
    <row r="169" spans="1:16" s="143" customFormat="1" ht="36.75" customHeight="1">
      <c r="A169" s="55" t="s">
        <v>48</v>
      </c>
      <c r="B169" s="136">
        <v>707</v>
      </c>
      <c r="C169" s="55" t="s">
        <v>110</v>
      </c>
      <c r="D169" s="211">
        <f>VLOOKUP(B169,財管手收各月!B:P, 3, 0) *0.55</f>
        <v>2297900</v>
      </c>
      <c r="E169" s="211">
        <f>VLOOKUP(B169,財管手收各月!B:P, 4, 0) *0.55</f>
        <v>1767700.0000000002</v>
      </c>
      <c r="F169" s="211">
        <f>VLOOKUP(B169,財管手收各月!B:P, 5, 0) *0.55</f>
        <v>1767700.0000000002</v>
      </c>
      <c r="G169" s="211">
        <f>VLOOKUP(B169,財管手收各月!B:P, 6, 0) *0.55</f>
        <v>1679150.0000000002</v>
      </c>
      <c r="H169" s="211">
        <f>VLOOKUP(B169,財管手收各月!B:P, 7, 0) *0.55</f>
        <v>1943700.0000000002</v>
      </c>
      <c r="I169" s="211">
        <f>VLOOKUP(B169,財管手收各月!B:P, 8, 0) *0.55</f>
        <v>1679150.0000000002</v>
      </c>
      <c r="J169" s="211">
        <f>VLOOKUP(B169,財管手收各月!B:P, 9, 0) *0.55</f>
        <v>1679150.0000000002</v>
      </c>
      <c r="K169" s="211">
        <f>VLOOKUP(B169,財管手收各月!B:P, 10, 0) *0.55</f>
        <v>1943700.0000000002</v>
      </c>
      <c r="L169" s="211">
        <f>VLOOKUP(B169,財管手收各月!B:P, 11, 0) *0.55</f>
        <v>1679150.0000000002</v>
      </c>
      <c r="M169" s="211">
        <f>VLOOKUP(B169,財管手收各月!B:P, 12, 0) *0.55</f>
        <v>1767700.0000000002</v>
      </c>
      <c r="N169" s="211">
        <f>VLOOKUP(B169,財管手收各月!B:P, 13, 0) *0.55</f>
        <v>1943700.0000000002</v>
      </c>
      <c r="O169" s="211">
        <f>VLOOKUP(B169,財管手收各月!B:P, 14, 0) *0.55</f>
        <v>707300</v>
      </c>
      <c r="P169" s="211">
        <f t="shared" si="2"/>
        <v>20856000</v>
      </c>
    </row>
    <row r="170" spans="1:16" s="143" customFormat="1" ht="36.75" customHeight="1">
      <c r="A170" s="55" t="s">
        <v>48</v>
      </c>
      <c r="B170" s="136">
        <v>708</v>
      </c>
      <c r="C170" s="55" t="s">
        <v>56</v>
      </c>
      <c r="D170" s="211">
        <f>VLOOKUP(B170,財管手收各月!B:P, 3, 0) *0.55</f>
        <v>3229600.0000000005</v>
      </c>
      <c r="E170" s="211">
        <f>VLOOKUP(B170,財管手收各月!B:P, 4, 0) *0.55</f>
        <v>2483800</v>
      </c>
      <c r="F170" s="211">
        <f>VLOOKUP(B170,財管手收各月!B:P, 5, 0) *0.55</f>
        <v>2483800</v>
      </c>
      <c r="G170" s="211">
        <f>VLOOKUP(B170,財管手收各月!B:P, 6, 0) *0.55</f>
        <v>2360050</v>
      </c>
      <c r="H170" s="211">
        <f>VLOOKUP(B170,財管手收各月!B:P, 7, 0) *0.55</f>
        <v>2732400</v>
      </c>
      <c r="I170" s="211">
        <f>VLOOKUP(B170,財管手收各月!B:P, 8, 0) *0.55</f>
        <v>2360050</v>
      </c>
      <c r="J170" s="211">
        <f>VLOOKUP(B170,財管手收各月!B:P, 9, 0) *0.55</f>
        <v>2360050</v>
      </c>
      <c r="K170" s="211">
        <f>VLOOKUP(B170,財管手收各月!B:P, 10, 0) *0.55</f>
        <v>2732400</v>
      </c>
      <c r="L170" s="211">
        <f>VLOOKUP(B170,財管手收各月!B:P, 11, 0) *0.55</f>
        <v>2360050</v>
      </c>
      <c r="M170" s="211">
        <f>VLOOKUP(B170,財管手收各月!B:P, 12, 0) *0.55</f>
        <v>2483800</v>
      </c>
      <c r="N170" s="211">
        <f>VLOOKUP(B170,財管手收各月!B:P, 13, 0) *0.55</f>
        <v>2732400</v>
      </c>
      <c r="O170" s="211">
        <f>VLOOKUP(B170,財管手收各月!B:P, 14, 0) *0.55</f>
        <v>991100.00000000012</v>
      </c>
      <c r="P170" s="211">
        <f t="shared" si="2"/>
        <v>29309500</v>
      </c>
    </row>
    <row r="171" spans="1:16" s="143" customFormat="1" ht="36.75" customHeight="1">
      <c r="A171" s="55" t="s">
        <v>48</v>
      </c>
      <c r="B171" s="136">
        <v>709</v>
      </c>
      <c r="C171" s="55" t="s">
        <v>204</v>
      </c>
      <c r="D171" s="211">
        <f>VLOOKUP(B171,財管手收各月!B:P, 3, 0) *0.55</f>
        <v>3588750.0000000005</v>
      </c>
      <c r="E171" s="211">
        <f>VLOOKUP(B171,財管手收各月!B:P, 4, 0) *0.55</f>
        <v>2760450</v>
      </c>
      <c r="F171" s="211">
        <f>VLOOKUP(B171,財管手收各月!B:P, 5, 0) *0.55</f>
        <v>2760450</v>
      </c>
      <c r="G171" s="211">
        <f>VLOOKUP(B171,財管手收各月!B:P, 6, 0) *0.55</f>
        <v>2621850</v>
      </c>
      <c r="H171" s="211">
        <f>VLOOKUP(B171,財管手收各月!B:P, 7, 0) *0.55</f>
        <v>3036550.0000000005</v>
      </c>
      <c r="I171" s="211">
        <f>VLOOKUP(B171,財管手收各月!B:P, 8, 0) *0.55</f>
        <v>2621850</v>
      </c>
      <c r="J171" s="211">
        <f>VLOOKUP(B171,財管手收各月!B:P, 9, 0) *0.55</f>
        <v>2621850</v>
      </c>
      <c r="K171" s="211">
        <f>VLOOKUP(B171,財管手收各月!B:P, 10, 0) *0.55</f>
        <v>3036550.0000000005</v>
      </c>
      <c r="L171" s="211">
        <f>VLOOKUP(B171,財管手收各月!B:P, 11, 0) *0.55</f>
        <v>2621850</v>
      </c>
      <c r="M171" s="211">
        <f>VLOOKUP(B171,財管手收各月!B:P, 12, 0) *0.55</f>
        <v>2760450</v>
      </c>
      <c r="N171" s="211">
        <f>VLOOKUP(B171,財管手收各月!B:P, 13, 0) *0.55</f>
        <v>3036550.0000000005</v>
      </c>
      <c r="O171" s="211">
        <f>VLOOKUP(B171,財管手收各月!B:P, 14, 0) *0.55</f>
        <v>1103850</v>
      </c>
      <c r="P171" s="211">
        <f t="shared" si="2"/>
        <v>32571000</v>
      </c>
    </row>
    <row r="172" spans="1:16" s="143" customFormat="1" ht="36.75" customHeight="1">
      <c r="A172" s="55" t="s">
        <v>48</v>
      </c>
      <c r="B172" s="136">
        <v>710</v>
      </c>
      <c r="C172" s="55" t="s">
        <v>111</v>
      </c>
      <c r="D172" s="211">
        <f>VLOOKUP(B172,財管手收各月!B:P, 3, 0) *0.55</f>
        <v>4138200.0000000005</v>
      </c>
      <c r="E172" s="211">
        <f>VLOOKUP(B172,財管手收各月!B:P, 4, 0) *0.55</f>
        <v>3183400.0000000005</v>
      </c>
      <c r="F172" s="211">
        <f>VLOOKUP(B172,財管手收各月!B:P, 5, 0) *0.55</f>
        <v>3183400.0000000005</v>
      </c>
      <c r="G172" s="211">
        <f>VLOOKUP(B172,財管手收各月!B:P, 6, 0) *0.55</f>
        <v>3024450.0000000005</v>
      </c>
      <c r="H172" s="211">
        <f>VLOOKUP(B172,財管手收各月!B:P, 7, 0) *0.55</f>
        <v>3502400.0000000005</v>
      </c>
      <c r="I172" s="211">
        <f>VLOOKUP(B172,財管手收各月!B:P, 8, 0) *0.55</f>
        <v>3024450.0000000005</v>
      </c>
      <c r="J172" s="211">
        <f>VLOOKUP(B172,財管手收各月!B:P, 9, 0) *0.55</f>
        <v>3024450.0000000005</v>
      </c>
      <c r="K172" s="211">
        <f>VLOOKUP(B172,財管手收各月!B:P, 10, 0) *0.55</f>
        <v>3502400.0000000005</v>
      </c>
      <c r="L172" s="211">
        <f>VLOOKUP(B172,財管手收各月!B:P, 11, 0) *0.55</f>
        <v>3024450.0000000005</v>
      </c>
      <c r="M172" s="211">
        <f>VLOOKUP(B172,財管手收各月!B:P, 12, 0) *0.55</f>
        <v>3183400.0000000005</v>
      </c>
      <c r="N172" s="211">
        <f>VLOOKUP(B172,財管手收各月!B:P, 13, 0) *0.55</f>
        <v>3502400.0000000005</v>
      </c>
      <c r="O172" s="211">
        <f>VLOOKUP(B172,財管手收各月!B:P, 14, 0) *0.55</f>
        <v>1271600</v>
      </c>
      <c r="P172" s="211">
        <f t="shared" si="2"/>
        <v>37565000.000000007</v>
      </c>
    </row>
    <row r="173" spans="1:16" s="143" customFormat="1" ht="36.75" customHeight="1">
      <c r="A173" s="55" t="s">
        <v>48</v>
      </c>
      <c r="B173" s="136">
        <v>711</v>
      </c>
      <c r="C173" s="55" t="s">
        <v>57</v>
      </c>
      <c r="D173" s="211">
        <f>VLOOKUP(B173,財管手收各月!B:P, 3, 0) *0.55</f>
        <v>3190550.0000000005</v>
      </c>
      <c r="E173" s="211">
        <f>VLOOKUP(B173,財管手收各月!B:P, 4, 0) *0.55</f>
        <v>2454100</v>
      </c>
      <c r="F173" s="211">
        <f>VLOOKUP(B173,財管手收各月!B:P, 5, 0) *0.55</f>
        <v>2454100</v>
      </c>
      <c r="G173" s="211">
        <f>VLOOKUP(B173,財管手收各月!B:P, 6, 0) *0.55</f>
        <v>2330350</v>
      </c>
      <c r="H173" s="211">
        <f>VLOOKUP(B173,財管手收各月!B:P, 7, 0) *0.55</f>
        <v>2699400</v>
      </c>
      <c r="I173" s="211">
        <f>VLOOKUP(B173,財管手收各月!B:P, 8, 0) *0.55</f>
        <v>2330350</v>
      </c>
      <c r="J173" s="211">
        <f>VLOOKUP(B173,財管手收各月!B:P, 9, 0) *0.55</f>
        <v>2330350</v>
      </c>
      <c r="K173" s="211">
        <f>VLOOKUP(B173,財管手收各月!B:P, 10, 0) *0.55</f>
        <v>2699400</v>
      </c>
      <c r="L173" s="211">
        <f>VLOOKUP(B173,財管手收各月!B:P, 11, 0) *0.55</f>
        <v>2330350</v>
      </c>
      <c r="M173" s="211">
        <f>VLOOKUP(B173,財管手收各月!B:P, 12, 0) *0.55</f>
        <v>2454100</v>
      </c>
      <c r="N173" s="211">
        <f>VLOOKUP(B173,財管手收各月!B:P, 13, 0) *0.55</f>
        <v>2699400</v>
      </c>
      <c r="O173" s="211">
        <f>VLOOKUP(B173,財管手收各月!B:P, 14, 0) *0.55</f>
        <v>985050.00000000012</v>
      </c>
      <c r="P173" s="211">
        <f t="shared" si="2"/>
        <v>28957500</v>
      </c>
    </row>
    <row r="174" spans="1:16" s="143" customFormat="1" ht="36.75" customHeight="1">
      <c r="A174" s="55" t="s">
        <v>48</v>
      </c>
      <c r="B174" s="136">
        <v>712</v>
      </c>
      <c r="C174" s="55" t="s">
        <v>58</v>
      </c>
      <c r="D174" s="211">
        <f>VLOOKUP(B174,財管手收各月!B:P, 3, 0) *0.55</f>
        <v>1352450</v>
      </c>
      <c r="E174" s="211">
        <f>VLOOKUP(B174,財管手收各月!B:P, 4, 0) *0.55</f>
        <v>1040600.0000000001</v>
      </c>
      <c r="F174" s="211">
        <f>VLOOKUP(B174,財管手收各月!B:P, 5, 0) *0.55</f>
        <v>1040600.0000000001</v>
      </c>
      <c r="G174" s="211">
        <f>VLOOKUP(B174,財管手收各月!B:P, 6, 0) *0.55</f>
        <v>988350.00000000012</v>
      </c>
      <c r="H174" s="211">
        <f>VLOOKUP(B174,財管手收各月!B:P, 7, 0) *0.55</f>
        <v>1144550</v>
      </c>
      <c r="I174" s="211">
        <f>VLOOKUP(B174,財管手收各月!B:P, 8, 0) *0.55</f>
        <v>988350.00000000012</v>
      </c>
      <c r="J174" s="211">
        <f>VLOOKUP(B174,財管手收各月!B:P, 9, 0) *0.55</f>
        <v>988350.00000000012</v>
      </c>
      <c r="K174" s="211">
        <f>VLOOKUP(B174,財管手收各月!B:P, 10, 0) *0.55</f>
        <v>1144550</v>
      </c>
      <c r="L174" s="211">
        <f>VLOOKUP(B174,財管手收各月!B:P, 11, 0) *0.55</f>
        <v>988350.00000000012</v>
      </c>
      <c r="M174" s="211">
        <f>VLOOKUP(B174,財管手收各月!B:P, 12, 0) *0.55</f>
        <v>1040600.0000000001</v>
      </c>
      <c r="N174" s="211">
        <f>VLOOKUP(B174,財管手收各月!B:P, 13, 0) *0.55</f>
        <v>1144550</v>
      </c>
      <c r="O174" s="211">
        <f>VLOOKUP(B174,財管手收各月!B:P, 14, 0) *0.55</f>
        <v>409200.00000000006</v>
      </c>
      <c r="P174" s="211">
        <f t="shared" si="2"/>
        <v>12270500</v>
      </c>
    </row>
    <row r="175" spans="1:16" s="143" customFormat="1" ht="36.75" customHeight="1">
      <c r="A175" s="55" t="s">
        <v>48</v>
      </c>
      <c r="B175" s="136">
        <v>719</v>
      </c>
      <c r="C175" s="55" t="s">
        <v>59</v>
      </c>
      <c r="D175" s="211">
        <f>VLOOKUP(B175,財管手收各月!B:P, 3, 0) *0.55</f>
        <v>4634850</v>
      </c>
      <c r="E175" s="211">
        <f>VLOOKUP(B175,財管手收各月!B:P, 4, 0) *0.55</f>
        <v>3565100.0000000005</v>
      </c>
      <c r="F175" s="211">
        <f>VLOOKUP(B175,財管手收各月!B:P, 5, 0) *0.55</f>
        <v>3565100.0000000005</v>
      </c>
      <c r="G175" s="211">
        <f>VLOOKUP(B175,財管手收各月!B:P, 6, 0) *0.55</f>
        <v>3386350.0000000005</v>
      </c>
      <c r="H175" s="211">
        <f>VLOOKUP(B175,財管手收各月!B:P, 7, 0) *0.55</f>
        <v>3922050.0000000005</v>
      </c>
      <c r="I175" s="211">
        <f>VLOOKUP(B175,財管手收各月!B:P, 8, 0) *0.55</f>
        <v>3386350.0000000005</v>
      </c>
      <c r="J175" s="211">
        <f>VLOOKUP(B175,財管手收各月!B:P, 9, 0) *0.55</f>
        <v>3386350.0000000005</v>
      </c>
      <c r="K175" s="211">
        <f>VLOOKUP(B175,財管手收各月!B:P, 10, 0) *0.55</f>
        <v>3922050.0000000005</v>
      </c>
      <c r="L175" s="211">
        <f>VLOOKUP(B175,財管手收各月!B:P, 11, 0) *0.55</f>
        <v>3386350.0000000005</v>
      </c>
      <c r="M175" s="211">
        <f>VLOOKUP(B175,財管手收各月!B:P, 12, 0) *0.55</f>
        <v>3565100.0000000005</v>
      </c>
      <c r="N175" s="211">
        <f>VLOOKUP(B175,財管手收各月!B:P, 13, 0) *0.55</f>
        <v>3922050.0000000005</v>
      </c>
      <c r="O175" s="211">
        <f>VLOOKUP(B175,財管手收各月!B:P, 14, 0) *0.55</f>
        <v>1427800</v>
      </c>
      <c r="P175" s="211">
        <f t="shared" si="2"/>
        <v>42069500</v>
      </c>
    </row>
    <row r="176" spans="1:16" s="143" customFormat="1" ht="36.75" customHeight="1">
      <c r="A176" s="55" t="s">
        <v>48</v>
      </c>
      <c r="B176" s="136">
        <v>720</v>
      </c>
      <c r="C176" s="55" t="s">
        <v>112</v>
      </c>
      <c r="D176" s="211">
        <f>VLOOKUP(B176,財管手收各月!B:P, 3, 0) *0.55</f>
        <v>3991900.0000000005</v>
      </c>
      <c r="E176" s="211">
        <f>VLOOKUP(B176,財管手收各月!B:P, 4, 0) *0.55</f>
        <v>3071200.0000000005</v>
      </c>
      <c r="F176" s="211">
        <f>VLOOKUP(B176,財管手收各月!B:P, 5, 0) *0.55</f>
        <v>3071200.0000000005</v>
      </c>
      <c r="G176" s="211">
        <f>VLOOKUP(B176,財管手收各月!B:P, 6, 0) *0.55</f>
        <v>2917200.0000000005</v>
      </c>
      <c r="H176" s="211">
        <f>VLOOKUP(B176,財管手收各月!B:P, 7, 0) *0.55</f>
        <v>3377550.0000000005</v>
      </c>
      <c r="I176" s="211">
        <f>VLOOKUP(B176,財管手收各月!B:P, 8, 0) *0.55</f>
        <v>2917200.0000000005</v>
      </c>
      <c r="J176" s="211">
        <f>VLOOKUP(B176,財管手收各月!B:P, 9, 0) *0.55</f>
        <v>2917200.0000000005</v>
      </c>
      <c r="K176" s="211">
        <f>VLOOKUP(B176,財管手收各月!B:P, 10, 0) *0.55</f>
        <v>3377550.0000000005</v>
      </c>
      <c r="L176" s="211">
        <f>VLOOKUP(B176,財管手收各月!B:P, 11, 0) *0.55</f>
        <v>2917200.0000000005</v>
      </c>
      <c r="M176" s="211">
        <f>VLOOKUP(B176,財管手收各月!B:P, 12, 0) *0.55</f>
        <v>3071200.0000000005</v>
      </c>
      <c r="N176" s="211">
        <f>VLOOKUP(B176,財管手收各月!B:P, 13, 0) *0.55</f>
        <v>3377550.0000000005</v>
      </c>
      <c r="O176" s="211">
        <f>VLOOKUP(B176,財管手收各月!B:P, 14, 0) *0.55</f>
        <v>1227050</v>
      </c>
      <c r="P176" s="211">
        <f t="shared" si="2"/>
        <v>36234000.000000007</v>
      </c>
    </row>
    <row r="177" spans="1:16" s="143" customFormat="1" ht="36.75" customHeight="1">
      <c r="A177" s="55" t="s">
        <v>48</v>
      </c>
      <c r="B177" s="136">
        <v>721</v>
      </c>
      <c r="C177" s="55" t="s">
        <v>60</v>
      </c>
      <c r="D177" s="211">
        <f>VLOOKUP(B177,財管手收各月!B:P, 3, 0) *0.55</f>
        <v>3324200.0000000005</v>
      </c>
      <c r="E177" s="211">
        <f>VLOOKUP(B177,財管手收各月!B:P, 4, 0) *0.55</f>
        <v>2557500</v>
      </c>
      <c r="F177" s="211">
        <f>VLOOKUP(B177,財管手收各月!B:P, 5, 0) *0.55</f>
        <v>2557500</v>
      </c>
      <c r="G177" s="211">
        <f>VLOOKUP(B177,財管手收各月!B:P, 6, 0) *0.55</f>
        <v>2429350</v>
      </c>
      <c r="H177" s="211">
        <f>VLOOKUP(B177,財管手收各月!B:P, 7, 0) *0.55</f>
        <v>2813800</v>
      </c>
      <c r="I177" s="211">
        <f>VLOOKUP(B177,財管手收各月!B:P, 8, 0) *0.55</f>
        <v>2429350</v>
      </c>
      <c r="J177" s="211">
        <f>VLOOKUP(B177,財管手收各月!B:P, 9, 0) *0.55</f>
        <v>2429350</v>
      </c>
      <c r="K177" s="211">
        <f>VLOOKUP(B177,財管手收各月!B:P, 10, 0) *0.55</f>
        <v>2813800</v>
      </c>
      <c r="L177" s="211">
        <f>VLOOKUP(B177,財管手收各月!B:P, 11, 0) *0.55</f>
        <v>2429350</v>
      </c>
      <c r="M177" s="211">
        <f>VLOOKUP(B177,財管手收各月!B:P, 12, 0) *0.55</f>
        <v>2557500</v>
      </c>
      <c r="N177" s="211">
        <f>VLOOKUP(B177,財管手收各月!B:P, 13, 0) *0.55</f>
        <v>2813800</v>
      </c>
      <c r="O177" s="211">
        <f>VLOOKUP(B177,財管手收各月!B:P, 14, 0) *0.55</f>
        <v>1023000.0000000001</v>
      </c>
      <c r="P177" s="211">
        <f t="shared" si="2"/>
        <v>30178500</v>
      </c>
    </row>
    <row r="178" spans="1:16" s="143" customFormat="1" ht="36.75" customHeight="1">
      <c r="A178" s="55" t="s">
        <v>48</v>
      </c>
      <c r="B178" s="136">
        <v>722</v>
      </c>
      <c r="C178" s="55" t="s">
        <v>61</v>
      </c>
      <c r="D178" s="211">
        <f>VLOOKUP(B178,財管手收各月!B:P, 3, 0) *0.55</f>
        <v>2027300.0000000002</v>
      </c>
      <c r="E178" s="211">
        <f>VLOOKUP(B178,財管手收各月!B:P, 4, 0) *0.55</f>
        <v>1559800.0000000002</v>
      </c>
      <c r="F178" s="211">
        <f>VLOOKUP(B178,財管手收各月!B:P, 5, 0) *0.55</f>
        <v>1559800.0000000002</v>
      </c>
      <c r="G178" s="211">
        <f>VLOOKUP(B178,財管手收各月!B:P, 6, 0) *0.55</f>
        <v>1481150.0000000002</v>
      </c>
      <c r="H178" s="211">
        <f>VLOOKUP(B178,財管手收各月!B:P, 7, 0) *0.55</f>
        <v>1715450.0000000002</v>
      </c>
      <c r="I178" s="211">
        <f>VLOOKUP(B178,財管手收各月!B:P, 8, 0) *0.55</f>
        <v>1481150.0000000002</v>
      </c>
      <c r="J178" s="211">
        <f>VLOOKUP(B178,財管手收各月!B:P, 9, 0) *0.55</f>
        <v>1481150.0000000002</v>
      </c>
      <c r="K178" s="211">
        <f>VLOOKUP(B178,財管手收各月!B:P, 10, 0) *0.55</f>
        <v>1715450.0000000002</v>
      </c>
      <c r="L178" s="211">
        <f>VLOOKUP(B178,財管手收各月!B:P, 11, 0) *0.55</f>
        <v>1481150.0000000002</v>
      </c>
      <c r="M178" s="211">
        <f>VLOOKUP(B178,財管手收各月!B:P, 12, 0) *0.55</f>
        <v>1559800.0000000002</v>
      </c>
      <c r="N178" s="211">
        <f>VLOOKUP(B178,財管手收各月!B:P, 13, 0) *0.55</f>
        <v>1715450.0000000002</v>
      </c>
      <c r="O178" s="211">
        <f>VLOOKUP(B178,財管手收各月!B:P, 14, 0) *0.55</f>
        <v>625350</v>
      </c>
      <c r="P178" s="211">
        <f t="shared" si="2"/>
        <v>18403000.000000004</v>
      </c>
    </row>
    <row r="179" spans="1:16" s="143" customFormat="1" ht="36.75" customHeight="1">
      <c r="A179" s="55" t="s">
        <v>48</v>
      </c>
      <c r="B179" s="136">
        <v>751</v>
      </c>
      <c r="C179" s="55" t="s">
        <v>62</v>
      </c>
      <c r="D179" s="211">
        <f>VLOOKUP(B179,財管手收各月!B:P, 3, 0) *0.55</f>
        <v>2618550</v>
      </c>
      <c r="E179" s="211">
        <f>VLOOKUP(B179,財管手收各月!B:P, 4, 0) *0.55</f>
        <v>2014650.0000000002</v>
      </c>
      <c r="F179" s="211">
        <f>VLOOKUP(B179,財管手收各月!B:P, 5, 0) *0.55</f>
        <v>2014650.0000000002</v>
      </c>
      <c r="G179" s="211">
        <f>VLOOKUP(B179,財管手收各月!B:P, 6, 0) *0.55</f>
        <v>1913450.0000000002</v>
      </c>
      <c r="H179" s="211">
        <f>VLOOKUP(B179,財管手收各月!B:P, 7, 0) *0.55</f>
        <v>2215950</v>
      </c>
      <c r="I179" s="211">
        <f>VLOOKUP(B179,財管手收各月!B:P, 8, 0) *0.55</f>
        <v>1913450.0000000002</v>
      </c>
      <c r="J179" s="211">
        <f>VLOOKUP(B179,財管手收各月!B:P, 9, 0) *0.55</f>
        <v>1913450.0000000002</v>
      </c>
      <c r="K179" s="211">
        <f>VLOOKUP(B179,財管手收各月!B:P, 10, 0) *0.55</f>
        <v>2215950</v>
      </c>
      <c r="L179" s="211">
        <f>VLOOKUP(B179,財管手收各月!B:P, 11, 0) *0.55</f>
        <v>1913450.0000000002</v>
      </c>
      <c r="M179" s="211">
        <f>VLOOKUP(B179,財管手收各月!B:P, 12, 0) *0.55</f>
        <v>2014650.0000000002</v>
      </c>
      <c r="N179" s="211">
        <f>VLOOKUP(B179,財管手收各月!B:P, 13, 0) *0.55</f>
        <v>2215950</v>
      </c>
      <c r="O179" s="211">
        <f>VLOOKUP(B179,財管手收各月!B:P, 14, 0) *0.55</f>
        <v>806850.00000000012</v>
      </c>
      <c r="P179" s="211">
        <f t="shared" si="2"/>
        <v>23771000</v>
      </c>
    </row>
    <row r="180" spans="1:16" s="143" customFormat="1" ht="36.75" customHeight="1">
      <c r="A180" s="55" t="s">
        <v>48</v>
      </c>
      <c r="B180" s="136">
        <v>752</v>
      </c>
      <c r="C180" s="55" t="s">
        <v>63</v>
      </c>
      <c r="D180" s="211">
        <f>VLOOKUP(B180,財管手收各月!B:P, 3, 0) *0.55</f>
        <v>3665200.0000000005</v>
      </c>
      <c r="E180" s="211">
        <f>VLOOKUP(B180,財管手收各月!B:P, 4, 0) *0.55</f>
        <v>2818750</v>
      </c>
      <c r="F180" s="211">
        <f>VLOOKUP(B180,財管手收各月!B:P, 5, 0) *0.55</f>
        <v>2818750</v>
      </c>
      <c r="G180" s="211">
        <f>VLOOKUP(B180,財管手收各月!B:P, 6, 0) *0.55</f>
        <v>2678500</v>
      </c>
      <c r="H180" s="211">
        <f>VLOOKUP(B180,財管手收各月!B:P, 7, 0) *0.55</f>
        <v>3100350.0000000005</v>
      </c>
      <c r="I180" s="211">
        <f>VLOOKUP(B180,財管手收各月!B:P, 8, 0) *0.55</f>
        <v>2678500</v>
      </c>
      <c r="J180" s="211">
        <f>VLOOKUP(B180,財管手收各月!B:P, 9, 0) *0.55</f>
        <v>2678500</v>
      </c>
      <c r="K180" s="211">
        <f>VLOOKUP(B180,財管手收各月!B:P, 10, 0) *0.55</f>
        <v>3100350.0000000005</v>
      </c>
      <c r="L180" s="211">
        <f>VLOOKUP(B180,財管手收各月!B:P, 11, 0) *0.55</f>
        <v>2678500</v>
      </c>
      <c r="M180" s="211">
        <f>VLOOKUP(B180,財管手收各月!B:P, 12, 0) *0.55</f>
        <v>2818750</v>
      </c>
      <c r="N180" s="211">
        <f>VLOOKUP(B180,財管手收各月!B:P, 13, 0) *0.55</f>
        <v>3100350.0000000005</v>
      </c>
      <c r="O180" s="211">
        <f>VLOOKUP(B180,財管手收各月!B:P, 14, 0) *0.55</f>
        <v>1127500</v>
      </c>
      <c r="P180" s="211">
        <f t="shared" si="2"/>
        <v>33264000</v>
      </c>
    </row>
    <row r="181" spans="1:16" s="143" customFormat="1" ht="36.75" customHeight="1">
      <c r="A181" s="55" t="s">
        <v>48</v>
      </c>
      <c r="B181" s="136">
        <v>753</v>
      </c>
      <c r="C181" s="55" t="s">
        <v>207</v>
      </c>
      <c r="D181" s="211">
        <f>VLOOKUP(B181,財管手收各月!B:P, 3, 0) *0.55</f>
        <v>2582800</v>
      </c>
      <c r="E181" s="211">
        <f>VLOOKUP(B181,財管手收各月!B:P, 4, 0) *0.55</f>
        <v>1986600.0000000002</v>
      </c>
      <c r="F181" s="211">
        <f>VLOOKUP(B181,財管手收各月!B:P, 5, 0) *0.55</f>
        <v>1986600.0000000002</v>
      </c>
      <c r="G181" s="211">
        <f>VLOOKUP(B181,財管手收各月!B:P, 6, 0) *0.55</f>
        <v>1887600.0000000002</v>
      </c>
      <c r="H181" s="211">
        <f>VLOOKUP(B181,財管手收各月!B:P, 7, 0) *0.55</f>
        <v>2185700</v>
      </c>
      <c r="I181" s="211">
        <f>VLOOKUP(B181,財管手收各月!B:P, 8, 0) *0.55</f>
        <v>1887600.0000000002</v>
      </c>
      <c r="J181" s="211">
        <f>VLOOKUP(B181,財管手收各月!B:P, 9, 0) *0.55</f>
        <v>1887600.0000000002</v>
      </c>
      <c r="K181" s="211">
        <f>VLOOKUP(B181,財管手收各月!B:P, 10, 0) *0.55</f>
        <v>2185700</v>
      </c>
      <c r="L181" s="211">
        <f>VLOOKUP(B181,財管手收各月!B:P, 11, 0) *0.55</f>
        <v>1887600.0000000002</v>
      </c>
      <c r="M181" s="211">
        <f>VLOOKUP(B181,財管手收各月!B:P, 12, 0) *0.55</f>
        <v>1986600.0000000002</v>
      </c>
      <c r="N181" s="211">
        <f>VLOOKUP(B181,財管手收各月!B:P, 13, 0) *0.55</f>
        <v>2185700</v>
      </c>
      <c r="O181" s="211">
        <f>VLOOKUP(B181,財管手收各月!B:P, 14, 0) *0.55</f>
        <v>796400.00000000012</v>
      </c>
      <c r="P181" s="211">
        <f t="shared" si="2"/>
        <v>23446500</v>
      </c>
    </row>
    <row r="182" spans="1:16" s="143" customFormat="1" ht="36.75" customHeight="1">
      <c r="A182" s="55" t="s">
        <v>48</v>
      </c>
      <c r="B182" s="136">
        <v>760</v>
      </c>
      <c r="C182" s="55" t="s">
        <v>64</v>
      </c>
      <c r="D182" s="211">
        <f>VLOOKUP(B182,財管手收各月!B:P, 3, 0) *0.55</f>
        <v>3038750.0000000005</v>
      </c>
      <c r="E182" s="211">
        <f>VLOOKUP(B182,財管手收各月!B:P, 4, 0) *0.55</f>
        <v>2337500</v>
      </c>
      <c r="F182" s="211">
        <f>VLOOKUP(B182,財管手收各月!B:P, 5, 0) *0.55</f>
        <v>2337500</v>
      </c>
      <c r="G182" s="211">
        <f>VLOOKUP(B182,財管手收各月!B:P, 6, 0) *0.55</f>
        <v>2220350</v>
      </c>
      <c r="H182" s="211">
        <f>VLOOKUP(B182,財管手收各月!B:P, 7, 0) *0.55</f>
        <v>2571250</v>
      </c>
      <c r="I182" s="211">
        <f>VLOOKUP(B182,財管手收各月!B:P, 8, 0) *0.55</f>
        <v>2220350</v>
      </c>
      <c r="J182" s="211">
        <f>VLOOKUP(B182,財管手收各月!B:P, 9, 0) *0.55</f>
        <v>2220350</v>
      </c>
      <c r="K182" s="211">
        <f>VLOOKUP(B182,財管手收各月!B:P, 10, 0) *0.55</f>
        <v>2571250</v>
      </c>
      <c r="L182" s="211">
        <f>VLOOKUP(B182,財管手收各月!B:P, 11, 0) *0.55</f>
        <v>2220350</v>
      </c>
      <c r="M182" s="211">
        <f>VLOOKUP(B182,財管手收各月!B:P, 12, 0) *0.55</f>
        <v>2337500</v>
      </c>
      <c r="N182" s="211">
        <f>VLOOKUP(B182,財管手收各月!B:P, 13, 0) *0.55</f>
        <v>2571250</v>
      </c>
      <c r="O182" s="211">
        <f>VLOOKUP(B182,財管手收各月!B:P, 14, 0) *0.55</f>
        <v>930600.00000000012</v>
      </c>
      <c r="P182" s="211">
        <f t="shared" si="2"/>
        <v>27577000</v>
      </c>
    </row>
    <row r="183" spans="1:16" s="143" customFormat="1" ht="36.75" customHeight="1">
      <c r="A183" s="55" t="s">
        <v>48</v>
      </c>
      <c r="B183" s="136">
        <v>765</v>
      </c>
      <c r="C183" s="55" t="s">
        <v>65</v>
      </c>
      <c r="D183" s="211">
        <f>VLOOKUP(B183,財管手收各月!B:P, 3, 0) *0.55</f>
        <v>2322650</v>
      </c>
      <c r="E183" s="211">
        <f>VLOOKUP(B183,財管手收各月!B:P, 4, 0) *0.55</f>
        <v>1786950.0000000002</v>
      </c>
      <c r="F183" s="211">
        <f>VLOOKUP(B183,財管手收各月!B:P, 5, 0) *0.55</f>
        <v>1786950.0000000002</v>
      </c>
      <c r="G183" s="211">
        <f>VLOOKUP(B183,財管手收各月!B:P, 6, 0) *0.55</f>
        <v>1697300.0000000002</v>
      </c>
      <c r="H183" s="211">
        <f>VLOOKUP(B183,財管手收各月!B:P, 7, 0) *0.55</f>
        <v>1965150.0000000002</v>
      </c>
      <c r="I183" s="211">
        <f>VLOOKUP(B183,財管手收各月!B:P, 8, 0) *0.55</f>
        <v>1697300.0000000002</v>
      </c>
      <c r="J183" s="211">
        <f>VLOOKUP(B183,財管手收各月!B:P, 9, 0) *0.55</f>
        <v>1697300.0000000002</v>
      </c>
      <c r="K183" s="211">
        <f>VLOOKUP(B183,財管手收各月!B:P, 10, 0) *0.55</f>
        <v>1965150.0000000002</v>
      </c>
      <c r="L183" s="211">
        <f>VLOOKUP(B183,財管手收各月!B:P, 11, 0) *0.55</f>
        <v>1697300.0000000002</v>
      </c>
      <c r="M183" s="211">
        <f>VLOOKUP(B183,財管手收各月!B:P, 12, 0) *0.55</f>
        <v>1786950.0000000002</v>
      </c>
      <c r="N183" s="211">
        <f>VLOOKUP(B183,財管手收各月!B:P, 13, 0) *0.55</f>
        <v>1965150.0000000002</v>
      </c>
      <c r="O183" s="211">
        <f>VLOOKUP(B183,財管手收各月!B:P, 14, 0) *0.55</f>
        <v>718850</v>
      </c>
      <c r="P183" s="211">
        <f t="shared" si="2"/>
        <v>21087000</v>
      </c>
    </row>
    <row r="184" spans="1:16" s="143" customFormat="1" ht="36.75" customHeight="1">
      <c r="A184" s="55" t="s">
        <v>48</v>
      </c>
      <c r="B184" s="136">
        <v>800</v>
      </c>
      <c r="C184" s="55" t="s">
        <v>66</v>
      </c>
      <c r="D184" s="211">
        <f>VLOOKUP(B184,財管手收各月!B:P, 3, 0) *0.55</f>
        <v>3730650.0000000005</v>
      </c>
      <c r="E184" s="211">
        <f>VLOOKUP(B184,財管手收各月!B:P, 4, 0) *0.55</f>
        <v>2869900</v>
      </c>
      <c r="F184" s="211">
        <f>VLOOKUP(B184,財管手收各月!B:P, 5, 0) *0.55</f>
        <v>2869900</v>
      </c>
      <c r="G184" s="211">
        <f>VLOOKUP(B184,財管手收各月!B:P, 6, 0) *0.55</f>
        <v>2725800</v>
      </c>
      <c r="H184" s="211">
        <f>VLOOKUP(B184,財管手收各月!B:P, 7, 0) *0.55</f>
        <v>3155900.0000000005</v>
      </c>
      <c r="I184" s="211">
        <f>VLOOKUP(B184,財管手收各月!B:P, 8, 0) *0.55</f>
        <v>2725800</v>
      </c>
      <c r="J184" s="211">
        <f>VLOOKUP(B184,財管手收各月!B:P, 9, 0) *0.55</f>
        <v>2725800</v>
      </c>
      <c r="K184" s="211">
        <f>VLOOKUP(B184,財管手收各月!B:P, 10, 0) *0.55</f>
        <v>3155900.0000000005</v>
      </c>
      <c r="L184" s="211">
        <f>VLOOKUP(B184,財管手收各月!B:P, 11, 0) *0.55</f>
        <v>2725800</v>
      </c>
      <c r="M184" s="211">
        <f>VLOOKUP(B184,財管手收各月!B:P, 12, 0) *0.55</f>
        <v>2869900</v>
      </c>
      <c r="N184" s="211">
        <f>VLOOKUP(B184,財管手收各月!B:P, 13, 0) *0.55</f>
        <v>3155900.0000000005</v>
      </c>
      <c r="O184" s="211">
        <f>VLOOKUP(B184,財管手收各月!B:P, 14, 0) *0.55</f>
        <v>1152250</v>
      </c>
      <c r="P184" s="211">
        <f t="shared" si="2"/>
        <v>33863500</v>
      </c>
    </row>
    <row r="185" spans="1:16" s="143" customFormat="1" ht="36.75" customHeight="1">
      <c r="A185" s="55" t="s">
        <v>48</v>
      </c>
      <c r="B185" s="136">
        <v>801</v>
      </c>
      <c r="C185" s="55" t="s">
        <v>67</v>
      </c>
      <c r="D185" s="211">
        <f>VLOOKUP(B185,財管手收各月!B:P, 3, 0) *0.55</f>
        <v>5469200</v>
      </c>
      <c r="E185" s="211">
        <f>VLOOKUP(B185,財管手收各月!B:P, 4, 0) *0.55</f>
        <v>4206950</v>
      </c>
      <c r="F185" s="211">
        <f>VLOOKUP(B185,財管手收各月!B:P, 5, 0) *0.55</f>
        <v>4206950</v>
      </c>
      <c r="G185" s="211">
        <f>VLOOKUP(B185,財管手收各月!B:P, 6, 0) *0.55</f>
        <v>3996850.0000000005</v>
      </c>
      <c r="H185" s="211">
        <f>VLOOKUP(B185,財管手收各月!B:P, 7, 0) *0.55</f>
        <v>4627150</v>
      </c>
      <c r="I185" s="211">
        <f>VLOOKUP(B185,財管手收各月!B:P, 8, 0) *0.55</f>
        <v>3996850.0000000005</v>
      </c>
      <c r="J185" s="211">
        <f>VLOOKUP(B185,財管手收各月!B:P, 9, 0) *0.55</f>
        <v>3996850.0000000005</v>
      </c>
      <c r="K185" s="211">
        <f>VLOOKUP(B185,財管手收各月!B:P, 10, 0) *0.55</f>
        <v>4627150</v>
      </c>
      <c r="L185" s="211">
        <f>VLOOKUP(B185,財管手收各月!B:P, 11, 0) *0.55</f>
        <v>3996850.0000000005</v>
      </c>
      <c r="M185" s="211">
        <f>VLOOKUP(B185,財管手收各月!B:P, 12, 0) *0.55</f>
        <v>4206950</v>
      </c>
      <c r="N185" s="211">
        <f>VLOOKUP(B185,財管手收各月!B:P, 13, 0) *0.55</f>
        <v>4627150</v>
      </c>
      <c r="O185" s="211">
        <f>VLOOKUP(B185,財管手收各月!B:P, 14, 0) *0.55</f>
        <v>1684100.0000000002</v>
      </c>
      <c r="P185" s="211">
        <f t="shared" si="2"/>
        <v>49643000</v>
      </c>
    </row>
    <row r="186" spans="1:16" s="143" customFormat="1" ht="36.75" customHeight="1">
      <c r="A186" s="55" t="s">
        <v>48</v>
      </c>
      <c r="B186" s="136">
        <v>802</v>
      </c>
      <c r="C186" s="55" t="s">
        <v>68</v>
      </c>
      <c r="D186" s="211">
        <f>VLOOKUP(B186,財管手收各月!B:P, 3, 0) *0.55</f>
        <v>3370400.0000000005</v>
      </c>
      <c r="E186" s="211">
        <f>VLOOKUP(B186,財管手收各月!B:P, 4, 0) *0.55</f>
        <v>2592700</v>
      </c>
      <c r="F186" s="211">
        <f>VLOOKUP(B186,財管手收各月!B:P, 5, 0) *0.55</f>
        <v>2592700</v>
      </c>
      <c r="G186" s="211">
        <f>VLOOKUP(B186,財管手收各月!B:P, 6, 0) *0.55</f>
        <v>2462900</v>
      </c>
      <c r="H186" s="211">
        <f>VLOOKUP(B186,財管手收各月!B:P, 7, 0) *0.55</f>
        <v>2851750</v>
      </c>
      <c r="I186" s="211">
        <f>VLOOKUP(B186,財管手收各月!B:P, 8, 0) *0.55</f>
        <v>2462900</v>
      </c>
      <c r="J186" s="211">
        <f>VLOOKUP(B186,財管手收各月!B:P, 9, 0) *0.55</f>
        <v>2462900</v>
      </c>
      <c r="K186" s="211">
        <f>VLOOKUP(B186,財管手收各月!B:P, 10, 0) *0.55</f>
        <v>2851750</v>
      </c>
      <c r="L186" s="211">
        <f>VLOOKUP(B186,財管手收各月!B:P, 11, 0) *0.55</f>
        <v>2462900</v>
      </c>
      <c r="M186" s="211">
        <f>VLOOKUP(B186,財管手收各月!B:P, 12, 0) *0.55</f>
        <v>2592700</v>
      </c>
      <c r="N186" s="211">
        <f>VLOOKUP(B186,財管手收各月!B:P, 13, 0) *0.55</f>
        <v>2851750</v>
      </c>
      <c r="O186" s="211">
        <f>VLOOKUP(B186,財管手收各月!B:P, 14, 0) *0.55</f>
        <v>1041150.0000000001</v>
      </c>
      <c r="P186" s="211">
        <f t="shared" si="2"/>
        <v>30596500</v>
      </c>
    </row>
    <row r="187" spans="1:16" s="143" customFormat="1" ht="36.75" customHeight="1">
      <c r="A187" s="55" t="s">
        <v>48</v>
      </c>
      <c r="B187" s="136">
        <v>813</v>
      </c>
      <c r="C187" s="55" t="s">
        <v>69</v>
      </c>
      <c r="D187" s="211">
        <f>VLOOKUP(B187,財管手收各月!B:P, 3, 0) *0.55</f>
        <v>2479400</v>
      </c>
      <c r="E187" s="211">
        <f>VLOOKUP(B187,財管手收各月!B:P, 4, 0) *0.55</f>
        <v>1907400.0000000002</v>
      </c>
      <c r="F187" s="211">
        <f>VLOOKUP(B187,財管手收各月!B:P, 5, 0) *0.55</f>
        <v>1907400.0000000002</v>
      </c>
      <c r="G187" s="211">
        <f>VLOOKUP(B187,財管手收各月!B:P, 6, 0) *0.55</f>
        <v>1812800.0000000002</v>
      </c>
      <c r="H187" s="211">
        <f>VLOOKUP(B187,財管手收各月!B:P, 7, 0) *0.55</f>
        <v>2098250</v>
      </c>
      <c r="I187" s="211">
        <f>VLOOKUP(B187,財管手收各月!B:P, 8, 0) *0.55</f>
        <v>1812800.0000000002</v>
      </c>
      <c r="J187" s="211">
        <f>VLOOKUP(B187,財管手收各月!B:P, 9, 0) *0.55</f>
        <v>1812800.0000000002</v>
      </c>
      <c r="K187" s="211">
        <f>VLOOKUP(B187,財管手收各月!B:P, 10, 0) *0.55</f>
        <v>2098250</v>
      </c>
      <c r="L187" s="211">
        <f>VLOOKUP(B187,財管手收各月!B:P, 11, 0) *0.55</f>
        <v>1812800.0000000002</v>
      </c>
      <c r="M187" s="211">
        <f>VLOOKUP(B187,財管手收各月!B:P, 12, 0) *0.55</f>
        <v>1907400.0000000002</v>
      </c>
      <c r="N187" s="211">
        <f>VLOOKUP(B187,財管手收各月!B:P, 13, 0) *0.55</f>
        <v>2098250</v>
      </c>
      <c r="O187" s="211">
        <f>VLOOKUP(B187,財管手收各月!B:P, 14, 0) *0.55</f>
        <v>758450.00000000012</v>
      </c>
      <c r="P187" s="211">
        <f t="shared" si="2"/>
        <v>22506000</v>
      </c>
    </row>
    <row r="188" spans="1:16" s="143" customFormat="1" ht="36.75" customHeight="1">
      <c r="A188" s="55" t="s">
        <v>7</v>
      </c>
      <c r="B188" s="136">
        <v>820</v>
      </c>
      <c r="C188" s="55" t="s">
        <v>70</v>
      </c>
      <c r="D188" s="211">
        <f>VLOOKUP(B188,財管手收各月!B:P, 3, 0) *0.55</f>
        <v>3506800.0000000005</v>
      </c>
      <c r="E188" s="211">
        <f>VLOOKUP(B188,財管手收各月!B:P, 4, 0) *0.55</f>
        <v>2697200</v>
      </c>
      <c r="F188" s="211">
        <f>VLOOKUP(B188,財管手收各月!B:P, 5, 0) *0.55</f>
        <v>2697200</v>
      </c>
      <c r="G188" s="211">
        <f>VLOOKUP(B188,財管手收各月!B:P, 6, 0) *0.55</f>
        <v>2563000</v>
      </c>
      <c r="H188" s="211">
        <f>VLOOKUP(B188,財管手收各月!B:P, 7, 0) *0.55</f>
        <v>2967250.0000000005</v>
      </c>
      <c r="I188" s="211">
        <f>VLOOKUP(B188,財管手收各月!B:P, 8, 0) *0.55</f>
        <v>2563000</v>
      </c>
      <c r="J188" s="211">
        <f>VLOOKUP(B188,財管手收各月!B:P, 9, 0) *0.55</f>
        <v>2563000</v>
      </c>
      <c r="K188" s="211">
        <f>VLOOKUP(B188,財管手收各月!B:P, 10, 0) *0.55</f>
        <v>2967250.0000000005</v>
      </c>
      <c r="L188" s="211">
        <f>VLOOKUP(B188,財管手收各月!B:P, 11, 0) *0.55</f>
        <v>2563000</v>
      </c>
      <c r="M188" s="211">
        <f>VLOOKUP(B188,財管手收各月!B:P, 12, 0) *0.55</f>
        <v>2697200</v>
      </c>
      <c r="N188" s="211">
        <f>VLOOKUP(B188,財管手收各月!B:P, 13, 0) *0.55</f>
        <v>2967250.0000000005</v>
      </c>
      <c r="O188" s="211">
        <f>VLOOKUP(B188,財管手收各月!B:P, 14, 0) *0.55</f>
        <v>1076350</v>
      </c>
      <c r="P188" s="211">
        <f t="shared" si="2"/>
        <v>31828500</v>
      </c>
    </row>
    <row r="189" spans="1:16" s="143" customFormat="1" ht="36.75" customHeight="1">
      <c r="A189" s="55" t="s">
        <v>48</v>
      </c>
      <c r="B189" s="136">
        <v>830</v>
      </c>
      <c r="C189" s="55" t="s">
        <v>71</v>
      </c>
      <c r="D189" s="211">
        <f>VLOOKUP(B189,財管手收各月!B:P, 3, 0) *0.55</f>
        <v>2308900</v>
      </c>
      <c r="E189" s="211">
        <f>VLOOKUP(B189,財管手收各月!B:P, 4, 0) *0.55</f>
        <v>1775950.0000000002</v>
      </c>
      <c r="F189" s="211">
        <f>VLOOKUP(B189,財管手收各月!B:P, 5, 0) *0.55</f>
        <v>1775950.0000000002</v>
      </c>
      <c r="G189" s="211">
        <f>VLOOKUP(B189,財管手收各月!B:P, 6, 0) *0.55</f>
        <v>1686850.0000000002</v>
      </c>
      <c r="H189" s="211">
        <f>VLOOKUP(B189,財管手收各月!B:P, 7, 0) *0.55</f>
        <v>1953600.0000000002</v>
      </c>
      <c r="I189" s="211">
        <f>VLOOKUP(B189,財管手收各月!B:P, 8, 0) *0.55</f>
        <v>1686850.0000000002</v>
      </c>
      <c r="J189" s="211">
        <f>VLOOKUP(B189,財管手收各月!B:P, 9, 0) *0.55</f>
        <v>1686850.0000000002</v>
      </c>
      <c r="K189" s="211">
        <f>VLOOKUP(B189,財管手收各月!B:P, 10, 0) *0.55</f>
        <v>1953600.0000000002</v>
      </c>
      <c r="L189" s="211">
        <f>VLOOKUP(B189,財管手收各月!B:P, 11, 0) *0.55</f>
        <v>1686850.0000000002</v>
      </c>
      <c r="M189" s="211">
        <f>VLOOKUP(B189,財管手收各月!B:P, 12, 0) *0.55</f>
        <v>1775950.0000000002</v>
      </c>
      <c r="N189" s="211">
        <f>VLOOKUP(B189,財管手收各月!B:P, 13, 0) *0.55</f>
        <v>1953600.0000000002</v>
      </c>
      <c r="O189" s="211">
        <f>VLOOKUP(B189,財管手收各月!B:P, 14, 0) *0.55</f>
        <v>710050</v>
      </c>
      <c r="P189" s="211">
        <f t="shared" si="2"/>
        <v>20955000</v>
      </c>
    </row>
    <row r="190" spans="1:16" s="143" customFormat="1" ht="36.75" customHeight="1">
      <c r="A190" s="55" t="s">
        <v>400</v>
      </c>
      <c r="B190" s="136">
        <v>888</v>
      </c>
      <c r="C190" s="55" t="s">
        <v>130</v>
      </c>
      <c r="D190" s="211">
        <f>VLOOKUP(B190,財管手收各月!B:P, 3, 0) *0.55</f>
        <v>1042250.0000000001</v>
      </c>
      <c r="E190" s="211">
        <f>VLOOKUP(B190,財管手收各月!B:P, 4, 0) *0.55</f>
        <v>801350.00000000012</v>
      </c>
      <c r="F190" s="211">
        <f>VLOOKUP(B190,財管手收各月!B:P, 5, 0) *0.55</f>
        <v>801350.00000000012</v>
      </c>
      <c r="G190" s="211">
        <f>VLOOKUP(B190,財管手收各月!B:P, 6, 0) *0.55</f>
        <v>761750.00000000012</v>
      </c>
      <c r="H190" s="211">
        <f>VLOOKUP(B190,財管手收各月!B:P, 7, 0) *0.55</f>
        <v>882200.00000000012</v>
      </c>
      <c r="I190" s="211">
        <f>VLOOKUP(B190,財管手收各月!B:P, 8, 0) *0.55</f>
        <v>761750.00000000012</v>
      </c>
      <c r="J190" s="211">
        <f>VLOOKUP(B190,財管手收各月!B:P, 9, 0) *0.55</f>
        <v>761750.00000000012</v>
      </c>
      <c r="K190" s="211">
        <f>VLOOKUP(B190,財管手收各月!B:P, 10, 0) *0.55</f>
        <v>882200.00000000012</v>
      </c>
      <c r="L190" s="211">
        <f>VLOOKUP(B190,財管手收各月!B:P, 11, 0) *0.55</f>
        <v>761750.00000000012</v>
      </c>
      <c r="M190" s="211">
        <f>VLOOKUP(B190,財管手收各月!B:P, 12, 0) *0.55</f>
        <v>801350.00000000012</v>
      </c>
      <c r="N190" s="211">
        <f>VLOOKUP(B190,財管手收各月!B:P, 13, 0) *0.55</f>
        <v>882200.00000000012</v>
      </c>
      <c r="O190" s="211">
        <f>VLOOKUP(B190,財管手收各月!B:P, 14, 0) *0.55</f>
        <v>320100</v>
      </c>
      <c r="P190" s="211">
        <f t="shared" si="2"/>
        <v>9460000.0000000019</v>
      </c>
    </row>
    <row r="191" spans="1:16" s="143" customFormat="1" ht="36.75" customHeight="1">
      <c r="A191" s="527" t="s">
        <v>400</v>
      </c>
      <c r="B191" s="527"/>
      <c r="C191" s="56" t="s">
        <v>72</v>
      </c>
      <c r="D191" s="211">
        <f>SUMIF($A$6:$A$190,$A191,$D$6:$D$190)</f>
        <v>180202550</v>
      </c>
      <c r="E191" s="211">
        <f>SUMIF($A$6:$A$190,$A191,$E$6:$E$190)</f>
        <v>138614300</v>
      </c>
      <c r="F191" s="211">
        <f>SUMIF($A$6:$A$190,$A191,$F$6:$F$190)</f>
        <v>138614300</v>
      </c>
      <c r="G191" s="211">
        <f>SUMIF($A$6:$A$190,$A191,$G$6:$G$190)</f>
        <v>131689250</v>
      </c>
      <c r="H191" s="211">
        <f>SUMIF($A$6:$A$190,$A191,$H$6:$H$190)</f>
        <v>152478700</v>
      </c>
      <c r="I191" s="211">
        <f>SUMIF($A$6:$A$190,$A191,$I$6:$I$190)</f>
        <v>131689250</v>
      </c>
      <c r="J191" s="211">
        <f>SUMIF($A$6:$A$190,$A191,$J$6:$J$190)</f>
        <v>131689250</v>
      </c>
      <c r="K191" s="211">
        <f>SUMIF($A$6:$A$190,$A191,$K$6:$K$190)</f>
        <v>152478700</v>
      </c>
      <c r="L191" s="211">
        <f>SUMIF($A$6:$A$190,$A191,$L$6:$L$190)</f>
        <v>131689250</v>
      </c>
      <c r="M191" s="211">
        <f>SUMIF($A$6:$A$190,$A191,$M$6:$M$190)</f>
        <v>138614300</v>
      </c>
      <c r="N191" s="211">
        <f>SUMIF($A$6:$A$190,$A191,$N$6:$N$190)</f>
        <v>152478700</v>
      </c>
      <c r="O191" s="211">
        <f>SUMIF($A$6:$A$190,$A191,$O$6:$O$190)</f>
        <v>55450450</v>
      </c>
      <c r="P191" s="211">
        <f t="shared" si="2"/>
        <v>1635689000</v>
      </c>
    </row>
    <row r="192" spans="1:16" s="143" customFormat="1" ht="36.75" customHeight="1">
      <c r="A192" s="528" t="s">
        <v>401</v>
      </c>
      <c r="B192" s="528"/>
      <c r="C192" s="56" t="s">
        <v>72</v>
      </c>
      <c r="D192" s="211">
        <f>SUMIF($A$6:$A$190,$A192,$D$6:$D$190)</f>
        <v>147185500</v>
      </c>
      <c r="E192" s="211">
        <f>SUMIF($A$6:$A$190,$A192,$E$6:$E$190)</f>
        <v>113221900</v>
      </c>
      <c r="F192" s="211">
        <f>SUMIF($A$6:$A$190,$A192,$F$6:$F$190)</f>
        <v>113221900</v>
      </c>
      <c r="G192" s="211">
        <f>SUMIF($A$6:$A$190,$A192,$G$6:$G$190)</f>
        <v>107558550</v>
      </c>
      <c r="H192" s="211">
        <f>SUMIF($A$6:$A$190,$A192,$H$6:$H$190)</f>
        <v>124548050</v>
      </c>
      <c r="I192" s="211">
        <f>SUMIF($A$6:$A$190,$A192,$I$6:$I$190)</f>
        <v>107558550</v>
      </c>
      <c r="J192" s="211">
        <f>SUMIF($A$6:$A$190,$A192,$J$6:$J$190)</f>
        <v>107558550</v>
      </c>
      <c r="K192" s="211">
        <f>SUMIF($A$6:$A$190,$A192,$K$6:$K$190)</f>
        <v>124548050</v>
      </c>
      <c r="L192" s="211">
        <f>SUMIF($A$6:$A$190,$A192,$L$6:$L$190)</f>
        <v>107558550</v>
      </c>
      <c r="M192" s="211">
        <f>SUMIF($A$6:$A$190,$A192,$M$6:$M$190)</f>
        <v>113221900</v>
      </c>
      <c r="N192" s="211">
        <f>SUMIF($A$6:$A$190,$A192,$N$6:$N$190)</f>
        <v>124548050</v>
      </c>
      <c r="O192" s="211">
        <f>SUMIF($A$6:$A$190,$A192,$O$6:$O$190)</f>
        <v>45291950</v>
      </c>
      <c r="P192" s="211">
        <f t="shared" si="2"/>
        <v>1336021500</v>
      </c>
    </row>
    <row r="193" spans="1:16" s="143" customFormat="1" ht="36.75" customHeight="1">
      <c r="A193" s="528" t="s">
        <v>211</v>
      </c>
      <c r="B193" s="528"/>
      <c r="C193" s="56" t="s">
        <v>72</v>
      </c>
      <c r="D193" s="211">
        <f>SUMIF($A$6:$A$190,$A193,$D$6:$D$190)</f>
        <v>116260650</v>
      </c>
      <c r="E193" s="211">
        <f>SUMIF($A$6:$A$190,$A193,$E$6:$E$190)</f>
        <v>89433850</v>
      </c>
      <c r="F193" s="211">
        <f>SUMIF($A$6:$A$190,$A193,$F$6:$F$190)</f>
        <v>89433850</v>
      </c>
      <c r="G193" s="211">
        <f>SUMIF($A$6:$A$190,$A193,$G$6:$G$190)</f>
        <v>84957950</v>
      </c>
      <c r="H193" s="211">
        <f>SUMIF($A$6:$A$190,$A193,$H$6:$H$190)</f>
        <v>98376850</v>
      </c>
      <c r="I193" s="211">
        <f>SUMIF($A$6:$A$190,$A193,$I$6:$I$190)</f>
        <v>84957950</v>
      </c>
      <c r="J193" s="211">
        <f>SUMIF($A$6:$A$190,$A193,$J$6:$J$190)</f>
        <v>84957950</v>
      </c>
      <c r="K193" s="211">
        <f>SUMIF($A$6:$A$190,$A193,$K$6:$K$190)</f>
        <v>98376850</v>
      </c>
      <c r="L193" s="211">
        <f>SUMIF($A$6:$A$190,$A193,$L$6:$L$190)</f>
        <v>84957950</v>
      </c>
      <c r="M193" s="211">
        <f>SUMIF($A$6:$A$190,$A193,$M$6:$M$190)</f>
        <v>89433850</v>
      </c>
      <c r="N193" s="211">
        <f>SUMIF($A$6:$A$190,$A193,$N$6:$N$190)</f>
        <v>98376850</v>
      </c>
      <c r="O193" s="211">
        <f>SUMIF($A$6:$A$190,$A193,$O$6:$O$190)</f>
        <v>35765950</v>
      </c>
      <c r="P193" s="211">
        <f t="shared" si="2"/>
        <v>1055290500</v>
      </c>
    </row>
    <row r="194" spans="1:16" s="143" customFormat="1" ht="36.75" customHeight="1">
      <c r="A194" s="528" t="s">
        <v>33</v>
      </c>
      <c r="B194" s="528"/>
      <c r="C194" s="56" t="s">
        <v>72</v>
      </c>
      <c r="D194" s="211">
        <f>SUMIF($A$6:$A$190,$A194,$D$6:$D$190)</f>
        <v>133088450</v>
      </c>
      <c r="E194" s="211">
        <f>SUMIF($A$6:$A$190,$A194,$E$6:$E$190)</f>
        <v>102376450</v>
      </c>
      <c r="F194" s="211">
        <f>SUMIF($A$6:$A$190,$A194,$F$6:$F$190)</f>
        <v>102376450</v>
      </c>
      <c r="G194" s="211">
        <f>SUMIF($A$6:$A$190,$A194,$G$6:$G$190)</f>
        <v>97255400</v>
      </c>
      <c r="H194" s="211">
        <f>SUMIF($A$6:$A$190,$A194,$H$6:$H$190)</f>
        <v>112609750</v>
      </c>
      <c r="I194" s="211">
        <f>SUMIF($A$6:$A$190,$A194,$I$6:$I$190)</f>
        <v>97255400</v>
      </c>
      <c r="J194" s="211">
        <f>SUMIF($A$6:$A$190,$A194,$J$6:$J$190)</f>
        <v>97255400</v>
      </c>
      <c r="K194" s="211">
        <f>SUMIF($A$6:$A$190,$A194,$K$6:$K$190)</f>
        <v>112609750</v>
      </c>
      <c r="L194" s="211">
        <f>SUMIF($A$6:$A$190,$A194,$L$6:$L$190)</f>
        <v>97255400</v>
      </c>
      <c r="M194" s="211">
        <f>SUMIF($A$6:$A$190,$A194,$M$6:$M$190)</f>
        <v>102376450</v>
      </c>
      <c r="N194" s="211">
        <f>SUMIF($A$6:$A$190,$A194,$N$6:$N$190)</f>
        <v>112609750</v>
      </c>
      <c r="O194" s="211">
        <f>SUMIF($A$6:$A$190,$A194,$O$6:$O$190)</f>
        <v>40967850</v>
      </c>
      <c r="P194" s="211">
        <f t="shared" si="2"/>
        <v>1208036500</v>
      </c>
    </row>
    <row r="195" spans="1:16" s="143" customFormat="1" ht="36.75" customHeight="1">
      <c r="A195" s="528" t="s">
        <v>48</v>
      </c>
      <c r="B195" s="528"/>
      <c r="C195" s="56" t="s">
        <v>72</v>
      </c>
      <c r="D195" s="211">
        <f>SUMIF($A$6:$A$190,$A195,$D$6:$D$190)</f>
        <v>138259000</v>
      </c>
      <c r="E195" s="211">
        <f>SUMIF($A$6:$A$190,$A195,$E$6:$E$190)</f>
        <v>106353500</v>
      </c>
      <c r="F195" s="211">
        <f>SUMIF($A$6:$A$190,$A195,$F$6:$F$190)</f>
        <v>106353500</v>
      </c>
      <c r="G195" s="211">
        <f>SUMIF($A$6:$A$190,$A195,$G$6:$G$190)</f>
        <v>101034450</v>
      </c>
      <c r="H195" s="211">
        <f>SUMIF($A$6:$A$190,$A195,$H$6:$H$190)</f>
        <v>116988850</v>
      </c>
      <c r="I195" s="211">
        <f>SUMIF($A$6:$A$190,$A195,$I$6:$I$190)</f>
        <v>101034450</v>
      </c>
      <c r="J195" s="211">
        <f>SUMIF($A$6:$A$190,$A195,$J$6:$J$190)</f>
        <v>101034450</v>
      </c>
      <c r="K195" s="211">
        <f>SUMIF($A$6:$A$190,$A195,$K$6:$K$190)</f>
        <v>116988850</v>
      </c>
      <c r="L195" s="211">
        <f>SUMIF($A$6:$A$190,$A195,$L$6:$L$190)</f>
        <v>101034450</v>
      </c>
      <c r="M195" s="211">
        <f>SUMIF($A$6:$A$190,$A195,$M$6:$M$190)</f>
        <v>106353500</v>
      </c>
      <c r="N195" s="211">
        <f>SUMIF($A$6:$A$190,$A195,$N$6:$N$190)</f>
        <v>116988850</v>
      </c>
      <c r="O195" s="211">
        <f>SUMIF($A$6:$A$190,$A195,$O$6:$O$190)</f>
        <v>42538650</v>
      </c>
      <c r="P195" s="211">
        <f t="shared" si="2"/>
        <v>1254962500</v>
      </c>
    </row>
    <row r="196" spans="1:16" s="40" customFormat="1" ht="36.75" customHeight="1">
      <c r="A196" s="529" t="s">
        <v>419</v>
      </c>
      <c r="B196" s="530"/>
      <c r="C196" s="531"/>
      <c r="D196" s="211">
        <f t="shared" ref="D196:O196" si="3">SUM(D191:D195)</f>
        <v>714996150</v>
      </c>
      <c r="E196" s="211">
        <f t="shared" si="3"/>
        <v>550000000</v>
      </c>
      <c r="F196" s="211">
        <f t="shared" si="3"/>
        <v>550000000</v>
      </c>
      <c r="G196" s="211">
        <f t="shared" si="3"/>
        <v>522495600</v>
      </c>
      <c r="H196" s="211">
        <f t="shared" si="3"/>
        <v>605002200</v>
      </c>
      <c r="I196" s="211">
        <f t="shared" si="3"/>
        <v>522495600</v>
      </c>
      <c r="J196" s="211">
        <f t="shared" si="3"/>
        <v>522495600</v>
      </c>
      <c r="K196" s="211">
        <f t="shared" si="3"/>
        <v>605002200</v>
      </c>
      <c r="L196" s="211">
        <f t="shared" si="3"/>
        <v>522495600</v>
      </c>
      <c r="M196" s="211">
        <f t="shared" si="3"/>
        <v>550000000</v>
      </c>
      <c r="N196" s="211">
        <f t="shared" si="3"/>
        <v>605002200</v>
      </c>
      <c r="O196" s="211">
        <f t="shared" si="3"/>
        <v>220014850</v>
      </c>
      <c r="P196" s="211">
        <f t="shared" si="2"/>
        <v>6490000000</v>
      </c>
    </row>
  </sheetData>
  <mergeCells count="10">
    <mergeCell ref="A193:B193"/>
    <mergeCell ref="A194:B194"/>
    <mergeCell ref="A195:B195"/>
    <mergeCell ref="A196:C196"/>
    <mergeCell ref="A2:P2"/>
    <mergeCell ref="A4:A5"/>
    <mergeCell ref="B4:B5"/>
    <mergeCell ref="C4:C5"/>
    <mergeCell ref="A191:B191"/>
    <mergeCell ref="A192:B192"/>
  </mergeCells>
  <phoneticPr fontId="13" type="noConversion"/>
  <printOptions horizontalCentered="1"/>
  <pageMargins left="0.55118110236220474" right="0.55118110236220474" top="0.39370078740157483" bottom="0.78740157480314965" header="0.51181102362204722" footer="0.39370078740157483"/>
  <pageSetup paperSize="9" scale="52" fitToHeight="0" orientation="landscape" r:id="rId1"/>
  <headerFooter alignWithMargins="0">
    <oddHeader>&amp;R&amp;"標楷體,標準"附件五</oddHeader>
    <oddFooter>第 &amp;P 頁，共 &amp;N 頁</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02"/>
  <sheetViews>
    <sheetView view="pageBreakPreview" zoomScaleNormal="100" zoomScaleSheetLayoutView="100" workbookViewId="0">
      <pane ySplit="5" topLeftCell="A185" activePane="bottomLeft" state="frozen"/>
      <selection activeCell="E3" sqref="E3"/>
      <selection pane="bottomLeft" activeCell="F194" sqref="F194"/>
    </sheetView>
  </sheetViews>
  <sheetFormatPr defaultColWidth="9" defaultRowHeight="16.5"/>
  <cols>
    <col min="1" max="1" width="12.5" style="45" bestFit="1" customWidth="1"/>
    <col min="2" max="2" width="11.875" style="45" customWidth="1"/>
    <col min="3" max="3" width="21.375" style="45" bestFit="1" customWidth="1"/>
    <col min="4" max="8" width="21.375" style="46" bestFit="1" customWidth="1"/>
    <col min="9" max="9" width="30.25" style="46" bestFit="1" customWidth="1"/>
    <col min="10" max="10" width="25" style="45" customWidth="1"/>
    <col min="11" max="16384" width="9" style="45"/>
  </cols>
  <sheetData>
    <row r="1" spans="1:10">
      <c r="B1" s="45">
        <v>1</v>
      </c>
      <c r="C1" s="45">
        <v>2</v>
      </c>
      <c r="D1" s="45">
        <v>3</v>
      </c>
      <c r="E1" s="45">
        <v>4</v>
      </c>
      <c r="F1" s="45">
        <v>5</v>
      </c>
      <c r="G1" s="45">
        <v>6</v>
      </c>
      <c r="H1" s="45">
        <v>7</v>
      </c>
      <c r="I1" s="45">
        <v>8</v>
      </c>
      <c r="J1" s="45">
        <v>11</v>
      </c>
    </row>
    <row r="2" spans="1:10" s="140" customFormat="1" ht="43.5" customHeight="1">
      <c r="A2" s="532" t="s">
        <v>1859</v>
      </c>
      <c r="B2" s="532"/>
      <c r="C2" s="532"/>
      <c r="D2" s="532"/>
      <c r="E2" s="532"/>
      <c r="F2" s="532"/>
      <c r="G2" s="532"/>
      <c r="H2" s="532"/>
      <c r="I2" s="532"/>
      <c r="J2" s="45" t="s">
        <v>435</v>
      </c>
    </row>
    <row r="3" spans="1:10" ht="17.100000000000001" customHeight="1">
      <c r="I3" s="118" t="s">
        <v>451</v>
      </c>
      <c r="J3" s="141">
        <f>ROUND(I198, 4)</f>
        <v>0.96079999999999999</v>
      </c>
    </row>
    <row r="4" spans="1:10" s="142" customFormat="1" ht="48" customHeight="1">
      <c r="A4" s="520" t="s">
        <v>414</v>
      </c>
      <c r="B4" s="522" t="s">
        <v>128</v>
      </c>
      <c r="C4" s="524" t="s">
        <v>456</v>
      </c>
      <c r="D4" s="54" t="s">
        <v>411</v>
      </c>
      <c r="E4" s="54" t="s">
        <v>412</v>
      </c>
      <c r="F4" s="54" t="s">
        <v>437</v>
      </c>
      <c r="G4" s="54" t="s">
        <v>444</v>
      </c>
      <c r="H4" s="54" t="s">
        <v>436</v>
      </c>
      <c r="I4" s="54" t="s">
        <v>413</v>
      </c>
      <c r="J4" s="53" t="s">
        <v>415</v>
      </c>
    </row>
    <row r="5" spans="1:10" s="102" customFormat="1" ht="32.25" customHeight="1">
      <c r="A5" s="521"/>
      <c r="B5" s="523"/>
      <c r="C5" s="525"/>
      <c r="D5" s="137" t="s">
        <v>397</v>
      </c>
      <c r="E5" s="137" t="s">
        <v>398</v>
      </c>
      <c r="F5" s="137" t="s">
        <v>407</v>
      </c>
      <c r="G5" s="137" t="s">
        <v>438</v>
      </c>
      <c r="H5" s="137" t="s">
        <v>442</v>
      </c>
      <c r="I5" s="137" t="s">
        <v>443</v>
      </c>
      <c r="J5" s="134" t="s">
        <v>1879</v>
      </c>
    </row>
    <row r="6" spans="1:10" s="143" customFormat="1" ht="36.75" customHeight="1">
      <c r="A6" s="55" t="s">
        <v>0</v>
      </c>
      <c r="B6" s="136">
        <v>100</v>
      </c>
      <c r="C6" s="55" t="s">
        <v>131</v>
      </c>
      <c r="D6" s="137">
        <v>26990000</v>
      </c>
      <c r="E6" s="137">
        <v>62090000</v>
      </c>
      <c r="F6" s="137">
        <v>7622000</v>
      </c>
      <c r="G6" s="137">
        <v>6049000</v>
      </c>
      <c r="H6" s="137">
        <v>1089000</v>
      </c>
      <c r="I6" s="137">
        <f>SUM(D6:H6)</f>
        <v>103840000</v>
      </c>
      <c r="J6" s="138">
        <f>ROUND(I6*$J$3, -3)</f>
        <v>99769000</v>
      </c>
    </row>
    <row r="7" spans="1:10" s="143" customFormat="1" ht="36.75" customHeight="1">
      <c r="A7" s="55" t="s">
        <v>0</v>
      </c>
      <c r="B7" s="136">
        <v>101</v>
      </c>
      <c r="C7" s="55" t="s">
        <v>132</v>
      </c>
      <c r="D7" s="137">
        <v>9340000</v>
      </c>
      <c r="E7" s="137">
        <v>21480000</v>
      </c>
      <c r="F7" s="137">
        <v>2358000</v>
      </c>
      <c r="G7" s="137">
        <v>2375000</v>
      </c>
      <c r="H7" s="137">
        <v>377000</v>
      </c>
      <c r="I7" s="137">
        <f t="shared" ref="I7:I68" si="0">SUM(D7:H7)</f>
        <v>35930000</v>
      </c>
      <c r="J7" s="138">
        <f t="shared" ref="J7:J69" si="1">ROUND(I7*$J$3, -3)</f>
        <v>34522000</v>
      </c>
    </row>
    <row r="8" spans="1:10" s="143" customFormat="1" ht="36.75" customHeight="1">
      <c r="A8" s="55" t="s">
        <v>0</v>
      </c>
      <c r="B8" s="136">
        <v>103</v>
      </c>
      <c r="C8" s="55" t="s">
        <v>133</v>
      </c>
      <c r="D8" s="137">
        <v>11500000</v>
      </c>
      <c r="E8" s="137">
        <v>26440000</v>
      </c>
      <c r="F8" s="137">
        <v>3220000</v>
      </c>
      <c r="G8" s="137">
        <v>2596000</v>
      </c>
      <c r="H8" s="137">
        <v>464000</v>
      </c>
      <c r="I8" s="137">
        <f t="shared" si="0"/>
        <v>44220000</v>
      </c>
      <c r="J8" s="138">
        <f t="shared" si="1"/>
        <v>42487000</v>
      </c>
    </row>
    <row r="9" spans="1:10" s="143" customFormat="1" ht="36.75" customHeight="1">
      <c r="A9" s="55" t="s">
        <v>0</v>
      </c>
      <c r="B9" s="136">
        <v>104</v>
      </c>
      <c r="C9" s="55" t="s">
        <v>134</v>
      </c>
      <c r="D9" s="137">
        <v>19650000</v>
      </c>
      <c r="E9" s="137">
        <v>45200000</v>
      </c>
      <c r="F9" s="137">
        <v>5753000</v>
      </c>
      <c r="G9" s="137">
        <v>4194000</v>
      </c>
      <c r="H9" s="137">
        <v>793000</v>
      </c>
      <c r="I9" s="137">
        <f t="shared" si="0"/>
        <v>75590000</v>
      </c>
      <c r="J9" s="138">
        <f t="shared" si="1"/>
        <v>72627000</v>
      </c>
    </row>
    <row r="10" spans="1:10" s="143" customFormat="1" ht="36.75" customHeight="1">
      <c r="A10" s="55" t="s">
        <v>0</v>
      </c>
      <c r="B10" s="136">
        <v>105</v>
      </c>
      <c r="C10" s="55" t="s">
        <v>135</v>
      </c>
      <c r="D10" s="137">
        <v>14850000</v>
      </c>
      <c r="E10" s="137">
        <v>34170000</v>
      </c>
      <c r="F10" s="137">
        <v>4056000</v>
      </c>
      <c r="G10" s="137">
        <v>3465000</v>
      </c>
      <c r="H10" s="137">
        <v>599000</v>
      </c>
      <c r="I10" s="137">
        <f t="shared" si="0"/>
        <v>57140000</v>
      </c>
      <c r="J10" s="138">
        <f t="shared" si="1"/>
        <v>54900000</v>
      </c>
    </row>
    <row r="11" spans="1:10" s="143" customFormat="1" ht="36.75" customHeight="1">
      <c r="A11" s="55" t="s">
        <v>0</v>
      </c>
      <c r="B11" s="136">
        <v>106</v>
      </c>
      <c r="C11" s="55" t="s">
        <v>136</v>
      </c>
      <c r="D11" s="137">
        <v>25810000</v>
      </c>
      <c r="E11" s="137">
        <v>59370000</v>
      </c>
      <c r="F11" s="137">
        <v>7783000</v>
      </c>
      <c r="G11" s="137">
        <v>5276000</v>
      </c>
      <c r="H11" s="137">
        <v>1041000</v>
      </c>
      <c r="I11" s="137">
        <f t="shared" si="0"/>
        <v>99280000</v>
      </c>
      <c r="J11" s="138">
        <f t="shared" si="1"/>
        <v>95388000</v>
      </c>
    </row>
    <row r="12" spans="1:10" s="143" customFormat="1" ht="36.75" customHeight="1">
      <c r="A12" s="55" t="s">
        <v>0</v>
      </c>
      <c r="B12" s="136">
        <v>107</v>
      </c>
      <c r="C12" s="55" t="s">
        <v>73</v>
      </c>
      <c r="D12" s="137">
        <v>30700000</v>
      </c>
      <c r="E12" s="137">
        <v>70620000</v>
      </c>
      <c r="F12" s="137">
        <v>8774000</v>
      </c>
      <c r="G12" s="137">
        <v>6767000</v>
      </c>
      <c r="H12" s="137">
        <v>1239000</v>
      </c>
      <c r="I12" s="137">
        <f t="shared" si="0"/>
        <v>118100000</v>
      </c>
      <c r="J12" s="138">
        <f t="shared" si="1"/>
        <v>113470000</v>
      </c>
    </row>
    <row r="13" spans="1:10" s="143" customFormat="1" ht="36.75" customHeight="1">
      <c r="A13" s="55" t="s">
        <v>0</v>
      </c>
      <c r="B13" s="136">
        <v>108</v>
      </c>
      <c r="C13" s="55" t="s">
        <v>1</v>
      </c>
      <c r="D13" s="137">
        <v>33270000</v>
      </c>
      <c r="E13" s="137">
        <v>76540000</v>
      </c>
      <c r="F13" s="137">
        <v>9791000</v>
      </c>
      <c r="G13" s="137">
        <v>7056000</v>
      </c>
      <c r="H13" s="137">
        <v>1343000</v>
      </c>
      <c r="I13" s="137">
        <f t="shared" si="0"/>
        <v>128000000</v>
      </c>
      <c r="J13" s="138">
        <f t="shared" si="1"/>
        <v>122982000</v>
      </c>
    </row>
    <row r="14" spans="1:10" s="143" customFormat="1" ht="36.75" customHeight="1">
      <c r="A14" s="55" t="s">
        <v>0</v>
      </c>
      <c r="B14" s="136">
        <v>109</v>
      </c>
      <c r="C14" s="55" t="s">
        <v>2</v>
      </c>
      <c r="D14" s="137">
        <v>9870000</v>
      </c>
      <c r="E14" s="137">
        <v>22710000</v>
      </c>
      <c r="F14" s="137">
        <v>2933000</v>
      </c>
      <c r="G14" s="137">
        <v>2069000</v>
      </c>
      <c r="H14" s="137">
        <v>398000</v>
      </c>
      <c r="I14" s="137">
        <f t="shared" si="0"/>
        <v>37980000</v>
      </c>
      <c r="J14" s="138">
        <f t="shared" si="1"/>
        <v>36491000</v>
      </c>
    </row>
    <row r="15" spans="1:10" s="143" customFormat="1" ht="36.75" customHeight="1">
      <c r="A15" s="55" t="s">
        <v>0</v>
      </c>
      <c r="B15" s="136">
        <v>110</v>
      </c>
      <c r="C15" s="55" t="s">
        <v>74</v>
      </c>
      <c r="D15" s="137">
        <v>15460000</v>
      </c>
      <c r="E15" s="137">
        <v>35570000</v>
      </c>
      <c r="F15" s="137">
        <v>4588000</v>
      </c>
      <c r="G15" s="137">
        <v>3238000</v>
      </c>
      <c r="H15" s="137">
        <v>624000</v>
      </c>
      <c r="I15" s="137">
        <f t="shared" si="0"/>
        <v>59480000</v>
      </c>
      <c r="J15" s="138">
        <f t="shared" si="1"/>
        <v>57148000</v>
      </c>
    </row>
    <row r="16" spans="1:10" s="143" customFormat="1" ht="36.75" customHeight="1">
      <c r="A16" s="55" t="s">
        <v>0</v>
      </c>
      <c r="B16" s="136">
        <v>111</v>
      </c>
      <c r="C16" s="55" t="s">
        <v>75</v>
      </c>
      <c r="D16" s="137">
        <v>26470000</v>
      </c>
      <c r="E16" s="137">
        <v>60900000</v>
      </c>
      <c r="F16" s="137">
        <v>8081000</v>
      </c>
      <c r="G16" s="137">
        <v>5321000</v>
      </c>
      <c r="H16" s="137">
        <v>1068000</v>
      </c>
      <c r="I16" s="137">
        <f t="shared" si="0"/>
        <v>101840000</v>
      </c>
      <c r="J16" s="138">
        <f t="shared" si="1"/>
        <v>97848000</v>
      </c>
    </row>
    <row r="17" spans="1:10" s="143" customFormat="1" ht="36.75" customHeight="1">
      <c r="A17" s="55" t="s">
        <v>0</v>
      </c>
      <c r="B17" s="136">
        <v>112</v>
      </c>
      <c r="C17" s="55" t="s">
        <v>137</v>
      </c>
      <c r="D17" s="137">
        <v>17670000</v>
      </c>
      <c r="E17" s="137">
        <v>40640000</v>
      </c>
      <c r="F17" s="137">
        <v>3850000</v>
      </c>
      <c r="G17" s="137">
        <v>5097000</v>
      </c>
      <c r="H17" s="137">
        <v>713000</v>
      </c>
      <c r="I17" s="137">
        <f t="shared" si="0"/>
        <v>67970000</v>
      </c>
      <c r="J17" s="138">
        <f t="shared" si="1"/>
        <v>65306000</v>
      </c>
    </row>
    <row r="18" spans="1:10" s="143" customFormat="1" ht="36.75" customHeight="1">
      <c r="A18" s="55" t="s">
        <v>0</v>
      </c>
      <c r="B18" s="136">
        <v>113</v>
      </c>
      <c r="C18" s="55" t="s">
        <v>3</v>
      </c>
      <c r="D18" s="137">
        <v>23730000</v>
      </c>
      <c r="E18" s="137">
        <v>54590000</v>
      </c>
      <c r="F18" s="137">
        <v>7194000</v>
      </c>
      <c r="G18" s="137">
        <v>4828000</v>
      </c>
      <c r="H18" s="137">
        <v>958000</v>
      </c>
      <c r="I18" s="137">
        <f t="shared" si="0"/>
        <v>91300000</v>
      </c>
      <c r="J18" s="138">
        <f t="shared" si="1"/>
        <v>87721000</v>
      </c>
    </row>
    <row r="19" spans="1:10" s="143" customFormat="1" ht="36.75" customHeight="1">
      <c r="A19" s="55" t="s">
        <v>0</v>
      </c>
      <c r="B19" s="136">
        <v>114</v>
      </c>
      <c r="C19" s="55" t="s">
        <v>138</v>
      </c>
      <c r="D19" s="137">
        <v>21670000</v>
      </c>
      <c r="E19" s="137">
        <v>49860000</v>
      </c>
      <c r="F19" s="137">
        <v>6515000</v>
      </c>
      <c r="G19" s="137">
        <v>4460000</v>
      </c>
      <c r="H19" s="137">
        <v>875000</v>
      </c>
      <c r="I19" s="137">
        <f t="shared" si="0"/>
        <v>83380000</v>
      </c>
      <c r="J19" s="138">
        <f t="shared" si="1"/>
        <v>80112000</v>
      </c>
    </row>
    <row r="20" spans="1:10" s="143" customFormat="1" ht="36.75" customHeight="1">
      <c r="A20" s="55" t="s">
        <v>0</v>
      </c>
      <c r="B20" s="136">
        <v>115</v>
      </c>
      <c r="C20" s="55" t="s">
        <v>139</v>
      </c>
      <c r="D20" s="137">
        <v>18710000</v>
      </c>
      <c r="E20" s="137">
        <v>43030000</v>
      </c>
      <c r="F20" s="137">
        <v>6019000</v>
      </c>
      <c r="G20" s="137">
        <v>3446000</v>
      </c>
      <c r="H20" s="137">
        <v>755000</v>
      </c>
      <c r="I20" s="137">
        <f t="shared" si="0"/>
        <v>71960000</v>
      </c>
      <c r="J20" s="138">
        <f t="shared" si="1"/>
        <v>69139000</v>
      </c>
    </row>
    <row r="21" spans="1:10" s="143" customFormat="1" ht="36.75" customHeight="1">
      <c r="A21" s="55" t="s">
        <v>0</v>
      </c>
      <c r="B21" s="136">
        <v>116</v>
      </c>
      <c r="C21" s="55" t="s">
        <v>140</v>
      </c>
      <c r="D21" s="137">
        <v>13020000</v>
      </c>
      <c r="E21" s="137">
        <v>29940000</v>
      </c>
      <c r="F21" s="137">
        <v>3465000</v>
      </c>
      <c r="G21" s="137">
        <v>3120000</v>
      </c>
      <c r="H21" s="137">
        <v>525000</v>
      </c>
      <c r="I21" s="137">
        <f t="shared" si="0"/>
        <v>50070000</v>
      </c>
      <c r="J21" s="138">
        <f t="shared" si="1"/>
        <v>48107000</v>
      </c>
    </row>
    <row r="22" spans="1:10" s="143" customFormat="1" ht="36.75" customHeight="1">
      <c r="A22" s="55" t="s">
        <v>0</v>
      </c>
      <c r="B22" s="136">
        <v>117</v>
      </c>
      <c r="C22" s="55" t="s">
        <v>399</v>
      </c>
      <c r="D22" s="137">
        <v>19770000</v>
      </c>
      <c r="E22" s="137">
        <v>45480000</v>
      </c>
      <c r="F22" s="137">
        <v>5697000</v>
      </c>
      <c r="G22" s="137">
        <v>4315000</v>
      </c>
      <c r="H22" s="137">
        <v>798000</v>
      </c>
      <c r="I22" s="137">
        <f t="shared" si="0"/>
        <v>76060000</v>
      </c>
      <c r="J22" s="138">
        <f t="shared" si="1"/>
        <v>73078000</v>
      </c>
    </row>
    <row r="23" spans="1:10" s="143" customFormat="1" ht="36.75" customHeight="1">
      <c r="A23" s="55" t="s">
        <v>0</v>
      </c>
      <c r="B23" s="136">
        <v>118</v>
      </c>
      <c r="C23" s="55" t="s">
        <v>141</v>
      </c>
      <c r="D23" s="137">
        <v>19150000</v>
      </c>
      <c r="E23" s="137">
        <v>44050000</v>
      </c>
      <c r="F23" s="137">
        <v>5765000</v>
      </c>
      <c r="G23" s="137">
        <v>3922000</v>
      </c>
      <c r="H23" s="137">
        <v>773000</v>
      </c>
      <c r="I23" s="137">
        <f t="shared" si="0"/>
        <v>73660000</v>
      </c>
      <c r="J23" s="138">
        <f t="shared" si="1"/>
        <v>70773000</v>
      </c>
    </row>
    <row r="24" spans="1:10" s="143" customFormat="1" ht="36.75" customHeight="1">
      <c r="A24" s="55" t="s">
        <v>0</v>
      </c>
      <c r="B24" s="136">
        <v>119</v>
      </c>
      <c r="C24" s="55" t="s">
        <v>76</v>
      </c>
      <c r="D24" s="137">
        <v>13100000</v>
      </c>
      <c r="E24" s="137">
        <v>30130000</v>
      </c>
      <c r="F24" s="137">
        <v>3905000</v>
      </c>
      <c r="G24" s="137">
        <v>2717000</v>
      </c>
      <c r="H24" s="137">
        <v>528000</v>
      </c>
      <c r="I24" s="137">
        <f t="shared" si="0"/>
        <v>50380000</v>
      </c>
      <c r="J24" s="138">
        <f t="shared" si="1"/>
        <v>48405000</v>
      </c>
    </row>
    <row r="25" spans="1:10" s="143" customFormat="1" ht="36.75" customHeight="1">
      <c r="A25" s="55" t="s">
        <v>0</v>
      </c>
      <c r="B25" s="136">
        <v>120</v>
      </c>
      <c r="C25" s="55" t="s">
        <v>142</v>
      </c>
      <c r="D25" s="137">
        <v>23370000</v>
      </c>
      <c r="E25" s="137">
        <v>53750000</v>
      </c>
      <c r="F25" s="137">
        <v>6576000</v>
      </c>
      <c r="G25" s="137">
        <v>5251000</v>
      </c>
      <c r="H25" s="137">
        <v>943000</v>
      </c>
      <c r="I25" s="137">
        <f t="shared" si="0"/>
        <v>89890000</v>
      </c>
      <c r="J25" s="138">
        <f t="shared" si="1"/>
        <v>86366000</v>
      </c>
    </row>
    <row r="26" spans="1:10" s="143" customFormat="1" ht="36.75" customHeight="1">
      <c r="A26" s="55" t="s">
        <v>0</v>
      </c>
      <c r="B26" s="136">
        <v>121</v>
      </c>
      <c r="C26" s="55" t="s">
        <v>4</v>
      </c>
      <c r="D26" s="137">
        <v>18900000</v>
      </c>
      <c r="E26" s="137">
        <v>43470000</v>
      </c>
      <c r="F26" s="137">
        <v>5529000</v>
      </c>
      <c r="G26" s="137">
        <v>4038000</v>
      </c>
      <c r="H26" s="137">
        <v>763000</v>
      </c>
      <c r="I26" s="137">
        <f t="shared" si="0"/>
        <v>72700000</v>
      </c>
      <c r="J26" s="138">
        <f t="shared" si="1"/>
        <v>69850000</v>
      </c>
    </row>
    <row r="27" spans="1:10" s="143" customFormat="1" ht="36.75" customHeight="1">
      <c r="A27" s="55" t="s">
        <v>0</v>
      </c>
      <c r="B27" s="136">
        <v>122</v>
      </c>
      <c r="C27" s="55" t="s">
        <v>77</v>
      </c>
      <c r="D27" s="137">
        <v>20970000</v>
      </c>
      <c r="E27" s="137">
        <v>48240000</v>
      </c>
      <c r="F27" s="137">
        <v>6296000</v>
      </c>
      <c r="G27" s="137">
        <v>4328000</v>
      </c>
      <c r="H27" s="137">
        <v>846000</v>
      </c>
      <c r="I27" s="137">
        <f t="shared" si="0"/>
        <v>80680000</v>
      </c>
      <c r="J27" s="138">
        <f t="shared" si="1"/>
        <v>77517000</v>
      </c>
    </row>
    <row r="28" spans="1:10" s="143" customFormat="1" ht="36.75" customHeight="1">
      <c r="A28" s="55" t="s">
        <v>0</v>
      </c>
      <c r="B28" s="136">
        <v>123</v>
      </c>
      <c r="C28" s="55" t="s">
        <v>5</v>
      </c>
      <c r="D28" s="137">
        <v>24410000</v>
      </c>
      <c r="E28" s="137">
        <v>56160000</v>
      </c>
      <c r="F28" s="137">
        <v>7459000</v>
      </c>
      <c r="G28" s="137">
        <v>4906000</v>
      </c>
      <c r="H28" s="137">
        <v>985000</v>
      </c>
      <c r="I28" s="137">
        <f t="shared" si="0"/>
        <v>93920000</v>
      </c>
      <c r="J28" s="138">
        <f t="shared" si="1"/>
        <v>90238000</v>
      </c>
    </row>
    <row r="29" spans="1:10" s="143" customFormat="1" ht="36.75" customHeight="1">
      <c r="A29" s="55" t="s">
        <v>0</v>
      </c>
      <c r="B29" s="136">
        <v>124</v>
      </c>
      <c r="C29" s="55" t="s">
        <v>143</v>
      </c>
      <c r="D29" s="137">
        <v>11050000</v>
      </c>
      <c r="E29" s="137">
        <v>25410000</v>
      </c>
      <c r="F29" s="137">
        <v>2590000</v>
      </c>
      <c r="G29" s="137">
        <v>2994000</v>
      </c>
      <c r="H29" s="137">
        <v>446000</v>
      </c>
      <c r="I29" s="137">
        <f t="shared" si="0"/>
        <v>42490000</v>
      </c>
      <c r="J29" s="138">
        <f t="shared" si="1"/>
        <v>40824000</v>
      </c>
    </row>
    <row r="30" spans="1:10" s="143" customFormat="1" ht="36.75" customHeight="1">
      <c r="A30" s="55" t="s">
        <v>0</v>
      </c>
      <c r="B30" s="136">
        <v>125</v>
      </c>
      <c r="C30" s="55" t="s">
        <v>144</v>
      </c>
      <c r="D30" s="137">
        <v>22000000</v>
      </c>
      <c r="E30" s="137">
        <v>50610000</v>
      </c>
      <c r="F30" s="137">
        <v>6903000</v>
      </c>
      <c r="G30" s="137">
        <v>4229000</v>
      </c>
      <c r="H30" s="137">
        <v>888000</v>
      </c>
      <c r="I30" s="137">
        <f t="shared" si="0"/>
        <v>84630000</v>
      </c>
      <c r="J30" s="138">
        <f t="shared" si="1"/>
        <v>81313000</v>
      </c>
    </row>
    <row r="31" spans="1:10" s="143" customFormat="1" ht="36.75" customHeight="1">
      <c r="A31" s="55" t="s">
        <v>0</v>
      </c>
      <c r="B31" s="136">
        <v>126</v>
      </c>
      <c r="C31" s="55" t="s">
        <v>145</v>
      </c>
      <c r="D31" s="137">
        <v>23240000</v>
      </c>
      <c r="E31" s="137">
        <v>53460000</v>
      </c>
      <c r="F31" s="137">
        <v>6535000</v>
      </c>
      <c r="G31" s="137">
        <v>5237000</v>
      </c>
      <c r="H31" s="137">
        <v>938000</v>
      </c>
      <c r="I31" s="137">
        <f t="shared" si="0"/>
        <v>89410000</v>
      </c>
      <c r="J31" s="138">
        <f t="shared" si="1"/>
        <v>85905000</v>
      </c>
    </row>
    <row r="32" spans="1:10" s="143" customFormat="1" ht="36.75" customHeight="1">
      <c r="A32" s="55" t="s">
        <v>0</v>
      </c>
      <c r="B32" s="136">
        <v>127</v>
      </c>
      <c r="C32" s="55" t="s">
        <v>146</v>
      </c>
      <c r="D32" s="137">
        <v>17890000</v>
      </c>
      <c r="E32" s="137">
        <v>41150000</v>
      </c>
      <c r="F32" s="137">
        <v>4923000</v>
      </c>
      <c r="G32" s="137">
        <v>4125000</v>
      </c>
      <c r="H32" s="137">
        <v>722000</v>
      </c>
      <c r="I32" s="137">
        <f t="shared" si="0"/>
        <v>68810000</v>
      </c>
      <c r="J32" s="138">
        <f t="shared" si="1"/>
        <v>66113000</v>
      </c>
    </row>
    <row r="33" spans="1:10" s="143" customFormat="1" ht="36.75" customHeight="1">
      <c r="A33" s="55" t="s">
        <v>0</v>
      </c>
      <c r="B33" s="136">
        <v>128</v>
      </c>
      <c r="C33" s="55" t="s">
        <v>78</v>
      </c>
      <c r="D33" s="137">
        <v>12270000</v>
      </c>
      <c r="E33" s="137">
        <v>28220000</v>
      </c>
      <c r="F33" s="137">
        <v>3548000</v>
      </c>
      <c r="G33" s="137">
        <v>2657000</v>
      </c>
      <c r="H33" s="137">
        <v>495000</v>
      </c>
      <c r="I33" s="137">
        <f t="shared" si="0"/>
        <v>47190000</v>
      </c>
      <c r="J33" s="138">
        <f t="shared" si="1"/>
        <v>45340000</v>
      </c>
    </row>
    <row r="34" spans="1:10" s="143" customFormat="1" ht="36.75" customHeight="1">
      <c r="A34" s="55" t="s">
        <v>0</v>
      </c>
      <c r="B34" s="136">
        <v>129</v>
      </c>
      <c r="C34" s="55" t="s">
        <v>79</v>
      </c>
      <c r="D34" s="137">
        <v>15580000</v>
      </c>
      <c r="E34" s="137">
        <v>35830000</v>
      </c>
      <c r="F34" s="137">
        <v>4435000</v>
      </c>
      <c r="G34" s="137">
        <v>3446000</v>
      </c>
      <c r="H34" s="137">
        <v>629000</v>
      </c>
      <c r="I34" s="137">
        <f t="shared" si="0"/>
        <v>59920000</v>
      </c>
      <c r="J34" s="138">
        <f t="shared" si="1"/>
        <v>57571000</v>
      </c>
    </row>
    <row r="35" spans="1:10" s="143" customFormat="1" ht="36.75" customHeight="1">
      <c r="A35" s="55" t="s">
        <v>0</v>
      </c>
      <c r="B35" s="136">
        <v>130</v>
      </c>
      <c r="C35" s="55" t="s">
        <v>147</v>
      </c>
      <c r="D35" s="137">
        <v>12310000</v>
      </c>
      <c r="E35" s="137">
        <v>28310000</v>
      </c>
      <c r="F35" s="137">
        <v>3169000</v>
      </c>
      <c r="G35" s="137">
        <v>3064000</v>
      </c>
      <c r="H35" s="137">
        <v>497000</v>
      </c>
      <c r="I35" s="137">
        <f t="shared" si="0"/>
        <v>47350000</v>
      </c>
      <c r="J35" s="138">
        <f t="shared" si="1"/>
        <v>45494000</v>
      </c>
    </row>
    <row r="36" spans="1:10" s="143" customFormat="1" ht="36.75" customHeight="1">
      <c r="A36" s="55" t="s">
        <v>0</v>
      </c>
      <c r="B36" s="136">
        <v>132</v>
      </c>
      <c r="C36" s="55" t="s">
        <v>6</v>
      </c>
      <c r="D36" s="137">
        <v>6400000</v>
      </c>
      <c r="E36" s="137">
        <v>14730000</v>
      </c>
      <c r="F36" s="137">
        <v>1651000</v>
      </c>
      <c r="G36" s="137">
        <v>1591000</v>
      </c>
      <c r="H36" s="137">
        <v>258000</v>
      </c>
      <c r="I36" s="137">
        <f t="shared" si="0"/>
        <v>24630000</v>
      </c>
      <c r="J36" s="138">
        <f t="shared" si="1"/>
        <v>23665000</v>
      </c>
    </row>
    <row r="37" spans="1:10" s="143" customFormat="1" ht="36.75" customHeight="1">
      <c r="A37" s="55" t="s">
        <v>0</v>
      </c>
      <c r="B37" s="136">
        <v>133</v>
      </c>
      <c r="C37" s="55" t="s">
        <v>148</v>
      </c>
      <c r="D37" s="137">
        <v>13210000</v>
      </c>
      <c r="E37" s="137">
        <v>30390000</v>
      </c>
      <c r="F37" s="137">
        <v>4062000</v>
      </c>
      <c r="G37" s="137">
        <v>2625000</v>
      </c>
      <c r="H37" s="137">
        <v>533000</v>
      </c>
      <c r="I37" s="137">
        <f t="shared" si="0"/>
        <v>50820000</v>
      </c>
      <c r="J37" s="138">
        <f t="shared" si="1"/>
        <v>48828000</v>
      </c>
    </row>
    <row r="38" spans="1:10" s="143" customFormat="1" ht="36.75" customHeight="1">
      <c r="A38" s="55" t="s">
        <v>7</v>
      </c>
      <c r="B38" s="136">
        <v>134</v>
      </c>
      <c r="C38" s="55" t="s">
        <v>149</v>
      </c>
      <c r="D38" s="137">
        <v>19710000</v>
      </c>
      <c r="E38" s="137">
        <v>45340000</v>
      </c>
      <c r="F38" s="137">
        <v>6188000</v>
      </c>
      <c r="G38" s="137">
        <v>3787000</v>
      </c>
      <c r="H38" s="137">
        <v>795000</v>
      </c>
      <c r="I38" s="137">
        <f t="shared" si="0"/>
        <v>75820000</v>
      </c>
      <c r="J38" s="138">
        <f t="shared" si="1"/>
        <v>72848000</v>
      </c>
    </row>
    <row r="39" spans="1:10" s="143" customFormat="1" ht="36.75" customHeight="1">
      <c r="A39" s="55" t="s">
        <v>0</v>
      </c>
      <c r="B39" s="136">
        <v>136</v>
      </c>
      <c r="C39" s="55" t="s">
        <v>150</v>
      </c>
      <c r="D39" s="137">
        <v>9030000</v>
      </c>
      <c r="E39" s="137">
        <v>20770000</v>
      </c>
      <c r="F39" s="137">
        <v>2789000</v>
      </c>
      <c r="G39" s="137">
        <v>1777000</v>
      </c>
      <c r="H39" s="137">
        <v>364000</v>
      </c>
      <c r="I39" s="137">
        <f t="shared" si="0"/>
        <v>34730000</v>
      </c>
      <c r="J39" s="138">
        <f t="shared" si="1"/>
        <v>33369000</v>
      </c>
    </row>
    <row r="40" spans="1:10" s="143" customFormat="1" ht="36.75" customHeight="1">
      <c r="A40" s="55" t="s">
        <v>7</v>
      </c>
      <c r="B40" s="136">
        <v>137</v>
      </c>
      <c r="C40" s="55" t="s">
        <v>151</v>
      </c>
      <c r="D40" s="137">
        <v>12240000</v>
      </c>
      <c r="E40" s="137">
        <v>28150000</v>
      </c>
      <c r="F40" s="137">
        <v>3639000</v>
      </c>
      <c r="G40" s="137">
        <v>2557000</v>
      </c>
      <c r="H40" s="137">
        <v>494000</v>
      </c>
      <c r="I40" s="137">
        <f t="shared" si="0"/>
        <v>47080000</v>
      </c>
      <c r="J40" s="138">
        <f t="shared" si="1"/>
        <v>45234000</v>
      </c>
    </row>
    <row r="41" spans="1:10" s="143" customFormat="1" ht="36.75" customHeight="1">
      <c r="A41" s="55" t="s">
        <v>7</v>
      </c>
      <c r="B41" s="136">
        <v>143</v>
      </c>
      <c r="C41" s="55" t="s">
        <v>80</v>
      </c>
      <c r="D41" s="137">
        <v>11700000</v>
      </c>
      <c r="E41" s="137">
        <v>26910000</v>
      </c>
      <c r="F41" s="137">
        <v>3598000</v>
      </c>
      <c r="G41" s="137">
        <v>2320000</v>
      </c>
      <c r="H41" s="137">
        <v>472000</v>
      </c>
      <c r="I41" s="137">
        <f t="shared" si="0"/>
        <v>45000000</v>
      </c>
      <c r="J41" s="138">
        <f t="shared" si="1"/>
        <v>43236000</v>
      </c>
    </row>
    <row r="42" spans="1:10" s="143" customFormat="1" ht="36.75" customHeight="1">
      <c r="A42" s="55" t="s">
        <v>0</v>
      </c>
      <c r="B42" s="136">
        <v>145</v>
      </c>
      <c r="C42" s="55" t="s">
        <v>81</v>
      </c>
      <c r="D42" s="137">
        <v>8220000</v>
      </c>
      <c r="E42" s="137">
        <v>18900000</v>
      </c>
      <c r="F42" s="137">
        <v>2179000</v>
      </c>
      <c r="G42" s="137">
        <v>1979000</v>
      </c>
      <c r="H42" s="137">
        <v>332000</v>
      </c>
      <c r="I42" s="137">
        <f t="shared" si="0"/>
        <v>31610000</v>
      </c>
      <c r="J42" s="138">
        <f t="shared" si="1"/>
        <v>30371000</v>
      </c>
    </row>
    <row r="43" spans="1:10" s="143" customFormat="1" ht="36.75" customHeight="1">
      <c r="A43" s="55" t="s">
        <v>0</v>
      </c>
      <c r="B43" s="136">
        <v>147</v>
      </c>
      <c r="C43" s="55" t="s">
        <v>152</v>
      </c>
      <c r="D43" s="137">
        <v>17240000</v>
      </c>
      <c r="E43" s="137">
        <v>39650000</v>
      </c>
      <c r="F43" s="137">
        <v>4712000</v>
      </c>
      <c r="G43" s="137">
        <v>4012000</v>
      </c>
      <c r="H43" s="137">
        <v>696000</v>
      </c>
      <c r="I43" s="137">
        <f t="shared" si="0"/>
        <v>66310000</v>
      </c>
      <c r="J43" s="138">
        <f t="shared" si="1"/>
        <v>63711000</v>
      </c>
    </row>
    <row r="44" spans="1:10" s="143" customFormat="1" ht="36.75" customHeight="1">
      <c r="A44" s="55" t="s">
        <v>0</v>
      </c>
      <c r="B44" s="136">
        <v>148</v>
      </c>
      <c r="C44" s="55" t="s">
        <v>82</v>
      </c>
      <c r="D44" s="137">
        <v>11540000</v>
      </c>
      <c r="E44" s="137">
        <v>26540000</v>
      </c>
      <c r="F44" s="137">
        <v>3364000</v>
      </c>
      <c r="G44" s="137">
        <v>2470000</v>
      </c>
      <c r="H44" s="137">
        <v>466000</v>
      </c>
      <c r="I44" s="137">
        <f t="shared" si="0"/>
        <v>44380000</v>
      </c>
      <c r="J44" s="138">
        <f t="shared" si="1"/>
        <v>42640000</v>
      </c>
    </row>
    <row r="45" spans="1:10" s="143" customFormat="1" ht="36.75" customHeight="1">
      <c r="A45" s="55" t="s">
        <v>0</v>
      </c>
      <c r="B45" s="136">
        <v>149</v>
      </c>
      <c r="C45" s="55" t="s">
        <v>153</v>
      </c>
      <c r="D45" s="137">
        <v>16110000</v>
      </c>
      <c r="E45" s="137">
        <v>37050000</v>
      </c>
      <c r="F45" s="137">
        <v>4728000</v>
      </c>
      <c r="G45" s="137">
        <v>3422000</v>
      </c>
      <c r="H45" s="137">
        <v>650000</v>
      </c>
      <c r="I45" s="137">
        <f t="shared" si="0"/>
        <v>61960000</v>
      </c>
      <c r="J45" s="138">
        <f t="shared" si="1"/>
        <v>59531000</v>
      </c>
    </row>
    <row r="46" spans="1:10" s="143" customFormat="1" ht="36.75" customHeight="1">
      <c r="A46" s="55" t="s">
        <v>7</v>
      </c>
      <c r="B46" s="136">
        <v>151</v>
      </c>
      <c r="C46" s="55" t="s">
        <v>154</v>
      </c>
      <c r="D46" s="137">
        <v>21470000</v>
      </c>
      <c r="E46" s="137">
        <v>49390000</v>
      </c>
      <c r="F46" s="137">
        <v>6635000</v>
      </c>
      <c r="G46" s="137">
        <v>4239000</v>
      </c>
      <c r="H46" s="137">
        <v>866000</v>
      </c>
      <c r="I46" s="137">
        <f t="shared" si="0"/>
        <v>82600000</v>
      </c>
      <c r="J46" s="138">
        <f t="shared" si="1"/>
        <v>79362000</v>
      </c>
    </row>
    <row r="47" spans="1:10" s="143" customFormat="1" ht="36.75" customHeight="1">
      <c r="A47" s="55" t="s">
        <v>0</v>
      </c>
      <c r="B47" s="136">
        <v>152</v>
      </c>
      <c r="C47" s="55" t="s">
        <v>155</v>
      </c>
      <c r="D47" s="137">
        <v>19950000</v>
      </c>
      <c r="E47" s="137">
        <v>45890000</v>
      </c>
      <c r="F47" s="137">
        <v>5612000</v>
      </c>
      <c r="G47" s="137">
        <v>4483000</v>
      </c>
      <c r="H47" s="137">
        <v>805000</v>
      </c>
      <c r="I47" s="137">
        <f t="shared" si="0"/>
        <v>76740000</v>
      </c>
      <c r="J47" s="138">
        <f t="shared" si="1"/>
        <v>73732000</v>
      </c>
    </row>
    <row r="48" spans="1:10" s="143" customFormat="1" ht="36.75" customHeight="1">
      <c r="A48" s="55" t="s">
        <v>0</v>
      </c>
      <c r="B48" s="136">
        <v>153</v>
      </c>
      <c r="C48" s="55" t="s">
        <v>156</v>
      </c>
      <c r="D48" s="137">
        <v>18280000</v>
      </c>
      <c r="E48" s="137">
        <v>42060000</v>
      </c>
      <c r="F48" s="137">
        <v>5379000</v>
      </c>
      <c r="G48" s="137">
        <v>3883000</v>
      </c>
      <c r="H48" s="137">
        <v>738000</v>
      </c>
      <c r="I48" s="137">
        <f t="shared" si="0"/>
        <v>70340000</v>
      </c>
      <c r="J48" s="138">
        <f t="shared" si="1"/>
        <v>67583000</v>
      </c>
    </row>
    <row r="49" spans="1:10" s="143" customFormat="1" ht="36.75" customHeight="1">
      <c r="A49" s="55" t="s">
        <v>0</v>
      </c>
      <c r="B49" s="136">
        <v>154</v>
      </c>
      <c r="C49" s="55" t="s">
        <v>8</v>
      </c>
      <c r="D49" s="137">
        <v>10030000</v>
      </c>
      <c r="E49" s="137">
        <v>23060000</v>
      </c>
      <c r="F49" s="137">
        <v>2656000</v>
      </c>
      <c r="G49" s="137">
        <v>2419000</v>
      </c>
      <c r="H49" s="137">
        <v>405000</v>
      </c>
      <c r="I49" s="137">
        <f t="shared" si="0"/>
        <v>38570000</v>
      </c>
      <c r="J49" s="138">
        <f t="shared" si="1"/>
        <v>37058000</v>
      </c>
    </row>
    <row r="50" spans="1:10" s="143" customFormat="1" ht="36.75" customHeight="1">
      <c r="A50" s="55" t="s">
        <v>0</v>
      </c>
      <c r="B50" s="136">
        <v>156</v>
      </c>
      <c r="C50" s="55" t="s">
        <v>157</v>
      </c>
      <c r="D50" s="137">
        <v>13230000</v>
      </c>
      <c r="E50" s="137">
        <v>30440000</v>
      </c>
      <c r="F50" s="137">
        <v>3846000</v>
      </c>
      <c r="G50" s="137">
        <v>2860000</v>
      </c>
      <c r="H50" s="137">
        <v>534000</v>
      </c>
      <c r="I50" s="137">
        <f t="shared" si="0"/>
        <v>50910000</v>
      </c>
      <c r="J50" s="138">
        <f t="shared" si="1"/>
        <v>48914000</v>
      </c>
    </row>
    <row r="51" spans="1:10" s="143" customFormat="1" ht="36.75" customHeight="1">
      <c r="A51" s="55" t="s">
        <v>0</v>
      </c>
      <c r="B51" s="136">
        <v>157</v>
      </c>
      <c r="C51" s="55" t="s">
        <v>158</v>
      </c>
      <c r="D51" s="137">
        <v>9760000</v>
      </c>
      <c r="E51" s="137">
        <v>22440000</v>
      </c>
      <c r="F51" s="137">
        <v>2237000</v>
      </c>
      <c r="G51" s="137">
        <v>2699000</v>
      </c>
      <c r="H51" s="137">
        <v>394000</v>
      </c>
      <c r="I51" s="137">
        <f t="shared" si="0"/>
        <v>37530000</v>
      </c>
      <c r="J51" s="138">
        <f t="shared" si="1"/>
        <v>36059000</v>
      </c>
    </row>
    <row r="52" spans="1:10" s="143" customFormat="1" ht="36.75" customHeight="1">
      <c r="A52" s="55" t="s">
        <v>7</v>
      </c>
      <c r="B52" s="136">
        <v>158</v>
      </c>
      <c r="C52" s="55" t="s">
        <v>159</v>
      </c>
      <c r="D52" s="137">
        <v>17180000</v>
      </c>
      <c r="E52" s="137">
        <v>39520000</v>
      </c>
      <c r="F52" s="137">
        <v>4885000</v>
      </c>
      <c r="G52" s="137">
        <v>3812000</v>
      </c>
      <c r="H52" s="137">
        <v>693000</v>
      </c>
      <c r="I52" s="137">
        <f t="shared" si="0"/>
        <v>66090000</v>
      </c>
      <c r="J52" s="138">
        <f t="shared" si="1"/>
        <v>63499000</v>
      </c>
    </row>
    <row r="53" spans="1:10" s="143" customFormat="1" ht="36.75" customHeight="1">
      <c r="A53" s="55" t="s">
        <v>7</v>
      </c>
      <c r="B53" s="136">
        <v>159</v>
      </c>
      <c r="C53" s="55" t="s">
        <v>83</v>
      </c>
      <c r="D53" s="137">
        <v>30930000</v>
      </c>
      <c r="E53" s="137">
        <v>71160000</v>
      </c>
      <c r="F53" s="137">
        <v>9515000</v>
      </c>
      <c r="G53" s="137">
        <v>6147000</v>
      </c>
      <c r="H53" s="137">
        <v>1248000</v>
      </c>
      <c r="I53" s="137">
        <f t="shared" si="0"/>
        <v>119000000</v>
      </c>
      <c r="J53" s="138">
        <f t="shared" si="1"/>
        <v>114335000</v>
      </c>
    </row>
    <row r="54" spans="1:10" s="143" customFormat="1" ht="36.75" customHeight="1">
      <c r="A54" s="55" t="s">
        <v>7</v>
      </c>
      <c r="B54" s="136">
        <v>160</v>
      </c>
      <c r="C54" s="55" t="s">
        <v>9</v>
      </c>
      <c r="D54" s="137">
        <v>20770000</v>
      </c>
      <c r="E54" s="137">
        <v>47780000</v>
      </c>
      <c r="F54" s="137">
        <v>6571000</v>
      </c>
      <c r="G54" s="137">
        <v>3951000</v>
      </c>
      <c r="H54" s="137">
        <v>838000</v>
      </c>
      <c r="I54" s="137">
        <f t="shared" si="0"/>
        <v>79910000</v>
      </c>
      <c r="J54" s="138">
        <f t="shared" si="1"/>
        <v>76778000</v>
      </c>
    </row>
    <row r="55" spans="1:10" s="143" customFormat="1" ht="36.75" customHeight="1">
      <c r="A55" s="55" t="s">
        <v>7</v>
      </c>
      <c r="B55" s="136">
        <v>161</v>
      </c>
      <c r="C55" s="55" t="s">
        <v>160</v>
      </c>
      <c r="D55" s="137">
        <v>13490000</v>
      </c>
      <c r="E55" s="137">
        <v>31020000</v>
      </c>
      <c r="F55" s="137">
        <v>3986000</v>
      </c>
      <c r="G55" s="137">
        <v>2840000</v>
      </c>
      <c r="H55" s="137">
        <v>544000</v>
      </c>
      <c r="I55" s="137">
        <f t="shared" si="0"/>
        <v>51880000</v>
      </c>
      <c r="J55" s="138">
        <f t="shared" si="1"/>
        <v>49846000</v>
      </c>
    </row>
    <row r="56" spans="1:10" s="143" customFormat="1" ht="36.75" customHeight="1">
      <c r="A56" s="55" t="s">
        <v>7</v>
      </c>
      <c r="B56" s="136">
        <v>162</v>
      </c>
      <c r="C56" s="55" t="s">
        <v>10</v>
      </c>
      <c r="D56" s="137">
        <v>28920000</v>
      </c>
      <c r="E56" s="137">
        <v>66520000</v>
      </c>
      <c r="F56" s="137">
        <v>8852000</v>
      </c>
      <c r="G56" s="137">
        <v>5791000</v>
      </c>
      <c r="H56" s="137">
        <v>1167000</v>
      </c>
      <c r="I56" s="137">
        <f t="shared" si="0"/>
        <v>111250000</v>
      </c>
      <c r="J56" s="138">
        <f t="shared" si="1"/>
        <v>106889000</v>
      </c>
    </row>
    <row r="57" spans="1:10" s="143" customFormat="1" ht="36.75" customHeight="1">
      <c r="A57" s="55" t="s">
        <v>11</v>
      </c>
      <c r="B57" s="136">
        <v>163</v>
      </c>
      <c r="C57" s="55" t="s">
        <v>12</v>
      </c>
      <c r="D57" s="137">
        <v>15010000</v>
      </c>
      <c r="E57" s="137">
        <v>34540000</v>
      </c>
      <c r="F57" s="137">
        <v>4256000</v>
      </c>
      <c r="G57" s="137">
        <v>3348000</v>
      </c>
      <c r="H57" s="137">
        <v>606000</v>
      </c>
      <c r="I57" s="137">
        <f t="shared" si="0"/>
        <v>57760000</v>
      </c>
      <c r="J57" s="138">
        <f t="shared" si="1"/>
        <v>55496000</v>
      </c>
    </row>
    <row r="58" spans="1:10" s="143" customFormat="1" ht="36.75" customHeight="1">
      <c r="A58" s="55" t="s">
        <v>7</v>
      </c>
      <c r="B58" s="136">
        <v>164</v>
      </c>
      <c r="C58" s="55" t="s">
        <v>161</v>
      </c>
      <c r="D58" s="137">
        <v>18570000</v>
      </c>
      <c r="E58" s="137">
        <v>42720000</v>
      </c>
      <c r="F58" s="137">
        <v>5583000</v>
      </c>
      <c r="G58" s="137">
        <v>3828000</v>
      </c>
      <c r="H58" s="137">
        <v>749000</v>
      </c>
      <c r="I58" s="137">
        <f t="shared" si="0"/>
        <v>71450000</v>
      </c>
      <c r="J58" s="138">
        <f t="shared" si="1"/>
        <v>68649000</v>
      </c>
    </row>
    <row r="59" spans="1:10" s="143" customFormat="1" ht="36.75" customHeight="1">
      <c r="A59" s="55" t="s">
        <v>7</v>
      </c>
      <c r="B59" s="136">
        <v>165</v>
      </c>
      <c r="C59" s="55" t="s">
        <v>13</v>
      </c>
      <c r="D59" s="137">
        <v>22220000</v>
      </c>
      <c r="E59" s="137">
        <v>51120000</v>
      </c>
      <c r="F59" s="137">
        <v>6502000</v>
      </c>
      <c r="G59" s="137">
        <v>4751000</v>
      </c>
      <c r="H59" s="137">
        <v>897000</v>
      </c>
      <c r="I59" s="137">
        <f t="shared" si="0"/>
        <v>85490000</v>
      </c>
      <c r="J59" s="138">
        <f t="shared" si="1"/>
        <v>82139000</v>
      </c>
    </row>
    <row r="60" spans="1:10" s="143" customFormat="1" ht="36.75" customHeight="1">
      <c r="A60" s="55" t="s">
        <v>7</v>
      </c>
      <c r="B60" s="136">
        <v>166</v>
      </c>
      <c r="C60" s="55" t="s">
        <v>84</v>
      </c>
      <c r="D60" s="137">
        <v>16860000</v>
      </c>
      <c r="E60" s="137">
        <v>38780000</v>
      </c>
      <c r="F60" s="137">
        <v>4698000</v>
      </c>
      <c r="G60" s="137">
        <v>3832000</v>
      </c>
      <c r="H60" s="137">
        <v>680000</v>
      </c>
      <c r="I60" s="137">
        <f t="shared" si="0"/>
        <v>64850000</v>
      </c>
      <c r="J60" s="138">
        <f t="shared" si="1"/>
        <v>62308000</v>
      </c>
    </row>
    <row r="61" spans="1:10" s="143" customFormat="1" ht="36.75" customHeight="1">
      <c r="A61" s="55" t="s">
        <v>7</v>
      </c>
      <c r="B61" s="136">
        <v>167</v>
      </c>
      <c r="C61" s="55" t="s">
        <v>162</v>
      </c>
      <c r="D61" s="137">
        <v>26230000</v>
      </c>
      <c r="E61" s="137">
        <v>60340000</v>
      </c>
      <c r="F61" s="137">
        <v>8031000</v>
      </c>
      <c r="G61" s="137">
        <v>5250000</v>
      </c>
      <c r="H61" s="137">
        <v>1059000</v>
      </c>
      <c r="I61" s="137">
        <f t="shared" si="0"/>
        <v>100910000</v>
      </c>
      <c r="J61" s="138">
        <f t="shared" si="1"/>
        <v>96954000</v>
      </c>
    </row>
    <row r="62" spans="1:10" s="143" customFormat="1" ht="36.75" customHeight="1">
      <c r="A62" s="55" t="s">
        <v>7</v>
      </c>
      <c r="B62" s="136">
        <v>168</v>
      </c>
      <c r="C62" s="55" t="s">
        <v>163</v>
      </c>
      <c r="D62" s="137">
        <v>24410000</v>
      </c>
      <c r="E62" s="137">
        <v>56150000</v>
      </c>
      <c r="F62" s="137">
        <v>7477000</v>
      </c>
      <c r="G62" s="137">
        <v>4888000</v>
      </c>
      <c r="H62" s="137">
        <v>985000</v>
      </c>
      <c r="I62" s="137">
        <f t="shared" si="0"/>
        <v>93910000</v>
      </c>
      <c r="J62" s="138">
        <f t="shared" si="1"/>
        <v>90229000</v>
      </c>
    </row>
    <row r="63" spans="1:10" s="143" customFormat="1" ht="36.75" customHeight="1">
      <c r="A63" s="55" t="s">
        <v>7</v>
      </c>
      <c r="B63" s="136">
        <v>169</v>
      </c>
      <c r="C63" s="55" t="s">
        <v>85</v>
      </c>
      <c r="D63" s="137">
        <v>19530000</v>
      </c>
      <c r="E63" s="137">
        <v>44920000</v>
      </c>
      <c r="F63" s="137">
        <v>5809000</v>
      </c>
      <c r="G63" s="137">
        <v>4083000</v>
      </c>
      <c r="H63" s="137">
        <v>788000</v>
      </c>
      <c r="I63" s="137">
        <f t="shared" si="0"/>
        <v>75130000</v>
      </c>
      <c r="J63" s="138">
        <f t="shared" si="1"/>
        <v>72185000</v>
      </c>
    </row>
    <row r="64" spans="1:10" s="143" customFormat="1" ht="36.75" customHeight="1">
      <c r="A64" s="55" t="s">
        <v>7</v>
      </c>
      <c r="B64" s="136">
        <v>170</v>
      </c>
      <c r="C64" s="55" t="s">
        <v>164</v>
      </c>
      <c r="D64" s="137">
        <v>16730000</v>
      </c>
      <c r="E64" s="137">
        <v>38470000</v>
      </c>
      <c r="F64" s="137">
        <v>4910000</v>
      </c>
      <c r="G64" s="137">
        <v>3555000</v>
      </c>
      <c r="H64" s="137">
        <v>675000</v>
      </c>
      <c r="I64" s="137">
        <f t="shared" si="0"/>
        <v>64340000</v>
      </c>
      <c r="J64" s="138">
        <f t="shared" si="1"/>
        <v>61818000</v>
      </c>
    </row>
    <row r="65" spans="1:10" s="143" customFormat="1" ht="36.75" customHeight="1">
      <c r="A65" s="55" t="s">
        <v>7</v>
      </c>
      <c r="B65" s="136">
        <v>171</v>
      </c>
      <c r="C65" s="55" t="s">
        <v>86</v>
      </c>
      <c r="D65" s="137">
        <v>15910000</v>
      </c>
      <c r="E65" s="137">
        <v>36610000</v>
      </c>
      <c r="F65" s="137">
        <v>4651000</v>
      </c>
      <c r="G65" s="137">
        <v>3407000</v>
      </c>
      <c r="H65" s="137">
        <v>642000</v>
      </c>
      <c r="I65" s="137">
        <f t="shared" si="0"/>
        <v>61220000</v>
      </c>
      <c r="J65" s="138">
        <f t="shared" si="1"/>
        <v>58820000</v>
      </c>
    </row>
    <row r="66" spans="1:10" s="143" customFormat="1" ht="36.75" customHeight="1">
      <c r="A66" s="55" t="s">
        <v>7</v>
      </c>
      <c r="B66" s="136">
        <v>172</v>
      </c>
      <c r="C66" s="55" t="s">
        <v>14</v>
      </c>
      <c r="D66" s="137">
        <v>9920000</v>
      </c>
      <c r="E66" s="137">
        <v>22820000</v>
      </c>
      <c r="F66" s="137">
        <v>2351000</v>
      </c>
      <c r="G66" s="137">
        <v>2669000</v>
      </c>
      <c r="H66" s="137">
        <v>400000</v>
      </c>
      <c r="I66" s="137">
        <f t="shared" si="0"/>
        <v>38160000</v>
      </c>
      <c r="J66" s="138">
        <f t="shared" si="1"/>
        <v>36664000</v>
      </c>
    </row>
    <row r="67" spans="1:10" s="143" customFormat="1" ht="36.75" customHeight="1">
      <c r="A67" s="55" t="s">
        <v>11</v>
      </c>
      <c r="B67" s="136">
        <v>173</v>
      </c>
      <c r="C67" s="55" t="s">
        <v>15</v>
      </c>
      <c r="D67" s="137">
        <v>13310000</v>
      </c>
      <c r="E67" s="137">
        <v>30620000</v>
      </c>
      <c r="F67" s="137">
        <v>3784000</v>
      </c>
      <c r="G67" s="137">
        <v>2949000</v>
      </c>
      <c r="H67" s="137">
        <v>537000</v>
      </c>
      <c r="I67" s="137">
        <f t="shared" si="0"/>
        <v>51200000</v>
      </c>
      <c r="J67" s="138">
        <f t="shared" si="1"/>
        <v>49193000</v>
      </c>
    </row>
    <row r="68" spans="1:10" s="143" customFormat="1" ht="36.75" customHeight="1">
      <c r="A68" s="55" t="s">
        <v>7</v>
      </c>
      <c r="B68" s="136">
        <v>174</v>
      </c>
      <c r="C68" s="55" t="s">
        <v>16</v>
      </c>
      <c r="D68" s="137">
        <v>27260000</v>
      </c>
      <c r="E68" s="137">
        <v>62710000</v>
      </c>
      <c r="F68" s="137">
        <v>8381000</v>
      </c>
      <c r="G68" s="137">
        <v>5429000</v>
      </c>
      <c r="H68" s="137">
        <v>1100000</v>
      </c>
      <c r="I68" s="137">
        <f t="shared" si="0"/>
        <v>104880000</v>
      </c>
      <c r="J68" s="138">
        <f t="shared" si="1"/>
        <v>100769000</v>
      </c>
    </row>
    <row r="69" spans="1:10" s="143" customFormat="1" ht="36.75" customHeight="1">
      <c r="A69" s="55" t="s">
        <v>7</v>
      </c>
      <c r="B69" s="136">
        <v>175</v>
      </c>
      <c r="C69" s="55" t="s">
        <v>165</v>
      </c>
      <c r="D69" s="137">
        <v>18560000</v>
      </c>
      <c r="E69" s="137">
        <v>42680000</v>
      </c>
      <c r="F69" s="137">
        <v>5569000</v>
      </c>
      <c r="G69" s="137">
        <v>3822000</v>
      </c>
      <c r="H69" s="137">
        <v>749000</v>
      </c>
      <c r="I69" s="137">
        <f t="shared" ref="I69:I133" si="2">SUM(D69:H69)</f>
        <v>71380000</v>
      </c>
      <c r="J69" s="138">
        <f t="shared" si="1"/>
        <v>68582000</v>
      </c>
    </row>
    <row r="70" spans="1:10" s="143" customFormat="1" ht="36.75" customHeight="1">
      <c r="A70" s="55" t="s">
        <v>11</v>
      </c>
      <c r="B70" s="136">
        <v>176</v>
      </c>
      <c r="C70" s="55" t="s">
        <v>166</v>
      </c>
      <c r="D70" s="137">
        <v>11010000</v>
      </c>
      <c r="E70" s="137">
        <v>25320000</v>
      </c>
      <c r="F70" s="137">
        <v>2898000</v>
      </c>
      <c r="G70" s="137">
        <v>2668000</v>
      </c>
      <c r="H70" s="137">
        <v>444000</v>
      </c>
      <c r="I70" s="137">
        <f t="shared" si="2"/>
        <v>42340000</v>
      </c>
      <c r="J70" s="138">
        <f t="shared" ref="J70:J133" si="3">ROUND(I70*$J$3, -3)</f>
        <v>40680000</v>
      </c>
    </row>
    <row r="71" spans="1:10" s="143" customFormat="1" ht="36.75" customHeight="1">
      <c r="A71" s="55" t="s">
        <v>400</v>
      </c>
      <c r="B71" s="136">
        <v>177</v>
      </c>
      <c r="C71" s="55" t="s">
        <v>648</v>
      </c>
      <c r="D71" s="137">
        <v>4100000</v>
      </c>
      <c r="E71" s="137">
        <v>9420000</v>
      </c>
      <c r="F71" s="137">
        <v>1303000</v>
      </c>
      <c r="G71" s="137">
        <v>772000</v>
      </c>
      <c r="H71" s="137">
        <v>165000</v>
      </c>
      <c r="I71" s="137">
        <f t="shared" si="2"/>
        <v>15760000</v>
      </c>
      <c r="J71" s="138">
        <f t="shared" si="3"/>
        <v>15142000</v>
      </c>
    </row>
    <row r="72" spans="1:10" s="143" customFormat="1" ht="36.75" customHeight="1">
      <c r="A72" s="55" t="s">
        <v>0</v>
      </c>
      <c r="B72" s="136">
        <v>178</v>
      </c>
      <c r="C72" s="55" t="s">
        <v>17</v>
      </c>
      <c r="D72" s="137">
        <v>17890000</v>
      </c>
      <c r="E72" s="137">
        <v>41160000</v>
      </c>
      <c r="F72" s="137">
        <v>5193000</v>
      </c>
      <c r="G72" s="137">
        <v>3865000</v>
      </c>
      <c r="H72" s="137">
        <v>722000</v>
      </c>
      <c r="I72" s="137">
        <f t="shared" si="2"/>
        <v>68830000</v>
      </c>
      <c r="J72" s="138">
        <f t="shared" si="3"/>
        <v>66132000</v>
      </c>
    </row>
    <row r="73" spans="1:10" s="143" customFormat="1" ht="36.75" customHeight="1">
      <c r="A73" s="55" t="s">
        <v>7</v>
      </c>
      <c r="B73" s="136">
        <v>179</v>
      </c>
      <c r="C73" s="55" t="s">
        <v>167</v>
      </c>
      <c r="D73" s="137">
        <v>20140000</v>
      </c>
      <c r="E73" s="137">
        <v>46320000</v>
      </c>
      <c r="F73" s="137">
        <v>6209000</v>
      </c>
      <c r="G73" s="137">
        <v>3988000</v>
      </c>
      <c r="H73" s="137">
        <v>813000</v>
      </c>
      <c r="I73" s="137">
        <f t="shared" si="2"/>
        <v>77470000</v>
      </c>
      <c r="J73" s="138">
        <f t="shared" si="3"/>
        <v>74433000</v>
      </c>
    </row>
    <row r="74" spans="1:10" s="143" customFormat="1" ht="36.75" customHeight="1">
      <c r="A74" s="55" t="s">
        <v>7</v>
      </c>
      <c r="B74" s="136">
        <v>180</v>
      </c>
      <c r="C74" s="55" t="s">
        <v>168</v>
      </c>
      <c r="D74" s="137">
        <v>21560000</v>
      </c>
      <c r="E74" s="137">
        <v>49600000</v>
      </c>
      <c r="F74" s="137">
        <v>6664000</v>
      </c>
      <c r="G74" s="137">
        <v>4246000</v>
      </c>
      <c r="H74" s="137">
        <v>870000</v>
      </c>
      <c r="I74" s="137">
        <f t="shared" si="2"/>
        <v>82940000</v>
      </c>
      <c r="J74" s="138">
        <f t="shared" si="3"/>
        <v>79689000</v>
      </c>
    </row>
    <row r="75" spans="1:10" s="143" customFormat="1" ht="36.75" customHeight="1">
      <c r="A75" s="55" t="s">
        <v>7</v>
      </c>
      <c r="B75" s="136">
        <v>182</v>
      </c>
      <c r="C75" s="55" t="s">
        <v>169</v>
      </c>
      <c r="D75" s="137">
        <v>11350000</v>
      </c>
      <c r="E75" s="137">
        <v>26110000</v>
      </c>
      <c r="F75" s="137">
        <v>3404000</v>
      </c>
      <c r="G75" s="137">
        <v>2348000</v>
      </c>
      <c r="H75" s="137">
        <v>458000</v>
      </c>
      <c r="I75" s="137">
        <f t="shared" si="2"/>
        <v>43670000</v>
      </c>
      <c r="J75" s="138">
        <f t="shared" si="3"/>
        <v>41958000</v>
      </c>
    </row>
    <row r="76" spans="1:10" s="143" customFormat="1" ht="36.75" customHeight="1">
      <c r="A76" s="55" t="s">
        <v>7</v>
      </c>
      <c r="B76" s="136">
        <v>183</v>
      </c>
      <c r="C76" s="55" t="s">
        <v>18</v>
      </c>
      <c r="D76" s="137">
        <v>10080000</v>
      </c>
      <c r="E76" s="137">
        <v>23190000</v>
      </c>
      <c r="F76" s="137">
        <v>2581000</v>
      </c>
      <c r="G76" s="137">
        <v>2522000</v>
      </c>
      <c r="H76" s="137">
        <v>407000</v>
      </c>
      <c r="I76" s="137">
        <f t="shared" si="2"/>
        <v>38780000</v>
      </c>
      <c r="J76" s="138">
        <f t="shared" si="3"/>
        <v>37260000</v>
      </c>
    </row>
    <row r="77" spans="1:10" s="143" customFormat="1" ht="36.75" customHeight="1">
      <c r="A77" s="55" t="s">
        <v>7</v>
      </c>
      <c r="B77" s="136">
        <v>184</v>
      </c>
      <c r="C77" s="55" t="s">
        <v>19</v>
      </c>
      <c r="D77" s="137">
        <v>14910000</v>
      </c>
      <c r="E77" s="137">
        <v>34310000</v>
      </c>
      <c r="F77" s="137">
        <v>4640000</v>
      </c>
      <c r="G77" s="137">
        <v>2908000</v>
      </c>
      <c r="H77" s="137">
        <v>602000</v>
      </c>
      <c r="I77" s="137">
        <f t="shared" si="2"/>
        <v>57370000</v>
      </c>
      <c r="J77" s="138">
        <f t="shared" si="3"/>
        <v>55121000</v>
      </c>
    </row>
    <row r="78" spans="1:10" s="143" customFormat="1" ht="36.75" customHeight="1">
      <c r="A78" s="55" t="s">
        <v>7</v>
      </c>
      <c r="B78" s="136">
        <v>185</v>
      </c>
      <c r="C78" s="55" t="s">
        <v>170</v>
      </c>
      <c r="D78" s="137">
        <v>21350000</v>
      </c>
      <c r="E78" s="137">
        <v>49110000</v>
      </c>
      <c r="F78" s="137">
        <v>6378000</v>
      </c>
      <c r="G78" s="137">
        <v>4430000</v>
      </c>
      <c r="H78" s="137">
        <v>862000</v>
      </c>
      <c r="I78" s="137">
        <f t="shared" si="2"/>
        <v>82130000</v>
      </c>
      <c r="J78" s="138">
        <f t="shared" si="3"/>
        <v>78911000</v>
      </c>
    </row>
    <row r="79" spans="1:10" s="143" customFormat="1" ht="36.75" customHeight="1">
      <c r="A79" s="55" t="s">
        <v>11</v>
      </c>
      <c r="B79" s="136">
        <v>186</v>
      </c>
      <c r="C79" s="55" t="s">
        <v>87</v>
      </c>
      <c r="D79" s="137">
        <v>20070000</v>
      </c>
      <c r="E79" s="137">
        <v>46170000</v>
      </c>
      <c r="F79" s="137">
        <v>6144000</v>
      </c>
      <c r="G79" s="137">
        <v>4016000</v>
      </c>
      <c r="H79" s="137">
        <v>810000</v>
      </c>
      <c r="I79" s="137">
        <f t="shared" si="2"/>
        <v>77210000</v>
      </c>
      <c r="J79" s="138">
        <f t="shared" si="3"/>
        <v>74183000</v>
      </c>
    </row>
    <row r="80" spans="1:10" s="143" customFormat="1" ht="36.75" customHeight="1">
      <c r="A80" s="55" t="s">
        <v>7</v>
      </c>
      <c r="B80" s="136">
        <v>187</v>
      </c>
      <c r="C80" s="55" t="s">
        <v>171</v>
      </c>
      <c r="D80" s="137">
        <v>14900000</v>
      </c>
      <c r="E80" s="137">
        <v>34280000</v>
      </c>
      <c r="F80" s="137">
        <v>4397000</v>
      </c>
      <c r="G80" s="137">
        <v>3152000</v>
      </c>
      <c r="H80" s="137">
        <v>601000</v>
      </c>
      <c r="I80" s="137">
        <f t="shared" si="2"/>
        <v>57330000</v>
      </c>
      <c r="J80" s="138">
        <f t="shared" si="3"/>
        <v>55083000</v>
      </c>
    </row>
    <row r="81" spans="1:10" s="143" customFormat="1" ht="36.75" customHeight="1">
      <c r="A81" s="55" t="s">
        <v>0</v>
      </c>
      <c r="B81" s="136">
        <v>189</v>
      </c>
      <c r="C81" s="55" t="s">
        <v>172</v>
      </c>
      <c r="D81" s="137">
        <v>20920000</v>
      </c>
      <c r="E81" s="137">
        <v>48130000</v>
      </c>
      <c r="F81" s="137">
        <v>6504000</v>
      </c>
      <c r="G81" s="137">
        <v>4092000</v>
      </c>
      <c r="H81" s="137">
        <v>844000</v>
      </c>
      <c r="I81" s="137">
        <f t="shared" si="2"/>
        <v>80490000</v>
      </c>
      <c r="J81" s="138">
        <f t="shared" si="3"/>
        <v>77335000</v>
      </c>
    </row>
    <row r="82" spans="1:10" s="143" customFormat="1" ht="36.75" customHeight="1">
      <c r="A82" s="55" t="s">
        <v>7</v>
      </c>
      <c r="B82" s="136">
        <v>190</v>
      </c>
      <c r="C82" s="55" t="s">
        <v>173</v>
      </c>
      <c r="D82" s="137">
        <v>15360000</v>
      </c>
      <c r="E82" s="137">
        <v>35340000</v>
      </c>
      <c r="F82" s="137">
        <v>4409000</v>
      </c>
      <c r="G82" s="137">
        <v>3371000</v>
      </c>
      <c r="H82" s="137">
        <v>620000</v>
      </c>
      <c r="I82" s="137">
        <f t="shared" si="2"/>
        <v>59100000</v>
      </c>
      <c r="J82" s="138">
        <f t="shared" si="3"/>
        <v>56783000</v>
      </c>
    </row>
    <row r="83" spans="1:10" s="143" customFormat="1" ht="36.75" customHeight="1">
      <c r="A83" s="55" t="s">
        <v>11</v>
      </c>
      <c r="B83" s="136">
        <v>191</v>
      </c>
      <c r="C83" s="55" t="s">
        <v>20</v>
      </c>
      <c r="D83" s="137">
        <v>19680000</v>
      </c>
      <c r="E83" s="137">
        <v>45270000</v>
      </c>
      <c r="F83" s="137">
        <v>5706000</v>
      </c>
      <c r="G83" s="137">
        <v>4250000</v>
      </c>
      <c r="H83" s="137">
        <v>794000</v>
      </c>
      <c r="I83" s="137">
        <f t="shared" si="2"/>
        <v>75700000</v>
      </c>
      <c r="J83" s="138">
        <f t="shared" si="3"/>
        <v>72733000</v>
      </c>
    </row>
    <row r="84" spans="1:10" s="143" customFormat="1" ht="36.75" customHeight="1">
      <c r="A84" s="55" t="s">
        <v>7</v>
      </c>
      <c r="B84" s="136">
        <v>192</v>
      </c>
      <c r="C84" s="55" t="s">
        <v>174</v>
      </c>
      <c r="D84" s="137">
        <v>20120000</v>
      </c>
      <c r="E84" s="137">
        <v>46280000</v>
      </c>
      <c r="F84" s="137">
        <v>6140000</v>
      </c>
      <c r="G84" s="137">
        <v>4048000</v>
      </c>
      <c r="H84" s="137">
        <v>812000</v>
      </c>
      <c r="I84" s="137">
        <f t="shared" si="2"/>
        <v>77400000</v>
      </c>
      <c r="J84" s="138">
        <f t="shared" si="3"/>
        <v>74366000</v>
      </c>
    </row>
    <row r="85" spans="1:10" s="143" customFormat="1" ht="36.75" customHeight="1">
      <c r="A85" s="55" t="s">
        <v>11</v>
      </c>
      <c r="B85" s="136">
        <v>193</v>
      </c>
      <c r="C85" s="55" t="s">
        <v>21</v>
      </c>
      <c r="D85" s="137">
        <v>14610000</v>
      </c>
      <c r="E85" s="137">
        <v>33610000</v>
      </c>
      <c r="F85" s="137">
        <v>3699000</v>
      </c>
      <c r="G85" s="137">
        <v>3701000</v>
      </c>
      <c r="H85" s="137">
        <v>590000</v>
      </c>
      <c r="I85" s="137">
        <f t="shared" si="2"/>
        <v>56210000</v>
      </c>
      <c r="J85" s="138">
        <f t="shared" si="3"/>
        <v>54007000</v>
      </c>
    </row>
    <row r="86" spans="1:10" s="143" customFormat="1" ht="36.75" customHeight="1">
      <c r="A86" s="55" t="s">
        <v>11</v>
      </c>
      <c r="B86" s="136">
        <v>194</v>
      </c>
      <c r="C86" s="55" t="s">
        <v>175</v>
      </c>
      <c r="D86" s="137">
        <v>12750000</v>
      </c>
      <c r="E86" s="137">
        <v>29340000</v>
      </c>
      <c r="F86" s="137">
        <v>3336000</v>
      </c>
      <c r="G86" s="137">
        <v>3119000</v>
      </c>
      <c r="H86" s="137">
        <v>515000</v>
      </c>
      <c r="I86" s="137">
        <f t="shared" si="2"/>
        <v>49060000</v>
      </c>
      <c r="J86" s="138">
        <f t="shared" si="3"/>
        <v>47137000</v>
      </c>
    </row>
    <row r="87" spans="1:10" s="143" customFormat="1" ht="36.75" customHeight="1">
      <c r="A87" s="55" t="s">
        <v>7</v>
      </c>
      <c r="B87" s="136">
        <v>195</v>
      </c>
      <c r="C87" s="55" t="s">
        <v>22</v>
      </c>
      <c r="D87" s="137">
        <v>12310000</v>
      </c>
      <c r="E87" s="137">
        <v>28310000</v>
      </c>
      <c r="F87" s="137">
        <v>3759000</v>
      </c>
      <c r="G87" s="137">
        <v>2464000</v>
      </c>
      <c r="H87" s="137">
        <v>497000</v>
      </c>
      <c r="I87" s="137">
        <f t="shared" si="2"/>
        <v>47340000</v>
      </c>
      <c r="J87" s="138">
        <f t="shared" si="3"/>
        <v>45484000</v>
      </c>
    </row>
    <row r="88" spans="1:10" s="143" customFormat="1" ht="36.75" customHeight="1">
      <c r="A88" s="55" t="s">
        <v>11</v>
      </c>
      <c r="B88" s="136">
        <v>196</v>
      </c>
      <c r="C88" s="55" t="s">
        <v>88</v>
      </c>
      <c r="D88" s="137">
        <v>14020000</v>
      </c>
      <c r="E88" s="137">
        <v>32240000</v>
      </c>
      <c r="F88" s="137">
        <v>4202000</v>
      </c>
      <c r="G88" s="137">
        <v>2892000</v>
      </c>
      <c r="H88" s="137">
        <v>566000</v>
      </c>
      <c r="I88" s="137">
        <f t="shared" si="2"/>
        <v>53920000</v>
      </c>
      <c r="J88" s="138">
        <f t="shared" si="3"/>
        <v>51806000</v>
      </c>
    </row>
    <row r="89" spans="1:10" s="143" customFormat="1" ht="36.75" customHeight="1">
      <c r="A89" s="55" t="s">
        <v>11</v>
      </c>
      <c r="B89" s="136">
        <v>197</v>
      </c>
      <c r="C89" s="55" t="s">
        <v>23</v>
      </c>
      <c r="D89" s="137">
        <v>8710000</v>
      </c>
      <c r="E89" s="137">
        <v>20030000</v>
      </c>
      <c r="F89" s="137">
        <v>2668000</v>
      </c>
      <c r="G89" s="137">
        <v>1741000</v>
      </c>
      <c r="H89" s="137">
        <v>351000</v>
      </c>
      <c r="I89" s="137">
        <f t="shared" si="2"/>
        <v>33500000</v>
      </c>
      <c r="J89" s="138">
        <f t="shared" si="3"/>
        <v>32187000</v>
      </c>
    </row>
    <row r="90" spans="1:10" s="143" customFormat="1" ht="36.75" customHeight="1">
      <c r="A90" s="55" t="s">
        <v>11</v>
      </c>
      <c r="B90" s="136">
        <v>199</v>
      </c>
      <c r="C90" s="55" t="s">
        <v>24</v>
      </c>
      <c r="D90" s="137">
        <v>10950000</v>
      </c>
      <c r="E90" s="137">
        <v>25180000</v>
      </c>
      <c r="F90" s="137">
        <v>3153000</v>
      </c>
      <c r="G90" s="137">
        <v>2385000</v>
      </c>
      <c r="H90" s="137">
        <v>442000</v>
      </c>
      <c r="I90" s="137">
        <f t="shared" si="2"/>
        <v>42110000</v>
      </c>
      <c r="J90" s="138">
        <f t="shared" si="3"/>
        <v>40459000</v>
      </c>
    </row>
    <row r="91" spans="1:10" s="143" customFormat="1" ht="36.75" customHeight="1">
      <c r="A91" s="55" t="s">
        <v>7</v>
      </c>
      <c r="B91" s="136">
        <v>200</v>
      </c>
      <c r="C91" s="55" t="s">
        <v>89</v>
      </c>
      <c r="D91" s="137">
        <v>12010000</v>
      </c>
      <c r="E91" s="137">
        <v>27620000</v>
      </c>
      <c r="F91" s="137">
        <v>3524000</v>
      </c>
      <c r="G91" s="137">
        <v>2551000</v>
      </c>
      <c r="H91" s="137">
        <v>485000</v>
      </c>
      <c r="I91" s="137">
        <f t="shared" si="2"/>
        <v>46190000</v>
      </c>
      <c r="J91" s="138">
        <f t="shared" si="3"/>
        <v>44379000</v>
      </c>
    </row>
    <row r="92" spans="1:10" s="143" customFormat="1" ht="36.75" customHeight="1">
      <c r="A92" s="55" t="s">
        <v>7</v>
      </c>
      <c r="B92" s="136">
        <v>201</v>
      </c>
      <c r="C92" s="55" t="s">
        <v>90</v>
      </c>
      <c r="D92" s="137">
        <v>13490000</v>
      </c>
      <c r="E92" s="137">
        <v>31020000</v>
      </c>
      <c r="F92" s="137">
        <v>4050000</v>
      </c>
      <c r="G92" s="137">
        <v>2776000</v>
      </c>
      <c r="H92" s="137">
        <v>544000</v>
      </c>
      <c r="I92" s="137">
        <f t="shared" si="2"/>
        <v>51880000</v>
      </c>
      <c r="J92" s="138">
        <f t="shared" si="3"/>
        <v>49846000</v>
      </c>
    </row>
    <row r="93" spans="1:10" s="143" customFormat="1" ht="36.75" customHeight="1">
      <c r="A93" s="55" t="s">
        <v>7</v>
      </c>
      <c r="B93" s="136">
        <v>211</v>
      </c>
      <c r="C93" s="55" t="s">
        <v>25</v>
      </c>
      <c r="D93" s="137">
        <v>13970000</v>
      </c>
      <c r="E93" s="137">
        <v>32140000</v>
      </c>
      <c r="F93" s="137">
        <v>4170000</v>
      </c>
      <c r="G93" s="137">
        <v>2906000</v>
      </c>
      <c r="H93" s="137">
        <v>564000</v>
      </c>
      <c r="I93" s="137">
        <f t="shared" si="2"/>
        <v>53750000</v>
      </c>
      <c r="J93" s="138">
        <f t="shared" si="3"/>
        <v>51643000</v>
      </c>
    </row>
    <row r="94" spans="1:10" s="143" customFormat="1" ht="36.75" customHeight="1">
      <c r="A94" s="55" t="s">
        <v>7</v>
      </c>
      <c r="B94" s="136">
        <v>220</v>
      </c>
      <c r="C94" s="55" t="s">
        <v>26</v>
      </c>
      <c r="D94" s="137">
        <v>11110000</v>
      </c>
      <c r="E94" s="137">
        <v>25550000</v>
      </c>
      <c r="F94" s="137">
        <v>3157000</v>
      </c>
      <c r="G94" s="137">
        <v>2465000</v>
      </c>
      <c r="H94" s="137">
        <v>448000</v>
      </c>
      <c r="I94" s="137">
        <f t="shared" si="2"/>
        <v>42730000</v>
      </c>
      <c r="J94" s="138">
        <f t="shared" si="3"/>
        <v>41055000</v>
      </c>
    </row>
    <row r="95" spans="1:10" s="143" customFormat="1" ht="36.75" customHeight="1">
      <c r="A95" s="55" t="s">
        <v>7</v>
      </c>
      <c r="B95" s="136">
        <v>221</v>
      </c>
      <c r="C95" s="55" t="s">
        <v>27</v>
      </c>
      <c r="D95" s="137">
        <v>11130000</v>
      </c>
      <c r="E95" s="137">
        <v>25610000</v>
      </c>
      <c r="F95" s="137">
        <v>3180000</v>
      </c>
      <c r="G95" s="137">
        <v>2461000</v>
      </c>
      <c r="H95" s="137">
        <v>449000</v>
      </c>
      <c r="I95" s="137">
        <f t="shared" si="2"/>
        <v>42830000</v>
      </c>
      <c r="J95" s="138">
        <f t="shared" si="3"/>
        <v>41151000</v>
      </c>
    </row>
    <row r="96" spans="1:10" s="143" customFormat="1" ht="36.75" customHeight="1">
      <c r="A96" s="55" t="s">
        <v>11</v>
      </c>
      <c r="B96" s="136">
        <v>240</v>
      </c>
      <c r="C96" s="55" t="s">
        <v>177</v>
      </c>
      <c r="D96" s="137">
        <v>23100000</v>
      </c>
      <c r="E96" s="137">
        <v>53140000</v>
      </c>
      <c r="F96" s="137">
        <v>6949000</v>
      </c>
      <c r="G96" s="137">
        <v>4749000</v>
      </c>
      <c r="H96" s="137">
        <v>932000</v>
      </c>
      <c r="I96" s="137">
        <f t="shared" si="2"/>
        <v>88870000</v>
      </c>
      <c r="J96" s="138">
        <f t="shared" si="3"/>
        <v>85386000</v>
      </c>
    </row>
    <row r="97" spans="1:10" s="143" customFormat="1" ht="36.75" customHeight="1">
      <c r="A97" s="55" t="s">
        <v>11</v>
      </c>
      <c r="B97" s="136">
        <v>241</v>
      </c>
      <c r="C97" s="55" t="s">
        <v>91</v>
      </c>
      <c r="D97" s="137">
        <v>24910000</v>
      </c>
      <c r="E97" s="137">
        <v>57300000</v>
      </c>
      <c r="F97" s="137">
        <v>7581000</v>
      </c>
      <c r="G97" s="137">
        <v>5034000</v>
      </c>
      <c r="H97" s="137">
        <v>1005000</v>
      </c>
      <c r="I97" s="137">
        <f t="shared" si="2"/>
        <v>95830000</v>
      </c>
      <c r="J97" s="138">
        <f t="shared" si="3"/>
        <v>92073000</v>
      </c>
    </row>
    <row r="98" spans="1:10" s="143" customFormat="1" ht="36.75" customHeight="1">
      <c r="A98" s="55" t="s">
        <v>11</v>
      </c>
      <c r="B98" s="136">
        <v>242</v>
      </c>
      <c r="C98" s="55" t="s">
        <v>28</v>
      </c>
      <c r="D98" s="137">
        <v>23590000</v>
      </c>
      <c r="E98" s="137">
        <v>54270000</v>
      </c>
      <c r="F98" s="137">
        <v>7229000</v>
      </c>
      <c r="G98" s="137">
        <v>4719000</v>
      </c>
      <c r="H98" s="137">
        <v>952000</v>
      </c>
      <c r="I98" s="137">
        <f t="shared" si="2"/>
        <v>90760000</v>
      </c>
      <c r="J98" s="138">
        <f t="shared" si="3"/>
        <v>87202000</v>
      </c>
    </row>
    <row r="99" spans="1:10" s="143" customFormat="1" ht="36.75" customHeight="1">
      <c r="A99" s="55" t="s">
        <v>11</v>
      </c>
      <c r="B99" s="136">
        <v>243</v>
      </c>
      <c r="C99" s="55" t="s">
        <v>92</v>
      </c>
      <c r="D99" s="137">
        <v>17230000</v>
      </c>
      <c r="E99" s="137">
        <v>39630000</v>
      </c>
      <c r="F99" s="137">
        <v>5110000</v>
      </c>
      <c r="G99" s="137">
        <v>3605000</v>
      </c>
      <c r="H99" s="137">
        <v>695000</v>
      </c>
      <c r="I99" s="137">
        <f t="shared" si="2"/>
        <v>66270000</v>
      </c>
      <c r="J99" s="138">
        <f t="shared" si="3"/>
        <v>63672000</v>
      </c>
    </row>
    <row r="100" spans="1:10" s="143" customFormat="1" ht="36.75" customHeight="1">
      <c r="A100" s="55" t="s">
        <v>11</v>
      </c>
      <c r="B100" s="136">
        <v>244</v>
      </c>
      <c r="C100" s="55" t="s">
        <v>29</v>
      </c>
      <c r="D100" s="137">
        <v>22540000</v>
      </c>
      <c r="E100" s="137">
        <v>51840000</v>
      </c>
      <c r="F100" s="137">
        <v>7155000</v>
      </c>
      <c r="G100" s="137">
        <v>4246000</v>
      </c>
      <c r="H100" s="137">
        <v>909000</v>
      </c>
      <c r="I100" s="137">
        <f t="shared" si="2"/>
        <v>86690000</v>
      </c>
      <c r="J100" s="138">
        <f t="shared" si="3"/>
        <v>83292000</v>
      </c>
    </row>
    <row r="101" spans="1:10" s="143" customFormat="1" ht="36.75" customHeight="1">
      <c r="A101" s="55" t="s">
        <v>11</v>
      </c>
      <c r="B101" s="136">
        <v>245</v>
      </c>
      <c r="C101" s="55" t="s">
        <v>93</v>
      </c>
      <c r="D101" s="137">
        <v>13980000</v>
      </c>
      <c r="E101" s="137">
        <v>32160000</v>
      </c>
      <c r="F101" s="137">
        <v>3978000</v>
      </c>
      <c r="G101" s="137">
        <v>3108000</v>
      </c>
      <c r="H101" s="137">
        <v>564000</v>
      </c>
      <c r="I101" s="137">
        <f t="shared" si="2"/>
        <v>53790000</v>
      </c>
      <c r="J101" s="138">
        <f t="shared" si="3"/>
        <v>51681000</v>
      </c>
    </row>
    <row r="102" spans="1:10" s="143" customFormat="1" ht="36.75" customHeight="1">
      <c r="A102" s="55" t="s">
        <v>11</v>
      </c>
      <c r="B102" s="136">
        <v>246</v>
      </c>
      <c r="C102" s="55" t="s">
        <v>178</v>
      </c>
      <c r="D102" s="137">
        <v>15270000</v>
      </c>
      <c r="E102" s="137">
        <v>35130000</v>
      </c>
      <c r="F102" s="137">
        <v>4447000</v>
      </c>
      <c r="G102" s="137">
        <v>3287000</v>
      </c>
      <c r="H102" s="137">
        <v>616000</v>
      </c>
      <c r="I102" s="137">
        <f t="shared" si="2"/>
        <v>58750000</v>
      </c>
      <c r="J102" s="138">
        <f t="shared" si="3"/>
        <v>56447000</v>
      </c>
    </row>
    <row r="103" spans="1:10" s="143" customFormat="1" ht="36.75" customHeight="1">
      <c r="A103" s="55" t="s">
        <v>11</v>
      </c>
      <c r="B103" s="136">
        <v>247</v>
      </c>
      <c r="C103" s="55" t="s">
        <v>179</v>
      </c>
      <c r="D103" s="137">
        <v>15550000</v>
      </c>
      <c r="E103" s="137">
        <v>35760000</v>
      </c>
      <c r="F103" s="137">
        <v>4449000</v>
      </c>
      <c r="G103" s="137">
        <v>3414000</v>
      </c>
      <c r="H103" s="137">
        <v>627000</v>
      </c>
      <c r="I103" s="137">
        <f t="shared" si="2"/>
        <v>59800000</v>
      </c>
      <c r="J103" s="138">
        <f t="shared" si="3"/>
        <v>57456000</v>
      </c>
    </row>
    <row r="104" spans="1:10" s="143" customFormat="1" ht="36.75" customHeight="1">
      <c r="A104" s="55" t="s">
        <v>11</v>
      </c>
      <c r="B104" s="136">
        <v>248</v>
      </c>
      <c r="C104" s="55" t="s">
        <v>94</v>
      </c>
      <c r="D104" s="137">
        <v>16280000</v>
      </c>
      <c r="E104" s="137">
        <v>37440000</v>
      </c>
      <c r="F104" s="137">
        <v>4857000</v>
      </c>
      <c r="G104" s="137">
        <v>3376000</v>
      </c>
      <c r="H104" s="137">
        <v>657000</v>
      </c>
      <c r="I104" s="137">
        <f t="shared" si="2"/>
        <v>62610000</v>
      </c>
      <c r="J104" s="138">
        <f t="shared" si="3"/>
        <v>60156000</v>
      </c>
    </row>
    <row r="105" spans="1:10" s="143" customFormat="1" ht="36.75" customHeight="1">
      <c r="A105" s="55" t="s">
        <v>11</v>
      </c>
      <c r="B105" s="136">
        <v>249</v>
      </c>
      <c r="C105" s="55" t="s">
        <v>30</v>
      </c>
      <c r="D105" s="137">
        <v>12690000</v>
      </c>
      <c r="E105" s="137">
        <v>29200000</v>
      </c>
      <c r="F105" s="137">
        <v>4054000</v>
      </c>
      <c r="G105" s="137">
        <v>2374000</v>
      </c>
      <c r="H105" s="137">
        <v>512000</v>
      </c>
      <c r="I105" s="137">
        <f t="shared" si="2"/>
        <v>48830000</v>
      </c>
      <c r="J105" s="138">
        <f t="shared" si="3"/>
        <v>46916000</v>
      </c>
    </row>
    <row r="106" spans="1:10" s="143" customFormat="1" ht="36.75" customHeight="1">
      <c r="A106" s="55" t="s">
        <v>11</v>
      </c>
      <c r="B106" s="136">
        <v>250</v>
      </c>
      <c r="C106" s="55" t="s">
        <v>180</v>
      </c>
      <c r="D106" s="137">
        <v>9510000</v>
      </c>
      <c r="E106" s="137">
        <v>21880000</v>
      </c>
      <c r="F106" s="137">
        <v>2731000</v>
      </c>
      <c r="G106" s="137">
        <v>2085000</v>
      </c>
      <c r="H106" s="137">
        <v>384000</v>
      </c>
      <c r="I106" s="137">
        <f t="shared" si="2"/>
        <v>36590000</v>
      </c>
      <c r="J106" s="138">
        <f t="shared" si="3"/>
        <v>35156000</v>
      </c>
    </row>
    <row r="107" spans="1:10" s="143" customFormat="1" ht="36.75" customHeight="1">
      <c r="A107" s="55" t="s">
        <v>11</v>
      </c>
      <c r="B107" s="136">
        <v>251</v>
      </c>
      <c r="C107" s="55" t="s">
        <v>181</v>
      </c>
      <c r="D107" s="137">
        <v>10530000</v>
      </c>
      <c r="E107" s="137">
        <v>24220000</v>
      </c>
      <c r="F107" s="137">
        <v>2849000</v>
      </c>
      <c r="G107" s="137">
        <v>2476000</v>
      </c>
      <c r="H107" s="137">
        <v>425000</v>
      </c>
      <c r="I107" s="137">
        <f t="shared" si="2"/>
        <v>40500000</v>
      </c>
      <c r="J107" s="138">
        <f t="shared" si="3"/>
        <v>38912000</v>
      </c>
    </row>
    <row r="108" spans="1:10" s="143" customFormat="1" ht="36.75" customHeight="1">
      <c r="A108" s="55" t="s">
        <v>11</v>
      </c>
      <c r="B108" s="136">
        <v>252</v>
      </c>
      <c r="C108" s="55" t="s">
        <v>95</v>
      </c>
      <c r="D108" s="137">
        <v>15930000</v>
      </c>
      <c r="E108" s="137">
        <v>36650000</v>
      </c>
      <c r="F108" s="137">
        <v>4598000</v>
      </c>
      <c r="G108" s="137">
        <v>3469000</v>
      </c>
      <c r="H108" s="137">
        <v>643000</v>
      </c>
      <c r="I108" s="137">
        <f t="shared" si="2"/>
        <v>61290000</v>
      </c>
      <c r="J108" s="138">
        <f t="shared" si="3"/>
        <v>58887000</v>
      </c>
    </row>
    <row r="109" spans="1:10" s="143" customFormat="1" ht="36.75" customHeight="1">
      <c r="A109" s="55" t="s">
        <v>11</v>
      </c>
      <c r="B109" s="136">
        <v>260</v>
      </c>
      <c r="C109" s="55" t="s">
        <v>96</v>
      </c>
      <c r="D109" s="137">
        <v>20140000</v>
      </c>
      <c r="E109" s="137">
        <v>46330000</v>
      </c>
      <c r="F109" s="137">
        <v>6018000</v>
      </c>
      <c r="G109" s="137">
        <v>4179000</v>
      </c>
      <c r="H109" s="137">
        <v>813000</v>
      </c>
      <c r="I109" s="137">
        <f t="shared" si="2"/>
        <v>77480000</v>
      </c>
      <c r="J109" s="138">
        <f t="shared" si="3"/>
        <v>74443000</v>
      </c>
    </row>
    <row r="110" spans="1:10" s="143" customFormat="1" ht="36.75" customHeight="1">
      <c r="A110" s="55" t="s">
        <v>11</v>
      </c>
      <c r="B110" s="136">
        <v>268</v>
      </c>
      <c r="C110" s="55" t="s">
        <v>1282</v>
      </c>
      <c r="D110" s="137">
        <v>15470000</v>
      </c>
      <c r="E110" s="137">
        <v>35600000</v>
      </c>
      <c r="F110" s="137">
        <v>4691000</v>
      </c>
      <c r="G110" s="137">
        <v>3145000</v>
      </c>
      <c r="H110" s="137">
        <v>624000</v>
      </c>
      <c r="I110" s="137">
        <f t="shared" ref="I110" si="4">SUM(D110:H110)</f>
        <v>59530000</v>
      </c>
      <c r="J110" s="138">
        <f t="shared" ref="J110" si="5">ROUND(I110*$J$3, -3)</f>
        <v>57196000</v>
      </c>
    </row>
    <row r="111" spans="1:10" s="143" customFormat="1" ht="36.75" customHeight="1">
      <c r="A111" s="55" t="s">
        <v>11</v>
      </c>
      <c r="B111" s="136">
        <v>262</v>
      </c>
      <c r="C111" s="55" t="s">
        <v>97</v>
      </c>
      <c r="D111" s="137">
        <v>5450000</v>
      </c>
      <c r="E111" s="137">
        <v>12530000</v>
      </c>
      <c r="F111" s="137">
        <v>1760000</v>
      </c>
      <c r="G111" s="137">
        <v>1000000</v>
      </c>
      <c r="H111" s="137">
        <v>220000</v>
      </c>
      <c r="I111" s="137">
        <f t="shared" si="2"/>
        <v>20960000</v>
      </c>
      <c r="J111" s="138">
        <f t="shared" si="3"/>
        <v>20138000</v>
      </c>
    </row>
    <row r="112" spans="1:10" s="143" customFormat="1" ht="36.75" customHeight="1">
      <c r="A112" s="55" t="s">
        <v>11</v>
      </c>
      <c r="B112" s="136">
        <v>300</v>
      </c>
      <c r="C112" s="55" t="s">
        <v>98</v>
      </c>
      <c r="D112" s="137">
        <v>19750000</v>
      </c>
      <c r="E112" s="137">
        <v>45420000</v>
      </c>
      <c r="F112" s="137">
        <v>5804000</v>
      </c>
      <c r="G112" s="137">
        <v>4189000</v>
      </c>
      <c r="H112" s="137">
        <v>797000</v>
      </c>
      <c r="I112" s="137">
        <f t="shared" si="2"/>
        <v>75960000</v>
      </c>
      <c r="J112" s="138">
        <f t="shared" si="3"/>
        <v>72982000</v>
      </c>
    </row>
    <row r="113" spans="1:10" s="143" customFormat="1" ht="36.75" customHeight="1">
      <c r="A113" s="55" t="s">
        <v>11</v>
      </c>
      <c r="B113" s="136">
        <v>301</v>
      </c>
      <c r="C113" s="55" t="s">
        <v>99</v>
      </c>
      <c r="D113" s="137">
        <v>16270000</v>
      </c>
      <c r="E113" s="137">
        <v>37430000</v>
      </c>
      <c r="F113" s="137">
        <v>5031000</v>
      </c>
      <c r="G113" s="137">
        <v>3202000</v>
      </c>
      <c r="H113" s="137">
        <v>657000</v>
      </c>
      <c r="I113" s="137">
        <f t="shared" si="2"/>
        <v>62590000</v>
      </c>
      <c r="J113" s="138">
        <f t="shared" si="3"/>
        <v>60136000</v>
      </c>
    </row>
    <row r="114" spans="1:10" s="144" customFormat="1" ht="36.75" customHeight="1">
      <c r="A114" s="119" t="s">
        <v>11</v>
      </c>
      <c r="B114" s="139">
        <v>302</v>
      </c>
      <c r="C114" s="55" t="s">
        <v>31</v>
      </c>
      <c r="D114" s="137">
        <v>13010000</v>
      </c>
      <c r="E114" s="137">
        <v>29920000</v>
      </c>
      <c r="F114" s="137">
        <v>3906000</v>
      </c>
      <c r="G114" s="137">
        <v>2679000</v>
      </c>
      <c r="H114" s="137">
        <v>525000</v>
      </c>
      <c r="I114" s="137">
        <f t="shared" si="2"/>
        <v>50040000</v>
      </c>
      <c r="J114" s="138">
        <f t="shared" si="3"/>
        <v>48078000</v>
      </c>
    </row>
    <row r="115" spans="1:10" s="143" customFormat="1" ht="36.75" customHeight="1">
      <c r="A115" s="55" t="s">
        <v>11</v>
      </c>
      <c r="B115" s="136">
        <v>310</v>
      </c>
      <c r="C115" s="55" t="s">
        <v>32</v>
      </c>
      <c r="D115" s="137">
        <v>14780000</v>
      </c>
      <c r="E115" s="137">
        <v>34000000</v>
      </c>
      <c r="F115" s="137">
        <v>4459000</v>
      </c>
      <c r="G115" s="137">
        <v>3025000</v>
      </c>
      <c r="H115" s="137">
        <v>596000</v>
      </c>
      <c r="I115" s="137">
        <f t="shared" si="2"/>
        <v>56860000</v>
      </c>
      <c r="J115" s="138">
        <f t="shared" si="3"/>
        <v>54631000</v>
      </c>
    </row>
    <row r="116" spans="1:10" s="143" customFormat="1" ht="36.75" customHeight="1">
      <c r="A116" s="55" t="s">
        <v>11</v>
      </c>
      <c r="B116" s="136">
        <v>313</v>
      </c>
      <c r="C116" s="55" t="s">
        <v>182</v>
      </c>
      <c r="D116" s="137">
        <v>7960000</v>
      </c>
      <c r="E116" s="137">
        <v>18320000</v>
      </c>
      <c r="F116" s="137">
        <v>2249000</v>
      </c>
      <c r="G116" s="137">
        <v>1780000</v>
      </c>
      <c r="H116" s="137">
        <v>321000</v>
      </c>
      <c r="I116" s="137">
        <f t="shared" si="2"/>
        <v>30630000</v>
      </c>
      <c r="J116" s="138">
        <f t="shared" si="3"/>
        <v>29429000</v>
      </c>
    </row>
    <row r="117" spans="1:10" s="143" customFormat="1" ht="36.75" customHeight="1">
      <c r="A117" s="55" t="s">
        <v>33</v>
      </c>
      <c r="B117" s="136">
        <v>320</v>
      </c>
      <c r="C117" s="55" t="s">
        <v>183</v>
      </c>
      <c r="D117" s="137">
        <v>16660000</v>
      </c>
      <c r="E117" s="137">
        <v>38320000</v>
      </c>
      <c r="F117" s="137">
        <v>5034000</v>
      </c>
      <c r="G117" s="137">
        <v>3394000</v>
      </c>
      <c r="H117" s="137">
        <v>672000</v>
      </c>
      <c r="I117" s="137">
        <f t="shared" si="2"/>
        <v>64080000</v>
      </c>
      <c r="J117" s="138">
        <f t="shared" si="3"/>
        <v>61568000</v>
      </c>
    </row>
    <row r="118" spans="1:10" s="143" customFormat="1" ht="36.75" customHeight="1">
      <c r="A118" s="55" t="s">
        <v>33</v>
      </c>
      <c r="B118" s="136">
        <v>321</v>
      </c>
      <c r="C118" s="55" t="s">
        <v>184</v>
      </c>
      <c r="D118" s="137">
        <v>19290000</v>
      </c>
      <c r="E118" s="137">
        <v>44370000</v>
      </c>
      <c r="F118" s="137">
        <v>6060000</v>
      </c>
      <c r="G118" s="137">
        <v>3702000</v>
      </c>
      <c r="H118" s="137">
        <v>778000</v>
      </c>
      <c r="I118" s="137">
        <f t="shared" si="2"/>
        <v>74200000</v>
      </c>
      <c r="J118" s="138">
        <f t="shared" si="3"/>
        <v>71291000</v>
      </c>
    </row>
    <row r="119" spans="1:10" s="143" customFormat="1" ht="36.75" customHeight="1">
      <c r="A119" s="55" t="s">
        <v>33</v>
      </c>
      <c r="B119" s="136">
        <v>322</v>
      </c>
      <c r="C119" s="55" t="s">
        <v>34</v>
      </c>
      <c r="D119" s="137">
        <v>11810000</v>
      </c>
      <c r="E119" s="137">
        <v>27170000</v>
      </c>
      <c r="F119" s="137">
        <v>3440000</v>
      </c>
      <c r="G119" s="137">
        <v>2533000</v>
      </c>
      <c r="H119" s="137">
        <v>477000</v>
      </c>
      <c r="I119" s="137">
        <f t="shared" si="2"/>
        <v>45430000</v>
      </c>
      <c r="J119" s="138">
        <f t="shared" si="3"/>
        <v>43649000</v>
      </c>
    </row>
    <row r="120" spans="1:10" s="143" customFormat="1" ht="36.75" customHeight="1">
      <c r="A120" s="55" t="s">
        <v>11</v>
      </c>
      <c r="B120" s="136">
        <v>323</v>
      </c>
      <c r="C120" s="55" t="s">
        <v>185</v>
      </c>
      <c r="D120" s="137">
        <v>12350000</v>
      </c>
      <c r="E120" s="137">
        <v>28420000</v>
      </c>
      <c r="F120" s="137">
        <v>3537000</v>
      </c>
      <c r="G120" s="137">
        <v>2715000</v>
      </c>
      <c r="H120" s="137">
        <v>498000</v>
      </c>
      <c r="I120" s="137">
        <f t="shared" si="2"/>
        <v>47520000</v>
      </c>
      <c r="J120" s="138">
        <f t="shared" si="3"/>
        <v>45657000</v>
      </c>
    </row>
    <row r="121" spans="1:10" s="143" customFormat="1" ht="36.75" customHeight="1">
      <c r="A121" s="55" t="s">
        <v>11</v>
      </c>
      <c r="B121" s="136">
        <v>351</v>
      </c>
      <c r="C121" s="55" t="s">
        <v>100</v>
      </c>
      <c r="D121" s="137">
        <v>12360000</v>
      </c>
      <c r="E121" s="137">
        <v>28430000</v>
      </c>
      <c r="F121" s="137">
        <v>3821000</v>
      </c>
      <c r="G121" s="137">
        <v>2440000</v>
      </c>
      <c r="H121" s="137">
        <v>499000</v>
      </c>
      <c r="I121" s="137">
        <f t="shared" si="2"/>
        <v>47550000</v>
      </c>
      <c r="J121" s="138">
        <f t="shared" si="3"/>
        <v>45686000</v>
      </c>
    </row>
    <row r="122" spans="1:10" s="143" customFormat="1" ht="36.75" customHeight="1">
      <c r="A122" s="55" t="s">
        <v>33</v>
      </c>
      <c r="B122" s="136">
        <v>400</v>
      </c>
      <c r="C122" s="55" t="s">
        <v>35</v>
      </c>
      <c r="D122" s="137">
        <v>26410000</v>
      </c>
      <c r="E122" s="137">
        <v>60750000</v>
      </c>
      <c r="F122" s="137">
        <v>8210000</v>
      </c>
      <c r="G122" s="137">
        <v>5154000</v>
      </c>
      <c r="H122" s="137">
        <v>1066000</v>
      </c>
      <c r="I122" s="137">
        <f t="shared" si="2"/>
        <v>101590000</v>
      </c>
      <c r="J122" s="138">
        <f t="shared" si="3"/>
        <v>97608000</v>
      </c>
    </row>
    <row r="123" spans="1:10" s="143" customFormat="1" ht="36.75" customHeight="1">
      <c r="A123" s="55" t="s">
        <v>33</v>
      </c>
      <c r="B123" s="136">
        <v>401</v>
      </c>
      <c r="C123" s="55" t="s">
        <v>36</v>
      </c>
      <c r="D123" s="137">
        <v>15970000</v>
      </c>
      <c r="E123" s="137">
        <v>36740000</v>
      </c>
      <c r="F123" s="137">
        <v>4634000</v>
      </c>
      <c r="G123" s="137">
        <v>3452000</v>
      </c>
      <c r="H123" s="137">
        <v>644000</v>
      </c>
      <c r="I123" s="137">
        <f t="shared" si="2"/>
        <v>61440000</v>
      </c>
      <c r="J123" s="138">
        <f t="shared" si="3"/>
        <v>59032000</v>
      </c>
    </row>
    <row r="124" spans="1:10" s="143" customFormat="1" ht="36.75" customHeight="1">
      <c r="A124" s="55" t="s">
        <v>33</v>
      </c>
      <c r="B124" s="136">
        <v>402</v>
      </c>
      <c r="C124" s="55" t="s">
        <v>37</v>
      </c>
      <c r="D124" s="137">
        <v>20010000</v>
      </c>
      <c r="E124" s="137">
        <v>46030000</v>
      </c>
      <c r="F124" s="137">
        <v>6135000</v>
      </c>
      <c r="G124" s="137">
        <v>3988000</v>
      </c>
      <c r="H124" s="137">
        <v>807000</v>
      </c>
      <c r="I124" s="137">
        <f t="shared" si="2"/>
        <v>76970000</v>
      </c>
      <c r="J124" s="138">
        <f t="shared" si="3"/>
        <v>73953000</v>
      </c>
    </row>
    <row r="125" spans="1:10" s="143" customFormat="1" ht="36.75" customHeight="1">
      <c r="A125" s="55" t="s">
        <v>33</v>
      </c>
      <c r="B125" s="136">
        <v>403</v>
      </c>
      <c r="C125" s="55" t="s">
        <v>186</v>
      </c>
      <c r="D125" s="137">
        <v>18690000</v>
      </c>
      <c r="E125" s="137">
        <v>42980000</v>
      </c>
      <c r="F125" s="137">
        <v>5731000</v>
      </c>
      <c r="G125" s="137">
        <v>3725000</v>
      </c>
      <c r="H125" s="137">
        <v>754000</v>
      </c>
      <c r="I125" s="137">
        <f t="shared" si="2"/>
        <v>71880000</v>
      </c>
      <c r="J125" s="138">
        <f t="shared" si="3"/>
        <v>69062000</v>
      </c>
    </row>
    <row r="126" spans="1:10" s="143" customFormat="1" ht="36.75" customHeight="1">
      <c r="A126" s="55" t="s">
        <v>33</v>
      </c>
      <c r="B126" s="136">
        <v>420</v>
      </c>
      <c r="C126" s="55" t="s">
        <v>38</v>
      </c>
      <c r="D126" s="137">
        <v>31530000</v>
      </c>
      <c r="E126" s="137">
        <v>72530000</v>
      </c>
      <c r="F126" s="137">
        <v>9131000</v>
      </c>
      <c r="G126" s="137">
        <v>6827000</v>
      </c>
      <c r="H126" s="137">
        <v>1272000</v>
      </c>
      <c r="I126" s="137">
        <f t="shared" si="2"/>
        <v>121290000</v>
      </c>
      <c r="J126" s="138">
        <f t="shared" si="3"/>
        <v>116535000</v>
      </c>
    </row>
    <row r="127" spans="1:10" s="143" customFormat="1" ht="36.75" customHeight="1">
      <c r="A127" s="55" t="s">
        <v>33</v>
      </c>
      <c r="B127" s="136">
        <v>422</v>
      </c>
      <c r="C127" s="55" t="s">
        <v>101</v>
      </c>
      <c r="D127" s="137">
        <v>21290000</v>
      </c>
      <c r="E127" s="137">
        <v>48970000</v>
      </c>
      <c r="F127" s="137">
        <v>6787000</v>
      </c>
      <c r="G127" s="137">
        <v>3984000</v>
      </c>
      <c r="H127" s="137">
        <v>859000</v>
      </c>
      <c r="I127" s="137">
        <f t="shared" si="2"/>
        <v>81890000</v>
      </c>
      <c r="J127" s="138">
        <f t="shared" si="3"/>
        <v>78680000</v>
      </c>
    </row>
    <row r="128" spans="1:10" s="143" customFormat="1" ht="36.75" customHeight="1">
      <c r="A128" s="55" t="s">
        <v>33</v>
      </c>
      <c r="B128" s="136">
        <v>423</v>
      </c>
      <c r="C128" s="55" t="s">
        <v>187</v>
      </c>
      <c r="D128" s="137">
        <v>15790000</v>
      </c>
      <c r="E128" s="137">
        <v>36330000</v>
      </c>
      <c r="F128" s="137">
        <v>4698000</v>
      </c>
      <c r="G128" s="137">
        <v>3295000</v>
      </c>
      <c r="H128" s="137">
        <v>637000</v>
      </c>
      <c r="I128" s="137">
        <f t="shared" si="2"/>
        <v>60750000</v>
      </c>
      <c r="J128" s="138">
        <f t="shared" si="3"/>
        <v>58369000</v>
      </c>
    </row>
    <row r="129" spans="1:10" s="143" customFormat="1" ht="36.75" customHeight="1">
      <c r="A129" s="55" t="s">
        <v>33</v>
      </c>
      <c r="B129" s="136">
        <v>424</v>
      </c>
      <c r="C129" s="55" t="s">
        <v>188</v>
      </c>
      <c r="D129" s="137">
        <v>28270000</v>
      </c>
      <c r="E129" s="137">
        <v>65020000</v>
      </c>
      <c r="F129" s="137">
        <v>9136000</v>
      </c>
      <c r="G129" s="137">
        <v>5173000</v>
      </c>
      <c r="H129" s="137">
        <v>1141000</v>
      </c>
      <c r="I129" s="137">
        <f t="shared" si="2"/>
        <v>108740000</v>
      </c>
      <c r="J129" s="138">
        <f t="shared" si="3"/>
        <v>104477000</v>
      </c>
    </row>
    <row r="130" spans="1:10" s="143" customFormat="1" ht="36.75" customHeight="1">
      <c r="A130" s="55" t="s">
        <v>33</v>
      </c>
      <c r="B130" s="136">
        <v>425</v>
      </c>
      <c r="C130" s="55" t="s">
        <v>39</v>
      </c>
      <c r="D130" s="137">
        <v>21190000</v>
      </c>
      <c r="E130" s="137">
        <v>48750000</v>
      </c>
      <c r="F130" s="137">
        <v>6425000</v>
      </c>
      <c r="G130" s="137">
        <v>4310000</v>
      </c>
      <c r="H130" s="137">
        <v>855000</v>
      </c>
      <c r="I130" s="137">
        <f t="shared" si="2"/>
        <v>81530000</v>
      </c>
      <c r="J130" s="138">
        <f t="shared" si="3"/>
        <v>78334000</v>
      </c>
    </row>
    <row r="131" spans="1:10" s="143" customFormat="1" ht="36.75" customHeight="1">
      <c r="A131" s="55" t="s">
        <v>33</v>
      </c>
      <c r="B131" s="136">
        <v>426</v>
      </c>
      <c r="C131" s="55" t="s">
        <v>189</v>
      </c>
      <c r="D131" s="137">
        <v>15710000</v>
      </c>
      <c r="E131" s="137">
        <v>36150000</v>
      </c>
      <c r="F131" s="137">
        <v>4507000</v>
      </c>
      <c r="G131" s="137">
        <v>3449000</v>
      </c>
      <c r="H131" s="137">
        <v>634000</v>
      </c>
      <c r="I131" s="137">
        <f t="shared" si="2"/>
        <v>60450000</v>
      </c>
      <c r="J131" s="138">
        <f t="shared" si="3"/>
        <v>58080000</v>
      </c>
    </row>
    <row r="132" spans="1:10" s="143" customFormat="1" ht="36.75" customHeight="1">
      <c r="A132" s="55" t="s">
        <v>33</v>
      </c>
      <c r="B132" s="136">
        <v>427</v>
      </c>
      <c r="C132" s="55" t="s">
        <v>190</v>
      </c>
      <c r="D132" s="137">
        <v>17680000</v>
      </c>
      <c r="E132" s="137">
        <v>40670000</v>
      </c>
      <c r="F132" s="137">
        <v>5045000</v>
      </c>
      <c r="G132" s="137">
        <v>3902000</v>
      </c>
      <c r="H132" s="137">
        <v>713000</v>
      </c>
      <c r="I132" s="137">
        <f t="shared" si="2"/>
        <v>68010000</v>
      </c>
      <c r="J132" s="138">
        <f t="shared" si="3"/>
        <v>65344000</v>
      </c>
    </row>
    <row r="133" spans="1:10" s="143" customFormat="1" ht="36.75" customHeight="1">
      <c r="A133" s="55" t="s">
        <v>33</v>
      </c>
      <c r="B133" s="136">
        <v>429</v>
      </c>
      <c r="C133" s="55" t="s">
        <v>191</v>
      </c>
      <c r="D133" s="137">
        <v>13950000</v>
      </c>
      <c r="E133" s="137">
        <v>32090000</v>
      </c>
      <c r="F133" s="137">
        <v>4353000</v>
      </c>
      <c r="G133" s="137">
        <v>2714000</v>
      </c>
      <c r="H133" s="137">
        <v>563000</v>
      </c>
      <c r="I133" s="137">
        <f t="shared" si="2"/>
        <v>53670000</v>
      </c>
      <c r="J133" s="138">
        <f t="shared" si="3"/>
        <v>51566000</v>
      </c>
    </row>
    <row r="134" spans="1:10" s="143" customFormat="1" ht="36.75" customHeight="1">
      <c r="A134" s="55" t="s">
        <v>33</v>
      </c>
      <c r="B134" s="136">
        <v>430</v>
      </c>
      <c r="C134" s="55" t="s">
        <v>40</v>
      </c>
      <c r="D134" s="137">
        <v>11750000</v>
      </c>
      <c r="E134" s="137">
        <v>27040000</v>
      </c>
      <c r="F134" s="137">
        <v>3292000</v>
      </c>
      <c r="G134" s="137">
        <v>2664000</v>
      </c>
      <c r="H134" s="137">
        <v>474000</v>
      </c>
      <c r="I134" s="137">
        <f t="shared" ref="I134:I195" si="6">SUM(D134:H134)</f>
        <v>45220000</v>
      </c>
      <c r="J134" s="138">
        <f t="shared" ref="J134:J190" si="7">ROUND(I134*$J$3, -3)</f>
        <v>43447000</v>
      </c>
    </row>
    <row r="135" spans="1:10" s="143" customFormat="1" ht="36.75" customHeight="1">
      <c r="A135" s="55" t="s">
        <v>33</v>
      </c>
      <c r="B135" s="136">
        <v>431</v>
      </c>
      <c r="C135" s="55" t="s">
        <v>102</v>
      </c>
      <c r="D135" s="137">
        <v>9810000</v>
      </c>
      <c r="E135" s="137">
        <v>22570000</v>
      </c>
      <c r="F135" s="137">
        <v>2939000</v>
      </c>
      <c r="G135" s="137">
        <v>2035000</v>
      </c>
      <c r="H135" s="137">
        <v>396000</v>
      </c>
      <c r="I135" s="137">
        <f t="shared" si="6"/>
        <v>37750000</v>
      </c>
      <c r="J135" s="138">
        <f t="shared" si="7"/>
        <v>36270000</v>
      </c>
    </row>
    <row r="136" spans="1:10" s="143" customFormat="1" ht="36.75" customHeight="1">
      <c r="A136" s="55" t="s">
        <v>33</v>
      </c>
      <c r="B136" s="136">
        <v>451</v>
      </c>
      <c r="C136" s="55" t="s">
        <v>103</v>
      </c>
      <c r="D136" s="137">
        <v>14620000</v>
      </c>
      <c r="E136" s="137">
        <v>33640000</v>
      </c>
      <c r="F136" s="137">
        <v>4473000</v>
      </c>
      <c r="G136" s="137">
        <v>2927000</v>
      </c>
      <c r="H136" s="137">
        <v>590000</v>
      </c>
      <c r="I136" s="137">
        <f t="shared" si="6"/>
        <v>56250000</v>
      </c>
      <c r="J136" s="138">
        <f t="shared" si="7"/>
        <v>54045000</v>
      </c>
    </row>
    <row r="137" spans="1:10" s="143" customFormat="1" ht="36.75" customHeight="1">
      <c r="A137" s="55" t="s">
        <v>33</v>
      </c>
      <c r="B137" s="136">
        <v>500</v>
      </c>
      <c r="C137" s="55" t="s">
        <v>41</v>
      </c>
      <c r="D137" s="137">
        <v>16300000</v>
      </c>
      <c r="E137" s="137">
        <v>37490000</v>
      </c>
      <c r="F137" s="137">
        <v>5008000</v>
      </c>
      <c r="G137" s="137">
        <v>3244000</v>
      </c>
      <c r="H137" s="137">
        <v>658000</v>
      </c>
      <c r="I137" s="137">
        <f t="shared" si="6"/>
        <v>62700000</v>
      </c>
      <c r="J137" s="138">
        <f t="shared" si="7"/>
        <v>60242000</v>
      </c>
    </row>
    <row r="138" spans="1:10" s="143" customFormat="1" ht="36.75" customHeight="1">
      <c r="A138" s="55" t="s">
        <v>33</v>
      </c>
      <c r="B138" s="136">
        <v>501</v>
      </c>
      <c r="C138" s="55" t="s">
        <v>192</v>
      </c>
      <c r="D138" s="137">
        <v>14080000</v>
      </c>
      <c r="E138" s="137">
        <v>32400000</v>
      </c>
      <c r="F138" s="137">
        <v>4061000</v>
      </c>
      <c r="G138" s="137">
        <v>3071000</v>
      </c>
      <c r="H138" s="137">
        <v>568000</v>
      </c>
      <c r="I138" s="137">
        <f t="shared" si="6"/>
        <v>54180000</v>
      </c>
      <c r="J138" s="138">
        <f t="shared" si="7"/>
        <v>52056000</v>
      </c>
    </row>
    <row r="139" spans="1:10" s="143" customFormat="1" ht="36.75" customHeight="1">
      <c r="A139" s="55" t="s">
        <v>33</v>
      </c>
      <c r="B139" s="136">
        <v>520</v>
      </c>
      <c r="C139" s="55" t="s">
        <v>193</v>
      </c>
      <c r="D139" s="137">
        <v>23830000</v>
      </c>
      <c r="E139" s="137">
        <v>54810000</v>
      </c>
      <c r="F139" s="137">
        <v>7482000</v>
      </c>
      <c r="G139" s="137">
        <v>4577000</v>
      </c>
      <c r="H139" s="137">
        <v>961000</v>
      </c>
      <c r="I139" s="137">
        <f t="shared" si="6"/>
        <v>91660000</v>
      </c>
      <c r="J139" s="138">
        <f t="shared" si="7"/>
        <v>88067000</v>
      </c>
    </row>
    <row r="140" spans="1:10" s="143" customFormat="1" ht="36.75" customHeight="1">
      <c r="A140" s="55" t="s">
        <v>33</v>
      </c>
      <c r="B140" s="136">
        <v>521</v>
      </c>
      <c r="C140" s="55" t="s">
        <v>194</v>
      </c>
      <c r="D140" s="137">
        <v>30670000</v>
      </c>
      <c r="E140" s="137">
        <v>70560000</v>
      </c>
      <c r="F140" s="137">
        <v>8698000</v>
      </c>
      <c r="G140" s="137">
        <v>6834000</v>
      </c>
      <c r="H140" s="137">
        <v>1238000</v>
      </c>
      <c r="I140" s="137">
        <f t="shared" si="6"/>
        <v>118000000</v>
      </c>
      <c r="J140" s="138">
        <f t="shared" si="7"/>
        <v>113374000</v>
      </c>
    </row>
    <row r="141" spans="1:10" s="143" customFormat="1" ht="36.75" customHeight="1">
      <c r="A141" s="55" t="s">
        <v>33</v>
      </c>
      <c r="B141" s="136">
        <v>522</v>
      </c>
      <c r="C141" s="55" t="s">
        <v>42</v>
      </c>
      <c r="D141" s="137">
        <v>30240000</v>
      </c>
      <c r="E141" s="137">
        <v>69560000</v>
      </c>
      <c r="F141" s="137">
        <v>8932000</v>
      </c>
      <c r="G141" s="137">
        <v>6368000</v>
      </c>
      <c r="H141" s="137">
        <v>1220000</v>
      </c>
      <c r="I141" s="137">
        <f t="shared" si="6"/>
        <v>116320000</v>
      </c>
      <c r="J141" s="138">
        <f t="shared" si="7"/>
        <v>111760000</v>
      </c>
    </row>
    <row r="142" spans="1:10" s="143" customFormat="1" ht="36.75" customHeight="1">
      <c r="A142" s="55" t="s">
        <v>33</v>
      </c>
      <c r="B142" s="136">
        <v>523</v>
      </c>
      <c r="C142" s="55" t="s">
        <v>104</v>
      </c>
      <c r="D142" s="137">
        <v>18030000</v>
      </c>
      <c r="E142" s="137">
        <v>41480000</v>
      </c>
      <c r="F142" s="137">
        <v>5470000</v>
      </c>
      <c r="G142" s="137">
        <v>3662000</v>
      </c>
      <c r="H142" s="137">
        <v>728000</v>
      </c>
      <c r="I142" s="137">
        <f t="shared" si="6"/>
        <v>69370000</v>
      </c>
      <c r="J142" s="138">
        <f t="shared" si="7"/>
        <v>66651000</v>
      </c>
    </row>
    <row r="143" spans="1:10" s="143" customFormat="1" ht="36.75" customHeight="1">
      <c r="A143" s="55" t="s">
        <v>33</v>
      </c>
      <c r="B143" s="136">
        <v>524</v>
      </c>
      <c r="C143" s="55" t="s">
        <v>43</v>
      </c>
      <c r="D143" s="137">
        <v>14800000</v>
      </c>
      <c r="E143" s="137">
        <v>34050000</v>
      </c>
      <c r="F143" s="137">
        <v>4366000</v>
      </c>
      <c r="G143" s="137">
        <v>3137000</v>
      </c>
      <c r="H143" s="137">
        <v>597000</v>
      </c>
      <c r="I143" s="137">
        <f t="shared" si="6"/>
        <v>56950000</v>
      </c>
      <c r="J143" s="138">
        <f t="shared" si="7"/>
        <v>54718000</v>
      </c>
    </row>
    <row r="144" spans="1:10" s="143" customFormat="1" ht="36.75" customHeight="1">
      <c r="A144" s="55" t="s">
        <v>33</v>
      </c>
      <c r="B144" s="136">
        <v>540</v>
      </c>
      <c r="C144" s="55" t="s">
        <v>44</v>
      </c>
      <c r="D144" s="137">
        <v>11640000</v>
      </c>
      <c r="E144" s="137">
        <v>26780000</v>
      </c>
      <c r="F144" s="137">
        <v>3136000</v>
      </c>
      <c r="G144" s="137">
        <v>2754000</v>
      </c>
      <c r="H144" s="137">
        <v>470000</v>
      </c>
      <c r="I144" s="137">
        <f t="shared" si="6"/>
        <v>44780000</v>
      </c>
      <c r="J144" s="138">
        <f t="shared" si="7"/>
        <v>43025000</v>
      </c>
    </row>
    <row r="145" spans="1:10" s="143" customFormat="1" ht="36.75" customHeight="1">
      <c r="A145" s="55" t="s">
        <v>33</v>
      </c>
      <c r="B145" s="136">
        <v>541</v>
      </c>
      <c r="C145" s="55" t="s">
        <v>105</v>
      </c>
      <c r="D145" s="137">
        <v>18110000</v>
      </c>
      <c r="E145" s="137">
        <v>41670000</v>
      </c>
      <c r="F145" s="137">
        <v>5371000</v>
      </c>
      <c r="G145" s="137">
        <v>3798000</v>
      </c>
      <c r="H145" s="137">
        <v>731000</v>
      </c>
      <c r="I145" s="137">
        <f t="shared" si="6"/>
        <v>69680000</v>
      </c>
      <c r="J145" s="138">
        <f t="shared" si="7"/>
        <v>66949000</v>
      </c>
    </row>
    <row r="146" spans="1:10" s="143" customFormat="1" ht="36.75" customHeight="1">
      <c r="A146" s="55" t="s">
        <v>33</v>
      </c>
      <c r="B146" s="136">
        <v>542</v>
      </c>
      <c r="C146" s="55" t="s">
        <v>45</v>
      </c>
      <c r="D146" s="137">
        <v>12230000</v>
      </c>
      <c r="E146" s="137">
        <v>28120000</v>
      </c>
      <c r="F146" s="137">
        <v>3624000</v>
      </c>
      <c r="G146" s="137">
        <v>2563000</v>
      </c>
      <c r="H146" s="137">
        <v>493000</v>
      </c>
      <c r="I146" s="137">
        <f t="shared" si="6"/>
        <v>47030000</v>
      </c>
      <c r="J146" s="138">
        <f t="shared" si="7"/>
        <v>45186000</v>
      </c>
    </row>
    <row r="147" spans="1:10" s="143" customFormat="1" ht="36.75" customHeight="1">
      <c r="A147" s="55" t="s">
        <v>33</v>
      </c>
      <c r="B147" s="136">
        <v>600</v>
      </c>
      <c r="C147" s="55" t="s">
        <v>46</v>
      </c>
      <c r="D147" s="137">
        <v>19570000</v>
      </c>
      <c r="E147" s="137">
        <v>45010000</v>
      </c>
      <c r="F147" s="137">
        <v>5979000</v>
      </c>
      <c r="G147" s="137">
        <v>3921000</v>
      </c>
      <c r="H147" s="137">
        <v>790000</v>
      </c>
      <c r="I147" s="137">
        <f t="shared" si="6"/>
        <v>75270000</v>
      </c>
      <c r="J147" s="138">
        <f t="shared" si="7"/>
        <v>72319000</v>
      </c>
    </row>
    <row r="148" spans="1:10" s="143" customFormat="1" ht="36.75" customHeight="1">
      <c r="A148" s="55" t="s">
        <v>33</v>
      </c>
      <c r="B148" s="136">
        <v>601</v>
      </c>
      <c r="C148" s="55" t="s">
        <v>195</v>
      </c>
      <c r="D148" s="137">
        <v>18420000</v>
      </c>
      <c r="E148" s="137">
        <v>42370000</v>
      </c>
      <c r="F148" s="137">
        <v>5490000</v>
      </c>
      <c r="G148" s="137">
        <v>3827000</v>
      </c>
      <c r="H148" s="137">
        <v>743000</v>
      </c>
      <c r="I148" s="137">
        <f t="shared" si="6"/>
        <v>70850000</v>
      </c>
      <c r="J148" s="138">
        <f t="shared" si="7"/>
        <v>68073000</v>
      </c>
    </row>
    <row r="149" spans="1:10" s="143" customFormat="1" ht="36.75" customHeight="1">
      <c r="A149" s="55" t="s">
        <v>33</v>
      </c>
      <c r="B149" s="136">
        <v>602</v>
      </c>
      <c r="C149" s="55" t="s">
        <v>47</v>
      </c>
      <c r="D149" s="137">
        <v>12610000</v>
      </c>
      <c r="E149" s="137">
        <v>29000000</v>
      </c>
      <c r="F149" s="137">
        <v>3935000</v>
      </c>
      <c r="G149" s="137">
        <v>2446000</v>
      </c>
      <c r="H149" s="137">
        <v>509000</v>
      </c>
      <c r="I149" s="137">
        <f t="shared" si="6"/>
        <v>48500000</v>
      </c>
      <c r="J149" s="138">
        <f t="shared" si="7"/>
        <v>46599000</v>
      </c>
    </row>
    <row r="150" spans="1:10" s="143" customFormat="1" ht="36.75" customHeight="1">
      <c r="A150" s="55" t="s">
        <v>48</v>
      </c>
      <c r="B150" s="136">
        <v>620</v>
      </c>
      <c r="C150" s="55" t="s">
        <v>106</v>
      </c>
      <c r="D150" s="137">
        <v>16110000</v>
      </c>
      <c r="E150" s="137">
        <v>37060000</v>
      </c>
      <c r="F150" s="137">
        <v>4606000</v>
      </c>
      <c r="G150" s="137">
        <v>3544000</v>
      </c>
      <c r="H150" s="137">
        <v>650000</v>
      </c>
      <c r="I150" s="137">
        <f t="shared" si="6"/>
        <v>61970000</v>
      </c>
      <c r="J150" s="138">
        <f t="shared" si="7"/>
        <v>59541000</v>
      </c>
    </row>
    <row r="151" spans="1:10" s="143" customFormat="1" ht="36.75" customHeight="1">
      <c r="A151" s="55" t="s">
        <v>48</v>
      </c>
      <c r="B151" s="136">
        <v>621</v>
      </c>
      <c r="C151" s="55" t="s">
        <v>49</v>
      </c>
      <c r="D151" s="137">
        <v>22150000</v>
      </c>
      <c r="E151" s="137">
        <v>50940000</v>
      </c>
      <c r="F151" s="137">
        <v>6469000</v>
      </c>
      <c r="G151" s="137">
        <v>4737000</v>
      </c>
      <c r="H151" s="137">
        <v>894000</v>
      </c>
      <c r="I151" s="137">
        <f t="shared" si="6"/>
        <v>85190000</v>
      </c>
      <c r="J151" s="138">
        <f t="shared" si="7"/>
        <v>81851000</v>
      </c>
    </row>
    <row r="152" spans="1:10" s="143" customFormat="1" ht="36.75" customHeight="1">
      <c r="A152" s="55" t="s">
        <v>48</v>
      </c>
      <c r="B152" s="136">
        <v>622</v>
      </c>
      <c r="C152" s="55" t="s">
        <v>107</v>
      </c>
      <c r="D152" s="137">
        <v>19610000</v>
      </c>
      <c r="E152" s="137">
        <v>45120000</v>
      </c>
      <c r="F152" s="137">
        <v>5999000</v>
      </c>
      <c r="G152" s="137">
        <v>3930000</v>
      </c>
      <c r="H152" s="137">
        <v>791000</v>
      </c>
      <c r="I152" s="137">
        <f t="shared" si="6"/>
        <v>75450000</v>
      </c>
      <c r="J152" s="138">
        <f t="shared" si="7"/>
        <v>72492000</v>
      </c>
    </row>
    <row r="153" spans="1:10" s="143" customFormat="1" ht="36.75" customHeight="1">
      <c r="A153" s="55" t="s">
        <v>48</v>
      </c>
      <c r="B153" s="136">
        <v>640</v>
      </c>
      <c r="C153" s="55" t="s">
        <v>50</v>
      </c>
      <c r="D153" s="137">
        <v>26370000</v>
      </c>
      <c r="E153" s="137">
        <v>60660000</v>
      </c>
      <c r="F153" s="137">
        <v>7831000</v>
      </c>
      <c r="G153" s="137">
        <v>5515000</v>
      </c>
      <c r="H153" s="137">
        <v>1064000</v>
      </c>
      <c r="I153" s="137">
        <f t="shared" si="6"/>
        <v>101440000</v>
      </c>
      <c r="J153" s="138">
        <f t="shared" si="7"/>
        <v>97464000</v>
      </c>
    </row>
    <row r="154" spans="1:10" s="143" customFormat="1" ht="36.75" customHeight="1">
      <c r="A154" s="55" t="s">
        <v>48</v>
      </c>
      <c r="B154" s="136">
        <v>642</v>
      </c>
      <c r="C154" s="55" t="s">
        <v>196</v>
      </c>
      <c r="D154" s="137">
        <v>24940000</v>
      </c>
      <c r="E154" s="137">
        <v>57370000</v>
      </c>
      <c r="F154" s="137">
        <v>7656000</v>
      </c>
      <c r="G154" s="137">
        <v>4978000</v>
      </c>
      <c r="H154" s="137">
        <v>1006000</v>
      </c>
      <c r="I154" s="137">
        <f t="shared" si="6"/>
        <v>95950000</v>
      </c>
      <c r="J154" s="138">
        <f t="shared" si="7"/>
        <v>92189000</v>
      </c>
    </row>
    <row r="155" spans="1:10" s="143" customFormat="1" ht="36.75" customHeight="1">
      <c r="A155" s="55" t="s">
        <v>48</v>
      </c>
      <c r="B155" s="136">
        <v>643</v>
      </c>
      <c r="C155" s="55" t="s">
        <v>197</v>
      </c>
      <c r="D155" s="137">
        <v>13240000</v>
      </c>
      <c r="E155" s="137">
        <v>30450000</v>
      </c>
      <c r="F155" s="137">
        <v>3880000</v>
      </c>
      <c r="G155" s="137">
        <v>2816000</v>
      </c>
      <c r="H155" s="137">
        <v>534000</v>
      </c>
      <c r="I155" s="137">
        <f t="shared" si="6"/>
        <v>50920000</v>
      </c>
      <c r="J155" s="138">
        <f t="shared" si="7"/>
        <v>48924000</v>
      </c>
    </row>
    <row r="156" spans="1:10" s="143" customFormat="1" ht="36.75" customHeight="1">
      <c r="A156" s="55" t="s">
        <v>48</v>
      </c>
      <c r="B156" s="136">
        <v>644</v>
      </c>
      <c r="C156" s="55" t="s">
        <v>51</v>
      </c>
      <c r="D156" s="137">
        <v>18690000</v>
      </c>
      <c r="E156" s="137">
        <v>42990000</v>
      </c>
      <c r="F156" s="137">
        <v>5725000</v>
      </c>
      <c r="G156" s="137">
        <v>3741000</v>
      </c>
      <c r="H156" s="137">
        <v>754000</v>
      </c>
      <c r="I156" s="137">
        <f t="shared" si="6"/>
        <v>71900000</v>
      </c>
      <c r="J156" s="138">
        <f t="shared" si="7"/>
        <v>69082000</v>
      </c>
    </row>
    <row r="157" spans="1:10" s="143" customFormat="1" ht="36.75" customHeight="1">
      <c r="A157" s="55" t="s">
        <v>48</v>
      </c>
      <c r="B157" s="136">
        <v>645</v>
      </c>
      <c r="C157" s="55" t="s">
        <v>198</v>
      </c>
      <c r="D157" s="137">
        <v>18590000</v>
      </c>
      <c r="E157" s="137">
        <v>42760000</v>
      </c>
      <c r="F157" s="137">
        <v>5466000</v>
      </c>
      <c r="G157" s="137">
        <v>3944000</v>
      </c>
      <c r="H157" s="137">
        <v>750000</v>
      </c>
      <c r="I157" s="137">
        <f t="shared" si="6"/>
        <v>71510000</v>
      </c>
      <c r="J157" s="138">
        <f t="shared" si="7"/>
        <v>68707000</v>
      </c>
    </row>
    <row r="158" spans="1:10" s="143" customFormat="1" ht="36.75" customHeight="1">
      <c r="A158" s="55" t="s">
        <v>48</v>
      </c>
      <c r="B158" s="136">
        <v>646</v>
      </c>
      <c r="C158" s="55" t="s">
        <v>199</v>
      </c>
      <c r="D158" s="137">
        <v>12560000</v>
      </c>
      <c r="E158" s="137">
        <v>28880000</v>
      </c>
      <c r="F158" s="137">
        <v>3554000</v>
      </c>
      <c r="G158" s="137">
        <v>2799000</v>
      </c>
      <c r="H158" s="137">
        <v>507000</v>
      </c>
      <c r="I158" s="137">
        <f t="shared" si="6"/>
        <v>48300000</v>
      </c>
      <c r="J158" s="138">
        <f t="shared" si="7"/>
        <v>46407000</v>
      </c>
    </row>
    <row r="159" spans="1:10" s="143" customFormat="1" ht="36.75" customHeight="1">
      <c r="A159" s="55" t="s">
        <v>48</v>
      </c>
      <c r="B159" s="136">
        <v>647</v>
      </c>
      <c r="C159" s="55" t="s">
        <v>108</v>
      </c>
      <c r="D159" s="137">
        <v>16630000</v>
      </c>
      <c r="E159" s="137">
        <v>38250000</v>
      </c>
      <c r="F159" s="137">
        <v>4680000</v>
      </c>
      <c r="G159" s="137">
        <v>3739000</v>
      </c>
      <c r="H159" s="137">
        <v>671000</v>
      </c>
      <c r="I159" s="137">
        <f t="shared" si="6"/>
        <v>63970000</v>
      </c>
      <c r="J159" s="138">
        <f t="shared" si="7"/>
        <v>61462000</v>
      </c>
    </row>
    <row r="160" spans="1:10" s="143" customFormat="1" ht="36.75" customHeight="1">
      <c r="A160" s="55" t="s">
        <v>48</v>
      </c>
      <c r="B160" s="136">
        <v>648</v>
      </c>
      <c r="C160" s="55" t="s">
        <v>200</v>
      </c>
      <c r="D160" s="137">
        <v>12930000</v>
      </c>
      <c r="E160" s="137">
        <v>29750000</v>
      </c>
      <c r="F160" s="137">
        <v>3730000</v>
      </c>
      <c r="G160" s="137">
        <v>2818000</v>
      </c>
      <c r="H160" s="137">
        <v>522000</v>
      </c>
      <c r="I160" s="137">
        <f t="shared" si="6"/>
        <v>49750000</v>
      </c>
      <c r="J160" s="138">
        <f t="shared" si="7"/>
        <v>47800000</v>
      </c>
    </row>
    <row r="161" spans="1:10" s="143" customFormat="1" ht="36.75" customHeight="1">
      <c r="A161" s="55" t="s">
        <v>48</v>
      </c>
      <c r="B161" s="136">
        <v>681</v>
      </c>
      <c r="C161" s="55" t="s">
        <v>52</v>
      </c>
      <c r="D161" s="137">
        <v>14490000</v>
      </c>
      <c r="E161" s="137">
        <v>33340000</v>
      </c>
      <c r="F161" s="137">
        <v>3940000</v>
      </c>
      <c r="G161" s="137">
        <v>3405000</v>
      </c>
      <c r="H161" s="137">
        <v>585000</v>
      </c>
      <c r="I161" s="137">
        <f t="shared" si="6"/>
        <v>55760000</v>
      </c>
      <c r="J161" s="138">
        <f t="shared" si="7"/>
        <v>53574000</v>
      </c>
    </row>
    <row r="162" spans="1:10" s="143" customFormat="1" ht="36.75" customHeight="1">
      <c r="A162" s="55" t="s">
        <v>48</v>
      </c>
      <c r="B162" s="136">
        <v>700</v>
      </c>
      <c r="C162" s="55" t="s">
        <v>201</v>
      </c>
      <c r="D162" s="137">
        <v>23390000</v>
      </c>
      <c r="E162" s="137">
        <v>53800000</v>
      </c>
      <c r="F162" s="137">
        <v>6983000</v>
      </c>
      <c r="G162" s="137">
        <v>4853000</v>
      </c>
      <c r="H162" s="137">
        <v>944000</v>
      </c>
      <c r="I162" s="137">
        <f t="shared" si="6"/>
        <v>89970000</v>
      </c>
      <c r="J162" s="138">
        <f t="shared" si="7"/>
        <v>86443000</v>
      </c>
    </row>
    <row r="163" spans="1:10" s="143" customFormat="1" ht="36.75" customHeight="1">
      <c r="A163" s="55" t="s">
        <v>48</v>
      </c>
      <c r="B163" s="136">
        <v>701</v>
      </c>
      <c r="C163" s="55" t="s">
        <v>202</v>
      </c>
      <c r="D163" s="137">
        <v>12120000</v>
      </c>
      <c r="E163" s="137">
        <v>27880000</v>
      </c>
      <c r="F163" s="137">
        <v>3426000</v>
      </c>
      <c r="G163" s="137">
        <v>2705000</v>
      </c>
      <c r="H163" s="137">
        <v>489000</v>
      </c>
      <c r="I163" s="137">
        <f t="shared" si="6"/>
        <v>46620000</v>
      </c>
      <c r="J163" s="138">
        <f t="shared" si="7"/>
        <v>44792000</v>
      </c>
    </row>
    <row r="164" spans="1:10" s="143" customFormat="1" ht="36.75" customHeight="1">
      <c r="A164" s="55" t="s">
        <v>48</v>
      </c>
      <c r="B164" s="136">
        <v>702</v>
      </c>
      <c r="C164" s="55" t="s">
        <v>203</v>
      </c>
      <c r="D164" s="137">
        <v>17780000</v>
      </c>
      <c r="E164" s="137">
        <v>40900000</v>
      </c>
      <c r="F164" s="137">
        <v>6531000</v>
      </c>
      <c r="G164" s="137">
        <v>2472000</v>
      </c>
      <c r="H164" s="137">
        <v>717000</v>
      </c>
      <c r="I164" s="137">
        <f t="shared" si="6"/>
        <v>68400000</v>
      </c>
      <c r="J164" s="138">
        <f t="shared" si="7"/>
        <v>65719000</v>
      </c>
    </row>
    <row r="165" spans="1:10" s="143" customFormat="1" ht="36.75" customHeight="1">
      <c r="A165" s="55" t="s">
        <v>48</v>
      </c>
      <c r="B165" s="136">
        <v>703</v>
      </c>
      <c r="C165" s="55" t="s">
        <v>53</v>
      </c>
      <c r="D165" s="137">
        <v>12690000</v>
      </c>
      <c r="E165" s="137">
        <v>29190000</v>
      </c>
      <c r="F165" s="137">
        <v>3980000</v>
      </c>
      <c r="G165" s="137">
        <v>2438000</v>
      </c>
      <c r="H165" s="137">
        <v>512000</v>
      </c>
      <c r="I165" s="137">
        <f t="shared" si="6"/>
        <v>48810000</v>
      </c>
      <c r="J165" s="138">
        <f t="shared" si="7"/>
        <v>46897000</v>
      </c>
    </row>
    <row r="166" spans="1:10" s="143" customFormat="1" ht="36.75" customHeight="1">
      <c r="A166" s="55" t="s">
        <v>48</v>
      </c>
      <c r="B166" s="136">
        <v>704</v>
      </c>
      <c r="C166" s="55" t="s">
        <v>54</v>
      </c>
      <c r="D166" s="137">
        <v>11970000</v>
      </c>
      <c r="E166" s="137">
        <v>27540000</v>
      </c>
      <c r="F166" s="137">
        <v>3684000</v>
      </c>
      <c r="G166" s="137">
        <v>2373000</v>
      </c>
      <c r="H166" s="137">
        <v>483000</v>
      </c>
      <c r="I166" s="137">
        <f t="shared" si="6"/>
        <v>46050000</v>
      </c>
      <c r="J166" s="138">
        <f t="shared" si="7"/>
        <v>44245000</v>
      </c>
    </row>
    <row r="167" spans="1:10" s="143" customFormat="1" ht="36.75" customHeight="1">
      <c r="A167" s="55" t="s">
        <v>48</v>
      </c>
      <c r="B167" s="136">
        <v>705</v>
      </c>
      <c r="C167" s="55" t="s">
        <v>109</v>
      </c>
      <c r="D167" s="137">
        <v>10540000</v>
      </c>
      <c r="E167" s="137">
        <v>24240000</v>
      </c>
      <c r="F167" s="137">
        <v>2922000</v>
      </c>
      <c r="G167" s="137">
        <v>2403000</v>
      </c>
      <c r="H167" s="137">
        <v>425000</v>
      </c>
      <c r="I167" s="137">
        <f t="shared" si="6"/>
        <v>40530000</v>
      </c>
      <c r="J167" s="138">
        <f t="shared" si="7"/>
        <v>38941000</v>
      </c>
    </row>
    <row r="168" spans="1:10" s="143" customFormat="1" ht="36.75" customHeight="1">
      <c r="A168" s="55" t="s">
        <v>48</v>
      </c>
      <c r="B168" s="136">
        <v>706</v>
      </c>
      <c r="C168" s="55" t="s">
        <v>55</v>
      </c>
      <c r="D168" s="137">
        <v>16530000</v>
      </c>
      <c r="E168" s="137">
        <v>38020000</v>
      </c>
      <c r="F168" s="137">
        <v>4965000</v>
      </c>
      <c r="G168" s="137">
        <v>3398000</v>
      </c>
      <c r="H168" s="137">
        <v>667000</v>
      </c>
      <c r="I168" s="137">
        <f t="shared" si="6"/>
        <v>63580000</v>
      </c>
      <c r="J168" s="138">
        <f t="shared" si="7"/>
        <v>61088000</v>
      </c>
    </row>
    <row r="169" spans="1:10" s="143" customFormat="1" ht="36.75" customHeight="1">
      <c r="A169" s="55" t="s">
        <v>48</v>
      </c>
      <c r="B169" s="136">
        <v>707</v>
      </c>
      <c r="C169" s="55" t="s">
        <v>110</v>
      </c>
      <c r="D169" s="137">
        <v>9860000</v>
      </c>
      <c r="E169" s="137">
        <v>22670000</v>
      </c>
      <c r="F169" s="137">
        <v>3035000</v>
      </c>
      <c r="G169" s="137">
        <v>1957000</v>
      </c>
      <c r="H169" s="137">
        <v>398000</v>
      </c>
      <c r="I169" s="137">
        <f t="shared" si="6"/>
        <v>37920000</v>
      </c>
      <c r="J169" s="138">
        <f t="shared" si="7"/>
        <v>36434000</v>
      </c>
    </row>
    <row r="170" spans="1:10" s="143" customFormat="1" ht="36.75" customHeight="1">
      <c r="A170" s="55" t="s">
        <v>48</v>
      </c>
      <c r="B170" s="136">
        <v>708</v>
      </c>
      <c r="C170" s="55" t="s">
        <v>56</v>
      </c>
      <c r="D170" s="137">
        <v>13850000</v>
      </c>
      <c r="E170" s="137">
        <v>31870000</v>
      </c>
      <c r="F170" s="137">
        <v>4182000</v>
      </c>
      <c r="G170" s="137">
        <v>2829000</v>
      </c>
      <c r="H170" s="137">
        <v>559000</v>
      </c>
      <c r="I170" s="137">
        <f t="shared" si="6"/>
        <v>53290000</v>
      </c>
      <c r="J170" s="138">
        <f t="shared" si="7"/>
        <v>51201000</v>
      </c>
    </row>
    <row r="171" spans="1:10" s="143" customFormat="1" ht="36.75" customHeight="1">
      <c r="A171" s="55" t="s">
        <v>48</v>
      </c>
      <c r="B171" s="136">
        <v>709</v>
      </c>
      <c r="C171" s="55" t="s">
        <v>204</v>
      </c>
      <c r="D171" s="137">
        <v>15390000</v>
      </c>
      <c r="E171" s="137">
        <v>35410000</v>
      </c>
      <c r="F171" s="137">
        <v>4726000</v>
      </c>
      <c r="G171" s="137">
        <v>3073000</v>
      </c>
      <c r="H171" s="137">
        <v>621000</v>
      </c>
      <c r="I171" s="137">
        <f t="shared" si="6"/>
        <v>59220000</v>
      </c>
      <c r="J171" s="138">
        <f t="shared" si="7"/>
        <v>56899000</v>
      </c>
    </row>
    <row r="172" spans="1:10" s="143" customFormat="1" ht="36.75" customHeight="1">
      <c r="A172" s="55" t="s">
        <v>48</v>
      </c>
      <c r="B172" s="136">
        <v>710</v>
      </c>
      <c r="C172" s="55" t="s">
        <v>111</v>
      </c>
      <c r="D172" s="137">
        <v>17750000</v>
      </c>
      <c r="E172" s="137">
        <v>40840000</v>
      </c>
      <c r="F172" s="137">
        <v>5145000</v>
      </c>
      <c r="G172" s="137">
        <v>3849000</v>
      </c>
      <c r="H172" s="137">
        <v>716000</v>
      </c>
      <c r="I172" s="137">
        <f t="shared" si="6"/>
        <v>68300000</v>
      </c>
      <c r="J172" s="138">
        <f t="shared" si="7"/>
        <v>65623000</v>
      </c>
    </row>
    <row r="173" spans="1:10" s="143" customFormat="1" ht="36.75" customHeight="1">
      <c r="A173" s="55" t="s">
        <v>48</v>
      </c>
      <c r="B173" s="136">
        <v>711</v>
      </c>
      <c r="C173" s="55" t="s">
        <v>205</v>
      </c>
      <c r="D173" s="137">
        <v>13690000</v>
      </c>
      <c r="E173" s="137">
        <v>31480000</v>
      </c>
      <c r="F173" s="137">
        <v>3918000</v>
      </c>
      <c r="G173" s="137">
        <v>3010000</v>
      </c>
      <c r="H173" s="137">
        <v>552000</v>
      </c>
      <c r="I173" s="137">
        <f t="shared" si="6"/>
        <v>52650000</v>
      </c>
      <c r="J173" s="138">
        <f t="shared" si="7"/>
        <v>50586000</v>
      </c>
    </row>
    <row r="174" spans="1:10" s="143" customFormat="1" ht="36.75" customHeight="1">
      <c r="A174" s="55" t="s">
        <v>48</v>
      </c>
      <c r="B174" s="136">
        <v>712</v>
      </c>
      <c r="C174" s="55" t="s">
        <v>206</v>
      </c>
      <c r="D174" s="137">
        <v>5800000</v>
      </c>
      <c r="E174" s="137">
        <v>13340000</v>
      </c>
      <c r="F174" s="137">
        <v>1588000</v>
      </c>
      <c r="G174" s="137">
        <v>1348000</v>
      </c>
      <c r="H174" s="137">
        <v>234000</v>
      </c>
      <c r="I174" s="137">
        <f t="shared" si="6"/>
        <v>22310000</v>
      </c>
      <c r="J174" s="138">
        <f t="shared" si="7"/>
        <v>21435000</v>
      </c>
    </row>
    <row r="175" spans="1:10" s="143" customFormat="1" ht="36.75" customHeight="1">
      <c r="A175" s="55" t="s">
        <v>48</v>
      </c>
      <c r="B175" s="136">
        <v>719</v>
      </c>
      <c r="C175" s="55" t="s">
        <v>59</v>
      </c>
      <c r="D175" s="137">
        <v>19880000</v>
      </c>
      <c r="E175" s="137">
        <v>45740000</v>
      </c>
      <c r="F175" s="137">
        <v>6005000</v>
      </c>
      <c r="G175" s="137">
        <v>4063000</v>
      </c>
      <c r="H175" s="137">
        <v>802000</v>
      </c>
      <c r="I175" s="137">
        <f t="shared" si="6"/>
        <v>76490000</v>
      </c>
      <c r="J175" s="138">
        <f t="shared" si="7"/>
        <v>73492000</v>
      </c>
    </row>
    <row r="176" spans="1:10" s="143" customFormat="1" ht="36.75" customHeight="1">
      <c r="A176" s="55" t="s">
        <v>48</v>
      </c>
      <c r="B176" s="136">
        <v>720</v>
      </c>
      <c r="C176" s="55" t="s">
        <v>112</v>
      </c>
      <c r="D176" s="137">
        <v>17130000</v>
      </c>
      <c r="E176" s="137">
        <v>39390000</v>
      </c>
      <c r="F176" s="137">
        <v>5250000</v>
      </c>
      <c r="G176" s="137">
        <v>3419000</v>
      </c>
      <c r="H176" s="137">
        <v>691000</v>
      </c>
      <c r="I176" s="137">
        <f t="shared" si="6"/>
        <v>65880000</v>
      </c>
      <c r="J176" s="138">
        <f t="shared" si="7"/>
        <v>63298000</v>
      </c>
    </row>
    <row r="177" spans="1:10" s="143" customFormat="1" ht="36.75" customHeight="1">
      <c r="A177" s="55" t="s">
        <v>48</v>
      </c>
      <c r="B177" s="136">
        <v>721</v>
      </c>
      <c r="C177" s="55" t="s">
        <v>60</v>
      </c>
      <c r="D177" s="137">
        <v>14260000</v>
      </c>
      <c r="E177" s="137">
        <v>32810000</v>
      </c>
      <c r="F177" s="137">
        <v>4061000</v>
      </c>
      <c r="G177" s="137">
        <v>3163000</v>
      </c>
      <c r="H177" s="137">
        <v>576000</v>
      </c>
      <c r="I177" s="137">
        <f t="shared" si="6"/>
        <v>54870000</v>
      </c>
      <c r="J177" s="138">
        <f t="shared" si="7"/>
        <v>52719000</v>
      </c>
    </row>
    <row r="178" spans="1:10" s="143" customFormat="1" ht="36.75" customHeight="1">
      <c r="A178" s="55" t="s">
        <v>48</v>
      </c>
      <c r="B178" s="136">
        <v>722</v>
      </c>
      <c r="C178" s="55" t="s">
        <v>61</v>
      </c>
      <c r="D178" s="137">
        <v>8700000</v>
      </c>
      <c r="E178" s="137">
        <v>20010000</v>
      </c>
      <c r="F178" s="137">
        <v>2396000</v>
      </c>
      <c r="G178" s="137">
        <v>2003000</v>
      </c>
      <c r="H178" s="137">
        <v>351000</v>
      </c>
      <c r="I178" s="137">
        <f t="shared" si="6"/>
        <v>33460000</v>
      </c>
      <c r="J178" s="138">
        <f t="shared" si="7"/>
        <v>32148000</v>
      </c>
    </row>
    <row r="179" spans="1:10" s="143" customFormat="1" ht="36.75" customHeight="1">
      <c r="A179" s="55" t="s">
        <v>48</v>
      </c>
      <c r="B179" s="136">
        <v>751</v>
      </c>
      <c r="C179" s="55" t="s">
        <v>62</v>
      </c>
      <c r="D179" s="137">
        <v>11240000</v>
      </c>
      <c r="E179" s="137">
        <v>25840000</v>
      </c>
      <c r="F179" s="137">
        <v>3178000</v>
      </c>
      <c r="G179" s="137">
        <v>2509000</v>
      </c>
      <c r="H179" s="137">
        <v>453000</v>
      </c>
      <c r="I179" s="137">
        <f t="shared" si="6"/>
        <v>43220000</v>
      </c>
      <c r="J179" s="138">
        <f t="shared" si="7"/>
        <v>41526000</v>
      </c>
    </row>
    <row r="180" spans="1:10" s="143" customFormat="1" ht="36.75" customHeight="1">
      <c r="A180" s="55" t="s">
        <v>48</v>
      </c>
      <c r="B180" s="136">
        <v>752</v>
      </c>
      <c r="C180" s="55" t="s">
        <v>63</v>
      </c>
      <c r="D180" s="137">
        <v>15720000</v>
      </c>
      <c r="E180" s="137">
        <v>36160000</v>
      </c>
      <c r="F180" s="137">
        <v>4690000</v>
      </c>
      <c r="G180" s="137">
        <v>3276000</v>
      </c>
      <c r="H180" s="137">
        <v>634000</v>
      </c>
      <c r="I180" s="137">
        <f t="shared" si="6"/>
        <v>60480000</v>
      </c>
      <c r="J180" s="138">
        <f t="shared" si="7"/>
        <v>58109000</v>
      </c>
    </row>
    <row r="181" spans="1:10" s="143" customFormat="1" ht="36.75" customHeight="1">
      <c r="A181" s="55" t="s">
        <v>48</v>
      </c>
      <c r="B181" s="136">
        <v>753</v>
      </c>
      <c r="C181" s="55" t="s">
        <v>207</v>
      </c>
      <c r="D181" s="137">
        <v>11080000</v>
      </c>
      <c r="E181" s="137">
        <v>25490000</v>
      </c>
      <c r="F181" s="137">
        <v>3132000</v>
      </c>
      <c r="G181" s="137">
        <v>2481000</v>
      </c>
      <c r="H181" s="137">
        <v>447000</v>
      </c>
      <c r="I181" s="137">
        <f t="shared" si="6"/>
        <v>42630000</v>
      </c>
      <c r="J181" s="138">
        <f t="shared" si="7"/>
        <v>40959000</v>
      </c>
    </row>
    <row r="182" spans="1:10" s="143" customFormat="1" ht="36.75" customHeight="1">
      <c r="A182" s="55" t="s">
        <v>48</v>
      </c>
      <c r="B182" s="136">
        <v>760</v>
      </c>
      <c r="C182" s="55" t="s">
        <v>64</v>
      </c>
      <c r="D182" s="137">
        <v>13030000</v>
      </c>
      <c r="E182" s="137">
        <v>29980000</v>
      </c>
      <c r="F182" s="137">
        <v>3529000</v>
      </c>
      <c r="G182" s="137">
        <v>3075000</v>
      </c>
      <c r="H182" s="137">
        <v>526000</v>
      </c>
      <c r="I182" s="137">
        <f t="shared" si="6"/>
        <v>50140000</v>
      </c>
      <c r="J182" s="138">
        <f t="shared" si="7"/>
        <v>48175000</v>
      </c>
    </row>
    <row r="183" spans="1:10" s="143" customFormat="1" ht="36.75" customHeight="1">
      <c r="A183" s="55" t="s">
        <v>48</v>
      </c>
      <c r="B183" s="136">
        <v>765</v>
      </c>
      <c r="C183" s="55" t="s">
        <v>65</v>
      </c>
      <c r="D183" s="137">
        <v>9970000</v>
      </c>
      <c r="E183" s="137">
        <v>22930000</v>
      </c>
      <c r="F183" s="137">
        <v>2909000</v>
      </c>
      <c r="G183" s="137">
        <v>2129000</v>
      </c>
      <c r="H183" s="137">
        <v>402000</v>
      </c>
      <c r="I183" s="137">
        <f t="shared" si="6"/>
        <v>38340000</v>
      </c>
      <c r="J183" s="138">
        <f t="shared" si="7"/>
        <v>36837000</v>
      </c>
    </row>
    <row r="184" spans="1:10" s="143" customFormat="1" ht="36.75" customHeight="1">
      <c r="A184" s="55" t="s">
        <v>48</v>
      </c>
      <c r="B184" s="136">
        <v>800</v>
      </c>
      <c r="C184" s="55" t="s">
        <v>66</v>
      </c>
      <c r="D184" s="137">
        <v>16010000</v>
      </c>
      <c r="E184" s="137">
        <v>36820000</v>
      </c>
      <c r="F184" s="137">
        <v>4710000</v>
      </c>
      <c r="G184" s="137">
        <v>3384000</v>
      </c>
      <c r="H184" s="137">
        <v>646000</v>
      </c>
      <c r="I184" s="137">
        <f t="shared" si="6"/>
        <v>61570000</v>
      </c>
      <c r="J184" s="138">
        <f t="shared" si="7"/>
        <v>59156000</v>
      </c>
    </row>
    <row r="185" spans="1:10" s="143" customFormat="1" ht="36.75" customHeight="1">
      <c r="A185" s="55" t="s">
        <v>48</v>
      </c>
      <c r="B185" s="136">
        <v>801</v>
      </c>
      <c r="C185" s="55" t="s">
        <v>67</v>
      </c>
      <c r="D185" s="137">
        <v>23460000</v>
      </c>
      <c r="E185" s="137">
        <v>53970000</v>
      </c>
      <c r="F185" s="137">
        <v>7364000</v>
      </c>
      <c r="G185" s="137">
        <v>4519000</v>
      </c>
      <c r="H185" s="137">
        <v>947000</v>
      </c>
      <c r="I185" s="137">
        <f t="shared" si="6"/>
        <v>90260000</v>
      </c>
      <c r="J185" s="138">
        <f t="shared" si="7"/>
        <v>86722000</v>
      </c>
    </row>
    <row r="186" spans="1:10" s="143" customFormat="1" ht="36.75" customHeight="1">
      <c r="A186" s="55" t="s">
        <v>48</v>
      </c>
      <c r="B186" s="136">
        <v>802</v>
      </c>
      <c r="C186" s="55" t="s">
        <v>68</v>
      </c>
      <c r="D186" s="137">
        <v>14460000</v>
      </c>
      <c r="E186" s="137">
        <v>33260000</v>
      </c>
      <c r="F186" s="137">
        <v>4215000</v>
      </c>
      <c r="G186" s="137">
        <v>3111000</v>
      </c>
      <c r="H186" s="137">
        <v>584000</v>
      </c>
      <c r="I186" s="137">
        <f t="shared" si="6"/>
        <v>55630000</v>
      </c>
      <c r="J186" s="138">
        <f t="shared" si="7"/>
        <v>53449000</v>
      </c>
    </row>
    <row r="187" spans="1:10" s="143" customFormat="1" ht="36.75" customHeight="1">
      <c r="A187" s="55" t="s">
        <v>48</v>
      </c>
      <c r="B187" s="136">
        <v>813</v>
      </c>
      <c r="C187" s="55" t="s">
        <v>69</v>
      </c>
      <c r="D187" s="137">
        <v>10640000</v>
      </c>
      <c r="E187" s="137">
        <v>24470000</v>
      </c>
      <c r="F187" s="137">
        <v>3002000</v>
      </c>
      <c r="G187" s="137">
        <v>2379000</v>
      </c>
      <c r="H187" s="137">
        <v>429000</v>
      </c>
      <c r="I187" s="137">
        <f t="shared" si="6"/>
        <v>40920000</v>
      </c>
      <c r="J187" s="138">
        <f t="shared" si="7"/>
        <v>39316000</v>
      </c>
    </row>
    <row r="188" spans="1:10" s="143" customFormat="1" ht="36.75" customHeight="1">
      <c r="A188" s="55" t="s">
        <v>7</v>
      </c>
      <c r="B188" s="136">
        <v>820</v>
      </c>
      <c r="C188" s="55" t="s">
        <v>70</v>
      </c>
      <c r="D188" s="137">
        <v>15040000</v>
      </c>
      <c r="E188" s="137">
        <v>34600000</v>
      </c>
      <c r="F188" s="137">
        <v>4710000</v>
      </c>
      <c r="G188" s="137">
        <v>2913000</v>
      </c>
      <c r="H188" s="137">
        <v>607000</v>
      </c>
      <c r="I188" s="137">
        <f t="shared" si="6"/>
        <v>57870000</v>
      </c>
      <c r="J188" s="138">
        <f t="shared" si="7"/>
        <v>55601000</v>
      </c>
    </row>
    <row r="189" spans="1:10" s="143" customFormat="1" ht="36.75" customHeight="1">
      <c r="A189" s="55" t="s">
        <v>48</v>
      </c>
      <c r="B189" s="136">
        <v>830</v>
      </c>
      <c r="C189" s="55" t="s">
        <v>71</v>
      </c>
      <c r="D189" s="137">
        <v>9900000</v>
      </c>
      <c r="E189" s="137">
        <v>22780000</v>
      </c>
      <c r="F189" s="137">
        <v>2433000</v>
      </c>
      <c r="G189" s="137">
        <v>2587000</v>
      </c>
      <c r="H189" s="137">
        <v>400000</v>
      </c>
      <c r="I189" s="137">
        <f t="shared" si="6"/>
        <v>38100000</v>
      </c>
      <c r="J189" s="138">
        <f t="shared" si="7"/>
        <v>36606000</v>
      </c>
    </row>
    <row r="190" spans="1:10" s="143" customFormat="1" ht="36.75" customHeight="1">
      <c r="A190" s="55" t="s">
        <v>400</v>
      </c>
      <c r="B190" s="136">
        <v>888</v>
      </c>
      <c r="C190" s="55" t="s">
        <v>209</v>
      </c>
      <c r="D190" s="137">
        <v>4470000</v>
      </c>
      <c r="E190" s="137">
        <v>10280000</v>
      </c>
      <c r="F190" s="137">
        <v>865000</v>
      </c>
      <c r="G190" s="137">
        <v>1405000</v>
      </c>
      <c r="H190" s="137">
        <v>180000</v>
      </c>
      <c r="I190" s="137">
        <f t="shared" si="6"/>
        <v>17200000</v>
      </c>
      <c r="J190" s="138">
        <f t="shared" si="7"/>
        <v>16526000</v>
      </c>
    </row>
    <row r="191" spans="1:10" s="143" customFormat="1" ht="36.75" customHeight="1">
      <c r="A191" s="527" t="s">
        <v>400</v>
      </c>
      <c r="B191" s="527"/>
      <c r="C191" s="56" t="s">
        <v>72</v>
      </c>
      <c r="D191" s="134">
        <f>SUMIF($A$6:$A$190,$A191,$D$6:$D$190)</f>
        <v>773100000</v>
      </c>
      <c r="E191" s="134">
        <f>SUMIF($A$6:$A$190,$A191,$E$6:$E$190)</f>
        <v>1778330000</v>
      </c>
      <c r="F191" s="134">
        <f>SUMIF($A$6:$A$190,$A191,$F$6:$F$190)</f>
        <v>222412000</v>
      </c>
      <c r="G191" s="134">
        <f>SUMIF($A$6:$A$190,$A191,$G$6:$G$190)</f>
        <v>168940000</v>
      </c>
      <c r="H191" s="134">
        <f>SUMIF($A$6:$A$190,$A191,$H$6:$H$190)</f>
        <v>31198000</v>
      </c>
      <c r="I191" s="137">
        <f t="shared" si="6"/>
        <v>2973980000</v>
      </c>
      <c r="J191" s="134">
        <f>SUMIF($A$6:$A$190,$A191,$J$6:$J$190)</f>
        <v>2857400000</v>
      </c>
    </row>
    <row r="192" spans="1:10" s="143" customFormat="1" ht="36.75" customHeight="1">
      <c r="A192" s="528" t="s">
        <v>401</v>
      </c>
      <c r="B192" s="528"/>
      <c r="C192" s="56" t="s">
        <v>72</v>
      </c>
      <c r="D192" s="134">
        <f>SUMIF($A$6:$A$190,$A192,$D$6:$D$190)</f>
        <v>631440000</v>
      </c>
      <c r="E192" s="134">
        <f>SUMIF($A$6:$A$190,$A192,$E$6:$E$190)</f>
        <v>1452500000</v>
      </c>
      <c r="F192" s="134">
        <f>SUMIF($A$6:$A$190,$A192,$F$6:$F$190)</f>
        <v>189203000</v>
      </c>
      <c r="G192" s="134">
        <f>SUMIF($A$6:$A$190,$A192,$G$6:$G$190)</f>
        <v>130507000</v>
      </c>
      <c r="H192" s="134">
        <f>SUMIF($A$6:$A$190,$A192,$H$6:$H$190)</f>
        <v>25480000</v>
      </c>
      <c r="I192" s="137">
        <f t="shared" si="6"/>
        <v>2429130000</v>
      </c>
      <c r="J192" s="134">
        <f>SUMIF($A$6:$A$190,$A192,$J$6:$J$190)</f>
        <v>2333907000</v>
      </c>
    </row>
    <row r="193" spans="1:10" s="143" customFormat="1" ht="36.75" customHeight="1">
      <c r="A193" s="528" t="s">
        <v>211</v>
      </c>
      <c r="B193" s="528"/>
      <c r="C193" s="56" t="s">
        <v>72</v>
      </c>
      <c r="D193" s="134">
        <f>SUMIF($A$6:$A$190,$A193,$D$6:$D$190)</f>
        <v>498770000</v>
      </c>
      <c r="E193" s="134">
        <f>SUMIF($A$6:$A$190,$A193,$E$6:$E$190)</f>
        <v>1147340000</v>
      </c>
      <c r="F193" s="134">
        <f>SUMIF($A$6:$A$190,$A193,$F$6:$F$190)</f>
        <v>147109000</v>
      </c>
      <c r="G193" s="134">
        <f>SUMIF($A$6:$A$190,$A193,$G$6:$G$190)</f>
        <v>105365000</v>
      </c>
      <c r="H193" s="134">
        <f>SUMIF($A$6:$A$190,$A193,$H$6:$H$190)</f>
        <v>20126000</v>
      </c>
      <c r="I193" s="137">
        <f t="shared" si="6"/>
        <v>1918710000</v>
      </c>
      <c r="J193" s="134">
        <f>SUMIF($A$6:$A$190,$A193,$J$6:$J$190)</f>
        <v>1843493000</v>
      </c>
    </row>
    <row r="194" spans="1:10" s="143" customFormat="1" ht="36.75" customHeight="1">
      <c r="A194" s="528" t="s">
        <v>33</v>
      </c>
      <c r="B194" s="528"/>
      <c r="C194" s="56" t="s">
        <v>72</v>
      </c>
      <c r="D194" s="134">
        <f>SUMIF($A$6:$A$190,$A194,$D$6:$D$190)</f>
        <v>570960000</v>
      </c>
      <c r="E194" s="134">
        <f>SUMIF($A$6:$A$190,$A194,$E$6:$E$190)</f>
        <v>1313420000</v>
      </c>
      <c r="F194" s="134">
        <f>SUMIF($A$6:$A$190,$A194,$F$6:$F$190)</f>
        <v>171582000</v>
      </c>
      <c r="G194" s="134">
        <f>SUMIF($A$6:$A$190,$A194,$G$6:$G$190)</f>
        <v>117430000</v>
      </c>
      <c r="H194" s="134">
        <f>SUMIF($A$6:$A$190,$A194,$H$6:$H$190)</f>
        <v>23038000</v>
      </c>
      <c r="I194" s="137">
        <f t="shared" si="6"/>
        <v>2196430000</v>
      </c>
      <c r="J194" s="134">
        <f>SUMIF($A$6:$A$190,$A194,$J$6:$J$190)</f>
        <v>2110329000</v>
      </c>
    </row>
    <row r="195" spans="1:10" s="143" customFormat="1" ht="36.75" customHeight="1">
      <c r="A195" s="528" t="s">
        <v>48</v>
      </c>
      <c r="B195" s="528"/>
      <c r="C195" s="56" t="s">
        <v>72</v>
      </c>
      <c r="D195" s="134">
        <f>SUMIF($A$6:$A$190,$A195,$D$6:$D$190)</f>
        <v>593150000</v>
      </c>
      <c r="E195" s="134">
        <f>SUMIF($A$6:$A$190,$A195,$E$6:$E$190)</f>
        <v>1364400000</v>
      </c>
      <c r="F195" s="134">
        <f>SUMIF($A$6:$A$190,$A195,$F$6:$F$190)</f>
        <v>175495000</v>
      </c>
      <c r="G195" s="134">
        <f>SUMIF($A$6:$A$190,$A195,$G$6:$G$190)</f>
        <v>124772000</v>
      </c>
      <c r="H195" s="134">
        <f>SUMIF($A$6:$A$190,$A195,$H$6:$H$190)</f>
        <v>23933000</v>
      </c>
      <c r="I195" s="137">
        <f t="shared" si="6"/>
        <v>2281750000</v>
      </c>
      <c r="J195" s="134">
        <f>SUMIF($A$6:$A$190,$A195,$J$6:$J$190)</f>
        <v>2192308000</v>
      </c>
    </row>
    <row r="196" spans="1:10" s="40" customFormat="1" ht="36.75" customHeight="1">
      <c r="A196" s="526" t="s">
        <v>419</v>
      </c>
      <c r="B196" s="526"/>
      <c r="C196" s="526"/>
      <c r="D196" s="150">
        <f t="shared" ref="D196:I196" si="8">SUM(D191:D195)</f>
        <v>3067420000</v>
      </c>
      <c r="E196" s="150">
        <f t="shared" si="8"/>
        <v>7055990000</v>
      </c>
      <c r="F196" s="150">
        <f t="shared" si="8"/>
        <v>905801000</v>
      </c>
      <c r="G196" s="150">
        <f t="shared" si="8"/>
        <v>647014000</v>
      </c>
      <c r="H196" s="150">
        <f t="shared" si="8"/>
        <v>123775000</v>
      </c>
      <c r="I196" s="150">
        <f t="shared" si="8"/>
        <v>11800000000</v>
      </c>
      <c r="J196" s="151">
        <f>SUM(J191:J195)</f>
        <v>11337437000</v>
      </c>
    </row>
    <row r="197" spans="1:10" s="83" customFormat="1">
      <c r="D197" s="145">
        <f>D196/$I$196</f>
        <v>0.25995084745762714</v>
      </c>
      <c r="E197" s="145">
        <f>E196/$I$196</f>
        <v>0.59796525423728819</v>
      </c>
      <c r="F197" s="145">
        <f>F196/$I$196</f>
        <v>7.6762796610169493E-2</v>
      </c>
      <c r="G197" s="145">
        <f>G196/$I$196</f>
        <v>5.4831694915254241E-2</v>
      </c>
      <c r="H197" s="145">
        <f>H196/$I$196</f>
        <v>1.0489406779661018E-2</v>
      </c>
      <c r="I197" s="146">
        <v>1</v>
      </c>
    </row>
    <row r="198" spans="1:10">
      <c r="D198" s="145">
        <v>0.95199999999999996</v>
      </c>
      <c r="E198" s="145">
        <v>0.97850000000000004</v>
      </c>
      <c r="F198" s="145">
        <v>0.97450000000000003</v>
      </c>
      <c r="G198" s="145">
        <v>0.97450000000000003</v>
      </c>
      <c r="H198" s="145">
        <v>0</v>
      </c>
      <c r="I198" s="145">
        <f>D197*D198+E197*E198+F197*F198+G197*G198+H197*H198</f>
        <v>0.9608210400423729</v>
      </c>
    </row>
    <row r="199" spans="1:10" s="293" customFormat="1" ht="38.25" customHeight="1">
      <c r="B199" s="294"/>
      <c r="C199" s="301" t="s">
        <v>1281</v>
      </c>
      <c r="D199" s="300">
        <v>109</v>
      </c>
      <c r="E199" s="300">
        <v>110</v>
      </c>
      <c r="F199" s="300">
        <v>111</v>
      </c>
      <c r="G199" s="300">
        <v>112</v>
      </c>
      <c r="H199" s="300">
        <v>113</v>
      </c>
      <c r="I199" s="300">
        <v>114</v>
      </c>
      <c r="J199" s="296"/>
    </row>
    <row r="200" spans="1:10" s="293" customFormat="1" ht="38.25" customHeight="1">
      <c r="B200" s="294"/>
      <c r="C200" s="301" t="s">
        <v>435</v>
      </c>
      <c r="D200" s="302">
        <v>0.93479999999999996</v>
      </c>
      <c r="E200" s="302">
        <v>0.94620000000000004</v>
      </c>
      <c r="F200" s="302">
        <v>0.95030000000000003</v>
      </c>
      <c r="G200" s="302">
        <v>0.95120000000000005</v>
      </c>
      <c r="H200" s="302">
        <v>0.9587</v>
      </c>
      <c r="I200" s="302">
        <v>0.96079999999999999</v>
      </c>
      <c r="J200" s="296"/>
    </row>
    <row r="201" spans="1:10" s="293" customFormat="1" ht="51" customHeight="1">
      <c r="B201" s="297" t="s">
        <v>1880</v>
      </c>
      <c r="C201" s="295"/>
      <c r="D201" s="298"/>
      <c r="E201" s="298"/>
      <c r="F201" s="298"/>
      <c r="G201" s="298"/>
      <c r="H201" s="299"/>
      <c r="I201" s="299"/>
    </row>
    <row r="202" spans="1:10" ht="21">
      <c r="B202" s="148"/>
      <c r="C202" s="148"/>
      <c r="D202" s="147"/>
      <c r="E202" s="147"/>
      <c r="F202" s="147"/>
      <c r="G202" s="147"/>
      <c r="H202" s="147"/>
      <c r="I202" s="147"/>
    </row>
  </sheetData>
  <mergeCells count="10">
    <mergeCell ref="A2:I2"/>
    <mergeCell ref="A196:C196"/>
    <mergeCell ref="A4:A5"/>
    <mergeCell ref="B4:B5"/>
    <mergeCell ref="C4:C5"/>
    <mergeCell ref="A191:B191"/>
    <mergeCell ref="A192:B192"/>
    <mergeCell ref="A193:B193"/>
    <mergeCell ref="A194:B194"/>
    <mergeCell ref="A195:B195"/>
  </mergeCells>
  <phoneticPr fontId="13" type="noConversion"/>
  <printOptions horizontalCentered="1"/>
  <pageMargins left="0.55118110236220474" right="0.55118110236220474" top="0.39370078740157483" bottom="0.78740157480314965" header="0.51181102362204722" footer="0.39370078740157483"/>
  <pageSetup paperSize="9" scale="49" fitToHeight="0" orientation="portrait" r:id="rId1"/>
  <headerFooter alignWithMargins="0">
    <oddHeader>&amp;R&amp;"標楷體,標準"附件一</oddHeader>
    <oddFooter>第 &amp;P 頁，共 &amp;N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9"/>
  <sheetViews>
    <sheetView topLeftCell="G1" zoomScale="160" zoomScaleNormal="160" workbookViewId="0">
      <selection activeCell="O8" sqref="O8"/>
    </sheetView>
  </sheetViews>
  <sheetFormatPr defaultRowHeight="16.5"/>
  <cols>
    <col min="1" max="4" width="12.5" customWidth="1"/>
    <col min="5" max="5" width="11.25" style="2" customWidth="1"/>
    <col min="6" max="6" width="11" style="2" customWidth="1"/>
    <col min="8" max="8" width="10.5" style="2" bestFit="1" customWidth="1"/>
    <col min="9" max="9" width="10" style="2" bestFit="1" customWidth="1"/>
    <col min="10" max="10" width="11.625" style="2" bestFit="1" customWidth="1"/>
    <col min="11" max="11" width="12.25" style="38" bestFit="1" customWidth="1"/>
    <col min="13" max="13" width="12.25" style="38" bestFit="1" customWidth="1"/>
    <col min="15" max="15" width="10.125" bestFit="1" customWidth="1"/>
    <col min="16" max="16" width="17.125" bestFit="1" customWidth="1"/>
  </cols>
  <sheetData>
    <row r="1" spans="1:16">
      <c r="A1" s="331" t="s">
        <v>1606</v>
      </c>
      <c r="B1" s="331" t="s">
        <v>646</v>
      </c>
      <c r="C1" s="332" t="s">
        <v>1605</v>
      </c>
      <c r="D1" s="445" t="s">
        <v>2040</v>
      </c>
      <c r="E1" s="344" t="s">
        <v>1843</v>
      </c>
      <c r="F1" s="344" t="s">
        <v>1845</v>
      </c>
      <c r="I1" s="343">
        <f>ROUND(K1/P11/AVERAGE(I3:I10), 0)-9970</f>
        <v>109101</v>
      </c>
      <c r="J1" s="343"/>
      <c r="K1" s="38">
        <f>'116年參數表'!C22</f>
        <v>21790000</v>
      </c>
    </row>
    <row r="2" spans="1:16">
      <c r="A2" s="328">
        <v>100</v>
      </c>
      <c r="B2" s="328" t="s">
        <v>131</v>
      </c>
      <c r="C2" s="333" t="s">
        <v>616</v>
      </c>
      <c r="D2" s="333">
        <v>1</v>
      </c>
      <c r="E2" s="344">
        <f t="shared" ref="E2:E33" si="0">VLOOKUP(D2,H:I,2,0)</f>
        <v>1.7</v>
      </c>
      <c r="F2" s="345">
        <f t="shared" ref="F2:F33" si="1">VLOOKUP(D2,H:K,4,0)</f>
        <v>190000</v>
      </c>
      <c r="H2" s="349" t="s">
        <v>2052</v>
      </c>
      <c r="I2" s="349" t="s">
        <v>1847</v>
      </c>
      <c r="J2" s="350" t="s">
        <v>1848</v>
      </c>
      <c r="K2" s="350" t="s">
        <v>1848</v>
      </c>
      <c r="O2" s="239" t="s">
        <v>1263</v>
      </c>
      <c r="P2" t="s">
        <v>1844</v>
      </c>
    </row>
    <row r="3" spans="1:16">
      <c r="A3" s="328">
        <v>101</v>
      </c>
      <c r="B3" s="328" t="s">
        <v>132</v>
      </c>
      <c r="C3" s="333" t="s">
        <v>618</v>
      </c>
      <c r="D3" s="333">
        <v>3</v>
      </c>
      <c r="E3" s="344">
        <f t="shared" si="0"/>
        <v>1.3</v>
      </c>
      <c r="F3" s="345">
        <f t="shared" si="1"/>
        <v>150000</v>
      </c>
      <c r="H3" s="349">
        <v>1</v>
      </c>
      <c r="I3" s="349">
        <v>1.7</v>
      </c>
      <c r="J3" s="349" t="str">
        <f>_xlfn.CONCAT(K3/10000, "萬元")</f>
        <v>19萬元</v>
      </c>
      <c r="K3" s="350">
        <f>ROUNDUP($I$1*I3, -4)</f>
        <v>190000</v>
      </c>
      <c r="L3">
        <f t="shared" ref="L3:L10" si="2">VLOOKUP(H3,O:P,2,0)</f>
        <v>23</v>
      </c>
      <c r="M3" s="38">
        <f>K3*L3</f>
        <v>4370000</v>
      </c>
      <c r="O3" s="240">
        <v>1</v>
      </c>
      <c r="P3">
        <v>23</v>
      </c>
    </row>
    <row r="4" spans="1:16">
      <c r="A4" s="328">
        <v>103</v>
      </c>
      <c r="B4" s="328" t="s">
        <v>133</v>
      </c>
      <c r="C4" s="333" t="s">
        <v>618</v>
      </c>
      <c r="D4" s="333">
        <v>3</v>
      </c>
      <c r="E4" s="344">
        <f t="shared" si="0"/>
        <v>1.3</v>
      </c>
      <c r="F4" s="345">
        <f t="shared" si="1"/>
        <v>150000</v>
      </c>
      <c r="H4" s="349">
        <v>2</v>
      </c>
      <c r="I4" s="349">
        <v>1.5</v>
      </c>
      <c r="J4" s="349" t="str">
        <f t="shared" ref="J4:J10" si="3">_xlfn.CONCAT(K4/10000, "萬元")</f>
        <v>17萬元</v>
      </c>
      <c r="K4" s="350">
        <f t="shared" ref="K4:K10" si="4">ROUNDUP($I$1*I4, -4)</f>
        <v>170000</v>
      </c>
      <c r="L4">
        <f t="shared" si="2"/>
        <v>23</v>
      </c>
      <c r="M4" s="38">
        <f t="shared" ref="M4:M10" si="5">K4*L4</f>
        <v>3910000</v>
      </c>
      <c r="O4" s="240">
        <v>2</v>
      </c>
      <c r="P4">
        <v>23</v>
      </c>
    </row>
    <row r="5" spans="1:16">
      <c r="A5" s="328">
        <v>104</v>
      </c>
      <c r="B5" s="328" t="s">
        <v>134</v>
      </c>
      <c r="C5" s="333" t="s">
        <v>617</v>
      </c>
      <c r="D5" s="333">
        <v>2</v>
      </c>
      <c r="E5" s="344">
        <f t="shared" si="0"/>
        <v>1.5</v>
      </c>
      <c r="F5" s="345">
        <f t="shared" si="1"/>
        <v>170000</v>
      </c>
      <c r="H5" s="349">
        <v>3</v>
      </c>
      <c r="I5" s="349">
        <v>1.3</v>
      </c>
      <c r="J5" s="349" t="str">
        <f t="shared" si="3"/>
        <v>15萬元</v>
      </c>
      <c r="K5" s="350">
        <f t="shared" si="4"/>
        <v>150000</v>
      </c>
      <c r="L5">
        <f t="shared" si="2"/>
        <v>23</v>
      </c>
      <c r="M5" s="38">
        <f t="shared" si="5"/>
        <v>3450000</v>
      </c>
      <c r="O5" s="240">
        <v>3</v>
      </c>
      <c r="P5">
        <v>23</v>
      </c>
    </row>
    <row r="6" spans="1:16">
      <c r="A6" s="328">
        <v>105</v>
      </c>
      <c r="B6" s="328" t="s">
        <v>135</v>
      </c>
      <c r="C6" s="333" t="s">
        <v>616</v>
      </c>
      <c r="D6" s="333">
        <v>1</v>
      </c>
      <c r="E6" s="344">
        <f t="shared" si="0"/>
        <v>1.7</v>
      </c>
      <c r="F6" s="345">
        <f t="shared" si="1"/>
        <v>190000</v>
      </c>
      <c r="H6" s="349">
        <v>4</v>
      </c>
      <c r="I6" s="349">
        <v>1.1000000000000001</v>
      </c>
      <c r="J6" s="349" t="str">
        <f t="shared" si="3"/>
        <v>13萬元</v>
      </c>
      <c r="K6" s="350">
        <f t="shared" si="4"/>
        <v>130000</v>
      </c>
      <c r="L6">
        <f t="shared" si="2"/>
        <v>23</v>
      </c>
      <c r="M6" s="38">
        <f t="shared" si="5"/>
        <v>2990000</v>
      </c>
      <c r="O6" s="240">
        <v>4</v>
      </c>
      <c r="P6">
        <v>23</v>
      </c>
    </row>
    <row r="7" spans="1:16">
      <c r="A7" s="328">
        <v>106</v>
      </c>
      <c r="B7" s="328" t="s">
        <v>136</v>
      </c>
      <c r="C7" s="333" t="s">
        <v>616</v>
      </c>
      <c r="D7" s="333">
        <v>1</v>
      </c>
      <c r="E7" s="344">
        <f t="shared" si="0"/>
        <v>1.7</v>
      </c>
      <c r="F7" s="345">
        <f t="shared" si="1"/>
        <v>190000</v>
      </c>
      <c r="H7" s="349">
        <v>5</v>
      </c>
      <c r="I7" s="349">
        <v>0.9</v>
      </c>
      <c r="J7" s="349" t="str">
        <f t="shared" si="3"/>
        <v>10萬元</v>
      </c>
      <c r="K7" s="350">
        <f t="shared" si="4"/>
        <v>100000</v>
      </c>
      <c r="L7">
        <f t="shared" si="2"/>
        <v>23</v>
      </c>
      <c r="M7" s="38">
        <f t="shared" si="5"/>
        <v>2300000</v>
      </c>
      <c r="O7" s="240">
        <v>5</v>
      </c>
      <c r="P7">
        <v>23</v>
      </c>
    </row>
    <row r="8" spans="1:16">
      <c r="A8" s="328">
        <v>107</v>
      </c>
      <c r="B8" s="328" t="s">
        <v>73</v>
      </c>
      <c r="C8" s="333" t="s">
        <v>616</v>
      </c>
      <c r="D8" s="333">
        <v>1</v>
      </c>
      <c r="E8" s="344">
        <f t="shared" si="0"/>
        <v>1.7</v>
      </c>
      <c r="F8" s="345">
        <f t="shared" si="1"/>
        <v>190000</v>
      </c>
      <c r="H8" s="349">
        <v>6</v>
      </c>
      <c r="I8" s="349">
        <v>0.7</v>
      </c>
      <c r="J8" s="349" t="str">
        <f t="shared" si="3"/>
        <v>8萬元</v>
      </c>
      <c r="K8" s="350">
        <f t="shared" si="4"/>
        <v>80000</v>
      </c>
      <c r="L8">
        <f t="shared" si="2"/>
        <v>23</v>
      </c>
      <c r="M8" s="38">
        <f t="shared" si="5"/>
        <v>1840000</v>
      </c>
      <c r="O8" s="240">
        <v>6</v>
      </c>
      <c r="P8">
        <v>23</v>
      </c>
    </row>
    <row r="9" spans="1:16">
      <c r="A9" s="328">
        <v>108</v>
      </c>
      <c r="B9" s="328" t="s">
        <v>1</v>
      </c>
      <c r="C9" s="333" t="s">
        <v>616</v>
      </c>
      <c r="D9" s="333">
        <v>1</v>
      </c>
      <c r="E9" s="344">
        <f t="shared" si="0"/>
        <v>1.7</v>
      </c>
      <c r="F9" s="345">
        <f t="shared" si="1"/>
        <v>190000</v>
      </c>
      <c r="H9" s="349">
        <v>7</v>
      </c>
      <c r="I9" s="349">
        <v>0.5</v>
      </c>
      <c r="J9" s="349" t="str">
        <f t="shared" si="3"/>
        <v>6萬元</v>
      </c>
      <c r="K9" s="350">
        <f t="shared" si="4"/>
        <v>60000</v>
      </c>
      <c r="L9">
        <f t="shared" si="2"/>
        <v>23</v>
      </c>
      <c r="M9" s="38">
        <f t="shared" si="5"/>
        <v>1380000</v>
      </c>
      <c r="O9" s="240">
        <v>7</v>
      </c>
      <c r="P9">
        <v>23</v>
      </c>
    </row>
    <row r="10" spans="1:16">
      <c r="A10" s="328">
        <v>109</v>
      </c>
      <c r="B10" s="328" t="s">
        <v>2</v>
      </c>
      <c r="C10" s="333" t="s">
        <v>619</v>
      </c>
      <c r="D10" s="333">
        <v>4</v>
      </c>
      <c r="E10" s="344">
        <f t="shared" si="0"/>
        <v>1.1000000000000001</v>
      </c>
      <c r="F10" s="345">
        <f t="shared" si="1"/>
        <v>130000</v>
      </c>
      <c r="H10" s="349">
        <v>8</v>
      </c>
      <c r="I10" s="349">
        <v>0.3</v>
      </c>
      <c r="J10" s="349" t="str">
        <f t="shared" si="3"/>
        <v>4萬元</v>
      </c>
      <c r="K10" s="350">
        <f t="shared" si="4"/>
        <v>40000</v>
      </c>
      <c r="L10">
        <f t="shared" si="2"/>
        <v>22</v>
      </c>
      <c r="M10" s="38">
        <f t="shared" si="5"/>
        <v>880000</v>
      </c>
      <c r="O10" s="240">
        <v>8</v>
      </c>
      <c r="P10">
        <v>22</v>
      </c>
    </row>
    <row r="11" spans="1:16">
      <c r="A11" s="328">
        <v>110</v>
      </c>
      <c r="B11" s="328" t="s">
        <v>74</v>
      </c>
      <c r="C11" s="333" t="s">
        <v>620</v>
      </c>
      <c r="D11" s="333">
        <v>5</v>
      </c>
      <c r="E11" s="344">
        <f t="shared" si="0"/>
        <v>0.9</v>
      </c>
      <c r="F11" s="345">
        <f t="shared" si="1"/>
        <v>100000</v>
      </c>
      <c r="K11" s="38">
        <f>SUM(K3:K10)</f>
        <v>920000</v>
      </c>
      <c r="L11">
        <f>SUM(L3:L10)</f>
        <v>183</v>
      </c>
      <c r="M11" s="38">
        <f>SUM(M3:M10)</f>
        <v>21120000</v>
      </c>
      <c r="O11" s="240" t="s">
        <v>208</v>
      </c>
      <c r="P11">
        <v>183</v>
      </c>
    </row>
    <row r="12" spans="1:16">
      <c r="A12" s="328">
        <v>111</v>
      </c>
      <c r="B12" s="328" t="s">
        <v>75</v>
      </c>
      <c r="C12" s="333" t="s">
        <v>616</v>
      </c>
      <c r="D12" s="333">
        <v>1</v>
      </c>
      <c r="E12" s="344">
        <f t="shared" si="0"/>
        <v>1.7</v>
      </c>
      <c r="F12" s="345">
        <f t="shared" si="1"/>
        <v>190000</v>
      </c>
      <c r="M12" s="38">
        <f>K1-M11</f>
        <v>670000</v>
      </c>
    </row>
    <row r="13" spans="1:16">
      <c r="A13" s="328">
        <v>112</v>
      </c>
      <c r="B13" s="328" t="s">
        <v>137</v>
      </c>
      <c r="C13" s="333" t="s">
        <v>616</v>
      </c>
      <c r="D13" s="333">
        <v>1</v>
      </c>
      <c r="E13" s="344">
        <f t="shared" si="0"/>
        <v>1.7</v>
      </c>
      <c r="F13" s="345">
        <f t="shared" si="1"/>
        <v>190000</v>
      </c>
    </row>
    <row r="14" spans="1:16">
      <c r="A14" s="328">
        <v>113</v>
      </c>
      <c r="B14" s="328" t="s">
        <v>3</v>
      </c>
      <c r="C14" s="333" t="s">
        <v>617</v>
      </c>
      <c r="D14" s="333">
        <v>2</v>
      </c>
      <c r="E14" s="344">
        <f t="shared" si="0"/>
        <v>1.5</v>
      </c>
      <c r="F14" s="345">
        <f t="shared" si="1"/>
        <v>170000</v>
      </c>
    </row>
    <row r="15" spans="1:16">
      <c r="A15" s="328">
        <v>114</v>
      </c>
      <c r="B15" s="328" t="s">
        <v>138</v>
      </c>
      <c r="C15" s="333" t="s">
        <v>618</v>
      </c>
      <c r="D15" s="333">
        <v>3</v>
      </c>
      <c r="E15" s="344">
        <f t="shared" si="0"/>
        <v>1.3</v>
      </c>
      <c r="F15" s="345">
        <f t="shared" si="1"/>
        <v>150000</v>
      </c>
    </row>
    <row r="16" spans="1:16">
      <c r="A16" s="328">
        <v>115</v>
      </c>
      <c r="B16" s="328" t="s">
        <v>139</v>
      </c>
      <c r="C16" s="333" t="s">
        <v>618</v>
      </c>
      <c r="D16" s="333">
        <v>3</v>
      </c>
      <c r="E16" s="344">
        <f t="shared" si="0"/>
        <v>1.3</v>
      </c>
      <c r="F16" s="345">
        <f t="shared" si="1"/>
        <v>150000</v>
      </c>
    </row>
    <row r="17" spans="1:6">
      <c r="A17" s="328">
        <v>116</v>
      </c>
      <c r="B17" s="328" t="s">
        <v>140</v>
      </c>
      <c r="C17" s="333" t="s">
        <v>617</v>
      </c>
      <c r="D17" s="333">
        <v>2</v>
      </c>
      <c r="E17" s="344">
        <f t="shared" si="0"/>
        <v>1.5</v>
      </c>
      <c r="F17" s="345">
        <f t="shared" si="1"/>
        <v>170000</v>
      </c>
    </row>
    <row r="18" spans="1:6">
      <c r="A18" s="328">
        <v>117</v>
      </c>
      <c r="B18" s="328" t="s">
        <v>399</v>
      </c>
      <c r="C18" s="333" t="s">
        <v>616</v>
      </c>
      <c r="D18" s="333">
        <v>1</v>
      </c>
      <c r="E18" s="344">
        <f t="shared" si="0"/>
        <v>1.7</v>
      </c>
      <c r="F18" s="345">
        <f t="shared" si="1"/>
        <v>190000</v>
      </c>
    </row>
    <row r="19" spans="1:6">
      <c r="A19" s="328">
        <v>118</v>
      </c>
      <c r="B19" s="328" t="s">
        <v>141</v>
      </c>
      <c r="C19" s="333" t="s">
        <v>617</v>
      </c>
      <c r="D19" s="333">
        <v>2</v>
      </c>
      <c r="E19" s="344">
        <f t="shared" si="0"/>
        <v>1.5</v>
      </c>
      <c r="F19" s="345">
        <f t="shared" si="1"/>
        <v>170000</v>
      </c>
    </row>
    <row r="20" spans="1:6">
      <c r="A20" s="328">
        <v>119</v>
      </c>
      <c r="B20" s="328" t="s">
        <v>76</v>
      </c>
      <c r="C20" s="333" t="s">
        <v>620</v>
      </c>
      <c r="D20" s="333">
        <v>5</v>
      </c>
      <c r="E20" s="344">
        <f t="shared" si="0"/>
        <v>0.9</v>
      </c>
      <c r="F20" s="345">
        <f t="shared" si="1"/>
        <v>100000</v>
      </c>
    </row>
    <row r="21" spans="1:6">
      <c r="A21" s="328">
        <v>120</v>
      </c>
      <c r="B21" s="328" t="s">
        <v>142</v>
      </c>
      <c r="C21" s="333" t="s">
        <v>616</v>
      </c>
      <c r="D21" s="333">
        <v>1</v>
      </c>
      <c r="E21" s="344">
        <f t="shared" si="0"/>
        <v>1.7</v>
      </c>
      <c r="F21" s="345">
        <f t="shared" si="1"/>
        <v>190000</v>
      </c>
    </row>
    <row r="22" spans="1:6">
      <c r="A22" s="328">
        <v>121</v>
      </c>
      <c r="B22" s="328" t="s">
        <v>4</v>
      </c>
      <c r="C22" s="333" t="s">
        <v>618</v>
      </c>
      <c r="D22" s="333">
        <v>3</v>
      </c>
      <c r="E22" s="344">
        <f t="shared" si="0"/>
        <v>1.3</v>
      </c>
      <c r="F22" s="345">
        <f t="shared" si="1"/>
        <v>150000</v>
      </c>
    </row>
    <row r="23" spans="1:6">
      <c r="A23" s="328">
        <v>122</v>
      </c>
      <c r="B23" s="328" t="s">
        <v>77</v>
      </c>
      <c r="C23" s="333" t="s">
        <v>618</v>
      </c>
      <c r="D23" s="333">
        <v>3</v>
      </c>
      <c r="E23" s="344">
        <f t="shared" si="0"/>
        <v>1.3</v>
      </c>
      <c r="F23" s="345">
        <f t="shared" si="1"/>
        <v>150000</v>
      </c>
    </row>
    <row r="24" spans="1:6">
      <c r="A24" s="328">
        <v>123</v>
      </c>
      <c r="B24" s="328" t="s">
        <v>5</v>
      </c>
      <c r="C24" s="333" t="s">
        <v>616</v>
      </c>
      <c r="D24" s="333">
        <v>1</v>
      </c>
      <c r="E24" s="344">
        <f t="shared" si="0"/>
        <v>1.7</v>
      </c>
      <c r="F24" s="345">
        <f t="shared" si="1"/>
        <v>190000</v>
      </c>
    </row>
    <row r="25" spans="1:6">
      <c r="A25" s="328">
        <v>124</v>
      </c>
      <c r="B25" s="328" t="s">
        <v>143</v>
      </c>
      <c r="C25" s="333" t="s">
        <v>619</v>
      </c>
      <c r="D25" s="333">
        <v>4</v>
      </c>
      <c r="E25" s="344">
        <f t="shared" si="0"/>
        <v>1.1000000000000001</v>
      </c>
      <c r="F25" s="345">
        <f t="shared" si="1"/>
        <v>130000</v>
      </c>
    </row>
    <row r="26" spans="1:6">
      <c r="A26" s="328">
        <v>125</v>
      </c>
      <c r="B26" s="328" t="s">
        <v>144</v>
      </c>
      <c r="C26" s="333" t="s">
        <v>617</v>
      </c>
      <c r="D26" s="333">
        <v>2</v>
      </c>
      <c r="E26" s="344">
        <f t="shared" si="0"/>
        <v>1.5</v>
      </c>
      <c r="F26" s="345">
        <f t="shared" si="1"/>
        <v>170000</v>
      </c>
    </row>
    <row r="27" spans="1:6">
      <c r="A27" s="328">
        <v>126</v>
      </c>
      <c r="B27" s="328" t="s">
        <v>145</v>
      </c>
      <c r="C27" s="333" t="s">
        <v>616</v>
      </c>
      <c r="D27" s="333">
        <v>1</v>
      </c>
      <c r="E27" s="344">
        <f t="shared" si="0"/>
        <v>1.7</v>
      </c>
      <c r="F27" s="345">
        <f t="shared" si="1"/>
        <v>190000</v>
      </c>
    </row>
    <row r="28" spans="1:6">
      <c r="A28" s="328">
        <v>127</v>
      </c>
      <c r="B28" s="328" t="s">
        <v>146</v>
      </c>
      <c r="C28" s="333" t="s">
        <v>616</v>
      </c>
      <c r="D28" s="333">
        <v>1</v>
      </c>
      <c r="E28" s="344">
        <f t="shared" si="0"/>
        <v>1.7</v>
      </c>
      <c r="F28" s="345">
        <f t="shared" si="1"/>
        <v>190000</v>
      </c>
    </row>
    <row r="29" spans="1:6">
      <c r="A29" s="328">
        <v>128</v>
      </c>
      <c r="B29" s="328" t="s">
        <v>78</v>
      </c>
      <c r="C29" s="333" t="s">
        <v>620</v>
      </c>
      <c r="D29" s="333">
        <v>5</v>
      </c>
      <c r="E29" s="344">
        <f t="shared" si="0"/>
        <v>0.9</v>
      </c>
      <c r="F29" s="345">
        <f t="shared" si="1"/>
        <v>100000</v>
      </c>
    </row>
    <row r="30" spans="1:6">
      <c r="A30" s="328">
        <v>129</v>
      </c>
      <c r="B30" s="328" t="s">
        <v>79</v>
      </c>
      <c r="C30" s="333" t="s">
        <v>621</v>
      </c>
      <c r="D30" s="333">
        <v>6</v>
      </c>
      <c r="E30" s="344">
        <f t="shared" si="0"/>
        <v>0.7</v>
      </c>
      <c r="F30" s="345">
        <f t="shared" si="1"/>
        <v>80000</v>
      </c>
    </row>
    <row r="31" spans="1:6">
      <c r="A31" s="328">
        <v>130</v>
      </c>
      <c r="B31" s="328" t="s">
        <v>147</v>
      </c>
      <c r="C31" s="333" t="s">
        <v>616</v>
      </c>
      <c r="D31" s="333">
        <v>1</v>
      </c>
      <c r="E31" s="344">
        <f t="shared" si="0"/>
        <v>1.7</v>
      </c>
      <c r="F31" s="345">
        <f t="shared" si="1"/>
        <v>190000</v>
      </c>
    </row>
    <row r="32" spans="1:6">
      <c r="A32" s="328">
        <v>132</v>
      </c>
      <c r="B32" s="328" t="s">
        <v>6</v>
      </c>
      <c r="C32" s="333" t="s">
        <v>623</v>
      </c>
      <c r="D32" s="333">
        <v>8</v>
      </c>
      <c r="E32" s="344">
        <f t="shared" si="0"/>
        <v>0.3</v>
      </c>
      <c r="F32" s="345">
        <f t="shared" si="1"/>
        <v>40000</v>
      </c>
    </row>
    <row r="33" spans="1:6">
      <c r="A33" s="328">
        <v>133</v>
      </c>
      <c r="B33" s="328" t="s">
        <v>148</v>
      </c>
      <c r="C33" s="333" t="s">
        <v>616</v>
      </c>
      <c r="D33" s="333">
        <v>1</v>
      </c>
      <c r="E33" s="344">
        <f t="shared" si="0"/>
        <v>1.7</v>
      </c>
      <c r="F33" s="345">
        <f t="shared" si="1"/>
        <v>190000</v>
      </c>
    </row>
    <row r="34" spans="1:6">
      <c r="A34" s="328">
        <v>134</v>
      </c>
      <c r="B34" s="328" t="s">
        <v>149</v>
      </c>
      <c r="C34" s="333" t="s">
        <v>619</v>
      </c>
      <c r="D34" s="333">
        <v>4</v>
      </c>
      <c r="E34" s="344">
        <f t="shared" ref="E34:E65" si="6">VLOOKUP(D34,H:I,2,0)</f>
        <v>1.1000000000000001</v>
      </c>
      <c r="F34" s="345">
        <f t="shared" ref="F34:F65" si="7">VLOOKUP(D34,H:K,4,0)</f>
        <v>130000</v>
      </c>
    </row>
    <row r="35" spans="1:6">
      <c r="A35" s="328">
        <v>136</v>
      </c>
      <c r="B35" s="328" t="s">
        <v>150</v>
      </c>
      <c r="C35" s="333" t="s">
        <v>622</v>
      </c>
      <c r="D35" s="333">
        <v>7</v>
      </c>
      <c r="E35" s="344">
        <f t="shared" si="6"/>
        <v>0.5</v>
      </c>
      <c r="F35" s="345">
        <f t="shared" si="7"/>
        <v>60000</v>
      </c>
    </row>
    <row r="36" spans="1:6">
      <c r="A36" s="328">
        <v>137</v>
      </c>
      <c r="B36" s="328" t="s">
        <v>151</v>
      </c>
      <c r="C36" s="333" t="s">
        <v>618</v>
      </c>
      <c r="D36" s="333">
        <v>3</v>
      </c>
      <c r="E36" s="344">
        <f t="shared" si="6"/>
        <v>1.3</v>
      </c>
      <c r="F36" s="345">
        <f t="shared" si="7"/>
        <v>150000</v>
      </c>
    </row>
    <row r="37" spans="1:6">
      <c r="A37" s="328">
        <v>143</v>
      </c>
      <c r="B37" s="328" t="s">
        <v>80</v>
      </c>
      <c r="C37" s="333" t="s">
        <v>620</v>
      </c>
      <c r="D37" s="333">
        <v>5</v>
      </c>
      <c r="E37" s="344">
        <f t="shared" si="6"/>
        <v>0.9</v>
      </c>
      <c r="F37" s="345">
        <f t="shared" si="7"/>
        <v>100000</v>
      </c>
    </row>
    <row r="38" spans="1:6">
      <c r="A38" s="328">
        <v>145</v>
      </c>
      <c r="B38" s="328" t="s">
        <v>81</v>
      </c>
      <c r="C38" s="333" t="s">
        <v>621</v>
      </c>
      <c r="D38" s="333">
        <v>6</v>
      </c>
      <c r="E38" s="344">
        <f t="shared" si="6"/>
        <v>0.7</v>
      </c>
      <c r="F38" s="345">
        <f t="shared" si="7"/>
        <v>80000</v>
      </c>
    </row>
    <row r="39" spans="1:6">
      <c r="A39" s="328">
        <v>147</v>
      </c>
      <c r="B39" s="328" t="s">
        <v>152</v>
      </c>
      <c r="C39" s="333" t="s">
        <v>617</v>
      </c>
      <c r="D39" s="333">
        <v>2</v>
      </c>
      <c r="E39" s="344">
        <f t="shared" si="6"/>
        <v>1.5</v>
      </c>
      <c r="F39" s="345">
        <f t="shared" si="7"/>
        <v>170000</v>
      </c>
    </row>
    <row r="40" spans="1:6">
      <c r="A40" s="328">
        <v>148</v>
      </c>
      <c r="B40" s="328" t="s">
        <v>82</v>
      </c>
      <c r="C40" s="333" t="s">
        <v>621</v>
      </c>
      <c r="D40" s="333">
        <v>6</v>
      </c>
      <c r="E40" s="344">
        <f t="shared" si="6"/>
        <v>0.7</v>
      </c>
      <c r="F40" s="345">
        <f t="shared" si="7"/>
        <v>80000</v>
      </c>
    </row>
    <row r="41" spans="1:6">
      <c r="A41" s="328">
        <v>149</v>
      </c>
      <c r="B41" s="328" t="s">
        <v>153</v>
      </c>
      <c r="C41" s="333" t="s">
        <v>617</v>
      </c>
      <c r="D41" s="333">
        <v>2</v>
      </c>
      <c r="E41" s="344">
        <f t="shared" si="6"/>
        <v>1.5</v>
      </c>
      <c r="F41" s="345">
        <f t="shared" si="7"/>
        <v>170000</v>
      </c>
    </row>
    <row r="42" spans="1:6">
      <c r="A42" s="328">
        <v>151</v>
      </c>
      <c r="B42" s="328" t="s">
        <v>154</v>
      </c>
      <c r="C42" s="333" t="s">
        <v>618</v>
      </c>
      <c r="D42" s="333">
        <v>3</v>
      </c>
      <c r="E42" s="344">
        <f t="shared" si="6"/>
        <v>1.3</v>
      </c>
      <c r="F42" s="345">
        <f t="shared" si="7"/>
        <v>150000</v>
      </c>
    </row>
    <row r="43" spans="1:6">
      <c r="A43" s="328">
        <v>152</v>
      </c>
      <c r="B43" s="328" t="s">
        <v>155</v>
      </c>
      <c r="C43" s="333" t="s">
        <v>619</v>
      </c>
      <c r="D43" s="333">
        <v>4</v>
      </c>
      <c r="E43" s="344">
        <f t="shared" si="6"/>
        <v>1.1000000000000001</v>
      </c>
      <c r="F43" s="345">
        <f t="shared" si="7"/>
        <v>130000</v>
      </c>
    </row>
    <row r="44" spans="1:6">
      <c r="A44" s="328">
        <v>153</v>
      </c>
      <c r="B44" s="328" t="s">
        <v>156</v>
      </c>
      <c r="C44" s="333" t="s">
        <v>618</v>
      </c>
      <c r="D44" s="333">
        <v>3</v>
      </c>
      <c r="E44" s="344">
        <f t="shared" si="6"/>
        <v>1.3</v>
      </c>
      <c r="F44" s="345">
        <f t="shared" si="7"/>
        <v>150000</v>
      </c>
    </row>
    <row r="45" spans="1:6">
      <c r="A45" s="328">
        <v>154</v>
      </c>
      <c r="B45" s="328" t="s">
        <v>8</v>
      </c>
      <c r="C45" s="333" t="s">
        <v>622</v>
      </c>
      <c r="D45" s="333">
        <v>7</v>
      </c>
      <c r="E45" s="344">
        <f t="shared" si="6"/>
        <v>0.5</v>
      </c>
      <c r="F45" s="345">
        <f t="shared" si="7"/>
        <v>60000</v>
      </c>
    </row>
    <row r="46" spans="1:6">
      <c r="A46" s="328">
        <v>156</v>
      </c>
      <c r="B46" s="328" t="s">
        <v>157</v>
      </c>
      <c r="C46" s="333" t="s">
        <v>618</v>
      </c>
      <c r="D46" s="333">
        <v>3</v>
      </c>
      <c r="E46" s="344">
        <f t="shared" si="6"/>
        <v>1.3</v>
      </c>
      <c r="F46" s="345">
        <f t="shared" si="7"/>
        <v>150000</v>
      </c>
    </row>
    <row r="47" spans="1:6">
      <c r="A47" s="328">
        <v>157</v>
      </c>
      <c r="B47" s="328" t="s">
        <v>158</v>
      </c>
      <c r="C47" s="333" t="s">
        <v>621</v>
      </c>
      <c r="D47" s="333">
        <v>6</v>
      </c>
      <c r="E47" s="344">
        <f t="shared" si="6"/>
        <v>0.7</v>
      </c>
      <c r="F47" s="345">
        <f t="shared" si="7"/>
        <v>80000</v>
      </c>
    </row>
    <row r="48" spans="1:6">
      <c r="A48" s="328">
        <v>158</v>
      </c>
      <c r="B48" s="328" t="s">
        <v>159</v>
      </c>
      <c r="C48" s="333" t="s">
        <v>617</v>
      </c>
      <c r="D48" s="333">
        <v>2</v>
      </c>
      <c r="E48" s="344">
        <f t="shared" si="6"/>
        <v>1.5</v>
      </c>
      <c r="F48" s="345">
        <f t="shared" si="7"/>
        <v>170000</v>
      </c>
    </row>
    <row r="49" spans="1:6">
      <c r="A49" s="328">
        <v>159</v>
      </c>
      <c r="B49" s="328" t="s">
        <v>83</v>
      </c>
      <c r="C49" s="333" t="s">
        <v>616</v>
      </c>
      <c r="D49" s="333">
        <v>1</v>
      </c>
      <c r="E49" s="344">
        <f t="shared" si="6"/>
        <v>1.7</v>
      </c>
      <c r="F49" s="345">
        <f t="shared" si="7"/>
        <v>190000</v>
      </c>
    </row>
    <row r="50" spans="1:6">
      <c r="A50" s="328">
        <v>160</v>
      </c>
      <c r="B50" s="328" t="s">
        <v>9</v>
      </c>
      <c r="C50" s="333" t="s">
        <v>617</v>
      </c>
      <c r="D50" s="333">
        <v>2</v>
      </c>
      <c r="E50" s="344">
        <f t="shared" si="6"/>
        <v>1.5</v>
      </c>
      <c r="F50" s="345">
        <f t="shared" si="7"/>
        <v>170000</v>
      </c>
    </row>
    <row r="51" spans="1:6">
      <c r="A51" s="328">
        <v>161</v>
      </c>
      <c r="B51" s="328" t="s">
        <v>160</v>
      </c>
      <c r="C51" s="333" t="s">
        <v>623</v>
      </c>
      <c r="D51" s="333">
        <v>8</v>
      </c>
      <c r="E51" s="344">
        <f t="shared" si="6"/>
        <v>0.3</v>
      </c>
      <c r="F51" s="345">
        <f t="shared" si="7"/>
        <v>40000</v>
      </c>
    </row>
    <row r="52" spans="1:6">
      <c r="A52" s="328">
        <v>162</v>
      </c>
      <c r="B52" s="328" t="s">
        <v>10</v>
      </c>
      <c r="C52" s="333" t="s">
        <v>616</v>
      </c>
      <c r="D52" s="333">
        <v>1</v>
      </c>
      <c r="E52" s="344">
        <f t="shared" si="6"/>
        <v>1.7</v>
      </c>
      <c r="F52" s="345">
        <f t="shared" si="7"/>
        <v>190000</v>
      </c>
    </row>
    <row r="53" spans="1:6">
      <c r="A53" s="328">
        <v>163</v>
      </c>
      <c r="B53" s="328" t="s">
        <v>12</v>
      </c>
      <c r="C53" s="333" t="s">
        <v>620</v>
      </c>
      <c r="D53" s="333">
        <v>5</v>
      </c>
      <c r="E53" s="344">
        <f t="shared" si="6"/>
        <v>0.9</v>
      </c>
      <c r="F53" s="345">
        <f t="shared" si="7"/>
        <v>100000</v>
      </c>
    </row>
    <row r="54" spans="1:6">
      <c r="A54" s="328">
        <v>164</v>
      </c>
      <c r="B54" s="328" t="s">
        <v>161</v>
      </c>
      <c r="C54" s="333" t="s">
        <v>619</v>
      </c>
      <c r="D54" s="333">
        <v>4</v>
      </c>
      <c r="E54" s="344">
        <f t="shared" si="6"/>
        <v>1.1000000000000001</v>
      </c>
      <c r="F54" s="345">
        <f t="shared" si="7"/>
        <v>130000</v>
      </c>
    </row>
    <row r="55" spans="1:6">
      <c r="A55" s="328">
        <v>165</v>
      </c>
      <c r="B55" s="328" t="s">
        <v>13</v>
      </c>
      <c r="C55" s="333" t="s">
        <v>618</v>
      </c>
      <c r="D55" s="333">
        <v>3</v>
      </c>
      <c r="E55" s="344">
        <f t="shared" si="6"/>
        <v>1.3</v>
      </c>
      <c r="F55" s="345">
        <f t="shared" si="7"/>
        <v>150000</v>
      </c>
    </row>
    <row r="56" spans="1:6">
      <c r="A56" s="328">
        <v>166</v>
      </c>
      <c r="B56" s="328" t="s">
        <v>84</v>
      </c>
      <c r="C56" s="333" t="s">
        <v>618</v>
      </c>
      <c r="D56" s="333">
        <v>3</v>
      </c>
      <c r="E56" s="344">
        <f t="shared" si="6"/>
        <v>1.3</v>
      </c>
      <c r="F56" s="345">
        <f t="shared" si="7"/>
        <v>150000</v>
      </c>
    </row>
    <row r="57" spans="1:6">
      <c r="A57" s="328">
        <v>167</v>
      </c>
      <c r="B57" s="328" t="s">
        <v>162</v>
      </c>
      <c r="C57" s="333" t="s">
        <v>617</v>
      </c>
      <c r="D57" s="333">
        <v>2</v>
      </c>
      <c r="E57" s="344">
        <f t="shared" si="6"/>
        <v>1.5</v>
      </c>
      <c r="F57" s="345">
        <f t="shared" si="7"/>
        <v>170000</v>
      </c>
    </row>
    <row r="58" spans="1:6">
      <c r="A58" s="328">
        <v>168</v>
      </c>
      <c r="B58" s="328" t="s">
        <v>163</v>
      </c>
      <c r="C58" s="333" t="s">
        <v>618</v>
      </c>
      <c r="D58" s="333">
        <v>3</v>
      </c>
      <c r="E58" s="344">
        <f t="shared" si="6"/>
        <v>1.3</v>
      </c>
      <c r="F58" s="345">
        <f t="shared" si="7"/>
        <v>150000</v>
      </c>
    </row>
    <row r="59" spans="1:6">
      <c r="A59" s="328">
        <v>169</v>
      </c>
      <c r="B59" s="328" t="s">
        <v>85</v>
      </c>
      <c r="C59" s="333" t="s">
        <v>619</v>
      </c>
      <c r="D59" s="333">
        <v>4</v>
      </c>
      <c r="E59" s="344">
        <f t="shared" si="6"/>
        <v>1.1000000000000001</v>
      </c>
      <c r="F59" s="345">
        <f t="shared" si="7"/>
        <v>130000</v>
      </c>
    </row>
    <row r="60" spans="1:6">
      <c r="A60" s="328">
        <v>170</v>
      </c>
      <c r="B60" s="328" t="s">
        <v>164</v>
      </c>
      <c r="C60" s="333" t="s">
        <v>618</v>
      </c>
      <c r="D60" s="333">
        <v>3</v>
      </c>
      <c r="E60" s="344">
        <f t="shared" si="6"/>
        <v>1.3</v>
      </c>
      <c r="F60" s="345">
        <f t="shared" si="7"/>
        <v>150000</v>
      </c>
    </row>
    <row r="61" spans="1:6">
      <c r="A61" s="328">
        <v>171</v>
      </c>
      <c r="B61" s="328" t="s">
        <v>86</v>
      </c>
      <c r="C61" s="333" t="s">
        <v>621</v>
      </c>
      <c r="D61" s="333">
        <v>6</v>
      </c>
      <c r="E61" s="344">
        <f t="shared" si="6"/>
        <v>0.7</v>
      </c>
      <c r="F61" s="345">
        <f t="shared" si="7"/>
        <v>80000</v>
      </c>
    </row>
    <row r="62" spans="1:6">
      <c r="A62" s="328">
        <v>172</v>
      </c>
      <c r="B62" s="328" t="s">
        <v>14</v>
      </c>
      <c r="C62" s="333" t="s">
        <v>623</v>
      </c>
      <c r="D62" s="333">
        <v>8</v>
      </c>
      <c r="E62" s="344">
        <f t="shared" si="6"/>
        <v>0.3</v>
      </c>
      <c r="F62" s="345">
        <f t="shared" si="7"/>
        <v>40000</v>
      </c>
    </row>
    <row r="63" spans="1:6">
      <c r="A63" s="328">
        <v>173</v>
      </c>
      <c r="B63" s="328" t="s">
        <v>15</v>
      </c>
      <c r="C63" s="333" t="s">
        <v>620</v>
      </c>
      <c r="D63" s="333">
        <v>5</v>
      </c>
      <c r="E63" s="344">
        <f t="shared" si="6"/>
        <v>0.9</v>
      </c>
      <c r="F63" s="345">
        <f t="shared" si="7"/>
        <v>100000</v>
      </c>
    </row>
    <row r="64" spans="1:6">
      <c r="A64" s="328">
        <v>174</v>
      </c>
      <c r="B64" s="328" t="s">
        <v>16</v>
      </c>
      <c r="C64" s="333" t="s">
        <v>616</v>
      </c>
      <c r="D64" s="333">
        <v>1</v>
      </c>
      <c r="E64" s="344">
        <f t="shared" si="6"/>
        <v>1.7</v>
      </c>
      <c r="F64" s="345">
        <f t="shared" si="7"/>
        <v>190000</v>
      </c>
    </row>
    <row r="65" spans="1:6">
      <c r="A65" s="328">
        <v>175</v>
      </c>
      <c r="B65" s="328" t="s">
        <v>165</v>
      </c>
      <c r="C65" s="333" t="s">
        <v>617</v>
      </c>
      <c r="D65" s="333">
        <v>2</v>
      </c>
      <c r="E65" s="344">
        <f t="shared" si="6"/>
        <v>1.5</v>
      </c>
      <c r="F65" s="345">
        <f t="shared" si="7"/>
        <v>170000</v>
      </c>
    </row>
    <row r="66" spans="1:6">
      <c r="A66" s="328">
        <v>176</v>
      </c>
      <c r="B66" s="328" t="s">
        <v>166</v>
      </c>
      <c r="C66" s="333" t="s">
        <v>620</v>
      </c>
      <c r="D66" s="333">
        <v>5</v>
      </c>
      <c r="E66" s="344">
        <f t="shared" ref="E66:E97" si="8">VLOOKUP(D66,H:I,2,0)</f>
        <v>0.9</v>
      </c>
      <c r="F66" s="345">
        <f t="shared" ref="F66:F97" si="9">VLOOKUP(D66,H:K,4,0)</f>
        <v>100000</v>
      </c>
    </row>
    <row r="67" spans="1:6">
      <c r="A67" s="328">
        <v>177</v>
      </c>
      <c r="B67" s="328" t="s">
        <v>647</v>
      </c>
      <c r="C67" s="333" t="s">
        <v>623</v>
      </c>
      <c r="D67" s="333">
        <v>8</v>
      </c>
      <c r="E67" s="344">
        <f t="shared" si="8"/>
        <v>0.3</v>
      </c>
      <c r="F67" s="345">
        <f t="shared" si="9"/>
        <v>40000</v>
      </c>
    </row>
    <row r="68" spans="1:6">
      <c r="A68" s="328">
        <v>178</v>
      </c>
      <c r="B68" s="328" t="s">
        <v>17</v>
      </c>
      <c r="C68" s="333" t="s">
        <v>619</v>
      </c>
      <c r="D68" s="333">
        <v>4</v>
      </c>
      <c r="E68" s="344">
        <f t="shared" si="8"/>
        <v>1.1000000000000001</v>
      </c>
      <c r="F68" s="345">
        <f t="shared" si="9"/>
        <v>130000</v>
      </c>
    </row>
    <row r="69" spans="1:6">
      <c r="A69" s="328">
        <v>179</v>
      </c>
      <c r="B69" s="328" t="s">
        <v>167</v>
      </c>
      <c r="C69" s="333" t="s">
        <v>617</v>
      </c>
      <c r="D69" s="333">
        <v>2</v>
      </c>
      <c r="E69" s="344">
        <f t="shared" si="8"/>
        <v>1.5</v>
      </c>
      <c r="F69" s="345">
        <f t="shared" si="9"/>
        <v>170000</v>
      </c>
    </row>
    <row r="70" spans="1:6">
      <c r="A70" s="328">
        <v>180</v>
      </c>
      <c r="B70" s="328" t="s">
        <v>168</v>
      </c>
      <c r="C70" s="333" t="s">
        <v>618</v>
      </c>
      <c r="D70" s="333">
        <v>3</v>
      </c>
      <c r="E70" s="344">
        <f t="shared" si="8"/>
        <v>1.3</v>
      </c>
      <c r="F70" s="345">
        <f t="shared" si="9"/>
        <v>150000</v>
      </c>
    </row>
    <row r="71" spans="1:6">
      <c r="A71" s="328">
        <v>182</v>
      </c>
      <c r="B71" s="328" t="s">
        <v>169</v>
      </c>
      <c r="C71" s="333" t="s">
        <v>623</v>
      </c>
      <c r="D71" s="333">
        <v>8</v>
      </c>
      <c r="E71" s="344">
        <f t="shared" si="8"/>
        <v>0.3</v>
      </c>
      <c r="F71" s="345">
        <f t="shared" si="9"/>
        <v>40000</v>
      </c>
    </row>
    <row r="72" spans="1:6">
      <c r="A72" s="328">
        <v>183</v>
      </c>
      <c r="B72" s="328" t="s">
        <v>18</v>
      </c>
      <c r="C72" s="333" t="s">
        <v>623</v>
      </c>
      <c r="D72" s="333">
        <v>8</v>
      </c>
      <c r="E72" s="344">
        <f t="shared" si="8"/>
        <v>0.3</v>
      </c>
      <c r="F72" s="345">
        <f t="shared" si="9"/>
        <v>40000</v>
      </c>
    </row>
    <row r="73" spans="1:6">
      <c r="A73" s="328">
        <v>184</v>
      </c>
      <c r="B73" s="328" t="s">
        <v>19</v>
      </c>
      <c r="C73" s="333" t="s">
        <v>622</v>
      </c>
      <c r="D73" s="333">
        <v>7</v>
      </c>
      <c r="E73" s="344">
        <f t="shared" si="8"/>
        <v>0.5</v>
      </c>
      <c r="F73" s="345">
        <f t="shared" si="9"/>
        <v>60000</v>
      </c>
    </row>
    <row r="74" spans="1:6">
      <c r="A74" s="328">
        <v>185</v>
      </c>
      <c r="B74" s="328" t="s">
        <v>170</v>
      </c>
      <c r="C74" s="333" t="s">
        <v>620</v>
      </c>
      <c r="D74" s="333">
        <v>5</v>
      </c>
      <c r="E74" s="344">
        <f t="shared" si="8"/>
        <v>0.9</v>
      </c>
      <c r="F74" s="345">
        <f t="shared" si="9"/>
        <v>100000</v>
      </c>
    </row>
    <row r="75" spans="1:6">
      <c r="A75" s="328">
        <v>186</v>
      </c>
      <c r="B75" s="328" t="s">
        <v>87</v>
      </c>
      <c r="C75" s="333" t="s">
        <v>620</v>
      </c>
      <c r="D75" s="333">
        <v>5</v>
      </c>
      <c r="E75" s="344">
        <f t="shared" si="8"/>
        <v>0.9</v>
      </c>
      <c r="F75" s="345">
        <f t="shared" si="9"/>
        <v>100000</v>
      </c>
    </row>
    <row r="76" spans="1:6">
      <c r="A76" s="328">
        <v>187</v>
      </c>
      <c r="B76" s="328" t="s">
        <v>171</v>
      </c>
      <c r="C76" s="333" t="s">
        <v>619</v>
      </c>
      <c r="D76" s="333">
        <v>4</v>
      </c>
      <c r="E76" s="344">
        <f t="shared" si="8"/>
        <v>1.1000000000000001</v>
      </c>
      <c r="F76" s="345">
        <f t="shared" si="9"/>
        <v>130000</v>
      </c>
    </row>
    <row r="77" spans="1:6">
      <c r="A77" s="328">
        <v>189</v>
      </c>
      <c r="B77" s="328" t="s">
        <v>172</v>
      </c>
      <c r="C77" s="333" t="s">
        <v>618</v>
      </c>
      <c r="D77" s="333">
        <v>3</v>
      </c>
      <c r="E77" s="344">
        <f t="shared" si="8"/>
        <v>1.3</v>
      </c>
      <c r="F77" s="345">
        <f t="shared" si="9"/>
        <v>150000</v>
      </c>
    </row>
    <row r="78" spans="1:6">
      <c r="A78" s="328">
        <v>190</v>
      </c>
      <c r="B78" s="328" t="s">
        <v>173</v>
      </c>
      <c r="C78" s="333" t="s">
        <v>619</v>
      </c>
      <c r="D78" s="333">
        <v>4</v>
      </c>
      <c r="E78" s="344">
        <f t="shared" si="8"/>
        <v>1.1000000000000001</v>
      </c>
      <c r="F78" s="345">
        <f t="shared" si="9"/>
        <v>130000</v>
      </c>
    </row>
    <row r="79" spans="1:6">
      <c r="A79" s="328">
        <v>191</v>
      </c>
      <c r="B79" s="328" t="s">
        <v>20</v>
      </c>
      <c r="C79" s="333" t="s">
        <v>619</v>
      </c>
      <c r="D79" s="333">
        <v>4</v>
      </c>
      <c r="E79" s="344">
        <f t="shared" si="8"/>
        <v>1.1000000000000001</v>
      </c>
      <c r="F79" s="345">
        <f t="shared" si="9"/>
        <v>130000</v>
      </c>
    </row>
    <row r="80" spans="1:6">
      <c r="A80" s="328">
        <v>192</v>
      </c>
      <c r="B80" s="328" t="s">
        <v>174</v>
      </c>
      <c r="C80" s="333" t="s">
        <v>617</v>
      </c>
      <c r="D80" s="333">
        <v>2</v>
      </c>
      <c r="E80" s="344">
        <f t="shared" si="8"/>
        <v>1.5</v>
      </c>
      <c r="F80" s="345">
        <f t="shared" si="9"/>
        <v>170000</v>
      </c>
    </row>
    <row r="81" spans="1:6">
      <c r="A81" s="328">
        <v>193</v>
      </c>
      <c r="B81" s="328" t="s">
        <v>21</v>
      </c>
      <c r="C81" s="333" t="s">
        <v>619</v>
      </c>
      <c r="D81" s="333">
        <v>4</v>
      </c>
      <c r="E81" s="344">
        <f t="shared" si="8"/>
        <v>1.1000000000000001</v>
      </c>
      <c r="F81" s="345">
        <f t="shared" si="9"/>
        <v>130000</v>
      </c>
    </row>
    <row r="82" spans="1:6">
      <c r="A82" s="328">
        <v>194</v>
      </c>
      <c r="B82" s="328" t="s">
        <v>175</v>
      </c>
      <c r="C82" s="333" t="s">
        <v>621</v>
      </c>
      <c r="D82" s="333">
        <v>6</v>
      </c>
      <c r="E82" s="344">
        <f t="shared" si="8"/>
        <v>0.7</v>
      </c>
      <c r="F82" s="345">
        <f t="shared" si="9"/>
        <v>80000</v>
      </c>
    </row>
    <row r="83" spans="1:6">
      <c r="A83" s="328">
        <v>195</v>
      </c>
      <c r="B83" s="328" t="s">
        <v>22</v>
      </c>
      <c r="C83" s="333" t="s">
        <v>623</v>
      </c>
      <c r="D83" s="333">
        <v>8</v>
      </c>
      <c r="E83" s="344">
        <f t="shared" si="8"/>
        <v>0.3</v>
      </c>
      <c r="F83" s="345">
        <f t="shared" si="9"/>
        <v>40000</v>
      </c>
    </row>
    <row r="84" spans="1:6">
      <c r="A84" s="328">
        <v>196</v>
      </c>
      <c r="B84" s="328" t="s">
        <v>88</v>
      </c>
      <c r="C84" s="333" t="s">
        <v>620</v>
      </c>
      <c r="D84" s="333">
        <v>5</v>
      </c>
      <c r="E84" s="344">
        <f t="shared" si="8"/>
        <v>0.9</v>
      </c>
      <c r="F84" s="345">
        <f t="shared" si="9"/>
        <v>100000</v>
      </c>
    </row>
    <row r="85" spans="1:6">
      <c r="A85" s="328">
        <v>197</v>
      </c>
      <c r="B85" s="328" t="s">
        <v>23</v>
      </c>
      <c r="C85" s="333" t="s">
        <v>623</v>
      </c>
      <c r="D85" s="333">
        <v>8</v>
      </c>
      <c r="E85" s="344">
        <f t="shared" si="8"/>
        <v>0.3</v>
      </c>
      <c r="F85" s="345">
        <f t="shared" si="9"/>
        <v>40000</v>
      </c>
    </row>
    <row r="86" spans="1:6">
      <c r="A86" s="328">
        <v>199</v>
      </c>
      <c r="B86" s="328" t="s">
        <v>24</v>
      </c>
      <c r="C86" s="333" t="s">
        <v>621</v>
      </c>
      <c r="D86" s="333">
        <v>6</v>
      </c>
      <c r="E86" s="344">
        <f t="shared" si="8"/>
        <v>0.7</v>
      </c>
      <c r="F86" s="345">
        <f t="shared" si="9"/>
        <v>80000</v>
      </c>
    </row>
    <row r="87" spans="1:6">
      <c r="A87" s="328">
        <v>200</v>
      </c>
      <c r="B87" s="328" t="s">
        <v>89</v>
      </c>
      <c r="C87" s="333" t="s">
        <v>621</v>
      </c>
      <c r="D87" s="333">
        <v>6</v>
      </c>
      <c r="E87" s="344">
        <f t="shared" si="8"/>
        <v>0.7</v>
      </c>
      <c r="F87" s="345">
        <f t="shared" si="9"/>
        <v>80000</v>
      </c>
    </row>
    <row r="88" spans="1:6">
      <c r="A88" s="328">
        <v>201</v>
      </c>
      <c r="B88" s="328" t="s">
        <v>90</v>
      </c>
      <c r="C88" s="333" t="s">
        <v>621</v>
      </c>
      <c r="D88" s="333">
        <v>6</v>
      </c>
      <c r="E88" s="344">
        <f t="shared" si="8"/>
        <v>0.7</v>
      </c>
      <c r="F88" s="345">
        <f t="shared" si="9"/>
        <v>80000</v>
      </c>
    </row>
    <row r="89" spans="1:6">
      <c r="A89" s="328">
        <v>211</v>
      </c>
      <c r="B89" s="328" t="s">
        <v>25</v>
      </c>
      <c r="C89" s="333" t="s">
        <v>621</v>
      </c>
      <c r="D89" s="333">
        <v>6</v>
      </c>
      <c r="E89" s="344">
        <f t="shared" si="8"/>
        <v>0.7</v>
      </c>
      <c r="F89" s="345">
        <f t="shared" si="9"/>
        <v>80000</v>
      </c>
    </row>
    <row r="90" spans="1:6">
      <c r="A90" s="328">
        <v>220</v>
      </c>
      <c r="B90" s="328" t="s">
        <v>26</v>
      </c>
      <c r="C90" s="333" t="s">
        <v>623</v>
      </c>
      <c r="D90" s="333">
        <v>8</v>
      </c>
      <c r="E90" s="344">
        <f t="shared" si="8"/>
        <v>0.3</v>
      </c>
      <c r="F90" s="345">
        <f t="shared" si="9"/>
        <v>40000</v>
      </c>
    </row>
    <row r="91" spans="1:6">
      <c r="A91" s="328">
        <v>221</v>
      </c>
      <c r="B91" s="328" t="s">
        <v>27</v>
      </c>
      <c r="C91" s="333" t="s">
        <v>623</v>
      </c>
      <c r="D91" s="333">
        <v>8</v>
      </c>
      <c r="E91" s="344">
        <f t="shared" si="8"/>
        <v>0.3</v>
      </c>
      <c r="F91" s="345">
        <f t="shared" si="9"/>
        <v>40000</v>
      </c>
    </row>
    <row r="92" spans="1:6">
      <c r="A92" s="328">
        <v>240</v>
      </c>
      <c r="B92" s="328" t="s">
        <v>177</v>
      </c>
      <c r="C92" s="333" t="s">
        <v>617</v>
      </c>
      <c r="D92" s="333">
        <v>2</v>
      </c>
      <c r="E92" s="344">
        <f t="shared" si="8"/>
        <v>1.5</v>
      </c>
      <c r="F92" s="345">
        <f t="shared" si="9"/>
        <v>170000</v>
      </c>
    </row>
    <row r="93" spans="1:6">
      <c r="A93" s="328">
        <v>241</v>
      </c>
      <c r="B93" s="328" t="s">
        <v>91</v>
      </c>
      <c r="C93" s="333" t="s">
        <v>617</v>
      </c>
      <c r="D93" s="333">
        <v>2</v>
      </c>
      <c r="E93" s="344">
        <f t="shared" si="8"/>
        <v>1.5</v>
      </c>
      <c r="F93" s="345">
        <f t="shared" si="9"/>
        <v>170000</v>
      </c>
    </row>
    <row r="94" spans="1:6">
      <c r="A94" s="328">
        <v>242</v>
      </c>
      <c r="B94" s="328" t="s">
        <v>28</v>
      </c>
      <c r="C94" s="333" t="s">
        <v>618</v>
      </c>
      <c r="D94" s="333">
        <v>3</v>
      </c>
      <c r="E94" s="344">
        <f t="shared" si="8"/>
        <v>1.3</v>
      </c>
      <c r="F94" s="345">
        <f t="shared" si="9"/>
        <v>150000</v>
      </c>
    </row>
    <row r="95" spans="1:6">
      <c r="A95" s="328">
        <v>243</v>
      </c>
      <c r="B95" s="328" t="s">
        <v>92</v>
      </c>
      <c r="C95" s="333" t="s">
        <v>622</v>
      </c>
      <c r="D95" s="333">
        <v>7</v>
      </c>
      <c r="E95" s="344">
        <f t="shared" si="8"/>
        <v>0.5</v>
      </c>
      <c r="F95" s="345">
        <f t="shared" si="9"/>
        <v>60000</v>
      </c>
    </row>
    <row r="96" spans="1:6">
      <c r="A96" s="328">
        <v>244</v>
      </c>
      <c r="B96" s="328" t="s">
        <v>29</v>
      </c>
      <c r="C96" s="333" t="s">
        <v>619</v>
      </c>
      <c r="D96" s="333">
        <v>4</v>
      </c>
      <c r="E96" s="344">
        <f t="shared" si="8"/>
        <v>1.1000000000000001</v>
      </c>
      <c r="F96" s="345">
        <f t="shared" si="9"/>
        <v>130000</v>
      </c>
    </row>
    <row r="97" spans="1:6">
      <c r="A97" s="328">
        <v>245</v>
      </c>
      <c r="B97" s="328" t="s">
        <v>93</v>
      </c>
      <c r="C97" s="333" t="s">
        <v>619</v>
      </c>
      <c r="D97" s="333">
        <v>4</v>
      </c>
      <c r="E97" s="344">
        <f t="shared" si="8"/>
        <v>1.1000000000000001</v>
      </c>
      <c r="F97" s="345">
        <f t="shared" si="9"/>
        <v>130000</v>
      </c>
    </row>
    <row r="98" spans="1:6">
      <c r="A98" s="328">
        <v>246</v>
      </c>
      <c r="B98" s="328" t="s">
        <v>178</v>
      </c>
      <c r="C98" s="333" t="s">
        <v>620</v>
      </c>
      <c r="D98" s="333">
        <v>5</v>
      </c>
      <c r="E98" s="344">
        <f t="shared" ref="E98:E129" si="10">VLOOKUP(D98,H:I,2,0)</f>
        <v>0.9</v>
      </c>
      <c r="F98" s="345">
        <f t="shared" ref="F98:F129" si="11">VLOOKUP(D98,H:K,4,0)</f>
        <v>100000</v>
      </c>
    </row>
    <row r="99" spans="1:6">
      <c r="A99" s="328">
        <v>247</v>
      </c>
      <c r="B99" s="328" t="s">
        <v>179</v>
      </c>
      <c r="C99" s="333" t="s">
        <v>620</v>
      </c>
      <c r="D99" s="333">
        <v>5</v>
      </c>
      <c r="E99" s="344">
        <f t="shared" si="10"/>
        <v>0.9</v>
      </c>
      <c r="F99" s="345">
        <f t="shared" si="11"/>
        <v>100000</v>
      </c>
    </row>
    <row r="100" spans="1:6">
      <c r="A100" s="328">
        <v>248</v>
      </c>
      <c r="B100" s="328" t="s">
        <v>94</v>
      </c>
      <c r="C100" s="333" t="s">
        <v>619</v>
      </c>
      <c r="D100" s="333">
        <v>4</v>
      </c>
      <c r="E100" s="344">
        <f t="shared" si="10"/>
        <v>1.1000000000000001</v>
      </c>
      <c r="F100" s="345">
        <f t="shared" si="11"/>
        <v>130000</v>
      </c>
    </row>
    <row r="101" spans="1:6">
      <c r="A101" s="328">
        <v>249</v>
      </c>
      <c r="B101" s="328" t="s">
        <v>30</v>
      </c>
      <c r="C101" s="333" t="s">
        <v>622</v>
      </c>
      <c r="D101" s="333">
        <v>7</v>
      </c>
      <c r="E101" s="344">
        <f t="shared" si="10"/>
        <v>0.5</v>
      </c>
      <c r="F101" s="345">
        <f t="shared" si="11"/>
        <v>60000</v>
      </c>
    </row>
    <row r="102" spans="1:6">
      <c r="A102" s="328">
        <v>250</v>
      </c>
      <c r="B102" s="328" t="s">
        <v>180</v>
      </c>
      <c r="C102" s="333" t="s">
        <v>623</v>
      </c>
      <c r="D102" s="333">
        <v>8</v>
      </c>
      <c r="E102" s="344">
        <f t="shared" si="10"/>
        <v>0.3</v>
      </c>
      <c r="F102" s="345">
        <f t="shared" si="11"/>
        <v>40000</v>
      </c>
    </row>
    <row r="103" spans="1:6">
      <c r="A103" s="328">
        <v>251</v>
      </c>
      <c r="B103" s="328" t="s">
        <v>181</v>
      </c>
      <c r="C103" s="333" t="s">
        <v>622</v>
      </c>
      <c r="D103" s="333">
        <v>7</v>
      </c>
      <c r="E103" s="344">
        <f t="shared" si="10"/>
        <v>0.5</v>
      </c>
      <c r="F103" s="345">
        <f t="shared" si="11"/>
        <v>60000</v>
      </c>
    </row>
    <row r="104" spans="1:6">
      <c r="A104" s="328">
        <v>252</v>
      </c>
      <c r="B104" s="328" t="s">
        <v>95</v>
      </c>
      <c r="C104" s="333" t="s">
        <v>617</v>
      </c>
      <c r="D104" s="333">
        <v>2</v>
      </c>
      <c r="E104" s="344">
        <f t="shared" si="10"/>
        <v>1.5</v>
      </c>
      <c r="F104" s="345">
        <f t="shared" si="11"/>
        <v>170000</v>
      </c>
    </row>
    <row r="105" spans="1:6">
      <c r="A105" s="328">
        <v>260</v>
      </c>
      <c r="B105" s="328" t="s">
        <v>96</v>
      </c>
      <c r="C105" s="333" t="s">
        <v>618</v>
      </c>
      <c r="D105" s="333">
        <v>3</v>
      </c>
      <c r="E105" s="344">
        <f t="shared" si="10"/>
        <v>1.3</v>
      </c>
      <c r="F105" s="345">
        <f t="shared" si="11"/>
        <v>150000</v>
      </c>
    </row>
    <row r="106" spans="1:6">
      <c r="A106" s="328">
        <v>262</v>
      </c>
      <c r="B106" s="328" t="s">
        <v>97</v>
      </c>
      <c r="C106" s="333" t="s">
        <v>620</v>
      </c>
      <c r="D106" s="333">
        <v>5</v>
      </c>
      <c r="E106" s="344">
        <f t="shared" si="10"/>
        <v>0.9</v>
      </c>
      <c r="F106" s="345">
        <f t="shared" si="11"/>
        <v>100000</v>
      </c>
    </row>
    <row r="107" spans="1:6">
      <c r="A107" s="329">
        <v>268</v>
      </c>
      <c r="B107" s="329" t="s">
        <v>1282</v>
      </c>
      <c r="C107" s="333" t="s">
        <v>623</v>
      </c>
      <c r="D107" s="333">
        <v>8</v>
      </c>
      <c r="E107" s="344">
        <f t="shared" si="10"/>
        <v>0.3</v>
      </c>
      <c r="F107" s="345">
        <f t="shared" si="11"/>
        <v>40000</v>
      </c>
    </row>
    <row r="108" spans="1:6">
      <c r="A108" s="328">
        <v>300</v>
      </c>
      <c r="B108" s="328" t="s">
        <v>98</v>
      </c>
      <c r="C108" s="333" t="s">
        <v>616</v>
      </c>
      <c r="D108" s="333">
        <v>1</v>
      </c>
      <c r="E108" s="344">
        <f t="shared" si="10"/>
        <v>1.7</v>
      </c>
      <c r="F108" s="345">
        <f t="shared" si="11"/>
        <v>190000</v>
      </c>
    </row>
    <row r="109" spans="1:6">
      <c r="A109" s="328">
        <v>301</v>
      </c>
      <c r="B109" s="328" t="s">
        <v>99</v>
      </c>
      <c r="C109" s="333" t="s">
        <v>620</v>
      </c>
      <c r="D109" s="333">
        <v>5</v>
      </c>
      <c r="E109" s="344">
        <f t="shared" si="10"/>
        <v>0.9</v>
      </c>
      <c r="F109" s="345">
        <f t="shared" si="11"/>
        <v>100000</v>
      </c>
    </row>
    <row r="110" spans="1:6">
      <c r="A110" s="328">
        <v>302</v>
      </c>
      <c r="B110" s="328" t="s">
        <v>31</v>
      </c>
      <c r="C110" s="333" t="s">
        <v>618</v>
      </c>
      <c r="D110" s="333">
        <v>3</v>
      </c>
      <c r="E110" s="344">
        <f t="shared" si="10"/>
        <v>1.3</v>
      </c>
      <c r="F110" s="345">
        <f t="shared" si="11"/>
        <v>150000</v>
      </c>
    </row>
    <row r="111" spans="1:6">
      <c r="A111" s="328">
        <v>310</v>
      </c>
      <c r="B111" s="328" t="s">
        <v>32</v>
      </c>
      <c r="C111" s="333" t="s">
        <v>622</v>
      </c>
      <c r="D111" s="333">
        <v>7</v>
      </c>
      <c r="E111" s="344">
        <f t="shared" si="10"/>
        <v>0.5</v>
      </c>
      <c r="F111" s="345">
        <f t="shared" si="11"/>
        <v>60000</v>
      </c>
    </row>
    <row r="112" spans="1:6">
      <c r="A112" s="328">
        <v>313</v>
      </c>
      <c r="B112" s="328" t="s">
        <v>182</v>
      </c>
      <c r="C112" s="333" t="s">
        <v>622</v>
      </c>
      <c r="D112" s="333">
        <v>7</v>
      </c>
      <c r="E112" s="344">
        <f t="shared" si="10"/>
        <v>0.5</v>
      </c>
      <c r="F112" s="345">
        <f t="shared" si="11"/>
        <v>60000</v>
      </c>
    </row>
    <row r="113" spans="1:6">
      <c r="A113" s="328">
        <v>320</v>
      </c>
      <c r="B113" s="328" t="s">
        <v>183</v>
      </c>
      <c r="C113" s="333" t="s">
        <v>620</v>
      </c>
      <c r="D113" s="333">
        <v>5</v>
      </c>
      <c r="E113" s="344">
        <f t="shared" si="10"/>
        <v>0.9</v>
      </c>
      <c r="F113" s="345">
        <f t="shared" si="11"/>
        <v>100000</v>
      </c>
    </row>
    <row r="114" spans="1:6">
      <c r="A114" s="328">
        <v>321</v>
      </c>
      <c r="B114" s="328" t="s">
        <v>184</v>
      </c>
      <c r="C114" s="333" t="s">
        <v>617</v>
      </c>
      <c r="D114" s="333">
        <v>2</v>
      </c>
      <c r="E114" s="344">
        <f t="shared" si="10"/>
        <v>1.5</v>
      </c>
      <c r="F114" s="345">
        <f t="shared" si="11"/>
        <v>170000</v>
      </c>
    </row>
    <row r="115" spans="1:6">
      <c r="A115" s="328">
        <v>322</v>
      </c>
      <c r="B115" s="328" t="s">
        <v>34</v>
      </c>
      <c r="C115" s="333" t="s">
        <v>621</v>
      </c>
      <c r="D115" s="333">
        <v>6</v>
      </c>
      <c r="E115" s="344">
        <f t="shared" si="10"/>
        <v>0.7</v>
      </c>
      <c r="F115" s="345">
        <f t="shared" si="11"/>
        <v>80000</v>
      </c>
    </row>
    <row r="116" spans="1:6">
      <c r="A116" s="328">
        <v>323</v>
      </c>
      <c r="B116" s="328" t="s">
        <v>185</v>
      </c>
      <c r="C116" s="333" t="s">
        <v>619</v>
      </c>
      <c r="D116" s="333">
        <v>4</v>
      </c>
      <c r="E116" s="344">
        <f t="shared" si="10"/>
        <v>1.1000000000000001</v>
      </c>
      <c r="F116" s="345">
        <f t="shared" si="11"/>
        <v>130000</v>
      </c>
    </row>
    <row r="117" spans="1:6">
      <c r="A117" s="328">
        <v>351</v>
      </c>
      <c r="B117" s="328" t="s">
        <v>100</v>
      </c>
      <c r="C117" s="333" t="s">
        <v>623</v>
      </c>
      <c r="D117" s="333">
        <v>8</v>
      </c>
      <c r="E117" s="344">
        <f t="shared" si="10"/>
        <v>0.3</v>
      </c>
      <c r="F117" s="345">
        <f t="shared" si="11"/>
        <v>40000</v>
      </c>
    </row>
    <row r="118" spans="1:6">
      <c r="A118" s="328">
        <v>400</v>
      </c>
      <c r="B118" s="328" t="s">
        <v>35</v>
      </c>
      <c r="C118" s="333" t="s">
        <v>617</v>
      </c>
      <c r="D118" s="333">
        <v>2</v>
      </c>
      <c r="E118" s="344">
        <f t="shared" si="10"/>
        <v>1.5</v>
      </c>
      <c r="F118" s="345">
        <f t="shared" si="11"/>
        <v>170000</v>
      </c>
    </row>
    <row r="119" spans="1:6">
      <c r="A119" s="328">
        <v>401</v>
      </c>
      <c r="B119" s="328" t="s">
        <v>36</v>
      </c>
      <c r="C119" s="333" t="s">
        <v>622</v>
      </c>
      <c r="D119" s="333">
        <v>7</v>
      </c>
      <c r="E119" s="344">
        <f t="shared" si="10"/>
        <v>0.5</v>
      </c>
      <c r="F119" s="345">
        <f t="shared" si="11"/>
        <v>60000</v>
      </c>
    </row>
    <row r="120" spans="1:6">
      <c r="A120" s="328">
        <v>402</v>
      </c>
      <c r="B120" s="328" t="s">
        <v>37</v>
      </c>
      <c r="C120" s="333" t="s">
        <v>619</v>
      </c>
      <c r="D120" s="333">
        <v>4</v>
      </c>
      <c r="E120" s="344">
        <f t="shared" si="10"/>
        <v>1.1000000000000001</v>
      </c>
      <c r="F120" s="345">
        <f t="shared" si="11"/>
        <v>130000</v>
      </c>
    </row>
    <row r="121" spans="1:6">
      <c r="A121" s="328">
        <v>403</v>
      </c>
      <c r="B121" s="328" t="s">
        <v>186</v>
      </c>
      <c r="C121" s="333" t="s">
        <v>619</v>
      </c>
      <c r="D121" s="333">
        <v>4</v>
      </c>
      <c r="E121" s="344">
        <f t="shared" si="10"/>
        <v>1.1000000000000001</v>
      </c>
      <c r="F121" s="345">
        <f t="shared" si="11"/>
        <v>130000</v>
      </c>
    </row>
    <row r="122" spans="1:6">
      <c r="A122" s="328">
        <v>420</v>
      </c>
      <c r="B122" s="328" t="s">
        <v>38</v>
      </c>
      <c r="C122" s="333" t="s">
        <v>616</v>
      </c>
      <c r="D122" s="333">
        <v>1</v>
      </c>
      <c r="E122" s="344">
        <f t="shared" si="10"/>
        <v>1.7</v>
      </c>
      <c r="F122" s="345">
        <f t="shared" si="11"/>
        <v>190000</v>
      </c>
    </row>
    <row r="123" spans="1:6">
      <c r="A123" s="330">
        <v>422</v>
      </c>
      <c r="B123" s="330" t="s">
        <v>101</v>
      </c>
      <c r="C123" s="333" t="s">
        <v>621</v>
      </c>
      <c r="D123" s="333">
        <v>6</v>
      </c>
      <c r="E123" s="344">
        <f t="shared" si="10"/>
        <v>0.7</v>
      </c>
      <c r="F123" s="345">
        <f t="shared" si="11"/>
        <v>80000</v>
      </c>
    </row>
    <row r="124" spans="1:6">
      <c r="A124" s="328">
        <v>423</v>
      </c>
      <c r="B124" s="328" t="s">
        <v>187</v>
      </c>
      <c r="C124" s="333" t="s">
        <v>620</v>
      </c>
      <c r="D124" s="333">
        <v>5</v>
      </c>
      <c r="E124" s="344">
        <f t="shared" si="10"/>
        <v>0.9</v>
      </c>
      <c r="F124" s="345">
        <f t="shared" si="11"/>
        <v>100000</v>
      </c>
    </row>
    <row r="125" spans="1:6">
      <c r="A125" s="328">
        <v>424</v>
      </c>
      <c r="B125" s="328" t="s">
        <v>188</v>
      </c>
      <c r="C125" s="333" t="s">
        <v>616</v>
      </c>
      <c r="D125" s="333">
        <v>1</v>
      </c>
      <c r="E125" s="344">
        <f t="shared" si="10"/>
        <v>1.7</v>
      </c>
      <c r="F125" s="345">
        <f t="shared" si="11"/>
        <v>190000</v>
      </c>
    </row>
    <row r="126" spans="1:6">
      <c r="A126" s="328">
        <v>425</v>
      </c>
      <c r="B126" s="328" t="s">
        <v>39</v>
      </c>
      <c r="C126" s="333" t="s">
        <v>619</v>
      </c>
      <c r="D126" s="333">
        <v>4</v>
      </c>
      <c r="E126" s="344">
        <f t="shared" si="10"/>
        <v>1.1000000000000001</v>
      </c>
      <c r="F126" s="345">
        <f t="shared" si="11"/>
        <v>130000</v>
      </c>
    </row>
    <row r="127" spans="1:6">
      <c r="A127" s="328">
        <v>426</v>
      </c>
      <c r="B127" s="328" t="s">
        <v>189</v>
      </c>
      <c r="C127" s="333" t="s">
        <v>621</v>
      </c>
      <c r="D127" s="333">
        <v>6</v>
      </c>
      <c r="E127" s="344">
        <f t="shared" si="10"/>
        <v>0.7</v>
      </c>
      <c r="F127" s="345">
        <f t="shared" si="11"/>
        <v>80000</v>
      </c>
    </row>
    <row r="128" spans="1:6">
      <c r="A128" s="328">
        <v>427</v>
      </c>
      <c r="B128" s="328" t="s">
        <v>190</v>
      </c>
      <c r="C128" s="333" t="s">
        <v>621</v>
      </c>
      <c r="D128" s="333">
        <v>6</v>
      </c>
      <c r="E128" s="344">
        <f t="shared" si="10"/>
        <v>0.7</v>
      </c>
      <c r="F128" s="345">
        <f t="shared" si="11"/>
        <v>80000</v>
      </c>
    </row>
    <row r="129" spans="1:6">
      <c r="A129" s="328">
        <v>429</v>
      </c>
      <c r="B129" s="328" t="s">
        <v>191</v>
      </c>
      <c r="C129" s="333" t="s">
        <v>622</v>
      </c>
      <c r="D129" s="333">
        <v>7</v>
      </c>
      <c r="E129" s="344">
        <f t="shared" si="10"/>
        <v>0.5</v>
      </c>
      <c r="F129" s="345">
        <f t="shared" si="11"/>
        <v>60000</v>
      </c>
    </row>
    <row r="130" spans="1:6">
      <c r="A130" s="328">
        <v>430</v>
      </c>
      <c r="B130" s="328" t="s">
        <v>40</v>
      </c>
      <c r="C130" s="333" t="s">
        <v>623</v>
      </c>
      <c r="D130" s="333">
        <v>8</v>
      </c>
      <c r="E130" s="344">
        <f t="shared" ref="E130:E161" si="12">VLOOKUP(D130,H:I,2,0)</f>
        <v>0.3</v>
      </c>
      <c r="F130" s="345">
        <f t="shared" ref="F130:F161" si="13">VLOOKUP(D130,H:K,4,0)</f>
        <v>40000</v>
      </c>
    </row>
    <row r="131" spans="1:6">
      <c r="A131" s="328">
        <v>431</v>
      </c>
      <c r="B131" s="328" t="s">
        <v>102</v>
      </c>
      <c r="C131" s="333" t="s">
        <v>621</v>
      </c>
      <c r="D131" s="333">
        <v>6</v>
      </c>
      <c r="E131" s="344">
        <f t="shared" si="12"/>
        <v>0.7</v>
      </c>
      <c r="F131" s="345">
        <f t="shared" si="13"/>
        <v>80000</v>
      </c>
    </row>
    <row r="132" spans="1:6">
      <c r="A132" s="328">
        <v>451</v>
      </c>
      <c r="B132" s="328" t="s">
        <v>103</v>
      </c>
      <c r="C132" s="333" t="s">
        <v>623</v>
      </c>
      <c r="D132" s="333">
        <v>8</v>
      </c>
      <c r="E132" s="344">
        <f t="shared" si="12"/>
        <v>0.3</v>
      </c>
      <c r="F132" s="345">
        <f t="shared" si="13"/>
        <v>40000</v>
      </c>
    </row>
    <row r="133" spans="1:6">
      <c r="A133" s="328">
        <v>500</v>
      </c>
      <c r="B133" s="328" t="s">
        <v>41</v>
      </c>
      <c r="C133" s="333" t="s">
        <v>622</v>
      </c>
      <c r="D133" s="333">
        <v>7</v>
      </c>
      <c r="E133" s="344">
        <f t="shared" si="12"/>
        <v>0.5</v>
      </c>
      <c r="F133" s="345">
        <f t="shared" si="13"/>
        <v>60000</v>
      </c>
    </row>
    <row r="134" spans="1:6">
      <c r="A134" s="328">
        <v>501</v>
      </c>
      <c r="B134" s="328" t="s">
        <v>192</v>
      </c>
      <c r="C134" s="333" t="s">
        <v>622</v>
      </c>
      <c r="D134" s="333">
        <v>7</v>
      </c>
      <c r="E134" s="344">
        <f t="shared" si="12"/>
        <v>0.5</v>
      </c>
      <c r="F134" s="345">
        <f t="shared" si="13"/>
        <v>60000</v>
      </c>
    </row>
    <row r="135" spans="1:6">
      <c r="A135" s="328">
        <v>520</v>
      </c>
      <c r="B135" s="328" t="s">
        <v>193</v>
      </c>
      <c r="C135" s="333" t="s">
        <v>617</v>
      </c>
      <c r="D135" s="333">
        <v>2</v>
      </c>
      <c r="E135" s="344">
        <f t="shared" si="12"/>
        <v>1.5</v>
      </c>
      <c r="F135" s="345">
        <f t="shared" si="13"/>
        <v>170000</v>
      </c>
    </row>
    <row r="136" spans="1:6">
      <c r="A136" s="328">
        <v>521</v>
      </c>
      <c r="B136" s="328" t="s">
        <v>194</v>
      </c>
      <c r="C136" s="333" t="s">
        <v>617</v>
      </c>
      <c r="D136" s="333">
        <v>2</v>
      </c>
      <c r="E136" s="344">
        <f t="shared" si="12"/>
        <v>1.5</v>
      </c>
      <c r="F136" s="345">
        <f t="shared" si="13"/>
        <v>170000</v>
      </c>
    </row>
    <row r="137" spans="1:6">
      <c r="A137" s="328">
        <v>522</v>
      </c>
      <c r="B137" s="328" t="s">
        <v>42</v>
      </c>
      <c r="C137" s="333" t="s">
        <v>616</v>
      </c>
      <c r="D137" s="333">
        <v>1</v>
      </c>
      <c r="E137" s="344">
        <f t="shared" si="12"/>
        <v>1.7</v>
      </c>
      <c r="F137" s="345">
        <f t="shared" si="13"/>
        <v>190000</v>
      </c>
    </row>
    <row r="138" spans="1:6">
      <c r="A138" s="328">
        <v>523</v>
      </c>
      <c r="B138" s="328" t="s">
        <v>104</v>
      </c>
      <c r="C138" s="333" t="s">
        <v>621</v>
      </c>
      <c r="D138" s="333">
        <v>6</v>
      </c>
      <c r="E138" s="344">
        <f t="shared" si="12"/>
        <v>0.7</v>
      </c>
      <c r="F138" s="345">
        <f t="shared" si="13"/>
        <v>80000</v>
      </c>
    </row>
    <row r="139" spans="1:6">
      <c r="A139" s="328">
        <v>524</v>
      </c>
      <c r="B139" s="328" t="s">
        <v>43</v>
      </c>
      <c r="C139" s="333" t="s">
        <v>622</v>
      </c>
      <c r="D139" s="333">
        <v>7</v>
      </c>
      <c r="E139" s="344">
        <f t="shared" si="12"/>
        <v>0.5</v>
      </c>
      <c r="F139" s="345">
        <f t="shared" si="13"/>
        <v>60000</v>
      </c>
    </row>
    <row r="140" spans="1:6">
      <c r="A140" s="328">
        <v>540</v>
      </c>
      <c r="B140" s="328" t="s">
        <v>44</v>
      </c>
      <c r="C140" s="333" t="s">
        <v>622</v>
      </c>
      <c r="D140" s="333">
        <v>7</v>
      </c>
      <c r="E140" s="344">
        <f t="shared" si="12"/>
        <v>0.5</v>
      </c>
      <c r="F140" s="345">
        <f t="shared" si="13"/>
        <v>60000</v>
      </c>
    </row>
    <row r="141" spans="1:6">
      <c r="A141" s="328">
        <v>541</v>
      </c>
      <c r="B141" s="328" t="s">
        <v>105</v>
      </c>
      <c r="C141" s="333" t="s">
        <v>620</v>
      </c>
      <c r="D141" s="333">
        <v>5</v>
      </c>
      <c r="E141" s="344">
        <f t="shared" si="12"/>
        <v>0.9</v>
      </c>
      <c r="F141" s="345">
        <f t="shared" si="13"/>
        <v>100000</v>
      </c>
    </row>
    <row r="142" spans="1:6">
      <c r="A142" s="328">
        <v>542</v>
      </c>
      <c r="B142" s="328" t="s">
        <v>45</v>
      </c>
      <c r="C142" s="333" t="s">
        <v>623</v>
      </c>
      <c r="D142" s="333">
        <v>8</v>
      </c>
      <c r="E142" s="344">
        <f t="shared" si="12"/>
        <v>0.3</v>
      </c>
      <c r="F142" s="345">
        <f t="shared" si="13"/>
        <v>40000</v>
      </c>
    </row>
    <row r="143" spans="1:6">
      <c r="A143" s="328">
        <v>600</v>
      </c>
      <c r="B143" s="328" t="s">
        <v>46</v>
      </c>
      <c r="C143" s="333" t="s">
        <v>619</v>
      </c>
      <c r="D143" s="333">
        <v>4</v>
      </c>
      <c r="E143" s="344">
        <f t="shared" si="12"/>
        <v>1.1000000000000001</v>
      </c>
      <c r="F143" s="345">
        <f t="shared" si="13"/>
        <v>130000</v>
      </c>
    </row>
    <row r="144" spans="1:6">
      <c r="A144" s="328">
        <v>601</v>
      </c>
      <c r="B144" s="328" t="s">
        <v>195</v>
      </c>
      <c r="C144" s="333" t="s">
        <v>620</v>
      </c>
      <c r="D144" s="333">
        <v>5</v>
      </c>
      <c r="E144" s="344">
        <f t="shared" si="12"/>
        <v>0.9</v>
      </c>
      <c r="F144" s="345">
        <f t="shared" si="13"/>
        <v>100000</v>
      </c>
    </row>
    <row r="145" spans="1:6">
      <c r="A145" s="328">
        <v>602</v>
      </c>
      <c r="B145" s="328" t="s">
        <v>47</v>
      </c>
      <c r="C145" s="333" t="s">
        <v>623</v>
      </c>
      <c r="D145" s="333">
        <v>8</v>
      </c>
      <c r="E145" s="344">
        <f t="shared" si="12"/>
        <v>0.3</v>
      </c>
      <c r="F145" s="345">
        <f t="shared" si="13"/>
        <v>40000</v>
      </c>
    </row>
    <row r="146" spans="1:6">
      <c r="A146" s="328">
        <v>620</v>
      </c>
      <c r="B146" s="328" t="s">
        <v>106</v>
      </c>
      <c r="C146" s="333" t="s">
        <v>619</v>
      </c>
      <c r="D146" s="333">
        <v>4</v>
      </c>
      <c r="E146" s="344">
        <f t="shared" si="12"/>
        <v>1.1000000000000001</v>
      </c>
      <c r="F146" s="345">
        <f t="shared" si="13"/>
        <v>130000</v>
      </c>
    </row>
    <row r="147" spans="1:6">
      <c r="A147" s="328">
        <v>621</v>
      </c>
      <c r="B147" s="328" t="s">
        <v>49</v>
      </c>
      <c r="C147" s="333" t="s">
        <v>618</v>
      </c>
      <c r="D147" s="333">
        <v>3</v>
      </c>
      <c r="E147" s="344">
        <f t="shared" si="12"/>
        <v>1.3</v>
      </c>
      <c r="F147" s="345">
        <f t="shared" si="13"/>
        <v>150000</v>
      </c>
    </row>
    <row r="148" spans="1:6">
      <c r="A148" s="328">
        <v>622</v>
      </c>
      <c r="B148" s="328" t="s">
        <v>107</v>
      </c>
      <c r="C148" s="333" t="s">
        <v>620</v>
      </c>
      <c r="D148" s="333">
        <v>5</v>
      </c>
      <c r="E148" s="344">
        <f t="shared" si="12"/>
        <v>0.9</v>
      </c>
      <c r="F148" s="345">
        <f t="shared" si="13"/>
        <v>100000</v>
      </c>
    </row>
    <row r="149" spans="1:6">
      <c r="A149" s="328">
        <v>640</v>
      </c>
      <c r="B149" s="328" t="s">
        <v>50</v>
      </c>
      <c r="C149" s="333" t="s">
        <v>616</v>
      </c>
      <c r="D149" s="333">
        <v>1</v>
      </c>
      <c r="E149" s="344">
        <f t="shared" si="12"/>
        <v>1.7</v>
      </c>
      <c r="F149" s="345">
        <f t="shared" si="13"/>
        <v>190000</v>
      </c>
    </row>
    <row r="150" spans="1:6">
      <c r="A150" s="328">
        <v>642</v>
      </c>
      <c r="B150" s="328" t="s">
        <v>196</v>
      </c>
      <c r="C150" s="333" t="s">
        <v>617</v>
      </c>
      <c r="D150" s="333">
        <v>2</v>
      </c>
      <c r="E150" s="344">
        <f t="shared" si="12"/>
        <v>1.5</v>
      </c>
      <c r="F150" s="345">
        <f t="shared" si="13"/>
        <v>170000</v>
      </c>
    </row>
    <row r="151" spans="1:6">
      <c r="A151" s="328">
        <v>643</v>
      </c>
      <c r="B151" s="328" t="s">
        <v>197</v>
      </c>
      <c r="C151" s="333" t="s">
        <v>621</v>
      </c>
      <c r="D151" s="333">
        <v>6</v>
      </c>
      <c r="E151" s="344">
        <f t="shared" si="12"/>
        <v>0.7</v>
      </c>
      <c r="F151" s="345">
        <f t="shared" si="13"/>
        <v>80000</v>
      </c>
    </row>
    <row r="152" spans="1:6">
      <c r="A152" s="328">
        <v>644</v>
      </c>
      <c r="B152" s="328" t="s">
        <v>51</v>
      </c>
      <c r="C152" s="333" t="s">
        <v>620</v>
      </c>
      <c r="D152" s="333">
        <v>5</v>
      </c>
      <c r="E152" s="344">
        <f t="shared" si="12"/>
        <v>0.9</v>
      </c>
      <c r="F152" s="345">
        <f t="shared" si="13"/>
        <v>100000</v>
      </c>
    </row>
    <row r="153" spans="1:6">
      <c r="A153" s="328">
        <v>645</v>
      </c>
      <c r="B153" s="328" t="s">
        <v>198</v>
      </c>
      <c r="C153" s="333" t="s">
        <v>617</v>
      </c>
      <c r="D153" s="333">
        <v>2</v>
      </c>
      <c r="E153" s="344">
        <f t="shared" si="12"/>
        <v>1.5</v>
      </c>
      <c r="F153" s="345">
        <f t="shared" si="13"/>
        <v>170000</v>
      </c>
    </row>
    <row r="154" spans="1:6">
      <c r="A154" s="328">
        <v>646</v>
      </c>
      <c r="B154" s="328" t="s">
        <v>199</v>
      </c>
      <c r="C154" s="333" t="s">
        <v>622</v>
      </c>
      <c r="D154" s="333">
        <v>7</v>
      </c>
      <c r="E154" s="344">
        <f t="shared" si="12"/>
        <v>0.5</v>
      </c>
      <c r="F154" s="345">
        <f t="shared" si="13"/>
        <v>60000</v>
      </c>
    </row>
    <row r="155" spans="1:6">
      <c r="A155" s="328">
        <v>647</v>
      </c>
      <c r="B155" s="328" t="s">
        <v>108</v>
      </c>
      <c r="C155" s="333" t="s">
        <v>620</v>
      </c>
      <c r="D155" s="333">
        <v>5</v>
      </c>
      <c r="E155" s="344">
        <f t="shared" si="12"/>
        <v>0.9</v>
      </c>
      <c r="F155" s="345">
        <f t="shared" si="13"/>
        <v>100000</v>
      </c>
    </row>
    <row r="156" spans="1:6">
      <c r="A156" s="328">
        <v>648</v>
      </c>
      <c r="B156" s="328" t="s">
        <v>200</v>
      </c>
      <c r="C156" s="333" t="s">
        <v>622</v>
      </c>
      <c r="D156" s="333">
        <v>7</v>
      </c>
      <c r="E156" s="344">
        <f t="shared" si="12"/>
        <v>0.5</v>
      </c>
      <c r="F156" s="345">
        <f t="shared" si="13"/>
        <v>60000</v>
      </c>
    </row>
    <row r="157" spans="1:6">
      <c r="A157" s="328">
        <v>681</v>
      </c>
      <c r="B157" s="328" t="s">
        <v>52</v>
      </c>
      <c r="C157" s="333" t="s">
        <v>620</v>
      </c>
      <c r="D157" s="333">
        <v>5</v>
      </c>
      <c r="E157" s="344">
        <f t="shared" si="12"/>
        <v>0.9</v>
      </c>
      <c r="F157" s="345">
        <f t="shared" si="13"/>
        <v>100000</v>
      </c>
    </row>
    <row r="158" spans="1:6">
      <c r="A158" s="328">
        <v>700</v>
      </c>
      <c r="B158" s="328" t="s">
        <v>201</v>
      </c>
      <c r="C158" s="333" t="s">
        <v>616</v>
      </c>
      <c r="D158" s="333">
        <v>1</v>
      </c>
      <c r="E158" s="344">
        <f t="shared" si="12"/>
        <v>1.7</v>
      </c>
      <c r="F158" s="345">
        <f t="shared" si="13"/>
        <v>190000</v>
      </c>
    </row>
    <row r="159" spans="1:6">
      <c r="A159" s="328">
        <v>701</v>
      </c>
      <c r="B159" s="328" t="s">
        <v>202</v>
      </c>
      <c r="C159" s="333" t="s">
        <v>618</v>
      </c>
      <c r="D159" s="333">
        <v>3</v>
      </c>
      <c r="E159" s="344">
        <f t="shared" si="12"/>
        <v>1.3</v>
      </c>
      <c r="F159" s="345">
        <f t="shared" si="13"/>
        <v>150000</v>
      </c>
    </row>
    <row r="160" spans="1:6">
      <c r="A160" s="328">
        <v>702</v>
      </c>
      <c r="B160" s="328" t="s">
        <v>203</v>
      </c>
      <c r="C160" s="333" t="s">
        <v>618</v>
      </c>
      <c r="D160" s="333">
        <v>3</v>
      </c>
      <c r="E160" s="344">
        <f t="shared" si="12"/>
        <v>1.3</v>
      </c>
      <c r="F160" s="345">
        <f t="shared" si="13"/>
        <v>150000</v>
      </c>
    </row>
    <row r="161" spans="1:6">
      <c r="A161" s="328">
        <v>703</v>
      </c>
      <c r="B161" s="328" t="s">
        <v>53</v>
      </c>
      <c r="C161" s="333" t="s">
        <v>621</v>
      </c>
      <c r="D161" s="333">
        <v>6</v>
      </c>
      <c r="E161" s="344">
        <f t="shared" si="12"/>
        <v>0.7</v>
      </c>
      <c r="F161" s="345">
        <f t="shared" si="13"/>
        <v>80000</v>
      </c>
    </row>
    <row r="162" spans="1:6">
      <c r="A162" s="328">
        <v>704</v>
      </c>
      <c r="B162" s="328" t="s">
        <v>54</v>
      </c>
      <c r="C162" s="333" t="s">
        <v>621</v>
      </c>
      <c r="D162" s="333">
        <v>6</v>
      </c>
      <c r="E162" s="344">
        <f t="shared" ref="E162:E184" si="14">VLOOKUP(D162,H:I,2,0)</f>
        <v>0.7</v>
      </c>
      <c r="F162" s="345">
        <f t="shared" ref="F162:F184" si="15">VLOOKUP(D162,H:K,4,0)</f>
        <v>80000</v>
      </c>
    </row>
    <row r="163" spans="1:6">
      <c r="A163" s="328">
        <v>705</v>
      </c>
      <c r="B163" s="328" t="s">
        <v>109</v>
      </c>
      <c r="C163" s="333" t="s">
        <v>623</v>
      </c>
      <c r="D163" s="333">
        <v>8</v>
      </c>
      <c r="E163" s="344">
        <f t="shared" si="14"/>
        <v>0.3</v>
      </c>
      <c r="F163" s="345">
        <f t="shared" si="15"/>
        <v>40000</v>
      </c>
    </row>
    <row r="164" spans="1:6">
      <c r="A164" s="328">
        <v>706</v>
      </c>
      <c r="B164" s="328" t="s">
        <v>55</v>
      </c>
      <c r="C164" s="333" t="s">
        <v>619</v>
      </c>
      <c r="D164" s="333">
        <v>4</v>
      </c>
      <c r="E164" s="344">
        <f t="shared" si="14"/>
        <v>1.1000000000000001</v>
      </c>
      <c r="F164" s="345">
        <f t="shared" si="15"/>
        <v>130000</v>
      </c>
    </row>
    <row r="165" spans="1:6">
      <c r="A165" s="328">
        <v>707</v>
      </c>
      <c r="B165" s="328" t="s">
        <v>110</v>
      </c>
      <c r="C165" s="333" t="s">
        <v>623</v>
      </c>
      <c r="D165" s="333">
        <v>8</v>
      </c>
      <c r="E165" s="344">
        <f t="shared" si="14"/>
        <v>0.3</v>
      </c>
      <c r="F165" s="345">
        <f t="shared" si="15"/>
        <v>40000</v>
      </c>
    </row>
    <row r="166" spans="1:6">
      <c r="A166" s="328">
        <v>708</v>
      </c>
      <c r="B166" s="328" t="s">
        <v>56</v>
      </c>
      <c r="C166" s="333" t="s">
        <v>620</v>
      </c>
      <c r="D166" s="333">
        <v>5</v>
      </c>
      <c r="E166" s="344">
        <f t="shared" si="14"/>
        <v>0.9</v>
      </c>
      <c r="F166" s="345">
        <f t="shared" si="15"/>
        <v>100000</v>
      </c>
    </row>
    <row r="167" spans="1:6">
      <c r="A167" s="328">
        <v>709</v>
      </c>
      <c r="B167" s="328" t="s">
        <v>204</v>
      </c>
      <c r="C167" s="333" t="s">
        <v>622</v>
      </c>
      <c r="D167" s="333">
        <v>7</v>
      </c>
      <c r="E167" s="344">
        <f t="shared" si="14"/>
        <v>0.5</v>
      </c>
      <c r="F167" s="345">
        <f t="shared" si="15"/>
        <v>60000</v>
      </c>
    </row>
    <row r="168" spans="1:6">
      <c r="A168" s="328">
        <v>710</v>
      </c>
      <c r="B168" s="328" t="s">
        <v>111</v>
      </c>
      <c r="C168" s="333" t="s">
        <v>618</v>
      </c>
      <c r="D168" s="333">
        <v>3</v>
      </c>
      <c r="E168" s="344">
        <f t="shared" si="14"/>
        <v>1.3</v>
      </c>
      <c r="F168" s="345">
        <f t="shared" si="15"/>
        <v>150000</v>
      </c>
    </row>
    <row r="169" spans="1:6">
      <c r="A169" s="328">
        <v>711</v>
      </c>
      <c r="B169" s="328" t="s">
        <v>205</v>
      </c>
      <c r="C169" s="333" t="s">
        <v>619</v>
      </c>
      <c r="D169" s="333">
        <v>4</v>
      </c>
      <c r="E169" s="344">
        <f t="shared" si="14"/>
        <v>1.1000000000000001</v>
      </c>
      <c r="F169" s="345">
        <f t="shared" si="15"/>
        <v>130000</v>
      </c>
    </row>
    <row r="170" spans="1:6">
      <c r="A170" s="328">
        <v>712</v>
      </c>
      <c r="B170" s="328" t="s">
        <v>206</v>
      </c>
      <c r="C170" s="333" t="s">
        <v>623</v>
      </c>
      <c r="D170" s="333">
        <v>8</v>
      </c>
      <c r="E170" s="344">
        <f t="shared" si="14"/>
        <v>0.3</v>
      </c>
      <c r="F170" s="345">
        <f t="shared" si="15"/>
        <v>40000</v>
      </c>
    </row>
    <row r="171" spans="1:6">
      <c r="A171" s="328">
        <v>719</v>
      </c>
      <c r="B171" s="328" t="s">
        <v>59</v>
      </c>
      <c r="C171" s="333" t="s">
        <v>617</v>
      </c>
      <c r="D171" s="333">
        <v>2</v>
      </c>
      <c r="E171" s="344">
        <f t="shared" si="14"/>
        <v>1.5</v>
      </c>
      <c r="F171" s="345">
        <f t="shared" si="15"/>
        <v>170000</v>
      </c>
    </row>
    <row r="172" spans="1:6">
      <c r="A172" s="328">
        <v>720</v>
      </c>
      <c r="B172" s="328" t="s">
        <v>112</v>
      </c>
      <c r="C172" s="333" t="s">
        <v>621</v>
      </c>
      <c r="D172" s="333">
        <v>6</v>
      </c>
      <c r="E172" s="344">
        <f t="shared" si="14"/>
        <v>0.7</v>
      </c>
      <c r="F172" s="345">
        <f t="shared" si="15"/>
        <v>80000</v>
      </c>
    </row>
    <row r="173" spans="1:6">
      <c r="A173" s="328">
        <v>721</v>
      </c>
      <c r="B173" s="328" t="s">
        <v>60</v>
      </c>
      <c r="C173" s="333" t="s">
        <v>621</v>
      </c>
      <c r="D173" s="333">
        <v>6</v>
      </c>
      <c r="E173" s="344">
        <f t="shared" si="14"/>
        <v>0.7</v>
      </c>
      <c r="F173" s="345">
        <f t="shared" si="15"/>
        <v>80000</v>
      </c>
    </row>
    <row r="174" spans="1:6">
      <c r="A174" s="328">
        <v>722</v>
      </c>
      <c r="B174" s="328" t="s">
        <v>61</v>
      </c>
      <c r="C174" s="333" t="s">
        <v>622</v>
      </c>
      <c r="D174" s="333">
        <v>7</v>
      </c>
      <c r="E174" s="344">
        <f t="shared" si="14"/>
        <v>0.5</v>
      </c>
      <c r="F174" s="345">
        <f t="shared" si="15"/>
        <v>60000</v>
      </c>
    </row>
    <row r="175" spans="1:6">
      <c r="A175" s="328">
        <v>751</v>
      </c>
      <c r="B175" s="328" t="s">
        <v>62</v>
      </c>
      <c r="C175" s="333" t="s">
        <v>622</v>
      </c>
      <c r="D175" s="333">
        <v>7</v>
      </c>
      <c r="E175" s="344">
        <f t="shared" si="14"/>
        <v>0.5</v>
      </c>
      <c r="F175" s="345">
        <f t="shared" si="15"/>
        <v>60000</v>
      </c>
    </row>
    <row r="176" spans="1:6">
      <c r="A176" s="328">
        <v>752</v>
      </c>
      <c r="B176" s="328" t="s">
        <v>63</v>
      </c>
      <c r="C176" s="333" t="s">
        <v>621</v>
      </c>
      <c r="D176" s="333">
        <v>6</v>
      </c>
      <c r="E176" s="344">
        <f t="shared" si="14"/>
        <v>0.7</v>
      </c>
      <c r="F176" s="345">
        <f t="shared" si="15"/>
        <v>80000</v>
      </c>
    </row>
    <row r="177" spans="1:6">
      <c r="A177" s="328">
        <v>753</v>
      </c>
      <c r="B177" s="328" t="s">
        <v>207</v>
      </c>
      <c r="C177" s="333" t="s">
        <v>622</v>
      </c>
      <c r="D177" s="333">
        <v>7</v>
      </c>
      <c r="E177" s="344">
        <f t="shared" si="14"/>
        <v>0.5</v>
      </c>
      <c r="F177" s="345">
        <f t="shared" si="15"/>
        <v>60000</v>
      </c>
    </row>
    <row r="178" spans="1:6">
      <c r="A178" s="328">
        <v>760</v>
      </c>
      <c r="B178" s="328" t="s">
        <v>64</v>
      </c>
      <c r="C178" s="333" t="s">
        <v>621</v>
      </c>
      <c r="D178" s="333">
        <v>6</v>
      </c>
      <c r="E178" s="344">
        <f t="shared" si="14"/>
        <v>0.7</v>
      </c>
      <c r="F178" s="345">
        <f t="shared" si="15"/>
        <v>80000</v>
      </c>
    </row>
    <row r="179" spans="1:6">
      <c r="A179" s="328">
        <v>800</v>
      </c>
      <c r="B179" s="328" t="s">
        <v>66</v>
      </c>
      <c r="C179" s="333" t="s">
        <v>622</v>
      </c>
      <c r="D179" s="333">
        <v>7</v>
      </c>
      <c r="E179" s="344">
        <f t="shared" si="14"/>
        <v>0.5</v>
      </c>
      <c r="F179" s="345">
        <f t="shared" si="15"/>
        <v>60000</v>
      </c>
    </row>
    <row r="180" spans="1:6">
      <c r="A180" s="328">
        <v>801</v>
      </c>
      <c r="B180" s="328" t="s">
        <v>67</v>
      </c>
      <c r="C180" s="333" t="s">
        <v>619</v>
      </c>
      <c r="D180" s="333">
        <v>4</v>
      </c>
      <c r="E180" s="344">
        <f t="shared" si="14"/>
        <v>1.1000000000000001</v>
      </c>
      <c r="F180" s="345">
        <f t="shared" si="15"/>
        <v>130000</v>
      </c>
    </row>
    <row r="181" spans="1:6">
      <c r="A181" s="328">
        <v>802</v>
      </c>
      <c r="B181" s="328" t="s">
        <v>68</v>
      </c>
      <c r="C181" s="333" t="s">
        <v>623</v>
      </c>
      <c r="D181" s="333">
        <v>8</v>
      </c>
      <c r="E181" s="344">
        <f t="shared" si="14"/>
        <v>0.3</v>
      </c>
      <c r="F181" s="345">
        <f t="shared" si="15"/>
        <v>40000</v>
      </c>
    </row>
    <row r="182" spans="1:6">
      <c r="A182" s="328">
        <v>820</v>
      </c>
      <c r="B182" s="328" t="s">
        <v>70</v>
      </c>
      <c r="C182" s="333" t="s">
        <v>622</v>
      </c>
      <c r="D182" s="333">
        <v>7</v>
      </c>
      <c r="E182" s="344">
        <f t="shared" si="14"/>
        <v>0.5</v>
      </c>
      <c r="F182" s="345">
        <f t="shared" si="15"/>
        <v>60000</v>
      </c>
    </row>
    <row r="183" spans="1:6">
      <c r="A183" s="328">
        <v>830</v>
      </c>
      <c r="B183" s="328" t="s">
        <v>71</v>
      </c>
      <c r="C183" s="333" t="s">
        <v>622</v>
      </c>
      <c r="D183" s="333">
        <v>7</v>
      </c>
      <c r="E183" s="344">
        <f t="shared" si="14"/>
        <v>0.5</v>
      </c>
      <c r="F183" s="345">
        <f t="shared" si="15"/>
        <v>60000</v>
      </c>
    </row>
    <row r="184" spans="1:6">
      <c r="A184" s="328">
        <v>888</v>
      </c>
      <c r="B184" s="328" t="s">
        <v>209</v>
      </c>
      <c r="C184" s="333" t="s">
        <v>623</v>
      </c>
      <c r="D184" s="333">
        <v>8</v>
      </c>
      <c r="E184" s="344">
        <f t="shared" si="14"/>
        <v>0.3</v>
      </c>
      <c r="F184" s="345">
        <f t="shared" si="15"/>
        <v>40000</v>
      </c>
    </row>
    <row r="188" spans="1:6">
      <c r="A188" s="328">
        <v>765</v>
      </c>
      <c r="B188" s="328" t="s">
        <v>65</v>
      </c>
      <c r="C188" s="333" t="s">
        <v>623</v>
      </c>
      <c r="D188" s="333">
        <v>8</v>
      </c>
      <c r="E188" s="344">
        <f>VLOOKUP(D188,H:I,2,0)</f>
        <v>0.3</v>
      </c>
      <c r="F188" s="345">
        <f>VLOOKUP(D188,H:K,4,0)</f>
        <v>40000</v>
      </c>
    </row>
    <row r="189" spans="1:6">
      <c r="A189" s="328">
        <v>813</v>
      </c>
      <c r="B189" s="328" t="s">
        <v>69</v>
      </c>
      <c r="C189" s="333" t="s">
        <v>623</v>
      </c>
      <c r="D189" s="333">
        <v>8</v>
      </c>
      <c r="E189" s="344">
        <f>VLOOKUP(D189,H:I,2,0)</f>
        <v>0.3</v>
      </c>
      <c r="F189" s="345">
        <f>VLOOKUP(D189,H:K,4,0)</f>
        <v>40000</v>
      </c>
    </row>
  </sheetData>
  <sortState xmlns:xlrd2="http://schemas.microsoft.com/office/spreadsheetml/2017/richdata2" ref="A2:F184">
    <sortCondition ref="A2:A184"/>
  </sortState>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5"/>
  <sheetViews>
    <sheetView view="pageBreakPreview" zoomScale="85" zoomScaleNormal="100" zoomScaleSheetLayoutView="85" workbookViewId="0">
      <selection activeCell="K18" sqref="K18"/>
    </sheetView>
  </sheetViews>
  <sheetFormatPr defaultRowHeight="16.5"/>
  <cols>
    <col min="1" max="1" width="13" customWidth="1"/>
    <col min="2" max="2" width="6.75" bestFit="1" customWidth="1"/>
    <col min="3" max="3" width="11.875" bestFit="1" customWidth="1"/>
    <col min="4" max="4" width="6.75" bestFit="1" customWidth="1"/>
    <col min="5" max="5" width="17.625" bestFit="1" customWidth="1"/>
    <col min="6" max="6" width="9.375" customWidth="1"/>
    <col min="7" max="7" width="17.5" bestFit="1" customWidth="1"/>
    <col min="8" max="8" width="17.625" customWidth="1"/>
    <col min="9" max="9" width="20.25" bestFit="1" customWidth="1"/>
    <col min="10" max="10" width="20" customWidth="1"/>
    <col min="11" max="11" width="17.625" style="38" customWidth="1"/>
    <col min="12" max="12" width="19.375" customWidth="1"/>
    <col min="13" max="13" width="20.625" bestFit="1" customWidth="1"/>
    <col min="14" max="15" width="18.875" bestFit="1" customWidth="1"/>
    <col min="16" max="16" width="19.375" bestFit="1" customWidth="1"/>
    <col min="17" max="17" width="16.125" bestFit="1" customWidth="1"/>
    <col min="18" max="18" width="20.625" customWidth="1"/>
    <col min="19" max="19" width="8.875" customWidth="1"/>
  </cols>
  <sheetData>
    <row r="1" spans="1:19" s="45" customFormat="1" ht="25.5" customHeight="1">
      <c r="A1" s="519" t="s">
        <v>2094</v>
      </c>
      <c r="B1" s="519"/>
      <c r="C1" s="519"/>
      <c r="D1" s="519"/>
      <c r="E1" s="519"/>
      <c r="F1" s="519"/>
      <c r="G1" s="519"/>
      <c r="H1" s="519"/>
      <c r="I1" s="519"/>
      <c r="J1" s="519"/>
      <c r="K1" s="519"/>
      <c r="L1" s="519"/>
      <c r="M1" s="519"/>
      <c r="N1" s="519"/>
      <c r="O1" s="519"/>
      <c r="P1" s="519"/>
      <c r="Q1" s="519"/>
      <c r="R1" s="352"/>
      <c r="S1" s="352"/>
    </row>
    <row r="2" spans="1:19" s="45" customFormat="1" ht="29.25" customHeight="1" thickBot="1">
      <c r="K2" s="475"/>
      <c r="M2" s="384"/>
      <c r="P2" s="384" t="s">
        <v>404</v>
      </c>
      <c r="Q2" s="358"/>
    </row>
    <row r="3" spans="1:19" s="45" customFormat="1" ht="78.75" thickTop="1">
      <c r="A3" s="544" t="s">
        <v>1857</v>
      </c>
      <c r="B3" s="536" t="s">
        <v>1846</v>
      </c>
      <c r="C3" s="538" t="s">
        <v>414</v>
      </c>
      <c r="D3" s="540" t="s">
        <v>421</v>
      </c>
      <c r="E3" s="542" t="s">
        <v>129</v>
      </c>
      <c r="F3" s="500" t="s">
        <v>2002</v>
      </c>
      <c r="G3" s="378" t="s">
        <v>2059</v>
      </c>
      <c r="H3" s="378" t="s">
        <v>2100</v>
      </c>
      <c r="I3" s="378" t="s">
        <v>2064</v>
      </c>
      <c r="J3" s="378" t="s">
        <v>2101</v>
      </c>
      <c r="K3" s="499" t="s">
        <v>2098</v>
      </c>
      <c r="L3" s="378" t="s">
        <v>2099</v>
      </c>
      <c r="M3" s="379" t="s">
        <v>2095</v>
      </c>
      <c r="N3" s="365" t="s">
        <v>2102</v>
      </c>
      <c r="O3" s="478" t="s">
        <v>2038</v>
      </c>
      <c r="P3" s="514" t="s">
        <v>2097</v>
      </c>
      <c r="Q3" s="511" t="s">
        <v>2096</v>
      </c>
      <c r="R3" s="382" t="s">
        <v>1858</v>
      </c>
    </row>
    <row r="4" spans="1:19" s="45" customFormat="1" ht="24.75" customHeight="1" thickBot="1">
      <c r="A4" s="545"/>
      <c r="B4" s="537"/>
      <c r="C4" s="539"/>
      <c r="D4" s="541"/>
      <c r="E4" s="543"/>
      <c r="F4" s="512" t="s">
        <v>397</v>
      </c>
      <c r="G4" s="380" t="s">
        <v>398</v>
      </c>
      <c r="H4" s="380" t="s">
        <v>407</v>
      </c>
      <c r="I4" s="380" t="s">
        <v>438</v>
      </c>
      <c r="J4" s="380" t="s">
        <v>442</v>
      </c>
      <c r="K4" s="476" t="s">
        <v>2104</v>
      </c>
      <c r="L4" s="380" t="s">
        <v>631</v>
      </c>
      <c r="M4" s="381" t="s">
        <v>2105</v>
      </c>
      <c r="N4" s="366" t="s">
        <v>633</v>
      </c>
      <c r="O4" s="479" t="s">
        <v>634</v>
      </c>
      <c r="P4" s="515" t="s">
        <v>2106</v>
      </c>
      <c r="Q4" s="513" t="s">
        <v>2107</v>
      </c>
      <c r="R4" s="383" t="s">
        <v>1872</v>
      </c>
    </row>
    <row r="5" spans="1:19" s="45" customFormat="1" ht="23.25" customHeight="1" thickTop="1">
      <c r="A5" s="533" t="s">
        <v>2103</v>
      </c>
      <c r="B5" s="484">
        <v>159</v>
      </c>
      <c r="C5" s="485" t="str">
        <f>VLOOKUP(B5, '116目標底稿ver1'!B:AC, 2, 0)</f>
        <v>南區</v>
      </c>
      <c r="D5" s="486">
        <f>VLOOKUP(B5, '116目標底稿ver1'!B:AC, 3, 0)</f>
        <v>702</v>
      </c>
      <c r="E5" s="369" t="str">
        <f>VLOOKUP(B5, '116目標底稿ver1'!B:AC, 4, 0)</f>
        <v>新興分行</v>
      </c>
      <c r="F5" s="509">
        <f>VLOOKUP(B5, '116目標底稿ver1'!B:AC, 9, 0)</f>
        <v>2.14</v>
      </c>
      <c r="G5" s="510" t="str">
        <f>VLOOKUP(B5, '116目標底稿ver1'!B:AC, 12, 0)</f>
        <v>預估實績*70%</v>
      </c>
      <c r="H5" s="364">
        <f>VLOOKUP(B5, '116目標底稿ver1'!B:AC, 13, 0)</f>
        <v>102680000</v>
      </c>
      <c r="I5" s="364" t="str">
        <f>VLOOKUP(B5, '116目標底稿ver1'!B:AC, 15, 0)</f>
        <v>分行目標*120%*101%</v>
      </c>
      <c r="J5" s="364">
        <f>VLOOKUP(B5, '116目標底稿ver1'!B:AC, 16, 0)</f>
        <v>82890000</v>
      </c>
      <c r="K5" s="477">
        <f>VLOOKUP(B5, '116目標底稿ver1'!B:AC, 17, 0)</f>
        <v>-19790000</v>
      </c>
      <c r="L5" s="364">
        <f>VLOOKUP(B5, '116目標底稿ver1'!B:AC, 24, 0)</f>
        <v>1700000</v>
      </c>
      <c r="M5" s="385">
        <f t="shared" ref="M5:M24" si="0">J5+L5</f>
        <v>84590000</v>
      </c>
      <c r="N5" s="386">
        <f>VLOOKUP(B5, '116目標底稿ver1'!B:AC, 8, 0)</f>
        <v>68390000</v>
      </c>
      <c r="O5" s="480">
        <f>VLOOKUP(B5, '116目標底稿ver1'!B:AC, 6, 0)</f>
        <v>146683171</v>
      </c>
      <c r="P5" s="481">
        <f t="shared" ref="P5:P24" si="1">M5/O5-1</f>
        <v>-0.42331489411283585</v>
      </c>
      <c r="Q5" s="488">
        <f t="shared" ref="Q5:Q24" si="2">M5/N5-1</f>
        <v>0.23687673636496553</v>
      </c>
      <c r="R5" s="494">
        <f>VLOOKUP(B5, '116目標底稿ver1'!B:AC, 28, 0)</f>
        <v>46524500.000000007</v>
      </c>
    </row>
    <row r="6" spans="1:19" s="45" customFormat="1" ht="23.25" customHeight="1">
      <c r="A6" s="534"/>
      <c r="B6" s="367">
        <v>67</v>
      </c>
      <c r="C6" s="364" t="str">
        <f>VLOOKUP(B6, '116目標底稿ver1'!B:AC, 2, 0)</f>
        <v>北一區</v>
      </c>
      <c r="D6" s="363">
        <f>VLOOKUP(B6, '116目標底稿ver1'!B:AC, 3, 0)</f>
        <v>178</v>
      </c>
      <c r="E6" s="369" t="str">
        <f>VLOOKUP(B6, '116目標底稿ver1'!B:AC, 4, 0)</f>
        <v>北投分行</v>
      </c>
      <c r="F6" s="501">
        <f>VLOOKUP(B6, '116目標底稿ver1'!B:AC, 9, 0)</f>
        <v>1.91</v>
      </c>
      <c r="G6" s="502" t="str">
        <f>VLOOKUP(B6, '116目標底稿ver1'!B:AC, 12, 0)</f>
        <v>預估實績*80%</v>
      </c>
      <c r="H6" s="55">
        <f>VLOOKUP(B6, '116目標底稿ver1'!B:AC, 13, 0)</f>
        <v>105220000</v>
      </c>
      <c r="I6" s="55" t="str">
        <f>VLOOKUP(B6, '116目標底稿ver1'!B:AC, 15, 0)</f>
        <v>分行目標*120%*101%</v>
      </c>
      <c r="J6" s="55">
        <f>VLOOKUP(B6, '116目標底稿ver1'!B:AC, 16, 0)</f>
        <v>83430000</v>
      </c>
      <c r="K6" s="503">
        <f>VLOOKUP(B6, '116目標底稿ver1'!B:AC, 17, 0)</f>
        <v>-21790000</v>
      </c>
      <c r="L6" s="55">
        <f>VLOOKUP(B6, '116目標底稿ver1'!B:AC, 24, 0)</f>
        <v>2800000</v>
      </c>
      <c r="M6" s="388">
        <f t="shared" si="0"/>
        <v>86230000</v>
      </c>
      <c r="N6" s="389">
        <f>VLOOKUP(B6, '116目標底稿ver1'!B:AC, 8, 0)</f>
        <v>68840000</v>
      </c>
      <c r="O6" s="504">
        <f>VLOOKUP(B6, '116目標底稿ver1'!B:AC, 6, 0)</f>
        <v>131519728</v>
      </c>
      <c r="P6" s="481">
        <f t="shared" si="1"/>
        <v>-0.34435691655323375</v>
      </c>
      <c r="Q6" s="488">
        <f t="shared" si="2"/>
        <v>0.25261475886112716</v>
      </c>
      <c r="R6" s="495">
        <f>VLOOKUP(B6, '116目標底稿ver1'!B:AC, 28, 0)</f>
        <v>47426500.000000007</v>
      </c>
    </row>
    <row r="7" spans="1:19" s="45" customFormat="1" ht="23.25" customHeight="1">
      <c r="A7" s="534"/>
      <c r="B7" s="367">
        <v>106</v>
      </c>
      <c r="C7" s="364" t="str">
        <f>VLOOKUP(B7, '116目標底稿ver1'!B:AC, 2, 0)</f>
        <v>北三區</v>
      </c>
      <c r="D7" s="363">
        <f>VLOOKUP(B7, '116目標底稿ver1'!B:AC, 3, 0)</f>
        <v>268</v>
      </c>
      <c r="E7" s="369" t="str">
        <f>VLOOKUP(B7, '116目標底稿ver1'!B:AC, 4, 0)</f>
        <v>青埔分行</v>
      </c>
      <c r="F7" s="501">
        <f>VLOOKUP(B7, '116目標底稿ver1'!B:AC, 9, 0)</f>
        <v>1.82</v>
      </c>
      <c r="G7" s="502" t="str">
        <f>VLOOKUP(B7, '116目標底稿ver1'!B:AC, 12, 0)</f>
        <v>預估實績*80%</v>
      </c>
      <c r="H7" s="55">
        <f>VLOOKUP(B7, '116目標底稿ver1'!B:AC, 13, 0)</f>
        <v>30470000</v>
      </c>
      <c r="I7" s="55" t="str">
        <f>VLOOKUP(B7, '116目標底稿ver1'!B:AC, 15, 0)</f>
        <v>分行目標*120%*101%</v>
      </c>
      <c r="J7" s="55">
        <f>VLOOKUP(B7, '116目標底稿ver1'!B:AC, 16, 0)</f>
        <v>25430000</v>
      </c>
      <c r="K7" s="503">
        <f>VLOOKUP(B7, '116目標底稿ver1'!B:AC, 17, 0)</f>
        <v>-5040000</v>
      </c>
      <c r="L7" s="55">
        <f>VLOOKUP(B7, '116目標底稿ver1'!B:AC, 24, 0)</f>
        <v>670000</v>
      </c>
      <c r="M7" s="388">
        <f t="shared" si="0"/>
        <v>26100000</v>
      </c>
      <c r="N7" s="389">
        <f>VLOOKUP(B7, '116目標底稿ver1'!B:AC, 8, 0)</f>
        <v>20980000</v>
      </c>
      <c r="O7" s="504">
        <f>VLOOKUP(B7, '116目標底稿ver1'!B:AC, 6, 0)</f>
        <v>38092596</v>
      </c>
      <c r="P7" s="481">
        <f t="shared" si="1"/>
        <v>-0.3148274798598657</v>
      </c>
      <c r="Q7" s="488">
        <f t="shared" si="2"/>
        <v>0.24404194470924701</v>
      </c>
      <c r="R7" s="495">
        <f>VLOOKUP(B7, '116目標底稿ver1'!B:AC, 28, 0)</f>
        <v>14355000.000000002</v>
      </c>
    </row>
    <row r="8" spans="1:19" s="45" customFormat="1" ht="23.25" customHeight="1">
      <c r="A8" s="534"/>
      <c r="B8" s="367">
        <v>155</v>
      </c>
      <c r="C8" s="364" t="str">
        <f>VLOOKUP(B8, '116目標底稿ver1'!B:AC, 2, 0)</f>
        <v>南區</v>
      </c>
      <c r="D8" s="363">
        <f>VLOOKUP(B8, '116目標底稿ver1'!B:AC, 3, 0)</f>
        <v>648</v>
      </c>
      <c r="E8" s="369" t="str">
        <f>VLOOKUP(B8, '116目標底稿ver1'!B:AC, 4, 0)</f>
        <v>新市分行</v>
      </c>
      <c r="F8" s="501">
        <f>VLOOKUP(B8, '116目標底稿ver1'!B:AC, 9, 0)</f>
        <v>1.34</v>
      </c>
      <c r="G8" s="502" t="str">
        <f>VLOOKUP(B8, '116目標底稿ver1'!B:AC, 12, 0)</f>
        <v>預估實績*90%</v>
      </c>
      <c r="H8" s="55">
        <f>VLOOKUP(B8, '116目標底稿ver1'!B:AC, 13, 0)</f>
        <v>59810000</v>
      </c>
      <c r="I8" s="55" t="str">
        <f>VLOOKUP(B8, '116目標底稿ver1'!B:AC, 15, 0)</f>
        <v>分行目標*120%*101%</v>
      </c>
      <c r="J8" s="55">
        <f>VLOOKUP(B8, '116目標底稿ver1'!B:AC, 16, 0)</f>
        <v>60310000</v>
      </c>
      <c r="K8" s="503">
        <f>VLOOKUP(B8, '116目標底稿ver1'!B:AC, 17, 0)</f>
        <v>500000</v>
      </c>
      <c r="L8" s="55">
        <f>VLOOKUP(B8, '116目標底稿ver1'!B:AC, 24, 0)</f>
        <v>1970000</v>
      </c>
      <c r="M8" s="388">
        <f t="shared" si="0"/>
        <v>62280000</v>
      </c>
      <c r="N8" s="389">
        <f>VLOOKUP(B8, '116目標底稿ver1'!B:AC, 8, 0)</f>
        <v>49760000</v>
      </c>
      <c r="O8" s="504">
        <f>VLOOKUP(B8, '116目標底稿ver1'!B:AC, 6, 0)</f>
        <v>66452314</v>
      </c>
      <c r="P8" s="481">
        <f t="shared" si="1"/>
        <v>-6.2786587085590373E-2</v>
      </c>
      <c r="Q8" s="488">
        <f t="shared" si="2"/>
        <v>0.25160771704180074</v>
      </c>
      <c r="R8" s="495">
        <f>VLOOKUP(B8, '116目標底稿ver1'!B:AC, 28, 0)</f>
        <v>34254000</v>
      </c>
    </row>
    <row r="9" spans="1:19" s="45" customFormat="1" ht="23.25" customHeight="1">
      <c r="A9" s="534"/>
      <c r="B9" s="367">
        <v>4</v>
      </c>
      <c r="C9" s="364" t="str">
        <f>VLOOKUP(B9, '116目標底稿ver1'!B:AC, 2, 0)</f>
        <v>北一區</v>
      </c>
      <c r="D9" s="363">
        <f>VLOOKUP(B9, '116目標底稿ver1'!B:AC, 3, 0)</f>
        <v>104</v>
      </c>
      <c r="E9" s="369" t="str">
        <f>VLOOKUP(B9, '116目標底稿ver1'!B:AC, 4, 0)</f>
        <v>大稻埕分行</v>
      </c>
      <c r="F9" s="501">
        <f>VLOOKUP(B9, '116目標底稿ver1'!B:AC, 9, 0)</f>
        <v>1.33</v>
      </c>
      <c r="G9" s="502" t="str">
        <f>VLOOKUP(B9, '116目標底稿ver1'!B:AC, 12, 0)</f>
        <v>預估實績*90%</v>
      </c>
      <c r="H9" s="55">
        <f>VLOOKUP(B9, '116目標底稿ver1'!B:AC, 13, 0)</f>
        <v>90480000</v>
      </c>
      <c r="I9" s="55" t="str">
        <f>VLOOKUP(B9, '116目標底稿ver1'!B:AC, 15, 0)</f>
        <v>分行目標*120%*101%</v>
      </c>
      <c r="J9" s="55">
        <f>VLOOKUP(B9, '116目標底稿ver1'!B:AC, 16, 0)</f>
        <v>91680000</v>
      </c>
      <c r="K9" s="503">
        <f>VLOOKUP(B9, '116目標底稿ver1'!B:AC, 17, 0)</f>
        <v>1200000</v>
      </c>
      <c r="L9" s="55">
        <f>VLOOKUP(B9, '116目標底稿ver1'!B:AC, 24, 0)</f>
        <v>2820000</v>
      </c>
      <c r="M9" s="388">
        <f t="shared" si="0"/>
        <v>94500000</v>
      </c>
      <c r="N9" s="389">
        <f>VLOOKUP(B9, '116目標底稿ver1'!B:AC, 8, 0)</f>
        <v>75640000</v>
      </c>
      <c r="O9" s="504">
        <f>VLOOKUP(B9, '116目標底稿ver1'!B:AC, 6, 0)</f>
        <v>100530724</v>
      </c>
      <c r="P9" s="481">
        <f t="shared" si="1"/>
        <v>-5.9988864697721689E-2</v>
      </c>
      <c r="Q9" s="488">
        <f t="shared" si="2"/>
        <v>0.24933897408778427</v>
      </c>
      <c r="R9" s="495">
        <f>VLOOKUP(B9, '116目標底稿ver1'!B:AC, 28, 0)</f>
        <v>51975000.000000007</v>
      </c>
    </row>
    <row r="10" spans="1:19" s="207" customFormat="1" ht="23.25" customHeight="1">
      <c r="A10" s="534"/>
      <c r="B10" s="367">
        <v>135</v>
      </c>
      <c r="C10" s="364" t="str">
        <f>VLOOKUP(B10, '116目標底稿ver1'!B:AC, 2, 0)</f>
        <v>中區</v>
      </c>
      <c r="D10" s="363">
        <f>VLOOKUP(B10, '116目標底稿ver1'!B:AC, 3, 0)</f>
        <v>521</v>
      </c>
      <c r="E10" s="369" t="str">
        <f>VLOOKUP(B10, '116目標底稿ver1'!B:AC, 4, 0)</f>
        <v>和美分行</v>
      </c>
      <c r="F10" s="501">
        <f>VLOOKUP(B10, '116目標底稿ver1'!B:AC, 9, 0)</f>
        <v>1.31</v>
      </c>
      <c r="G10" s="502" t="str">
        <f>VLOOKUP(B10, '116目標底稿ver1'!B:AC, 12, 0)</f>
        <v>預估實績*90%</v>
      </c>
      <c r="H10" s="55">
        <f>VLOOKUP(B10, '116目標底稿ver1'!B:AC, 13, 0)</f>
        <v>139650000</v>
      </c>
      <c r="I10" s="55" t="str">
        <f>VLOOKUP(B10, '116目標底稿ver1'!B:AC, 15, 0)</f>
        <v>分行目標*120%*101%</v>
      </c>
      <c r="J10" s="55">
        <f>VLOOKUP(B10, '116目標底稿ver1'!B:AC, 16, 0)</f>
        <v>143040000</v>
      </c>
      <c r="K10" s="503">
        <f>VLOOKUP(B10, '116目標底稿ver1'!B:AC, 17, 0)</f>
        <v>3390000</v>
      </c>
      <c r="L10" s="55">
        <f>VLOOKUP(B10, '116目標底稿ver1'!B:AC, 24, 0)</f>
        <v>4720000</v>
      </c>
      <c r="M10" s="388">
        <f t="shared" si="0"/>
        <v>147760000</v>
      </c>
      <c r="N10" s="389">
        <f>VLOOKUP(B10, '116目標底稿ver1'!B:AC, 8, 0)</f>
        <v>118020000</v>
      </c>
      <c r="O10" s="504">
        <f>VLOOKUP(B10, '116目標底稿ver1'!B:AC, 6, 0)</f>
        <v>155168611</v>
      </c>
      <c r="P10" s="481">
        <f t="shared" si="1"/>
        <v>-4.7745552094940136E-2</v>
      </c>
      <c r="Q10" s="488">
        <f t="shared" si="2"/>
        <v>0.25199118793424846</v>
      </c>
      <c r="R10" s="495">
        <f>VLOOKUP(B10, '116目標底稿ver1'!B:AC, 28, 0)</f>
        <v>81268000</v>
      </c>
    </row>
    <row r="11" spans="1:19" ht="23.25" customHeight="1">
      <c r="A11" s="534"/>
      <c r="B11" s="367">
        <v>75</v>
      </c>
      <c r="C11" s="364" t="str">
        <f>VLOOKUP(B11, '116目標底稿ver1'!B:AC, 2, 0)</f>
        <v>北二區</v>
      </c>
      <c r="D11" s="363">
        <f>VLOOKUP(B11, '116目標底稿ver1'!B:AC, 3, 0)</f>
        <v>187</v>
      </c>
      <c r="E11" s="369" t="str">
        <f>VLOOKUP(B11, '116目標底稿ver1'!B:AC, 4, 0)</f>
        <v>北新分行</v>
      </c>
      <c r="F11" s="501">
        <f>VLOOKUP(B11, '116目標底稿ver1'!B:AC, 9, 0)</f>
        <v>1.33</v>
      </c>
      <c r="G11" s="502" t="str">
        <f>VLOOKUP(B11, '116目標底稿ver1'!B:AC, 12, 0)</f>
        <v>預估實績*90%</v>
      </c>
      <c r="H11" s="55">
        <f>VLOOKUP(B11, '116目標底稿ver1'!B:AC, 13, 0)</f>
        <v>68770000</v>
      </c>
      <c r="I11" s="55" t="str">
        <f>VLOOKUP(B11, '116目標底稿ver1'!B:AC, 15, 0)</f>
        <v>分行目標*120%*101%</v>
      </c>
      <c r="J11" s="55">
        <f>VLOOKUP(B11, '116目標底稿ver1'!B:AC, 16, 0)</f>
        <v>69440000</v>
      </c>
      <c r="K11" s="503">
        <f>VLOOKUP(B11, '116目標底稿ver1'!B:AC, 17, 0)</f>
        <v>670000</v>
      </c>
      <c r="L11" s="55">
        <f>VLOOKUP(B11, '116目標底稿ver1'!B:AC, 24, 0)</f>
        <v>2070000</v>
      </c>
      <c r="M11" s="388">
        <f t="shared" si="0"/>
        <v>71510000</v>
      </c>
      <c r="N11" s="389">
        <f>VLOOKUP(B11, '116目標底稿ver1'!B:AC, 8, 0)</f>
        <v>57290000</v>
      </c>
      <c r="O11" s="504">
        <f>VLOOKUP(B11, '116目標底稿ver1'!B:AC, 6, 0)</f>
        <v>76406208</v>
      </c>
      <c r="P11" s="481">
        <f t="shared" si="1"/>
        <v>-6.4081285122800535E-2</v>
      </c>
      <c r="Q11" s="488">
        <f t="shared" si="2"/>
        <v>0.24821085704311407</v>
      </c>
      <c r="R11" s="495">
        <f>VLOOKUP(B11, '116目標底稿ver1'!B:AC, 28, 0)</f>
        <v>39330500</v>
      </c>
    </row>
    <row r="12" spans="1:19" ht="23.25" customHeight="1">
      <c r="A12" s="534"/>
      <c r="B12" s="367">
        <v>44</v>
      </c>
      <c r="C12" s="364" t="str">
        <f>VLOOKUP(B12, '116目標底稿ver1'!B:AC, 2, 0)</f>
        <v>北一區</v>
      </c>
      <c r="D12" s="363">
        <f>VLOOKUP(B12, '116目標底稿ver1'!B:AC, 3, 0)</f>
        <v>154</v>
      </c>
      <c r="E12" s="369" t="str">
        <f>VLOOKUP(B12, '116目標底稿ver1'!B:AC, 4, 0)</f>
        <v>台大分行</v>
      </c>
      <c r="F12" s="501">
        <f>VLOOKUP(B12, '116目標底稿ver1'!B:AC, 9, 0)</f>
        <v>1.3</v>
      </c>
      <c r="G12" s="502" t="str">
        <f>VLOOKUP(B12, '116目標底稿ver1'!B:AC, 12, 0)</f>
        <v>預估實績*90%</v>
      </c>
      <c r="H12" s="55">
        <f>VLOOKUP(B12, '116目標底稿ver1'!B:AC, 13, 0)</f>
        <v>44720000</v>
      </c>
      <c r="I12" s="55" t="str">
        <f>VLOOKUP(B12, '116目標底稿ver1'!B:AC, 15, 0)</f>
        <v>分行目標*120%*101%</v>
      </c>
      <c r="J12" s="55">
        <f>VLOOKUP(B12, '116目標底稿ver1'!B:AC, 16, 0)</f>
        <v>46420000</v>
      </c>
      <c r="K12" s="503">
        <f>VLOOKUP(B12, '116目標底稿ver1'!B:AC, 17, 0)</f>
        <v>1700000</v>
      </c>
      <c r="L12" s="55">
        <f>VLOOKUP(B12, '116目標底稿ver1'!B:AC, 24, 0)</f>
        <v>1590000</v>
      </c>
      <c r="M12" s="388">
        <f t="shared" si="0"/>
        <v>48010000</v>
      </c>
      <c r="N12" s="389">
        <f>VLOOKUP(B12, '116目標底稿ver1'!B:AC, 8, 0)</f>
        <v>38300000</v>
      </c>
      <c r="O12" s="504">
        <f>VLOOKUP(B12, '116目標底稿ver1'!B:AC, 6, 0)</f>
        <v>49686844</v>
      </c>
      <c r="P12" s="481">
        <f t="shared" si="1"/>
        <v>-3.3748249335377345E-2</v>
      </c>
      <c r="Q12" s="488">
        <f t="shared" si="2"/>
        <v>0.25352480417754575</v>
      </c>
      <c r="R12" s="495">
        <f>VLOOKUP(B12, '116目標底稿ver1'!B:AC, 28, 0)</f>
        <v>26405500.000000004</v>
      </c>
    </row>
    <row r="13" spans="1:19" ht="23.25" customHeight="1">
      <c r="A13" s="534"/>
      <c r="B13" s="367">
        <v>96</v>
      </c>
      <c r="C13" s="364" t="str">
        <f>VLOOKUP(B13, '116目標底稿ver1'!B:AC, 2, 0)</f>
        <v>北三區</v>
      </c>
      <c r="D13" s="363">
        <f>VLOOKUP(B13, '116目標底稿ver1'!B:AC, 3, 0)</f>
        <v>245</v>
      </c>
      <c r="E13" s="369" t="str">
        <f>VLOOKUP(B13, '116目標底稿ver1'!B:AC, 4, 0)</f>
        <v>南崁分行</v>
      </c>
      <c r="F13" s="501">
        <f>VLOOKUP(B13, '116目標底稿ver1'!B:AC, 9, 0)</f>
        <v>1.3</v>
      </c>
      <c r="G13" s="502" t="str">
        <f>VLOOKUP(B13, '116目標底稿ver1'!B:AC, 12, 0)</f>
        <v>預估實績*90%</v>
      </c>
      <c r="H13" s="55">
        <f>VLOOKUP(B13, '116目標底稿ver1'!B:AC, 13, 0)</f>
        <v>62930000</v>
      </c>
      <c r="I13" s="55" t="str">
        <f>VLOOKUP(B13, '116目標底稿ver1'!B:AC, 15, 0)</f>
        <v>分行目標*120%*101%</v>
      </c>
      <c r="J13" s="55">
        <f>VLOOKUP(B13, '116目標底稿ver1'!B:AC, 16, 0)</f>
        <v>65210000</v>
      </c>
      <c r="K13" s="503">
        <f>VLOOKUP(B13, '116目標底稿ver1'!B:AC, 17, 0)</f>
        <v>2280000</v>
      </c>
      <c r="L13" s="55">
        <f>VLOOKUP(B13, '116目標底稿ver1'!B:AC, 24, 0)</f>
        <v>2120000</v>
      </c>
      <c r="M13" s="388">
        <f t="shared" si="0"/>
        <v>67330000</v>
      </c>
      <c r="N13" s="389">
        <f>VLOOKUP(B13, '116目標底稿ver1'!B:AC, 8, 0)</f>
        <v>53800000</v>
      </c>
      <c r="O13" s="504">
        <f>VLOOKUP(B13, '116目標底稿ver1'!B:AC, 6, 0)</f>
        <v>69926506</v>
      </c>
      <c r="P13" s="481">
        <f t="shared" si="1"/>
        <v>-3.7131928199015118E-2</v>
      </c>
      <c r="Q13" s="488">
        <f t="shared" si="2"/>
        <v>0.25148698884758369</v>
      </c>
      <c r="R13" s="495">
        <f>VLOOKUP(B13, '116目標底稿ver1'!B:AC, 28, 0)</f>
        <v>37031500</v>
      </c>
    </row>
    <row r="14" spans="1:19" ht="23.25" customHeight="1">
      <c r="A14" s="534"/>
      <c r="B14" s="367">
        <v>122</v>
      </c>
      <c r="C14" s="364" t="str">
        <f>VLOOKUP(B14, '116目標底稿ver1'!B:AC, 2, 0)</f>
        <v>中區</v>
      </c>
      <c r="D14" s="363">
        <f>VLOOKUP(B14, '116目標底稿ver1'!B:AC, 3, 0)</f>
        <v>422</v>
      </c>
      <c r="E14" s="369" t="str">
        <f>VLOOKUP(B14, '116目標底稿ver1'!B:AC, 4, 0)</f>
        <v>南台中分行</v>
      </c>
      <c r="F14" s="501">
        <f>VLOOKUP(B14, '116目標底稿ver1'!B:AC, 9, 0)</f>
        <v>1.63</v>
      </c>
      <c r="G14" s="502" t="str">
        <f>VLOOKUP(B14, '116目標底稿ver1'!B:AC, 12, 0)</f>
        <v>預估實績*80%</v>
      </c>
      <c r="H14" s="55">
        <f>VLOOKUP(B14, '116目標底稿ver1'!B:AC, 13, 0)</f>
        <v>106980000</v>
      </c>
      <c r="I14" s="55" t="str">
        <f>VLOOKUP(B14, '116目標底稿ver1'!B:AC, 15, 0)</f>
        <v>分行目標*120%*101%</v>
      </c>
      <c r="J14" s="55">
        <f>VLOOKUP(B14, '116目標底稿ver1'!B:AC, 16, 0)</f>
        <v>99250000</v>
      </c>
      <c r="K14" s="503">
        <f>VLOOKUP(B14, '116目標底稿ver1'!B:AC, 17, 0)</f>
        <v>-7730000</v>
      </c>
      <c r="L14" s="55">
        <f>VLOOKUP(B14, '116目標底稿ver1'!B:AC, 24, 0)</f>
        <v>2570000</v>
      </c>
      <c r="M14" s="388">
        <f t="shared" si="0"/>
        <v>101820000</v>
      </c>
      <c r="N14" s="389">
        <f>VLOOKUP(B14, '116目標底稿ver1'!B:AC, 8, 0)</f>
        <v>81890000</v>
      </c>
      <c r="O14" s="504">
        <f>VLOOKUP(B14, '116目標底稿ver1'!B:AC, 6, 0)</f>
        <v>133722552</v>
      </c>
      <c r="P14" s="481">
        <f t="shared" si="1"/>
        <v>-0.23857271285100812</v>
      </c>
      <c r="Q14" s="488">
        <f t="shared" si="2"/>
        <v>0.24337525949444383</v>
      </c>
      <c r="R14" s="495">
        <f>VLOOKUP(B14, '116目標底稿ver1'!B:AC, 28, 0)</f>
        <v>56001000.000000007</v>
      </c>
    </row>
    <row r="15" spans="1:19" ht="23.25" customHeight="1">
      <c r="A15" s="534"/>
      <c r="B15" s="367">
        <v>35</v>
      </c>
      <c r="C15" s="364" t="str">
        <f>VLOOKUP(B15, '116目標底稿ver1'!B:AC, 2, 0)</f>
        <v>北二區</v>
      </c>
      <c r="D15" s="363">
        <f>VLOOKUP(B15, '116目標底稿ver1'!B:AC, 3, 0)</f>
        <v>137</v>
      </c>
      <c r="E15" s="369" t="str">
        <f>VLOOKUP(B15, '116目標底稿ver1'!B:AC, 4, 0)</f>
        <v>北南港分行</v>
      </c>
      <c r="F15" s="501">
        <f>VLOOKUP(B15, '116目標底稿ver1'!B:AC, 9, 0)</f>
        <v>1.3</v>
      </c>
      <c r="G15" s="502" t="str">
        <f>VLOOKUP(B15, '116目標底稿ver1'!B:AC, 12, 0)</f>
        <v>預估實績*90%</v>
      </c>
      <c r="H15" s="55">
        <f>VLOOKUP(B15, '116目標底稿ver1'!B:AC, 13, 0)</f>
        <v>54900000</v>
      </c>
      <c r="I15" s="55" t="str">
        <f>VLOOKUP(B15, '116目標底稿ver1'!B:AC, 15, 0)</f>
        <v>分行目標*120%*101%</v>
      </c>
      <c r="J15" s="55">
        <f>VLOOKUP(B15, '116目標底稿ver1'!B:AC, 16, 0)</f>
        <v>57060000</v>
      </c>
      <c r="K15" s="503">
        <f>VLOOKUP(B15, '116目標底稿ver1'!B:AC, 17, 0)</f>
        <v>2160000</v>
      </c>
      <c r="L15" s="55">
        <f>VLOOKUP(B15, '116目標底稿ver1'!B:AC, 24, 0)</f>
        <v>1780000</v>
      </c>
      <c r="M15" s="388">
        <f t="shared" si="0"/>
        <v>58840000</v>
      </c>
      <c r="N15" s="389">
        <f>VLOOKUP(B15, '116目標底稿ver1'!B:AC, 8, 0)</f>
        <v>47080000</v>
      </c>
      <c r="O15" s="504">
        <f>VLOOKUP(B15, '116目標底稿ver1'!B:AC, 6, 0)</f>
        <v>61003844</v>
      </c>
      <c r="P15" s="481">
        <f t="shared" si="1"/>
        <v>-3.5470617228645418E-2</v>
      </c>
      <c r="Q15" s="488">
        <f t="shared" si="2"/>
        <v>0.24978759558198815</v>
      </c>
      <c r="R15" s="495">
        <f>VLOOKUP(B15, '116目標底稿ver1'!B:AC, 28, 0)</f>
        <v>32362000.000000004</v>
      </c>
    </row>
    <row r="16" spans="1:19" ht="23.25" customHeight="1">
      <c r="A16" s="534"/>
      <c r="B16" s="367">
        <v>51</v>
      </c>
      <c r="C16" s="364" t="str">
        <f>VLOOKUP(B16, '116目標底稿ver1'!B:AC, 2, 0)</f>
        <v>北二區</v>
      </c>
      <c r="D16" s="363">
        <f>VLOOKUP(B16, '116目標底稿ver1'!B:AC, 3, 0)</f>
        <v>162</v>
      </c>
      <c r="E16" s="369" t="str">
        <f>VLOOKUP(B16, '116目標底稿ver1'!B:AC, 4, 0)</f>
        <v>北三重分行</v>
      </c>
      <c r="F16" s="501">
        <f>VLOOKUP(B16, '116目標底稿ver1'!B:AC, 9, 0)</f>
        <v>1.6</v>
      </c>
      <c r="G16" s="502" t="str">
        <f>VLOOKUP(B16, '116目標底稿ver1'!B:AC, 12, 0)</f>
        <v>預估實績*80%</v>
      </c>
      <c r="H16" s="55">
        <f>VLOOKUP(B16, '116目標底稿ver1'!B:AC, 13, 0)</f>
        <v>142490000</v>
      </c>
      <c r="I16" s="55" t="str">
        <f>VLOOKUP(B16, '116目標底稿ver1'!B:AC, 15, 0)</f>
        <v>分行目標*120%*101%</v>
      </c>
      <c r="J16" s="55">
        <f>VLOOKUP(B16, '116目標底稿ver1'!B:AC, 16, 0)</f>
        <v>134840000</v>
      </c>
      <c r="K16" s="503">
        <f>VLOOKUP(B16, '116目標底稿ver1'!B:AC, 17, 0)</f>
        <v>-7650000</v>
      </c>
      <c r="L16" s="55">
        <f>VLOOKUP(B16, '116目標底稿ver1'!B:AC, 24, 0)</f>
        <v>3820000</v>
      </c>
      <c r="M16" s="388">
        <f t="shared" si="0"/>
        <v>138660000</v>
      </c>
      <c r="N16" s="389">
        <f>VLOOKUP(B16, '116目標底稿ver1'!B:AC, 8, 0)</f>
        <v>111250000</v>
      </c>
      <c r="O16" s="504">
        <f>VLOOKUP(B16, '116目標底稿ver1'!B:AC, 6, 0)</f>
        <v>178110527</v>
      </c>
      <c r="P16" s="481">
        <f t="shared" si="1"/>
        <v>-0.2214946396739369</v>
      </c>
      <c r="Q16" s="488">
        <f t="shared" si="2"/>
        <v>0.24638202247191021</v>
      </c>
      <c r="R16" s="495">
        <f>VLOOKUP(B16, '116目標底稿ver1'!B:AC, 28, 0)</f>
        <v>76263000</v>
      </c>
    </row>
    <row r="17" spans="1:18" ht="23.25" customHeight="1">
      <c r="A17" s="534"/>
      <c r="B17" s="367">
        <v>43</v>
      </c>
      <c r="C17" s="364" t="str">
        <f>VLOOKUP(B17, '116目標底稿ver1'!B:AC, 2, 0)</f>
        <v>北一區</v>
      </c>
      <c r="D17" s="363">
        <f>VLOOKUP(B17, '116目標底稿ver1'!B:AC, 3, 0)</f>
        <v>153</v>
      </c>
      <c r="E17" s="369" t="str">
        <f>VLOOKUP(B17, '116目標底稿ver1'!B:AC, 4, 0)</f>
        <v>瑞祥分行</v>
      </c>
      <c r="F17" s="501">
        <f>VLOOKUP(B17, '116目標底稿ver1'!B:AC, 9, 0)</f>
        <v>1.3</v>
      </c>
      <c r="G17" s="502" t="str">
        <f>VLOOKUP(B17, '116目標底稿ver1'!B:AC, 12, 0)</f>
        <v>預估實績*90%</v>
      </c>
      <c r="H17" s="55">
        <f>VLOOKUP(B17, '116目標底稿ver1'!B:AC, 13, 0)</f>
        <v>82160000</v>
      </c>
      <c r="I17" s="55" t="str">
        <f>VLOOKUP(B17, '116目標底稿ver1'!B:AC, 15, 0)</f>
        <v>分行目標*120%*101%</v>
      </c>
      <c r="J17" s="55">
        <f>VLOOKUP(B17, '116目標底稿ver1'!B:AC, 16, 0)</f>
        <v>85250000</v>
      </c>
      <c r="K17" s="503">
        <f>VLOOKUP(B17, '116目標底稿ver1'!B:AC, 17, 0)</f>
        <v>3090000</v>
      </c>
      <c r="L17" s="55">
        <f>VLOOKUP(B17, '116目標底稿ver1'!B:AC, 24, 0)</f>
        <v>2530000</v>
      </c>
      <c r="M17" s="388">
        <f t="shared" si="0"/>
        <v>87780000</v>
      </c>
      <c r="N17" s="389">
        <f>VLOOKUP(B17, '116目標底稿ver1'!B:AC, 8, 0)</f>
        <v>70340000</v>
      </c>
      <c r="O17" s="504">
        <f>VLOOKUP(B17, '116目標底稿ver1'!B:AC, 6, 0)</f>
        <v>91287215</v>
      </c>
      <c r="P17" s="481">
        <f t="shared" si="1"/>
        <v>-3.8419564010140905E-2</v>
      </c>
      <c r="Q17" s="488">
        <f t="shared" si="2"/>
        <v>0.24793858402047197</v>
      </c>
      <c r="R17" s="495">
        <f>VLOOKUP(B17, '116目標底稿ver1'!B:AC, 28, 0)</f>
        <v>48279000.000000007</v>
      </c>
    </row>
    <row r="18" spans="1:18" ht="23.25" customHeight="1">
      <c r="A18" s="534"/>
      <c r="B18" s="367">
        <v>49</v>
      </c>
      <c r="C18" s="364" t="str">
        <f>VLOOKUP(B18, '116目標底稿ver1'!B:AC, 2, 0)</f>
        <v>北二區</v>
      </c>
      <c r="D18" s="363">
        <f>VLOOKUP(B18, '116目標底稿ver1'!B:AC, 3, 0)</f>
        <v>160</v>
      </c>
      <c r="E18" s="369" t="str">
        <f>VLOOKUP(B18, '116目標底稿ver1'!B:AC, 4, 0)</f>
        <v>板橋分行</v>
      </c>
      <c r="F18" s="501">
        <f>VLOOKUP(B18, '116目標底稿ver1'!B:AC, 9, 0)</f>
        <v>1.3</v>
      </c>
      <c r="G18" s="502" t="str">
        <f>VLOOKUP(B18, '116目標底稿ver1'!B:AC, 12, 0)</f>
        <v>預估實績*90%</v>
      </c>
      <c r="H18" s="55">
        <f>VLOOKUP(B18, '116目標底稿ver1'!B:AC, 13, 0)</f>
        <v>93820000</v>
      </c>
      <c r="I18" s="55" t="str">
        <f>VLOOKUP(B18, '116目標底稿ver1'!B:AC, 15, 0)</f>
        <v>分行目標*120%*101%</v>
      </c>
      <c r="J18" s="55">
        <f>VLOOKUP(B18, '116目標底稿ver1'!B:AC, 16, 0)</f>
        <v>96940000</v>
      </c>
      <c r="K18" s="503">
        <f>VLOOKUP(B18, '116目標底稿ver1'!B:AC, 17, 0)</f>
        <v>3120000</v>
      </c>
      <c r="L18" s="55">
        <f>VLOOKUP(B18, '116目標底稿ver1'!B:AC, 24, 0)</f>
        <v>2650000</v>
      </c>
      <c r="M18" s="388">
        <f t="shared" si="0"/>
        <v>99590000</v>
      </c>
      <c r="N18" s="389">
        <f>VLOOKUP(B18, '116目標底稿ver1'!B:AC, 8, 0)</f>
        <v>79980000</v>
      </c>
      <c r="O18" s="504">
        <f>VLOOKUP(B18, '116目標底稿ver1'!B:AC, 6, 0)</f>
        <v>104246307</v>
      </c>
      <c r="P18" s="481">
        <f t="shared" si="1"/>
        <v>-4.4666397630757304E-2</v>
      </c>
      <c r="Q18" s="488">
        <f t="shared" si="2"/>
        <v>0.24518629657414359</v>
      </c>
      <c r="R18" s="495">
        <f>VLOOKUP(B18, '116目標底稿ver1'!B:AC, 28, 0)</f>
        <v>54774500.000000007</v>
      </c>
    </row>
    <row r="19" spans="1:18" ht="23.25" customHeight="1">
      <c r="A19" s="534"/>
      <c r="B19" s="367">
        <v>100</v>
      </c>
      <c r="C19" s="364" t="str">
        <f>VLOOKUP(B19, '116目標底稿ver1'!B:AC, 2, 0)</f>
        <v>北三區</v>
      </c>
      <c r="D19" s="363">
        <f>VLOOKUP(B19, '116目標底稿ver1'!B:AC, 3, 0)</f>
        <v>249</v>
      </c>
      <c r="E19" s="369" t="str">
        <f>VLOOKUP(B19, '116目標底稿ver1'!B:AC, 4, 0)</f>
        <v>龍潭分行</v>
      </c>
      <c r="F19" s="501">
        <f>VLOOKUP(B19, '116目標底稿ver1'!B:AC, 9, 0)</f>
        <v>1.3</v>
      </c>
      <c r="G19" s="502" t="str">
        <f>VLOOKUP(B19, '116目標底稿ver1'!B:AC, 12, 0)</f>
        <v>預估實績*90%</v>
      </c>
      <c r="H19" s="55">
        <f>VLOOKUP(B19, '116目標底稿ver1'!B:AC, 13, 0)</f>
        <v>56890000</v>
      </c>
      <c r="I19" s="55" t="str">
        <f>VLOOKUP(B19, '116目標底稿ver1'!B:AC, 15, 0)</f>
        <v>分行目標*120%*101%</v>
      </c>
      <c r="J19" s="55">
        <f>VLOOKUP(B19, '116目標底稿ver1'!B:AC, 16, 0)</f>
        <v>59090000</v>
      </c>
      <c r="K19" s="503">
        <f>VLOOKUP(B19, '116目標底稿ver1'!B:AC, 17, 0)</f>
        <v>2200000</v>
      </c>
      <c r="L19" s="55">
        <f>VLOOKUP(B19, '116目標底稿ver1'!B:AC, 24, 0)</f>
        <v>1620000</v>
      </c>
      <c r="M19" s="388">
        <f t="shared" si="0"/>
        <v>60710000</v>
      </c>
      <c r="N19" s="389">
        <f>VLOOKUP(B19, '116目標底稿ver1'!B:AC, 8, 0)</f>
        <v>48750000</v>
      </c>
      <c r="O19" s="504">
        <f>VLOOKUP(B19, '116目標底稿ver1'!B:AC, 6, 0)</f>
        <v>63209896</v>
      </c>
      <c r="P19" s="481">
        <f t="shared" si="1"/>
        <v>-3.9549123763785388E-2</v>
      </c>
      <c r="Q19" s="488">
        <f t="shared" si="2"/>
        <v>0.2453333333333334</v>
      </c>
      <c r="R19" s="495">
        <f>VLOOKUP(B19, '116目標底稿ver1'!B:AC, 28, 0)</f>
        <v>33390500.000000004</v>
      </c>
    </row>
    <row r="20" spans="1:18" ht="23.25" customHeight="1">
      <c r="A20" s="534"/>
      <c r="B20" s="367">
        <v>128</v>
      </c>
      <c r="C20" s="364" t="str">
        <f>VLOOKUP(B20, '116目標底稿ver1'!B:AC, 2, 0)</f>
        <v>中區</v>
      </c>
      <c r="D20" s="363">
        <f>VLOOKUP(B20, '116目標底稿ver1'!B:AC, 3, 0)</f>
        <v>429</v>
      </c>
      <c r="E20" s="369" t="str">
        <f>VLOOKUP(B20, '116目標底稿ver1'!B:AC, 4, 0)</f>
        <v>大甲分行</v>
      </c>
      <c r="F20" s="501">
        <f>VLOOKUP(B20, '116目標底稿ver1'!B:AC, 9, 0)</f>
        <v>1.28</v>
      </c>
      <c r="G20" s="502" t="str">
        <f>VLOOKUP(B20, '116目標底稿ver1'!B:AC, 12, 0)</f>
        <v>預估實績*101%</v>
      </c>
      <c r="H20" s="55">
        <f>VLOOKUP(B20, '116目標底稿ver1'!B:AC, 13, 0)</f>
        <v>69300000</v>
      </c>
      <c r="I20" s="55" t="str">
        <f>VLOOKUP(B20, '116目標底稿ver1'!B:AC, 15, 0)</f>
        <v>分行目標*120%*101%</v>
      </c>
      <c r="J20" s="55">
        <f>VLOOKUP(B20, '116目標底稿ver1'!B:AC, 16, 0)</f>
        <v>64730000</v>
      </c>
      <c r="K20" s="503">
        <f>VLOOKUP(B20, '116目標底稿ver1'!B:AC, 17, 0)</f>
        <v>-4570000</v>
      </c>
      <c r="L20" s="55">
        <f>VLOOKUP(B20, '116目標底稿ver1'!B:AC, 24, 0)</f>
        <v>1830000</v>
      </c>
      <c r="M20" s="388">
        <f t="shared" si="0"/>
        <v>66560000</v>
      </c>
      <c r="N20" s="389">
        <f>VLOOKUP(B20, '116目標底稿ver1'!B:AC, 8, 0)</f>
        <v>53410000</v>
      </c>
      <c r="O20" s="504">
        <f>VLOOKUP(B20, '116目標底稿ver1'!B:AC, 6, 0)</f>
        <v>68618259</v>
      </c>
      <c r="P20" s="481">
        <f t="shared" si="1"/>
        <v>-2.999579164490318E-2</v>
      </c>
      <c r="Q20" s="488">
        <f t="shared" si="2"/>
        <v>0.24620857517318862</v>
      </c>
      <c r="R20" s="495">
        <f>VLOOKUP(B20, '116目標底稿ver1'!B:AC, 28, 0)</f>
        <v>36608000</v>
      </c>
    </row>
    <row r="21" spans="1:18" ht="23.25" customHeight="1">
      <c r="A21" s="534"/>
      <c r="B21" s="367">
        <v>54</v>
      </c>
      <c r="C21" s="364" t="str">
        <f>VLOOKUP(B21, '116目標底稿ver1'!B:AC, 2, 0)</f>
        <v>北二區</v>
      </c>
      <c r="D21" s="363">
        <f>VLOOKUP(B21, '116目標底稿ver1'!B:AC, 3, 0)</f>
        <v>165</v>
      </c>
      <c r="E21" s="369" t="str">
        <f>VLOOKUP(B21, '116目標底稿ver1'!B:AC, 4, 0)</f>
        <v>中和分行</v>
      </c>
      <c r="F21" s="501">
        <f>VLOOKUP(B21, '116目標底稿ver1'!B:AC, 9, 0)</f>
        <v>1.55</v>
      </c>
      <c r="G21" s="502" t="str">
        <f>VLOOKUP(B21, '116目標底稿ver1'!B:AC, 12, 0)</f>
        <v>預估實績*80%</v>
      </c>
      <c r="H21" s="55">
        <f>VLOOKUP(B21, '116目標底稿ver1'!B:AC, 13, 0)</f>
        <v>106050000</v>
      </c>
      <c r="I21" s="55" t="str">
        <f>VLOOKUP(B21, '116目標底稿ver1'!B:AC, 15, 0)</f>
        <v>分行目標*120%*101%</v>
      </c>
      <c r="J21" s="55">
        <f>VLOOKUP(B21, '116目標底稿ver1'!B:AC, 16, 0)</f>
        <v>103660000</v>
      </c>
      <c r="K21" s="503">
        <f>VLOOKUP(B21, '116目標底稿ver1'!B:AC, 17, 0)</f>
        <v>-2390000</v>
      </c>
      <c r="L21" s="55">
        <f>VLOOKUP(B21, '116目標底稿ver1'!B:AC, 24, 0)</f>
        <v>3070000</v>
      </c>
      <c r="M21" s="388">
        <f t="shared" si="0"/>
        <v>106730000</v>
      </c>
      <c r="N21" s="389">
        <f>VLOOKUP(B21, '116目標底稿ver1'!B:AC, 8, 0)</f>
        <v>85530000</v>
      </c>
      <c r="O21" s="504">
        <f>VLOOKUP(B21, '116目標底稿ver1'!B:AC, 6, 0)</f>
        <v>132567789</v>
      </c>
      <c r="P21" s="481">
        <f t="shared" si="1"/>
        <v>-0.19490246608850059</v>
      </c>
      <c r="Q21" s="488">
        <f t="shared" si="2"/>
        <v>0.24786624576172112</v>
      </c>
      <c r="R21" s="495">
        <f>VLOOKUP(B21, '116目標底稿ver1'!B:AC, 28, 0)</f>
        <v>58701500.000000007</v>
      </c>
    </row>
    <row r="22" spans="1:18" ht="23.25" customHeight="1">
      <c r="A22" s="534"/>
      <c r="B22" s="367">
        <v>12</v>
      </c>
      <c r="C22" s="364" t="str">
        <f>VLOOKUP(B22, '116目標底稿ver1'!B:AC, 2, 0)</f>
        <v>北一區</v>
      </c>
      <c r="D22" s="363">
        <f>VLOOKUP(B22, '116目標底稿ver1'!B:AC, 3, 0)</f>
        <v>112</v>
      </c>
      <c r="E22" s="369" t="str">
        <f>VLOOKUP(B22, '116目標底稿ver1'!B:AC, 4, 0)</f>
        <v>南京東路分行</v>
      </c>
      <c r="F22" s="501">
        <f>VLOOKUP(B22, '116目標底稿ver1'!B:AC, 9, 0)</f>
        <v>1.19</v>
      </c>
      <c r="G22" s="502" t="str">
        <f>VLOOKUP(B22, '116目標底稿ver1'!B:AC, 12, 0)</f>
        <v>預估實績*103%</v>
      </c>
      <c r="H22" s="55">
        <f>VLOOKUP(B22, '116目標底稿ver1'!B:AC, 13, 0)</f>
        <v>83590000</v>
      </c>
      <c r="I22" s="55" t="str">
        <f>VLOOKUP(B22, '116目標底稿ver1'!B:AC, 15, 0)</f>
        <v>預估實績*103%</v>
      </c>
      <c r="J22" s="55">
        <f>VLOOKUP(B22, '116目標底稿ver1'!B:AC, 16, 0)</f>
        <v>81970000</v>
      </c>
      <c r="K22" s="503">
        <f>VLOOKUP(B22, '116目標底稿ver1'!B:AC, 17, 0)</f>
        <v>-1620000</v>
      </c>
      <c r="L22" s="55">
        <f>VLOOKUP(B22, '116目標底稿ver1'!B:AC, 24, 0)</f>
        <v>3440000</v>
      </c>
      <c r="M22" s="388">
        <f t="shared" si="0"/>
        <v>85410000</v>
      </c>
      <c r="N22" s="389">
        <f>VLOOKUP(B22, '116目標底稿ver1'!B:AC, 8, 0)</f>
        <v>68030000</v>
      </c>
      <c r="O22" s="504">
        <f>VLOOKUP(B22, '116目標底稿ver1'!B:AC, 6, 0)</f>
        <v>81157545</v>
      </c>
      <c r="P22" s="481">
        <f t="shared" si="1"/>
        <v>5.2397531246170637E-2</v>
      </c>
      <c r="Q22" s="488">
        <f t="shared" si="2"/>
        <v>0.25547552550345443</v>
      </c>
      <c r="R22" s="495">
        <f>VLOOKUP(B22, '116目標底稿ver1'!B:AC, 28, 0)</f>
        <v>46975500.000000007</v>
      </c>
    </row>
    <row r="23" spans="1:18" ht="23.25" customHeight="1">
      <c r="A23" s="534"/>
      <c r="B23" s="367">
        <v>145</v>
      </c>
      <c r="C23" s="364" t="str">
        <f>VLOOKUP(B23, '116目標底稿ver1'!B:AC, 2, 0)</f>
        <v>南區</v>
      </c>
      <c r="D23" s="363">
        <f>VLOOKUP(B23, '116目標底稿ver1'!B:AC, 3, 0)</f>
        <v>620</v>
      </c>
      <c r="E23" s="369" t="str">
        <f>VLOOKUP(B23, '116目標底稿ver1'!B:AC, 4, 0)</f>
        <v>新營分行</v>
      </c>
      <c r="F23" s="501">
        <f>VLOOKUP(B23, '116目標底稿ver1'!B:AC, 9, 0)</f>
        <v>1.24</v>
      </c>
      <c r="G23" s="502" t="str">
        <f>VLOOKUP(B23, '116目標底稿ver1'!B:AC, 12, 0)</f>
        <v>預估實績*101%</v>
      </c>
      <c r="H23" s="55">
        <f>VLOOKUP(B23, '116目標底稿ver1'!B:AC, 13, 0)</f>
        <v>77280000</v>
      </c>
      <c r="I23" s="55" t="str">
        <f>VLOOKUP(B23, '116目標底稿ver1'!B:AC, 15, 0)</f>
        <v>分行目標*120%*101%</v>
      </c>
      <c r="J23" s="55">
        <f>VLOOKUP(B23, '116目標底稿ver1'!B:AC, 16, 0)</f>
        <v>75080000</v>
      </c>
      <c r="K23" s="503">
        <f>VLOOKUP(B23, '116目標底稿ver1'!B:AC, 17, 0)</f>
        <v>-2200000</v>
      </c>
      <c r="L23" s="55">
        <f>VLOOKUP(B23, '116目標底稿ver1'!B:AC, 24, 0)</f>
        <v>2490000</v>
      </c>
      <c r="M23" s="388">
        <f t="shared" si="0"/>
        <v>77570000</v>
      </c>
      <c r="N23" s="389">
        <f>VLOOKUP(B23, '116目標底稿ver1'!B:AC, 8, 0)</f>
        <v>61950000</v>
      </c>
      <c r="O23" s="504">
        <f>VLOOKUP(B23, '116目標底稿ver1'!B:AC, 6, 0)</f>
        <v>76512317</v>
      </c>
      <c r="P23" s="481">
        <f t="shared" si="1"/>
        <v>1.3823695863242502E-2</v>
      </c>
      <c r="Q23" s="488">
        <f t="shared" si="2"/>
        <v>0.25213882163034707</v>
      </c>
      <c r="R23" s="495">
        <f>VLOOKUP(B23, '116目標底稿ver1'!B:AC, 28, 0)</f>
        <v>42663500</v>
      </c>
    </row>
    <row r="24" spans="1:18" ht="23.25" customHeight="1" thickBot="1">
      <c r="A24" s="535"/>
      <c r="B24" s="368">
        <v>158</v>
      </c>
      <c r="C24" s="490" t="str">
        <f>VLOOKUP(B24, '116目標底稿ver1'!B:AC, 2, 0)</f>
        <v>南區</v>
      </c>
      <c r="D24" s="491">
        <f>VLOOKUP(B24, '116目標底稿ver1'!B:AC, 3, 0)</f>
        <v>701</v>
      </c>
      <c r="E24" s="492" t="str">
        <f>VLOOKUP(B24, '116目標底稿ver1'!B:AC, 4, 0)</f>
        <v>東苓分行</v>
      </c>
      <c r="F24" s="505">
        <f>VLOOKUP(B24, '116目標底稿ver1'!B:AC, 9, 0)</f>
        <v>1.23</v>
      </c>
      <c r="G24" s="506" t="str">
        <f>VLOOKUP(B24, '116目標底稿ver1'!B:AC, 12, 0)</f>
        <v>預估實績*101%</v>
      </c>
      <c r="H24" s="391">
        <f>VLOOKUP(B24, '116目標底稿ver1'!B:AC, 13, 0)</f>
        <v>58060000</v>
      </c>
      <c r="I24" s="391" t="str">
        <f>VLOOKUP(B24, '116目標底稿ver1'!B:AC, 15, 0)</f>
        <v>分行目標*120%*101%</v>
      </c>
      <c r="J24" s="391">
        <f>VLOOKUP(B24, '116目標底稿ver1'!B:AC, 16, 0)</f>
        <v>56520000</v>
      </c>
      <c r="K24" s="507">
        <f>VLOOKUP(B24, '116目標底稿ver1'!B:AC, 17, 0)</f>
        <v>-1540000</v>
      </c>
      <c r="L24" s="391">
        <f>VLOOKUP(B24, '116目標底稿ver1'!B:AC, 24, 0)</f>
        <v>1890000</v>
      </c>
      <c r="M24" s="390">
        <f t="shared" si="0"/>
        <v>58410000</v>
      </c>
      <c r="N24" s="392">
        <f>VLOOKUP(B24, '116目標底稿ver1'!B:AC, 8, 0)</f>
        <v>46630000</v>
      </c>
      <c r="O24" s="508">
        <f>VLOOKUP(B24, '116目標底稿ver1'!B:AC, 6, 0)</f>
        <v>57485302</v>
      </c>
      <c r="P24" s="496">
        <f t="shared" si="1"/>
        <v>1.6085816162190403E-2</v>
      </c>
      <c r="Q24" s="497">
        <f t="shared" si="2"/>
        <v>0.25262706412181002</v>
      </c>
      <c r="R24" s="498">
        <f>VLOOKUP(B24, '116目標底稿ver1'!B:AC, 28, 0)</f>
        <v>32125500.000000004</v>
      </c>
    </row>
    <row r="25" spans="1:18" ht="23.25" customHeight="1" thickTop="1">
      <c r="A25" s="533" t="s">
        <v>2108</v>
      </c>
      <c r="B25" s="484">
        <v>5</v>
      </c>
      <c r="C25" s="485" t="str">
        <f>VLOOKUP(B25, '116目標底稿ver1'!B:AC, 2, 0)</f>
        <v>北一區</v>
      </c>
      <c r="D25" s="486">
        <f>VLOOKUP(B25, '116目標底稿ver1'!B:AC, 3, 0)</f>
        <v>105</v>
      </c>
      <c r="E25" s="487" t="str">
        <f>VLOOKUP(B25, '116目標底稿ver1'!B:AC, 4, 0)</f>
        <v>建成分行</v>
      </c>
      <c r="F25" s="509">
        <f>VLOOKUP(B25, '116目標底稿ver1'!B:AC, 9, 0)</f>
        <v>0.52</v>
      </c>
      <c r="G25" s="510" t="str">
        <f>VLOOKUP(B25, '116目標底稿ver1'!B:AC, 12, 0)</f>
        <v>分行目標115%</v>
      </c>
      <c r="H25" s="364">
        <f>VLOOKUP(B25, '116目標底稿ver1'!B:AC, 13, 0)</f>
        <v>65550000</v>
      </c>
      <c r="I25" s="364" t="str">
        <f>VLOOKUP(B25, '116目標底稿ver1'!B:AC, 15, 0)</f>
        <v>分行目標*80%*120%</v>
      </c>
      <c r="J25" s="364">
        <f>VLOOKUP(B25, '116目標底稿ver1'!B:AC, 16, 0)</f>
        <v>54720000</v>
      </c>
      <c r="K25" s="477">
        <f>VLOOKUP(B25, '116目標底稿ver1'!B:AC, 17, 0)</f>
        <v>-10830000</v>
      </c>
      <c r="L25" s="364">
        <f>VLOOKUP(B25, '116目標底稿ver1'!B:AC, 24, 0)</f>
        <v>2350000</v>
      </c>
      <c r="M25" s="385">
        <f t="shared" ref="M25:M44" si="3">J25+L25</f>
        <v>57070000</v>
      </c>
      <c r="N25" s="386">
        <f>VLOOKUP(B25, '116目標底稿ver1'!B:AC, 8, 0)</f>
        <v>57000000</v>
      </c>
      <c r="O25" s="480">
        <f>VLOOKUP(B25, '116目標底稿ver1'!B:AC, 6, 0)</f>
        <v>29760269</v>
      </c>
      <c r="P25" s="482">
        <f t="shared" ref="P25:P44" si="4">M25/O25-1</f>
        <v>0.91765739751881936</v>
      </c>
      <c r="Q25" s="489">
        <f t="shared" ref="Q25:Q44" si="5">M25/N25-1</f>
        <v>1.2280701754385781E-3</v>
      </c>
      <c r="R25" s="387">
        <f>VLOOKUP(B25, '116目標底稿ver1'!B:AC, 28, 0)</f>
        <v>31388500.000000004</v>
      </c>
    </row>
    <row r="26" spans="1:18" ht="23.25" customHeight="1">
      <c r="A26" s="534"/>
      <c r="B26" s="367">
        <v>182</v>
      </c>
      <c r="C26" s="364" t="str">
        <f>VLOOKUP(B26, '116目標底稿ver1'!B:AC, 2, 0)</f>
        <v>南區</v>
      </c>
      <c r="D26" s="363">
        <f>VLOOKUP(B26, '116目標底稿ver1'!B:AC, 3, 0)</f>
        <v>830</v>
      </c>
      <c r="E26" s="369" t="str">
        <f>VLOOKUP(B26, '116目標底稿ver1'!B:AC, 4, 0)</f>
        <v>台東分行</v>
      </c>
      <c r="F26" s="501">
        <f>VLOOKUP(B26, '116目標底稿ver1'!B:AC, 9, 0)</f>
        <v>0.57999999999999996</v>
      </c>
      <c r="G26" s="502" t="str">
        <f>VLOOKUP(B26, '116目標底稿ver1'!B:AC, 12, 0)</f>
        <v>分行目標115%</v>
      </c>
      <c r="H26" s="55">
        <f>VLOOKUP(B26, '116目標底稿ver1'!B:AC, 13, 0)</f>
        <v>43820000</v>
      </c>
      <c r="I26" s="55" t="str">
        <f>VLOOKUP(B26, '116目標底稿ver1'!B:AC, 15, 0)</f>
        <v>分行目標*80%*120%</v>
      </c>
      <c r="J26" s="55">
        <f>VLOOKUP(B26, '116目標底稿ver1'!B:AC, 16, 0)</f>
        <v>36580000</v>
      </c>
      <c r="K26" s="503">
        <f>VLOOKUP(B26, '116目標底稿ver1'!B:AC, 17, 0)</f>
        <v>-7240000</v>
      </c>
      <c r="L26" s="55">
        <f>VLOOKUP(B26, '116目標底稿ver1'!B:AC, 24, 0)</f>
        <v>1740000</v>
      </c>
      <c r="M26" s="388">
        <f t="shared" si="3"/>
        <v>38320000</v>
      </c>
      <c r="N26" s="389">
        <f>VLOOKUP(B26, '116目標底稿ver1'!B:AC, 8, 0)</f>
        <v>38100000</v>
      </c>
      <c r="O26" s="504">
        <f>VLOOKUP(B26, '116目標底稿ver1'!B:AC, 6, 0)</f>
        <v>22284373</v>
      </c>
      <c r="P26" s="482">
        <f t="shared" si="4"/>
        <v>0.71959067459515236</v>
      </c>
      <c r="Q26" s="489">
        <f t="shared" si="5"/>
        <v>5.7742782152230276E-3</v>
      </c>
      <c r="R26" s="387">
        <f>VLOOKUP(B26, '116目標底稿ver1'!B:AC, 28, 0)</f>
        <v>21076000</v>
      </c>
    </row>
    <row r="27" spans="1:18" ht="23.25" customHeight="1">
      <c r="A27" s="534"/>
      <c r="B27" s="367">
        <v>2</v>
      </c>
      <c r="C27" s="364" t="str">
        <f>VLOOKUP(B27, '116目標底稿ver1'!B:AC, 2, 0)</f>
        <v>北一區</v>
      </c>
      <c r="D27" s="363">
        <f>VLOOKUP(B27, '116目標底稿ver1'!B:AC, 3, 0)</f>
        <v>101</v>
      </c>
      <c r="E27" s="369" t="str">
        <f>VLOOKUP(B27, '116目標底稿ver1'!B:AC, 4, 0)</f>
        <v>儲蓄分行</v>
      </c>
      <c r="F27" s="501">
        <f>VLOOKUP(B27, '116目標底稿ver1'!B:AC, 9, 0)</f>
        <v>0.69</v>
      </c>
      <c r="G27" s="502" t="str">
        <f>VLOOKUP(B27, '116目標底稿ver1'!B:AC, 12, 0)</f>
        <v>分行目標115%</v>
      </c>
      <c r="H27" s="55">
        <f>VLOOKUP(B27, '116目標底稿ver1'!B:AC, 13, 0)</f>
        <v>41430000</v>
      </c>
      <c r="I27" s="55" t="str">
        <f>VLOOKUP(B27, '116目標底稿ver1'!B:AC, 15, 0)</f>
        <v>分行目標*80%*120%</v>
      </c>
      <c r="J27" s="55">
        <f>VLOOKUP(B27, '116目標底稿ver1'!B:AC, 16, 0)</f>
        <v>34590000</v>
      </c>
      <c r="K27" s="503">
        <f>VLOOKUP(B27, '116目標底稿ver1'!B:AC, 17, 0)</f>
        <v>-6840000</v>
      </c>
      <c r="L27" s="55">
        <f>VLOOKUP(B27, '116目標底稿ver1'!B:AC, 24, 0)</f>
        <v>1690000</v>
      </c>
      <c r="M27" s="388">
        <f t="shared" si="3"/>
        <v>36280000</v>
      </c>
      <c r="N27" s="389">
        <f>VLOOKUP(B27, '116目標底稿ver1'!B:AC, 8, 0)</f>
        <v>36030000</v>
      </c>
      <c r="O27" s="504">
        <f>VLOOKUP(B27, '116目標底稿ver1'!B:AC, 6, 0)</f>
        <v>24773020</v>
      </c>
      <c r="P27" s="482">
        <f t="shared" si="4"/>
        <v>0.46449645622536129</v>
      </c>
      <c r="Q27" s="489">
        <f t="shared" si="5"/>
        <v>6.9386622259228758E-3</v>
      </c>
      <c r="R27" s="387">
        <f>VLOOKUP(B27, '116目標底稿ver1'!B:AC, 28, 0)</f>
        <v>19954000</v>
      </c>
    </row>
    <row r="28" spans="1:18" ht="23.25" customHeight="1">
      <c r="A28" s="534"/>
      <c r="B28" s="367">
        <v>80</v>
      </c>
      <c r="C28" s="364" t="str">
        <f>VLOOKUP(B28, '116目標底稿ver1'!B:AC, 2, 0)</f>
        <v>北三區</v>
      </c>
      <c r="D28" s="363">
        <f>VLOOKUP(B28, '116目標底稿ver1'!B:AC, 3, 0)</f>
        <v>193</v>
      </c>
      <c r="E28" s="369" t="str">
        <f>VLOOKUP(B28, '116目標底稿ver1'!B:AC, 4, 0)</f>
        <v>泰山分行</v>
      </c>
      <c r="F28" s="501">
        <f>VLOOKUP(B28, '116目標底稿ver1'!B:AC, 9, 0)</f>
        <v>0.72</v>
      </c>
      <c r="G28" s="502" t="str">
        <f>VLOOKUP(B28, '116目標底稿ver1'!B:AC, 12, 0)</f>
        <v>分行目標115%</v>
      </c>
      <c r="H28" s="55">
        <f>VLOOKUP(B28, '116目標底稿ver1'!B:AC, 13, 0)</f>
        <v>64630000</v>
      </c>
      <c r="I28" s="55" t="str">
        <f>VLOOKUP(B28, '116目標底稿ver1'!B:AC, 15, 0)</f>
        <v>分行目標*80%*120%</v>
      </c>
      <c r="J28" s="55">
        <f>VLOOKUP(B28, '116目標底稿ver1'!B:AC, 16, 0)</f>
        <v>53950000</v>
      </c>
      <c r="K28" s="503">
        <f>VLOOKUP(B28, '116目標底稿ver1'!B:AC, 17, 0)</f>
        <v>-10680000</v>
      </c>
      <c r="L28" s="55">
        <f>VLOOKUP(B28, '116目標底稿ver1'!B:AC, 24, 0)</f>
        <v>2550000</v>
      </c>
      <c r="M28" s="388">
        <f t="shared" si="3"/>
        <v>56500000</v>
      </c>
      <c r="N28" s="389">
        <f>VLOOKUP(B28, '116目標底稿ver1'!B:AC, 8, 0)</f>
        <v>56200000</v>
      </c>
      <c r="O28" s="504">
        <f>VLOOKUP(B28, '116目標底稿ver1'!B:AC, 6, 0)</f>
        <v>40700836</v>
      </c>
      <c r="P28" s="482">
        <f t="shared" si="4"/>
        <v>0.38817787428248396</v>
      </c>
      <c r="Q28" s="489">
        <f t="shared" si="5"/>
        <v>5.3380782918148739E-3</v>
      </c>
      <c r="R28" s="387">
        <f>VLOOKUP(B28, '116目標底稿ver1'!B:AC, 28, 0)</f>
        <v>31075000.000000004</v>
      </c>
    </row>
    <row r="29" spans="1:18" ht="23.25" customHeight="1">
      <c r="A29" s="534"/>
      <c r="B29" s="367">
        <v>30</v>
      </c>
      <c r="C29" s="364" t="str">
        <f>VLOOKUP(B29, '116目標底稿ver1'!B:AC, 2, 0)</f>
        <v>北一區</v>
      </c>
      <c r="D29" s="363">
        <f>VLOOKUP(B29, '116目標底稿ver1'!B:AC, 3, 0)</f>
        <v>130</v>
      </c>
      <c r="E29" s="369" t="str">
        <f>VLOOKUP(B29, '116目標底稿ver1'!B:AC, 4, 0)</f>
        <v>敦化分行</v>
      </c>
      <c r="F29" s="501">
        <f>VLOOKUP(B29, '116目標底稿ver1'!B:AC, 9, 0)</f>
        <v>0.74</v>
      </c>
      <c r="G29" s="502" t="str">
        <f>VLOOKUP(B29, '116目標底稿ver1'!B:AC, 12, 0)</f>
        <v>分行目標115%</v>
      </c>
      <c r="H29" s="55">
        <f>VLOOKUP(B29, '116目標底稿ver1'!B:AC, 13, 0)</f>
        <v>54520000</v>
      </c>
      <c r="I29" s="55" t="str">
        <f>VLOOKUP(B29, '116目標底稿ver1'!B:AC, 15, 0)</f>
        <v>分行目標*80%*120%</v>
      </c>
      <c r="J29" s="55">
        <f>VLOOKUP(B29, '116目標底稿ver1'!B:AC, 16, 0)</f>
        <v>45510000</v>
      </c>
      <c r="K29" s="503">
        <f>VLOOKUP(B29, '116目標底稿ver1'!B:AC, 17, 0)</f>
        <v>-9010000</v>
      </c>
      <c r="L29" s="55">
        <f>VLOOKUP(B29, '116目標底稿ver1'!B:AC, 24, 0)</f>
        <v>2190000</v>
      </c>
      <c r="M29" s="388">
        <f t="shared" si="3"/>
        <v>47700000</v>
      </c>
      <c r="N29" s="389">
        <f>VLOOKUP(B29, '116目標底稿ver1'!B:AC, 8, 0)</f>
        <v>47410000</v>
      </c>
      <c r="O29" s="504">
        <f>VLOOKUP(B29, '116目標底稿ver1'!B:AC, 6, 0)</f>
        <v>35284802</v>
      </c>
      <c r="P29" s="482">
        <f t="shared" si="4"/>
        <v>0.35185681359356935</v>
      </c>
      <c r="Q29" s="489">
        <f t="shared" si="5"/>
        <v>6.1168529846022945E-3</v>
      </c>
      <c r="R29" s="387">
        <f>VLOOKUP(B29, '116目標底稿ver1'!B:AC, 28, 0)</f>
        <v>26235000.000000004</v>
      </c>
    </row>
    <row r="30" spans="1:18" ht="23.25" customHeight="1">
      <c r="A30" s="534"/>
      <c r="B30" s="367">
        <v>156</v>
      </c>
      <c r="C30" s="364" t="str">
        <f>VLOOKUP(B30, '116目標底稿ver1'!B:AC, 2, 0)</f>
        <v>南區</v>
      </c>
      <c r="D30" s="363">
        <f>VLOOKUP(B30, '116目標底稿ver1'!B:AC, 3, 0)</f>
        <v>681</v>
      </c>
      <c r="E30" s="369" t="str">
        <f>VLOOKUP(B30, '116目標底稿ver1'!B:AC, 4, 0)</f>
        <v>金華分行</v>
      </c>
      <c r="F30" s="501">
        <f>VLOOKUP(B30, '116目標底稿ver1'!B:AC, 9, 0)</f>
        <v>0.69</v>
      </c>
      <c r="G30" s="502" t="str">
        <f>VLOOKUP(B30, '116目標底稿ver1'!B:AC, 12, 0)</f>
        <v>分行目標115%</v>
      </c>
      <c r="H30" s="55">
        <f>VLOOKUP(B30, '116目標底稿ver1'!B:AC, 13, 0)</f>
        <v>64140000</v>
      </c>
      <c r="I30" s="55" t="str">
        <f>VLOOKUP(B30, '116目標底稿ver1'!B:AC, 15, 0)</f>
        <v>分行目標*80%*120%</v>
      </c>
      <c r="J30" s="55">
        <f>VLOOKUP(B30, '116目標底稿ver1'!B:AC, 16, 0)</f>
        <v>53540000</v>
      </c>
      <c r="K30" s="503">
        <f>VLOOKUP(B30, '116目標底稿ver1'!B:AC, 17, 0)</f>
        <v>-10600000</v>
      </c>
      <c r="L30" s="55">
        <f>VLOOKUP(B30, '116目標底稿ver1'!B:AC, 24, 0)</f>
        <v>2350000</v>
      </c>
      <c r="M30" s="388">
        <f t="shared" si="3"/>
        <v>55890000</v>
      </c>
      <c r="N30" s="389">
        <f>VLOOKUP(B30, '116目標底稿ver1'!B:AC, 8, 0)</f>
        <v>55770000</v>
      </c>
      <c r="O30" s="504">
        <f>VLOOKUP(B30, '116目標底稿ver1'!B:AC, 6, 0)</f>
        <v>38567689</v>
      </c>
      <c r="P30" s="482">
        <f t="shared" si="4"/>
        <v>0.44914049685476365</v>
      </c>
      <c r="Q30" s="489">
        <f t="shared" si="5"/>
        <v>2.1516944593866771E-3</v>
      </c>
      <c r="R30" s="387">
        <f>VLOOKUP(B30, '116目標底稿ver1'!B:AC, 28, 0)</f>
        <v>30739500.000000004</v>
      </c>
    </row>
    <row r="31" spans="1:18" ht="23.25" customHeight="1">
      <c r="A31" s="534"/>
      <c r="B31" s="367">
        <v>165</v>
      </c>
      <c r="C31" s="364" t="str">
        <f>VLOOKUP(B31, '116目標底稿ver1'!B:AC, 2, 0)</f>
        <v>南區</v>
      </c>
      <c r="D31" s="363">
        <f>VLOOKUP(B31, '116目標底稿ver1'!B:AC, 3, 0)</f>
        <v>708</v>
      </c>
      <c r="E31" s="369" t="str">
        <f>VLOOKUP(B31, '116目標底稿ver1'!B:AC, 4, 0)</f>
        <v>東高雄分行</v>
      </c>
      <c r="F31" s="501">
        <f>VLOOKUP(B31, '116目標底稿ver1'!B:AC, 9, 0)</f>
        <v>0.63</v>
      </c>
      <c r="G31" s="502" t="str">
        <f>VLOOKUP(B31, '116目標底稿ver1'!B:AC, 12, 0)</f>
        <v>分行目標115%</v>
      </c>
      <c r="H31" s="55">
        <f>VLOOKUP(B31, '116目標底稿ver1'!B:AC, 13, 0)</f>
        <v>61230000</v>
      </c>
      <c r="I31" s="55" t="str">
        <f>VLOOKUP(B31, '116目標底稿ver1'!B:AC, 15, 0)</f>
        <v>分行目標*80%*120%</v>
      </c>
      <c r="J31" s="55">
        <f>VLOOKUP(B31, '116目標底稿ver1'!B:AC, 16, 0)</f>
        <v>51110000</v>
      </c>
      <c r="K31" s="503">
        <f>VLOOKUP(B31, '116目標底稿ver1'!B:AC, 17, 0)</f>
        <v>-10120000</v>
      </c>
      <c r="L31" s="55">
        <f>VLOOKUP(B31, '116目標底稿ver1'!B:AC, 24, 0)</f>
        <v>1810000</v>
      </c>
      <c r="M31" s="388">
        <f t="shared" si="3"/>
        <v>52920000</v>
      </c>
      <c r="N31" s="389">
        <f>VLOOKUP(B31, '116目標底稿ver1'!B:AC, 8, 0)</f>
        <v>53240000</v>
      </c>
      <c r="O31" s="504">
        <f>VLOOKUP(B31, '116目標底稿ver1'!B:AC, 6, 0)</f>
        <v>33281232</v>
      </c>
      <c r="P31" s="482">
        <f t="shared" si="4"/>
        <v>0.59008536703208581</v>
      </c>
      <c r="Q31" s="489">
        <f t="shared" si="5"/>
        <v>-6.0105184072126727E-3</v>
      </c>
      <c r="R31" s="387">
        <f>VLOOKUP(B31, '116目標底稿ver1'!B:AC, 28, 0)</f>
        <v>29106000.000000004</v>
      </c>
    </row>
    <row r="32" spans="1:18" ht="23.25" customHeight="1">
      <c r="A32" s="534"/>
      <c r="B32" s="367">
        <v>62</v>
      </c>
      <c r="C32" s="364" t="str">
        <f>VLOOKUP(B32, '116目標底稿ver1'!B:AC, 2, 0)</f>
        <v>北三區</v>
      </c>
      <c r="D32" s="363">
        <f>VLOOKUP(B32, '116目標底稿ver1'!B:AC, 3, 0)</f>
        <v>173</v>
      </c>
      <c r="E32" s="369" t="str">
        <f>VLOOKUP(B32, '116目標底稿ver1'!B:AC, 4, 0)</f>
        <v>新泰分行</v>
      </c>
      <c r="F32" s="501">
        <f>VLOOKUP(B32, '116目標底稿ver1'!B:AC, 9, 0)</f>
        <v>0.71</v>
      </c>
      <c r="G32" s="502" t="str">
        <f>VLOOKUP(B32, '116目標底稿ver1'!B:AC, 12, 0)</f>
        <v>分行目標115%</v>
      </c>
      <c r="H32" s="55">
        <f>VLOOKUP(B32, '116目標底稿ver1'!B:AC, 13, 0)</f>
        <v>58880000</v>
      </c>
      <c r="I32" s="55" t="str">
        <f>VLOOKUP(B32, '116目標底稿ver1'!B:AC, 15, 0)</f>
        <v>分行目標*80%*120%</v>
      </c>
      <c r="J32" s="55">
        <f>VLOOKUP(B32, '116目標底稿ver1'!B:AC, 16, 0)</f>
        <v>49150000</v>
      </c>
      <c r="K32" s="503">
        <f>VLOOKUP(B32, '116目標底稿ver1'!B:AC, 17, 0)</f>
        <v>-9730000</v>
      </c>
      <c r="L32" s="55">
        <f>VLOOKUP(B32, '116目標底稿ver1'!B:AC, 24, 0)</f>
        <v>1970000</v>
      </c>
      <c r="M32" s="388">
        <f t="shared" si="3"/>
        <v>51120000</v>
      </c>
      <c r="N32" s="389">
        <f>VLOOKUP(B32, '116目標底稿ver1'!B:AC, 8, 0)</f>
        <v>51200000</v>
      </c>
      <c r="O32" s="504">
        <f>VLOOKUP(B32, '116目標底稿ver1'!B:AC, 6, 0)</f>
        <v>36336774</v>
      </c>
      <c r="P32" s="482">
        <f t="shared" si="4"/>
        <v>0.4068392532589713</v>
      </c>
      <c r="Q32" s="489">
        <f t="shared" si="5"/>
        <v>-1.5625000000000222E-3</v>
      </c>
      <c r="R32" s="387">
        <f>VLOOKUP(B32, '116目標底稿ver1'!B:AC, 28, 0)</f>
        <v>28116000.000000004</v>
      </c>
    </row>
    <row r="33" spans="1:18" ht="23.25" customHeight="1">
      <c r="A33" s="534"/>
      <c r="B33" s="367">
        <v>146</v>
      </c>
      <c r="C33" s="364" t="str">
        <f>VLOOKUP(B33, '116目標底稿ver1'!B:AC, 2, 0)</f>
        <v>南區</v>
      </c>
      <c r="D33" s="363">
        <f>VLOOKUP(B33, '116目標底稿ver1'!B:AC, 3, 0)</f>
        <v>621</v>
      </c>
      <c r="E33" s="369" t="str">
        <f>VLOOKUP(B33, '116目標底稿ver1'!B:AC, 4, 0)</f>
        <v>麻豆分行</v>
      </c>
      <c r="F33" s="501">
        <f>VLOOKUP(B33, '116目標底稿ver1'!B:AC, 9, 0)</f>
        <v>0.71</v>
      </c>
      <c r="G33" s="502" t="str">
        <f>VLOOKUP(B33, '116目標底稿ver1'!B:AC, 12, 0)</f>
        <v>分行目標115%</v>
      </c>
      <c r="H33" s="55">
        <f>VLOOKUP(B33, '116目標底稿ver1'!B:AC, 13, 0)</f>
        <v>97960000</v>
      </c>
      <c r="I33" s="55" t="str">
        <f>VLOOKUP(B33, '116目標底稿ver1'!B:AC, 15, 0)</f>
        <v>分行目標*80%*120%</v>
      </c>
      <c r="J33" s="55">
        <f>VLOOKUP(B33, '116目標底稿ver1'!B:AC, 16, 0)</f>
        <v>81770000</v>
      </c>
      <c r="K33" s="503">
        <f>VLOOKUP(B33, '116目標底稿ver1'!B:AC, 17, 0)</f>
        <v>-16190000</v>
      </c>
      <c r="L33" s="55">
        <f>VLOOKUP(B33, '116目標底稿ver1'!B:AC, 24, 0)</f>
        <v>3220000</v>
      </c>
      <c r="M33" s="388">
        <f t="shared" si="3"/>
        <v>84990000</v>
      </c>
      <c r="N33" s="389">
        <f>VLOOKUP(B33, '116目標底稿ver1'!B:AC, 8, 0)</f>
        <v>85180000</v>
      </c>
      <c r="O33" s="504">
        <f>VLOOKUP(B33, '116目標底稿ver1'!B:AC, 6, 0)</f>
        <v>60267983</v>
      </c>
      <c r="P33" s="482">
        <f t="shared" si="4"/>
        <v>0.41020149952587603</v>
      </c>
      <c r="Q33" s="489">
        <f t="shared" si="5"/>
        <v>-2.2305705564686917E-3</v>
      </c>
      <c r="R33" s="387">
        <f>VLOOKUP(B33, '116目標底稿ver1'!B:AC, 28, 0)</f>
        <v>46744500.000000007</v>
      </c>
    </row>
    <row r="34" spans="1:18" ht="23.25" customHeight="1">
      <c r="A34" s="534"/>
      <c r="B34" s="367">
        <v>129</v>
      </c>
      <c r="C34" s="364" t="str">
        <f>VLOOKUP(B34, '116目標底稿ver1'!B:AC, 2, 0)</f>
        <v>中區</v>
      </c>
      <c r="D34" s="363">
        <f>VLOOKUP(B34, '116目標底稿ver1'!B:AC, 3, 0)</f>
        <v>430</v>
      </c>
      <c r="E34" s="369" t="str">
        <f>VLOOKUP(B34, '116目標底稿ver1'!B:AC, 4, 0)</f>
        <v>太平分行</v>
      </c>
      <c r="F34" s="501">
        <f>VLOOKUP(B34, '116目標底稿ver1'!B:AC, 9, 0)</f>
        <v>0.73</v>
      </c>
      <c r="G34" s="502" t="str">
        <f>VLOOKUP(B34, '116目標底稿ver1'!B:AC, 12, 0)</f>
        <v>分行目標115%</v>
      </c>
      <c r="H34" s="55">
        <f>VLOOKUP(B34, '116目標底稿ver1'!B:AC, 13, 0)</f>
        <v>52070000</v>
      </c>
      <c r="I34" s="55" t="str">
        <f>VLOOKUP(B34, '116目標底稿ver1'!B:AC, 15, 0)</f>
        <v>分行目標*80%*120%</v>
      </c>
      <c r="J34" s="55">
        <f>VLOOKUP(B34, '116目標底稿ver1'!B:AC, 16, 0)</f>
        <v>43470000</v>
      </c>
      <c r="K34" s="503">
        <f>VLOOKUP(B34, '116目標底稿ver1'!B:AC, 17, 0)</f>
        <v>-8600000</v>
      </c>
      <c r="L34" s="55">
        <f>VLOOKUP(B34, '116目標底稿ver1'!B:AC, 24, 0)</f>
        <v>1780000</v>
      </c>
      <c r="M34" s="388">
        <f t="shared" si="3"/>
        <v>45250000</v>
      </c>
      <c r="N34" s="389">
        <f>VLOOKUP(B34, '116目標底稿ver1'!B:AC, 8, 0)</f>
        <v>45280000</v>
      </c>
      <c r="O34" s="504">
        <f>VLOOKUP(B34, '116目標底稿ver1'!B:AC, 6, 0)</f>
        <v>33136455</v>
      </c>
      <c r="P34" s="482">
        <f t="shared" si="4"/>
        <v>0.36556550783721442</v>
      </c>
      <c r="Q34" s="489">
        <f t="shared" si="5"/>
        <v>-6.6254416961131213E-4</v>
      </c>
      <c r="R34" s="387">
        <f>VLOOKUP(B34, '116目標底稿ver1'!B:AC, 28, 0)</f>
        <v>24887500.000000004</v>
      </c>
    </row>
    <row r="35" spans="1:18" ht="23.25" customHeight="1">
      <c r="A35" s="534"/>
      <c r="B35" s="367">
        <v>74</v>
      </c>
      <c r="C35" s="364" t="str">
        <f>VLOOKUP(B35, '116目標底稿ver1'!B:AC, 2, 0)</f>
        <v>北三區</v>
      </c>
      <c r="D35" s="363">
        <f>VLOOKUP(B35, '116目標底稿ver1'!B:AC, 3, 0)</f>
        <v>186</v>
      </c>
      <c r="E35" s="369" t="str">
        <f>VLOOKUP(B35, '116目標底稿ver1'!B:AC, 4, 0)</f>
        <v>土城分行</v>
      </c>
      <c r="F35" s="501">
        <f>VLOOKUP(B35, '116目標底稿ver1'!B:AC, 9, 0)</f>
        <v>0.66</v>
      </c>
      <c r="G35" s="502" t="str">
        <f>VLOOKUP(B35, '116目標底稿ver1'!B:AC, 12, 0)</f>
        <v>分行目標115%</v>
      </c>
      <c r="H35" s="55">
        <f>VLOOKUP(B35, '116目標底稿ver1'!B:AC, 13, 0)</f>
        <v>88720000</v>
      </c>
      <c r="I35" s="55" t="str">
        <f>VLOOKUP(B35, '116目標底稿ver1'!B:AC, 15, 0)</f>
        <v>分行目標*80%*120%</v>
      </c>
      <c r="J35" s="55">
        <f>VLOOKUP(B35, '116目標底稿ver1'!B:AC, 16, 0)</f>
        <v>74060000</v>
      </c>
      <c r="K35" s="503">
        <f>VLOOKUP(B35, '116目標底稿ver1'!B:AC, 17, 0)</f>
        <v>-14660000</v>
      </c>
      <c r="L35" s="55">
        <f>VLOOKUP(B35, '116目標底稿ver1'!B:AC, 24, 0)</f>
        <v>2670000</v>
      </c>
      <c r="M35" s="388">
        <f t="shared" si="3"/>
        <v>76730000</v>
      </c>
      <c r="N35" s="389">
        <f>VLOOKUP(B35, '116目標底稿ver1'!B:AC, 8, 0)</f>
        <v>77150000</v>
      </c>
      <c r="O35" s="504">
        <f>VLOOKUP(B35, '116目標底稿ver1'!B:AC, 6, 0)</f>
        <v>50585750</v>
      </c>
      <c r="P35" s="482">
        <f t="shared" si="4"/>
        <v>0.5168303326529704</v>
      </c>
      <c r="Q35" s="489">
        <f t="shared" si="5"/>
        <v>-5.443940375891132E-3</v>
      </c>
      <c r="R35" s="387">
        <f>VLOOKUP(B35, '116目標底稿ver1'!B:AC, 28, 0)</f>
        <v>42201500</v>
      </c>
    </row>
    <row r="36" spans="1:18" ht="23.25" customHeight="1">
      <c r="A36" s="534"/>
      <c r="B36" s="367">
        <v>151</v>
      </c>
      <c r="C36" s="364" t="str">
        <f>VLOOKUP(B36, '116目標底稿ver1'!B:AC, 2, 0)</f>
        <v>南區</v>
      </c>
      <c r="D36" s="363">
        <f>VLOOKUP(B36, '116目標底稿ver1'!B:AC, 3, 0)</f>
        <v>644</v>
      </c>
      <c r="E36" s="369" t="str">
        <f>VLOOKUP(B36, '116目標底稿ver1'!B:AC, 4, 0)</f>
        <v>北台南分行</v>
      </c>
      <c r="F36" s="501">
        <f>VLOOKUP(B36, '116目標底稿ver1'!B:AC, 9, 0)</f>
        <v>0.66</v>
      </c>
      <c r="G36" s="502" t="str">
        <f>VLOOKUP(B36, '116目標底稿ver1'!B:AC, 12, 0)</f>
        <v>分行目標115%</v>
      </c>
      <c r="H36" s="55">
        <f>VLOOKUP(B36, '116目標底稿ver1'!B:AC, 13, 0)</f>
        <v>82690000</v>
      </c>
      <c r="I36" s="55" t="str">
        <f>VLOOKUP(B36, '116目標底稿ver1'!B:AC, 15, 0)</f>
        <v>分行目標*80%*120%</v>
      </c>
      <c r="J36" s="55">
        <f>VLOOKUP(B36, '116目標底稿ver1'!B:AC, 16, 0)</f>
        <v>69020000</v>
      </c>
      <c r="K36" s="503">
        <f>VLOOKUP(B36, '116目標底稿ver1'!B:AC, 17, 0)</f>
        <v>-13670000</v>
      </c>
      <c r="L36" s="55">
        <f>VLOOKUP(B36, '116目標底稿ver1'!B:AC, 24, 0)</f>
        <v>2460000</v>
      </c>
      <c r="M36" s="388">
        <f t="shared" si="3"/>
        <v>71480000</v>
      </c>
      <c r="N36" s="389">
        <f>VLOOKUP(B36, '116目標底稿ver1'!B:AC, 8, 0)</f>
        <v>71900000</v>
      </c>
      <c r="O36" s="504">
        <f>VLOOKUP(B36, '116目標底稿ver1'!B:AC, 6, 0)</f>
        <v>47154352</v>
      </c>
      <c r="P36" s="482">
        <f t="shared" si="4"/>
        <v>0.51587280851616835</v>
      </c>
      <c r="Q36" s="489">
        <f t="shared" si="5"/>
        <v>-5.8414464534075616E-3</v>
      </c>
      <c r="R36" s="387">
        <f>VLOOKUP(B36, '116目標底稿ver1'!B:AC, 28, 0)</f>
        <v>39314000</v>
      </c>
    </row>
    <row r="37" spans="1:18" ht="23.25" customHeight="1">
      <c r="A37" s="534"/>
      <c r="B37" s="367">
        <v>32</v>
      </c>
      <c r="C37" s="364" t="str">
        <f>VLOOKUP(B37, '116目標底稿ver1'!B:AC, 2, 0)</f>
        <v>北一區</v>
      </c>
      <c r="D37" s="363">
        <f>VLOOKUP(B37, '116目標底稿ver1'!B:AC, 3, 0)</f>
        <v>133</v>
      </c>
      <c r="E37" s="369" t="str">
        <f>VLOOKUP(B37, '116目標底稿ver1'!B:AC, 4, 0)</f>
        <v>敦和分行</v>
      </c>
      <c r="F37" s="501">
        <f>VLOOKUP(B37, '116目標底稿ver1'!B:AC, 9, 0)</f>
        <v>0.71</v>
      </c>
      <c r="G37" s="502" t="str">
        <f>VLOOKUP(B37, '116目標底稿ver1'!B:AC, 12, 0)</f>
        <v>分行目標115%</v>
      </c>
      <c r="H37" s="55">
        <f>VLOOKUP(B37, '116目標底稿ver1'!B:AC, 13, 0)</f>
        <v>58470000</v>
      </c>
      <c r="I37" s="55" t="str">
        <f>VLOOKUP(B37, '116目標底稿ver1'!B:AC, 15, 0)</f>
        <v>分行目標*80%*120%</v>
      </c>
      <c r="J37" s="55">
        <f>VLOOKUP(B37, '116目標底稿ver1'!B:AC, 16, 0)</f>
        <v>48810000</v>
      </c>
      <c r="K37" s="503">
        <f>VLOOKUP(B37, '116目標底稿ver1'!B:AC, 17, 0)</f>
        <v>-9660000</v>
      </c>
      <c r="L37" s="55">
        <f>VLOOKUP(B37, '116目標底稿ver1'!B:AC, 24, 0)</f>
        <v>1860000</v>
      </c>
      <c r="M37" s="388">
        <f t="shared" si="3"/>
        <v>50670000</v>
      </c>
      <c r="N37" s="389">
        <f>VLOOKUP(B37, '116目標底稿ver1'!B:AC, 8, 0)</f>
        <v>50840000</v>
      </c>
      <c r="O37" s="504">
        <f>VLOOKUP(B37, '116目標底稿ver1'!B:AC, 6, 0)</f>
        <v>36160101</v>
      </c>
      <c r="P37" s="482">
        <f t="shared" si="4"/>
        <v>0.40126820995328516</v>
      </c>
      <c r="Q37" s="489">
        <f t="shared" si="5"/>
        <v>-3.3438237608182098E-3</v>
      </c>
      <c r="R37" s="387">
        <f>VLOOKUP(B37, '116目標底稿ver1'!B:AC, 28, 0)</f>
        <v>27868500.000000004</v>
      </c>
    </row>
    <row r="38" spans="1:18" ht="23.25" customHeight="1">
      <c r="A38" s="534"/>
      <c r="B38" s="367">
        <v>160</v>
      </c>
      <c r="C38" s="364" t="str">
        <f>VLOOKUP(B38, '116目標底稿ver1'!B:AC, 2, 0)</f>
        <v>南區</v>
      </c>
      <c r="D38" s="363">
        <f>VLOOKUP(B38, '116目標底稿ver1'!B:AC, 3, 0)</f>
        <v>703</v>
      </c>
      <c r="E38" s="369" t="str">
        <f>VLOOKUP(B38, '116目標底稿ver1'!B:AC, 4, 0)</f>
        <v>高雄三民分行</v>
      </c>
      <c r="F38" s="501">
        <f>VLOOKUP(B38, '116目標底稿ver1'!B:AC, 9, 0)</f>
        <v>0.64</v>
      </c>
      <c r="G38" s="502" t="str">
        <f>VLOOKUP(B38, '116目標底稿ver1'!B:AC, 12, 0)</f>
        <v>分行目標115%</v>
      </c>
      <c r="H38" s="55">
        <f>VLOOKUP(B38, '116目標底稿ver1'!B:AC, 13, 0)</f>
        <v>56130000</v>
      </c>
      <c r="I38" s="55" t="str">
        <f>VLOOKUP(B38, '116目標底稿ver1'!B:AC, 15, 0)</f>
        <v>分行目標*80%*120%</v>
      </c>
      <c r="J38" s="55">
        <f>VLOOKUP(B38, '116目標底稿ver1'!B:AC, 16, 0)</f>
        <v>46860000</v>
      </c>
      <c r="K38" s="503">
        <f>VLOOKUP(B38, '116目標底稿ver1'!B:AC, 17, 0)</f>
        <v>-9270000</v>
      </c>
      <c r="L38" s="55">
        <f>VLOOKUP(B38, '116目標底稿ver1'!B:AC, 24, 0)</f>
        <v>1580000</v>
      </c>
      <c r="M38" s="388">
        <f t="shared" si="3"/>
        <v>48440000</v>
      </c>
      <c r="N38" s="389">
        <f>VLOOKUP(B38, '116目標底稿ver1'!B:AC, 8, 0)</f>
        <v>48810000</v>
      </c>
      <c r="O38" s="504">
        <f>VLOOKUP(B38, '116目標底稿ver1'!B:AC, 6, 0)</f>
        <v>31343682</v>
      </c>
      <c r="P38" s="482">
        <f t="shared" si="4"/>
        <v>0.54544702182723781</v>
      </c>
      <c r="Q38" s="489">
        <f t="shared" si="5"/>
        <v>-7.5804138496209372E-3</v>
      </c>
      <c r="R38" s="387">
        <f>VLOOKUP(B38, '116目標底稿ver1'!B:AC, 28, 0)</f>
        <v>26642000.000000004</v>
      </c>
    </row>
    <row r="39" spans="1:18" ht="23.25" customHeight="1">
      <c r="A39" s="534"/>
      <c r="B39" s="367">
        <v>109</v>
      </c>
      <c r="C39" s="364" t="str">
        <f>VLOOKUP(B39, '116目標底稿ver1'!B:AC, 2, 0)</f>
        <v>北三區</v>
      </c>
      <c r="D39" s="363">
        <f>VLOOKUP(B39, '116目標底稿ver1'!B:AC, 3, 0)</f>
        <v>302</v>
      </c>
      <c r="E39" s="369" t="str">
        <f>VLOOKUP(B39, '116目標底稿ver1'!B:AC, 4, 0)</f>
        <v>竹科分行</v>
      </c>
      <c r="F39" s="501">
        <f>VLOOKUP(B39, '116目標底稿ver1'!B:AC, 9, 0)</f>
        <v>0.74</v>
      </c>
      <c r="G39" s="502" t="str">
        <f>VLOOKUP(B39, '116目標底稿ver1'!B:AC, 12, 0)</f>
        <v>分行目標115%</v>
      </c>
      <c r="H39" s="55">
        <f>VLOOKUP(B39, '116目標底稿ver1'!B:AC, 13, 0)</f>
        <v>57510000</v>
      </c>
      <c r="I39" s="55" t="str">
        <f>VLOOKUP(B39, '116目標底稿ver1'!B:AC, 15, 0)</f>
        <v>分行目標*80%*120%</v>
      </c>
      <c r="J39" s="55">
        <f>VLOOKUP(B39, '116目標底稿ver1'!B:AC, 16, 0)</f>
        <v>48010000</v>
      </c>
      <c r="K39" s="503">
        <f>VLOOKUP(B39, '116目標底稿ver1'!B:AC, 17, 0)</f>
        <v>-9500000</v>
      </c>
      <c r="L39" s="55">
        <f>VLOOKUP(B39, '116目標底稿ver1'!B:AC, 24, 0)</f>
        <v>1830000</v>
      </c>
      <c r="M39" s="388">
        <f t="shared" si="3"/>
        <v>49840000</v>
      </c>
      <c r="N39" s="389">
        <f>VLOOKUP(B39, '116目標底稿ver1'!B:AC, 8, 0)</f>
        <v>50010000</v>
      </c>
      <c r="O39" s="504">
        <f>VLOOKUP(B39, '116目標底稿ver1'!B:AC, 6, 0)</f>
        <v>36906824</v>
      </c>
      <c r="P39" s="482">
        <f t="shared" si="4"/>
        <v>0.35042776913017493</v>
      </c>
      <c r="Q39" s="489">
        <f t="shared" si="5"/>
        <v>-3.3993201359727721E-3</v>
      </c>
      <c r="R39" s="387">
        <f>VLOOKUP(B39, '116目標底稿ver1'!B:AC, 28, 0)</f>
        <v>27412000.000000004</v>
      </c>
    </row>
    <row r="40" spans="1:18" ht="23.25" customHeight="1">
      <c r="A40" s="534"/>
      <c r="B40" s="367">
        <v>113</v>
      </c>
      <c r="C40" s="364" t="str">
        <f>VLOOKUP(B40, '116目標底稿ver1'!B:AC, 2, 0)</f>
        <v>中區</v>
      </c>
      <c r="D40" s="363">
        <f>VLOOKUP(B40, '116目標底稿ver1'!B:AC, 3, 0)</f>
        <v>321</v>
      </c>
      <c r="E40" s="369" t="str">
        <f>VLOOKUP(B40, '116目標底稿ver1'!B:AC, 4, 0)</f>
        <v>頭份分行</v>
      </c>
      <c r="F40" s="501">
        <f>VLOOKUP(B40, '116目標底稿ver1'!B:AC, 9, 0)</f>
        <v>0.65</v>
      </c>
      <c r="G40" s="502" t="str">
        <f>VLOOKUP(B40, '116目標底稿ver1'!B:AC, 12, 0)</f>
        <v>分行目標115%</v>
      </c>
      <c r="H40" s="55">
        <f>VLOOKUP(B40, '116目標底稿ver1'!B:AC, 13, 0)</f>
        <v>85630000</v>
      </c>
      <c r="I40" s="55" t="str">
        <f>VLOOKUP(B40, '116目標底稿ver1'!B:AC, 15, 0)</f>
        <v>分行目標*80%*120%</v>
      </c>
      <c r="J40" s="55">
        <f>VLOOKUP(B40, '116目標底稿ver1'!B:AC, 16, 0)</f>
        <v>71480000</v>
      </c>
      <c r="K40" s="503">
        <f>VLOOKUP(B40, '116目標底稿ver1'!B:AC, 17, 0)</f>
        <v>-14150000</v>
      </c>
      <c r="L40" s="55">
        <f>VLOOKUP(B40, '116目標底稿ver1'!B:AC, 24, 0)</f>
        <v>2380000</v>
      </c>
      <c r="M40" s="388">
        <f t="shared" si="3"/>
        <v>73860000</v>
      </c>
      <c r="N40" s="389">
        <f>VLOOKUP(B40, '116目標底稿ver1'!B:AC, 8, 0)</f>
        <v>74460000</v>
      </c>
      <c r="O40" s="504">
        <f>VLOOKUP(B40, '116目標底稿ver1'!B:AC, 6, 0)</f>
        <v>48196053</v>
      </c>
      <c r="P40" s="482">
        <f t="shared" si="4"/>
        <v>0.53249063777069039</v>
      </c>
      <c r="Q40" s="489">
        <f t="shared" si="5"/>
        <v>-8.058017727639033E-3</v>
      </c>
      <c r="R40" s="387">
        <f>VLOOKUP(B40, '116目標底稿ver1'!B:AC, 28, 0)</f>
        <v>40623000</v>
      </c>
    </row>
    <row r="41" spans="1:18" ht="23.25" customHeight="1">
      <c r="A41" s="534"/>
      <c r="B41" s="367">
        <v>9</v>
      </c>
      <c r="C41" s="364" t="str">
        <f>VLOOKUP(B41, '116目標底稿ver1'!B:AC, 2, 0)</f>
        <v>北一區</v>
      </c>
      <c r="D41" s="363">
        <f>VLOOKUP(B41, '116目標底稿ver1'!B:AC, 3, 0)</f>
        <v>109</v>
      </c>
      <c r="E41" s="369" t="str">
        <f>VLOOKUP(B41, '116目標底稿ver1'!B:AC, 4, 0)</f>
        <v>西門分行</v>
      </c>
      <c r="F41" s="501">
        <f>VLOOKUP(B41, '116目標底稿ver1'!B:AC, 9, 0)</f>
        <v>0.78</v>
      </c>
      <c r="G41" s="502" t="str">
        <f>VLOOKUP(B41, '116目標底稿ver1'!B:AC, 12, 0)</f>
        <v>分行目標110%</v>
      </c>
      <c r="H41" s="55">
        <f>VLOOKUP(B41, '116目標底稿ver1'!B:AC, 13, 0)</f>
        <v>41780000</v>
      </c>
      <c r="I41" s="55" t="str">
        <f>VLOOKUP(B41, '116目標底稿ver1'!B:AC, 15, 0)</f>
        <v>分行目標*80%*120%</v>
      </c>
      <c r="J41" s="55">
        <f>VLOOKUP(B41, '116目標底稿ver1'!B:AC, 16, 0)</f>
        <v>36460000</v>
      </c>
      <c r="K41" s="503">
        <f>VLOOKUP(B41, '116目標底稿ver1'!B:AC, 17, 0)</f>
        <v>-5320000</v>
      </c>
      <c r="L41" s="55">
        <f>VLOOKUP(B41, '116目標底稿ver1'!B:AC, 24, 0)</f>
        <v>1710000</v>
      </c>
      <c r="M41" s="388">
        <f t="shared" si="3"/>
        <v>38170000</v>
      </c>
      <c r="N41" s="389">
        <f>VLOOKUP(B41, '116目標底稿ver1'!B:AC, 8, 0)</f>
        <v>37980000</v>
      </c>
      <c r="O41" s="504">
        <f>VLOOKUP(B41, '116目標底稿ver1'!B:AC, 6, 0)</f>
        <v>29449723</v>
      </c>
      <c r="P41" s="482">
        <f t="shared" si="4"/>
        <v>0.29610726729076542</v>
      </c>
      <c r="Q41" s="489">
        <f t="shared" si="5"/>
        <v>5.0026329647183676E-3</v>
      </c>
      <c r="R41" s="387">
        <f>VLOOKUP(B41, '116目標底稿ver1'!B:AC, 28, 0)</f>
        <v>20993500</v>
      </c>
    </row>
    <row r="42" spans="1:18" ht="23.25" customHeight="1">
      <c r="A42" s="534"/>
      <c r="B42" s="367">
        <v>14</v>
      </c>
      <c r="C42" s="364" t="str">
        <f>VLOOKUP(B42, '116目標底稿ver1'!B:AC, 2, 0)</f>
        <v>北一區</v>
      </c>
      <c r="D42" s="363">
        <f>VLOOKUP(B42, '116目標底稿ver1'!B:AC, 3, 0)</f>
        <v>114</v>
      </c>
      <c r="E42" s="369" t="str">
        <f>VLOOKUP(B42, '116目標底稿ver1'!B:AC, 4, 0)</f>
        <v>大同分行</v>
      </c>
      <c r="F42" s="501">
        <f>VLOOKUP(B42, '116目標底稿ver1'!B:AC, 9, 0)</f>
        <v>0.74</v>
      </c>
      <c r="G42" s="502" t="str">
        <f>VLOOKUP(B42, '116目標底稿ver1'!B:AC, 12, 0)</f>
        <v>分行目標115%</v>
      </c>
      <c r="H42" s="55">
        <f>VLOOKUP(B42, '116目標底稿ver1'!B:AC, 13, 0)</f>
        <v>95960000</v>
      </c>
      <c r="I42" s="55" t="str">
        <f>VLOOKUP(B42, '116目標底稿ver1'!B:AC, 15, 0)</f>
        <v>分行目標*80%*120%</v>
      </c>
      <c r="J42" s="55">
        <f>VLOOKUP(B42, '116目標底稿ver1'!B:AC, 16, 0)</f>
        <v>80100000</v>
      </c>
      <c r="K42" s="503">
        <f>VLOOKUP(B42, '116目標底稿ver1'!B:AC, 17, 0)</f>
        <v>-15860000</v>
      </c>
      <c r="L42" s="55">
        <f>VLOOKUP(B42, '116目標底稿ver1'!B:AC, 24, 0)</f>
        <v>2980000</v>
      </c>
      <c r="M42" s="388">
        <f t="shared" si="3"/>
        <v>83080000</v>
      </c>
      <c r="N42" s="389">
        <f>VLOOKUP(B42, '116目標底稿ver1'!B:AC, 8, 0)</f>
        <v>83440000</v>
      </c>
      <c r="O42" s="504">
        <f>VLOOKUP(B42, '116目標底稿ver1'!B:AC, 6, 0)</f>
        <v>61542910</v>
      </c>
      <c r="P42" s="482">
        <f t="shared" si="4"/>
        <v>0.34995241531477794</v>
      </c>
      <c r="Q42" s="489">
        <f t="shared" si="5"/>
        <v>-4.3144774688398391E-3</v>
      </c>
      <c r="R42" s="387">
        <f>VLOOKUP(B42, '116目標底稿ver1'!B:AC, 28, 0)</f>
        <v>45694000</v>
      </c>
    </row>
    <row r="43" spans="1:18" ht="23.25" customHeight="1">
      <c r="A43" s="534"/>
      <c r="B43" s="367">
        <v>81</v>
      </c>
      <c r="C43" s="364" t="str">
        <f>VLOOKUP(B43, '116目標底稿ver1'!B:AC, 2, 0)</f>
        <v>北三區</v>
      </c>
      <c r="D43" s="363">
        <f>VLOOKUP(B43, '116目標底稿ver1'!B:AC, 3, 0)</f>
        <v>194</v>
      </c>
      <c r="E43" s="369" t="str">
        <f>VLOOKUP(B43, '116目標底稿ver1'!B:AC, 4, 0)</f>
        <v>三峽分行</v>
      </c>
      <c r="F43" s="501">
        <f>VLOOKUP(B43, '116目標底稿ver1'!B:AC, 9, 0)</f>
        <v>0.75</v>
      </c>
      <c r="G43" s="502" t="str">
        <f>VLOOKUP(B43, '116目標底稿ver1'!B:AC, 12, 0)</f>
        <v>分行目標110%</v>
      </c>
      <c r="H43" s="55">
        <f>VLOOKUP(B43, '116目標底稿ver1'!B:AC, 13, 0)</f>
        <v>53960000</v>
      </c>
      <c r="I43" s="55" t="str">
        <f>VLOOKUP(B43, '116目標底稿ver1'!B:AC, 15, 0)</f>
        <v>分行目標*80%*120%</v>
      </c>
      <c r="J43" s="55">
        <f>VLOOKUP(B43, '116目標底稿ver1'!B:AC, 16, 0)</f>
        <v>47090000</v>
      </c>
      <c r="K43" s="503">
        <f>VLOOKUP(B43, '116目標底稿ver1'!B:AC, 17, 0)</f>
        <v>-6870000</v>
      </c>
      <c r="L43" s="55">
        <f>VLOOKUP(B43, '116目標底稿ver1'!B:AC, 24, 0)</f>
        <v>2090000</v>
      </c>
      <c r="M43" s="388">
        <f t="shared" si="3"/>
        <v>49180000</v>
      </c>
      <c r="N43" s="389">
        <f>VLOOKUP(B43, '116目標底稿ver1'!B:AC, 8, 0)</f>
        <v>49050000</v>
      </c>
      <c r="O43" s="504">
        <f>VLOOKUP(B43, '116目標底稿ver1'!B:AC, 6, 0)</f>
        <v>36561726</v>
      </c>
      <c r="P43" s="482">
        <f t="shared" si="4"/>
        <v>0.34512249230246961</v>
      </c>
      <c r="Q43" s="489">
        <f t="shared" si="5"/>
        <v>2.6503567787972138E-3</v>
      </c>
      <c r="R43" s="387">
        <f>VLOOKUP(B43, '116目標底稿ver1'!B:AC, 28, 0)</f>
        <v>27049000.000000004</v>
      </c>
    </row>
    <row r="44" spans="1:18" ht="23.25" customHeight="1" thickBot="1">
      <c r="A44" s="535"/>
      <c r="B44" s="368">
        <v>10</v>
      </c>
      <c r="C44" s="490" t="str">
        <f>VLOOKUP(B44, '116目標底稿ver1'!B:AC, 2, 0)</f>
        <v>北一區</v>
      </c>
      <c r="D44" s="491">
        <f>VLOOKUP(B44, '116目標底稿ver1'!B:AC, 3, 0)</f>
        <v>110</v>
      </c>
      <c r="E44" s="492" t="str">
        <f>VLOOKUP(B44, '116目標底稿ver1'!B:AC, 4, 0)</f>
        <v>南松山分行</v>
      </c>
      <c r="F44" s="505">
        <f>VLOOKUP(B44, '116目標底稿ver1'!B:AC, 9, 0)</f>
        <v>0.74</v>
      </c>
      <c r="G44" s="506" t="str">
        <f>VLOOKUP(B44, '116目標底稿ver1'!B:AC, 12, 0)</f>
        <v>分行目標115%</v>
      </c>
      <c r="H44" s="391">
        <f>VLOOKUP(B44, '116目標底稿ver1'!B:AC, 13, 0)</f>
        <v>68390000</v>
      </c>
      <c r="I44" s="391" t="str">
        <f>VLOOKUP(B44, '116目標底稿ver1'!B:AC, 15, 0)</f>
        <v>分行目標*80%*120%</v>
      </c>
      <c r="J44" s="391">
        <f>VLOOKUP(B44, '116目標底稿ver1'!B:AC, 16, 0)</f>
        <v>57090000</v>
      </c>
      <c r="K44" s="507">
        <f>VLOOKUP(B44, '116目標底稿ver1'!B:AC, 17, 0)</f>
        <v>-11300000</v>
      </c>
      <c r="L44" s="391">
        <f>VLOOKUP(B44, '116目標底稿ver1'!B:AC, 24, 0)</f>
        <v>2120000</v>
      </c>
      <c r="M44" s="390">
        <f t="shared" si="3"/>
        <v>59210000</v>
      </c>
      <c r="N44" s="392">
        <f>VLOOKUP(B44, '116目標底稿ver1'!B:AC, 8, 0)</f>
        <v>59470000</v>
      </c>
      <c r="O44" s="508">
        <f>VLOOKUP(B44, '116目標底稿ver1'!B:AC, 6, 0)</f>
        <v>44041600</v>
      </c>
      <c r="P44" s="483">
        <f t="shared" si="4"/>
        <v>0.34441073893773155</v>
      </c>
      <c r="Q44" s="493">
        <f t="shared" si="5"/>
        <v>-4.3719522448293358E-3</v>
      </c>
      <c r="R44" s="387">
        <f>VLOOKUP(B44, '116目標底稿ver1'!B:AC, 28, 0)</f>
        <v>32565500.000000004</v>
      </c>
    </row>
    <row r="45" spans="1:18" ht="17.25" thickTop="1"/>
  </sheetData>
  <sortState xmlns:xlrd2="http://schemas.microsoft.com/office/spreadsheetml/2017/richdata2" ref="B5:R10">
    <sortCondition descending="1" ref="Q5:Q10"/>
  </sortState>
  <mergeCells count="8">
    <mergeCell ref="A25:A44"/>
    <mergeCell ref="A1:Q1"/>
    <mergeCell ref="B3:B4"/>
    <mergeCell ref="C3:C4"/>
    <mergeCell ref="D3:D4"/>
    <mergeCell ref="E3:E4"/>
    <mergeCell ref="A3:A4"/>
    <mergeCell ref="A5:A24"/>
  </mergeCells>
  <phoneticPr fontId="13" type="noConversion"/>
  <conditionalFormatting sqref="P5:Q44">
    <cfRule type="cellIs" dxfId="24" priority="2" operator="lessThan">
      <formula>0</formula>
    </cfRule>
  </conditionalFormatting>
  <pageMargins left="0.7" right="0.7" top="0.75" bottom="0.75" header="0.3" footer="0.3"/>
  <pageSetup paperSize="8" scale="71"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76CB-616F-4B6E-9750-B458FB512657}">
  <dimension ref="A1:Q143"/>
  <sheetViews>
    <sheetView topLeftCell="D1" zoomScaleNormal="100" workbookViewId="0">
      <selection activeCell="N21" sqref="N21"/>
    </sheetView>
  </sheetViews>
  <sheetFormatPr defaultRowHeight="18.75"/>
  <cols>
    <col min="1" max="1" width="9" style="265"/>
    <col min="2" max="2" width="27.875" style="595" bestFit="1" customWidth="1"/>
    <col min="3" max="3" width="34.625" style="265" bestFit="1" customWidth="1"/>
    <col min="4" max="4" width="27.75" style="265" bestFit="1" customWidth="1"/>
    <col min="5" max="5" width="12" style="595" customWidth="1"/>
    <col min="6" max="7" width="11.5" style="595" customWidth="1"/>
    <col min="8" max="8" width="9" style="595" bestFit="1" customWidth="1"/>
    <col min="9" max="9" width="14.125" style="265" bestFit="1" customWidth="1"/>
    <col min="10" max="10" width="21.875" style="265" bestFit="1" customWidth="1"/>
    <col min="11" max="11" width="18.125" style="265" bestFit="1" customWidth="1"/>
    <col min="12" max="12" width="21.875" style="265" bestFit="1" customWidth="1"/>
    <col min="13" max="13" width="10.125" style="265" bestFit="1" customWidth="1"/>
    <col min="14" max="14" width="12.625" style="265" bestFit="1" customWidth="1"/>
    <col min="15" max="15" width="46" style="265" bestFit="1" customWidth="1"/>
    <col min="16" max="16" width="52.375" style="265" bestFit="1" customWidth="1"/>
    <col min="17" max="17" width="39.875" style="265" bestFit="1" customWidth="1"/>
    <col min="18" max="18" width="11.75" style="265" bestFit="1" customWidth="1"/>
    <col min="19" max="19" width="47.375" style="265" bestFit="1" customWidth="1"/>
    <col min="20" max="20" width="29.25" style="265" bestFit="1" customWidth="1"/>
    <col min="21" max="21" width="40.375" style="265" bestFit="1" customWidth="1"/>
    <col min="22" max="22" width="42.5" style="265" bestFit="1" customWidth="1"/>
    <col min="23" max="23" width="51.375" style="265" bestFit="1" customWidth="1"/>
    <col min="24" max="24" width="48.625" style="265" bestFit="1" customWidth="1"/>
    <col min="25" max="25" width="37.5" style="265" bestFit="1" customWidth="1"/>
    <col min="26" max="16384" width="9" style="265"/>
  </cols>
  <sheetData>
    <row r="1" spans="1:17" ht="19.5" thickBot="1"/>
    <row r="2" spans="1:17" ht="57" thickBot="1">
      <c r="B2" s="593" t="s">
        <v>2141</v>
      </c>
      <c r="C2" s="594" t="s">
        <v>2142</v>
      </c>
      <c r="D2" s="594" t="s">
        <v>2006</v>
      </c>
      <c r="E2" s="596" t="s">
        <v>2113</v>
      </c>
      <c r="F2" s="596" t="s">
        <v>2114</v>
      </c>
      <c r="G2" s="606" t="s">
        <v>2115</v>
      </c>
      <c r="H2" s="590" t="s">
        <v>2132</v>
      </c>
      <c r="I2" s="589" t="s">
        <v>2133</v>
      </c>
      <c r="J2" s="590" t="s">
        <v>2134</v>
      </c>
      <c r="K2" s="590" t="s">
        <v>2135</v>
      </c>
      <c r="L2" s="590" t="s">
        <v>2136</v>
      </c>
      <c r="M2" s="597" t="s">
        <v>1263</v>
      </c>
      <c r="N2" s="598" t="s">
        <v>2137</v>
      </c>
      <c r="O2" s="598" t="s">
        <v>2138</v>
      </c>
      <c r="P2" s="598" t="s">
        <v>2139</v>
      </c>
      <c r="Q2" s="598" t="s">
        <v>2140</v>
      </c>
    </row>
    <row r="3" spans="1:17" ht="19.5" thickBot="1">
      <c r="A3" s="265" t="s">
        <v>2109</v>
      </c>
      <c r="B3" s="604" t="s">
        <v>2120</v>
      </c>
      <c r="C3" s="604" t="s">
        <v>2121</v>
      </c>
      <c r="D3" s="605" t="s">
        <v>2143</v>
      </c>
      <c r="E3" s="599">
        <v>1.2</v>
      </c>
      <c r="F3" s="599">
        <v>1.2</v>
      </c>
      <c r="G3" s="607">
        <v>1.01</v>
      </c>
      <c r="H3" s="608">
        <f>N3</f>
        <v>47</v>
      </c>
      <c r="I3" s="591">
        <f>H3/$H$7</f>
        <v>0.25683060109289618</v>
      </c>
      <c r="J3" s="592">
        <f>O3</f>
        <v>3866530000</v>
      </c>
      <c r="K3" s="592">
        <f t="shared" ref="K3:L6" si="0">P3</f>
        <v>117400000</v>
      </c>
      <c r="L3" s="592">
        <f t="shared" si="0"/>
        <v>3983930000</v>
      </c>
      <c r="M3" s="600" t="s">
        <v>2128</v>
      </c>
      <c r="N3" s="601">
        <v>47</v>
      </c>
      <c r="O3" s="602">
        <v>3866530000</v>
      </c>
      <c r="P3" s="602">
        <v>117400000</v>
      </c>
      <c r="Q3" s="603">
        <v>3983930000</v>
      </c>
    </row>
    <row r="4" spans="1:17" ht="19.5" thickBot="1">
      <c r="A4" s="265" t="s">
        <v>2110</v>
      </c>
      <c r="B4" s="604" t="s">
        <v>2122</v>
      </c>
      <c r="C4" s="604" t="s">
        <v>2124</v>
      </c>
      <c r="D4" s="604" t="s">
        <v>2125</v>
      </c>
      <c r="E4" s="599">
        <v>1</v>
      </c>
      <c r="F4" s="599">
        <v>1.01</v>
      </c>
      <c r="G4" s="606" t="s">
        <v>643</v>
      </c>
      <c r="H4" s="608">
        <f t="shared" ref="H4:H6" si="1">N4</f>
        <v>52</v>
      </c>
      <c r="I4" s="591">
        <f t="shared" ref="I4:I7" si="2">H4/$H$7</f>
        <v>0.28415300546448086</v>
      </c>
      <c r="J4" s="592">
        <f t="shared" ref="J4:J6" si="3">O4</f>
        <v>3986790000</v>
      </c>
      <c r="K4" s="592">
        <f t="shared" si="0"/>
        <v>132140000</v>
      </c>
      <c r="L4" s="592">
        <f t="shared" si="0"/>
        <v>4118930000</v>
      </c>
      <c r="M4" s="600" t="s">
        <v>2129</v>
      </c>
      <c r="N4" s="601">
        <v>52</v>
      </c>
      <c r="O4" s="602">
        <v>3986790000</v>
      </c>
      <c r="P4" s="602">
        <v>132140000</v>
      </c>
      <c r="Q4" s="603">
        <v>4118930000</v>
      </c>
    </row>
    <row r="5" spans="1:17" ht="19.5" thickBot="1">
      <c r="A5" s="265" t="s">
        <v>2130</v>
      </c>
      <c r="B5" s="604" t="s">
        <v>2123</v>
      </c>
      <c r="C5" s="604" t="s">
        <v>2144</v>
      </c>
      <c r="D5" s="604" t="s">
        <v>2145</v>
      </c>
      <c r="E5" s="599">
        <v>0.8</v>
      </c>
      <c r="F5" s="599">
        <v>1.03</v>
      </c>
      <c r="G5" s="606" t="s">
        <v>643</v>
      </c>
      <c r="H5" s="608">
        <f t="shared" si="1"/>
        <v>53</v>
      </c>
      <c r="I5" s="591">
        <f t="shared" si="2"/>
        <v>0.2896174863387978</v>
      </c>
      <c r="J5" s="592">
        <f t="shared" si="3"/>
        <v>2951790000</v>
      </c>
      <c r="K5" s="592">
        <f t="shared" si="0"/>
        <v>116740000</v>
      </c>
      <c r="L5" s="592">
        <f t="shared" si="0"/>
        <v>3068530000</v>
      </c>
      <c r="M5" s="600" t="s">
        <v>2111</v>
      </c>
      <c r="N5" s="601">
        <v>53</v>
      </c>
      <c r="O5" s="602">
        <v>2951790000</v>
      </c>
      <c r="P5" s="602">
        <v>116740000</v>
      </c>
      <c r="Q5" s="603">
        <v>3068530000</v>
      </c>
    </row>
    <row r="6" spans="1:17" ht="19.5" thickBot="1">
      <c r="A6" s="265" t="s">
        <v>2131</v>
      </c>
      <c r="B6" s="604" t="s">
        <v>2126</v>
      </c>
      <c r="C6" s="605" t="s">
        <v>2127</v>
      </c>
      <c r="D6" s="605" t="s">
        <v>2146</v>
      </c>
      <c r="E6" s="599" t="s">
        <v>2116</v>
      </c>
      <c r="F6" s="599">
        <v>0.8</v>
      </c>
      <c r="G6" s="607">
        <v>1.2</v>
      </c>
      <c r="H6" s="608">
        <f t="shared" si="1"/>
        <v>31</v>
      </c>
      <c r="I6" s="591">
        <f t="shared" si="2"/>
        <v>0.16939890710382513</v>
      </c>
      <c r="J6" s="592">
        <f t="shared" si="3"/>
        <v>1759090000</v>
      </c>
      <c r="K6" s="592">
        <f t="shared" si="0"/>
        <v>68890000</v>
      </c>
      <c r="L6" s="592">
        <f t="shared" si="0"/>
        <v>1827980000</v>
      </c>
      <c r="M6" s="600" t="s">
        <v>2112</v>
      </c>
      <c r="N6" s="601">
        <v>31</v>
      </c>
      <c r="O6" s="602">
        <v>1759090000</v>
      </c>
      <c r="P6" s="602">
        <v>68890000</v>
      </c>
      <c r="Q6" s="603">
        <v>1827980000</v>
      </c>
    </row>
    <row r="7" spans="1:17" ht="19.5" thickBot="1">
      <c r="H7" s="608">
        <f>SUM(H3:H6)</f>
        <v>183</v>
      </c>
      <c r="I7" s="591">
        <f t="shared" si="2"/>
        <v>1</v>
      </c>
      <c r="J7" s="592">
        <f>SUM(J3:J6)</f>
        <v>12564200000</v>
      </c>
      <c r="K7" s="592">
        <f>SUM(K3:K6)</f>
        <v>435170000</v>
      </c>
      <c r="L7" s="592">
        <f>SUM(L3:L6)</f>
        <v>12999370000</v>
      </c>
      <c r="M7" s="600" t="s">
        <v>208</v>
      </c>
      <c r="N7" s="601">
        <v>183</v>
      </c>
      <c r="O7" s="602">
        <v>12564200000</v>
      </c>
      <c r="P7" s="602">
        <v>435170000</v>
      </c>
      <c r="Q7" s="603">
        <v>12999370000</v>
      </c>
    </row>
    <row r="8" spans="1:17" ht="19.5" thickBot="1">
      <c r="J8" s="599">
        <f>J7/$L$7</f>
        <v>0.96652376230540404</v>
      </c>
      <c r="K8" s="599">
        <f>K7/$L$7</f>
        <v>3.347623769459597E-2</v>
      </c>
      <c r="M8" s="598"/>
      <c r="N8" s="598"/>
      <c r="O8" s="598"/>
    </row>
    <row r="9" spans="1:17">
      <c r="M9" s="598"/>
      <c r="N9" s="598"/>
      <c r="O9" s="598"/>
    </row>
    <row r="10" spans="1:17">
      <c r="M10" s="598"/>
      <c r="N10" s="598"/>
      <c r="O10" s="598"/>
    </row>
    <row r="11" spans="1:17">
      <c r="M11" s="598"/>
      <c r="N11" s="598"/>
      <c r="O11" s="598"/>
    </row>
    <row r="12" spans="1:17">
      <c r="M12" s="598"/>
      <c r="N12" s="598"/>
      <c r="O12" s="598"/>
    </row>
    <row r="13" spans="1:17">
      <c r="M13" s="598"/>
      <c r="N13" s="598"/>
      <c r="O13" s="598"/>
    </row>
    <row r="14">
      <c r="B14" s="609" t="inlineStr">
        <is>
          <t xml:space="preserve">【116年目標試算方式彙整、115年規則比對與建議】</t>
        </is>
      </c>
      <c r="J14" s="624" t="inlineStr">
        <is>
          <t xml:space="preserve">製表：依 ver5_2 底稿結構整理；藍字黃底為可調參數；綠字為連動他表之數值；表內「(靜)」欄為以 ver5_1／ver5_2 數值離線計算之靜態值</t>
        </is>
      </c>
      <c r="M14" s="598"/>
      <c r="N14" s="598"/>
      <c r="O14" s="598"/>
    </row>
    <row r="15" spans="1:17">
      <c r="M15" s="598"/>
      <c r="N15" s="598"/>
      <c r="O15" s="598"/>
    </row>
    <row r="16">
      <c r="B16" s="610" t="inlineStr">
        <is>
          <t xml:space="preserve">壹、目前試算架構（ver5_2）</t>
        </is>
      </c>
      <c r="M16" s="598"/>
      <c r="N16" s="598"/>
      <c r="O16" s="598"/>
    </row>
    <row r="17">
      <c r="B17" s="614" t="inlineStr">
        <is>
          <t xml:space="preserve">1. 全行 116 年財管手收目標 130 億 ＝ ①成長目標（依 115 年年化達成率分類套公式）＋ ②綜合指標目標。②＝130 億 − ①合計，屬「餘額」，再依 前2年平均業績 20%／存款 25%／投資類AUM 25%／人數 25%／115年組別 5% 分攤（見 116年參數表）。</t>
        </is>
      </c>
      <c r="M17" s="598"/>
      <c r="N17" s="598"/>
      <c r="O17" s="598"/>
    </row>
    <row r="18">
      <c r="B18" s="614" t="inlineStr">
        <is>
          <t xml:space="preserve">2. 達成率 J ＝ 115年1–9月年化業績 ÷ 115年年中調整後目標；年化業績 ＝ 1–9月實績達成率 × 115年全年目標（115_分行業績!H 欄），未剔除超額大案。</t>
        </is>
      </c>
      <c r="M18" s="598"/>
      <c r="N18" s="598"/>
      <c r="O18" s="598"/>
    </row>
    <row r="19">
      <c r="B19" s="614" t="inlineStr">
        <is>
          <t xml:space="preserve">3. 分類門檻與參數即本表 E3:G6（原為隱藏欄，本次已取消隱藏）：底稿ver1 的 A 欄分類、O/P 欄文字、Q 欄金額皆以 VLOOKUP／IF 連動本表，改本表參數即全檔重算。</t>
        </is>
      </c>
      <c r="M19" s="598"/>
      <c r="N19" s="598"/>
      <c r="O19" s="598"/>
    </row>
    <row r="20">
      <c r="B20" s="614" t="inlineStr">
        <is>
          <t xml:space="preserve">4. 底稿 L/M/N 欄同時保留「115 年原規則」（參數見 原始參數_115）套用在 115 年化數字的結果，R 欄＝調整規則 − 原規則。K 欄「116試算達成率」＝115年化業績 ÷ 116目標合計，可視為「照 115 年水準做，116 年能達成幾成」。</t>
        </is>
      </c>
    </row>
    <row r="21">
      <c r="B21" s="614" t="inlineStr">
        <is>
          <t xml:space="preserve">5. ver5_1 為 6 類版本、ver5_2 改為 4 類；兩版成長目標合計不同，故綜合指標池（餘額）亦不同：ver5_1 6.73 億（5.2%）、ver5_2 4.35 億（3.3%）。</t>
        </is>
      </c>
    </row>
    <row r="22">
      <c r="B22" s="614" t="inlineStr">
        <is>
          <t xml:space="preserve">6. 「財管手收比較表_重點」為呈報表（前 20 名排名），欄位文字自底稿 P 欄帶入。</t>
        </is>
      </c>
    </row>
    <row r="24">
      <c r="B24" s="610" t="inlineStr">
        <is>
          <t xml:space="preserve">貳、三套規則公式對照（116成長目標 ＝ ？）</t>
        </is>
      </c>
    </row>
    <row r="25" ht="36" customHeight="1">
      <c r="B25" s="611" t="inlineStr">
        <is>
          <t xml:space="preserve">115年原規則（9類，原始參數_115）</t>
        </is>
      </c>
      <c r="C25" s="611" t="inlineStr">
        <is>
          <t xml:space="preserve">ver5_1（6類）</t>
        </is>
      </c>
      <c r="D25" s="611" t="inlineStr">
        <is>
          <t xml:space="preserve">ver5_2 現行（4類，本表E3:G6）</t>
        </is>
      </c>
      <c r="E25" s="611" t="inlineStr">
        <is>
          <t xml:space="preserve">建議 S4（現行框架＋兩端缺口分攤）</t>
        </is>
      </c>
    </row>
    <row r="26" ht="36" customHeight="1">
      <c r="B26" s="612" t="inlineStr">
        <is>
          <t xml:space="preserve">≥200%：預估實績×70%</t>
        </is>
      </c>
      <c r="C26" s="612" t="inlineStr">
        <is>
          <t xml:space="preserve">≥180%：預估實績×70%</t>
        </is>
      </c>
      <c r="D26" s="612" t="inlineStr">
        <is>
          <t xml:space="preserve">≥120%：115目標×120%×101%（＝目標×1.212，不看實績）</t>
        </is>
      </c>
      <c r="E26" s="612" t="inlineStr">
        <is>
          <t xml:space="preserve">≥120%：(115目標×1.2 ＋ βhi×(實績−115目標×1.2))×1.01；βhi＝0.5</t>
        </is>
      </c>
    </row>
    <row r="27" ht="36" customHeight="1">
      <c r="B27" s="612" t="inlineStr">
        <is>
          <t xml:space="preserve">150–200%：×80%</t>
        </is>
      </c>
      <c r="C27" s="612" t="inlineStr">
        <is>
          <t xml:space="preserve">150–180%：×80%</t>
        </is>
      </c>
      <c r="D27" s="612" t="inlineStr">
        <is>
          <t xml:space="preserve">100–120%：實績×101%（本表 C4/D4 文字寫 103%，實算 1.01）</t>
        </is>
      </c>
      <c r="E27" s="612" t="inlineStr">
        <is>
          <t xml:space="preserve">100–120%：實績×1.01（不變）</t>
        </is>
      </c>
    </row>
    <row r="28" ht="36" customHeight="1">
      <c r="B28" s="612" t="inlineStr">
        <is>
          <t xml:space="preserve">130–150%：×90%</t>
        </is>
      </c>
      <c r="C28" s="612" t="inlineStr">
        <is>
          <t xml:space="preserve">135–150%：×90%</t>
        </is>
      </c>
      <c r="D28" s="612" t="inlineStr">
        <is>
          <t xml:space="preserve">80–100%：實績×103%（本表 C5/D5 文字寫 105%，實算 1.03）</t>
        </is>
      </c>
      <c r="E28" s="612" t="inlineStr">
        <is>
          <t xml:space="preserve">80–100%：實績×1.03（不變）</t>
        </is>
      </c>
    </row>
    <row r="29" ht="36" customHeight="1">
      <c r="B29" s="612" t="inlineStr">
        <is>
          <t xml:space="preserve">120–130%：×101%</t>
        </is>
      </c>
      <c r="C29" s="612" t="inlineStr">
        <is>
          <t xml:space="preserve">100–135%：×101%</t>
        </is>
      </c>
      <c r="D29" s="612" t="inlineStr">
        <is>
          <t xml:space="preserve">&lt;80%：115目標×80%×120%（＝目標×0.96）</t>
        </is>
      </c>
      <c r="E29" s="612" t="inlineStr">
        <is>
          <t xml:space="preserve">&lt;80%：(實績 ＋ βlo×(115目標×0.8 − 實績))×1.03；βlo＝0.5</t>
        </is>
      </c>
    </row>
    <row r="30" ht="36" customHeight="1">
      <c r="B30" s="612" t="inlineStr">
        <is>
          <t xml:space="preserve">110–120%：×103%</t>
        </is>
      </c>
      <c r="C30" s="612" t="inlineStr">
        <is>
          <t xml:space="preserve">80–100%：×102%</t>
        </is>
      </c>
      <c r="D30" s="612" t="inlineStr">
        <is>
          <t xml:space="preserve"/>
        </is>
      </c>
      <c r="E30" s="612" t="inlineStr">
        <is>
          <t xml:space="preserve"/>
        </is>
      </c>
    </row>
    <row r="31" ht="36" customHeight="1">
      <c r="B31" s="612" t="inlineStr">
        <is>
          <t xml:space="preserve">100–110%：×105%</t>
        </is>
      </c>
      <c r="C31" s="612" t="inlineStr">
        <is>
          <t xml:space="preserve">&lt;80%：×103%</t>
        </is>
      </c>
      <c r="D31" s="612" t="inlineStr">
        <is>
          <t xml:space="preserve"/>
        </is>
      </c>
      <c r="E31" s="612" t="inlineStr">
        <is>
          <t xml:space="preserve"/>
        </is>
      </c>
    </row>
    <row r="32" ht="36" customHeight="1">
      <c r="B32" s="612" t="inlineStr">
        <is>
          <t xml:space="preserve">90–100%：115目標×105%</t>
        </is>
      </c>
      <c r="C32" s="612" t="inlineStr">
        <is>
          <t xml:space="preserve"/>
        </is>
      </c>
      <c r="D32" s="612" t="inlineStr">
        <is>
          <t xml:space="preserve"/>
        </is>
      </c>
      <c r="E32" s="612" t="inlineStr">
        <is>
          <t xml:space="preserve"/>
        </is>
      </c>
    </row>
    <row r="33" ht="36" customHeight="1">
      <c r="B33" s="612" t="inlineStr">
        <is>
          <t xml:space="preserve">75–90%：115目標×110%</t>
        </is>
      </c>
      <c r="C33" s="612" t="inlineStr">
        <is>
          <t xml:space="preserve"/>
        </is>
      </c>
      <c r="D33" s="612" t="inlineStr">
        <is>
          <t xml:space="preserve"/>
        </is>
      </c>
      <c r="E33" s="612" t="inlineStr">
        <is>
          <t xml:space="preserve"/>
        </is>
      </c>
    </row>
    <row r="34" ht="36" customHeight="1">
      <c r="B34" s="612" t="inlineStr">
        <is>
          <t xml:space="preserve">&lt;75%：115目標×115%</t>
        </is>
      </c>
      <c r="C34" s="612" t="inlineStr">
        <is>
          <t xml:space="preserve"/>
        </is>
      </c>
      <c r="D34" s="612" t="inlineStr">
        <is>
          <t xml:space="preserve"/>
        </is>
      </c>
      <c r="E34" s="612" t="inlineStr">
        <is>
          <t xml:space="preserve">最後全體等比例校準，使成長目標合計維持 125.64 億（綜合池不變）</t>
        </is>
      </c>
    </row>
    <row r="36">
      <c r="B36" s="615" t="inlineStr">
        <is>
          <t xml:space="preserve">各達成率水準下「116成長目標 ÷ 115年化實績」倍數（分行實際感受到的成長率；1.000＝持平）</t>
        </is>
      </c>
    </row>
    <row r="37" ht="48" customHeight="1">
      <c r="B37" s="611" t="inlineStr">
        <is>
          <t xml:space="preserve">115年化達成率</t>
        </is>
      </c>
      <c r="C37" s="611" t="inlineStr">
        <is>
          <t xml:space="preserve">115年原規則</t>
        </is>
      </c>
      <c r="D37" s="611" t="inlineStr">
        <is>
          <t xml:space="preserve">ver5_1</t>
        </is>
      </c>
      <c r="E37" s="611" t="inlineStr">
        <is>
          <t xml:space="preserve">ver5_2 現行（連動E3:G6）</t>
        </is>
      </c>
      <c r="F37" s="611" t="inlineStr">
        <is>
          <t xml:space="preserve">ver5_2 ÷115目標</t>
        </is>
      </c>
      <c r="G37" s="611" t="inlineStr">
        <is>
          <t xml:space="preserve">建議S4（連動模擬表）</t>
        </is>
      </c>
      <c r="H37" s="611" t="inlineStr">
        <is>
          <t xml:space="preserve">建議S3（連動模擬表）</t>
        </is>
      </c>
      <c r="I37" s="611" t="inlineStr">
        <is>
          <t xml:space="preserve">備註</t>
        </is>
      </c>
    </row>
    <row r="38">
      <c r="B38" s="620">
        <v>0.52</v>
      </c>
      <c r="C38" s="619">
        <f>IF(VLOOKUP($B38,原始參數_115!$E$2:$G$10,2,TRUE)&lt;&gt;1,VLOOKUP($B38,原始參數_115!$E$2:$G$10,2,TRUE),VLOOKUP($B38,原始參數_115!$E$2:$G$10,3,TRUE)/$B38)</f>
        <v>2.21153846153846</v>
      </c>
      <c r="D38" s="619">
        <f>IF($B38&gt;=1.8,0.7,IF($B38&gt;=1.5,0.8,IF($B38&gt;=1.35,0.9,IF($B38&gt;=1,1.01,IF($B38&gt;=0.8,1.02,1.03)))))</f>
        <v>1.03</v>
      </c>
      <c r="E38" s="619">
        <f>IF($B38&gt;=$E$3,$F$3*$G$3/$B38,IF($B38&gt;=$E$4,$F$4,IF($B38&gt;=$E$5,$F$5,$F$6*$G$6/$B38)))</f>
        <v>1.84615384615385</v>
      </c>
      <c r="F38" s="619">
        <f>E38*$B38</f>
        <v>0.96</v>
      </c>
      <c r="G38" s="619">
        <f>IF($B38&gt;='116替代方案模擬'!$H$2,('116替代方案模擬'!$H$2+'116替代方案模擬'!$D$2*($B38-'116替代方案模擬'!$H$2))*'116替代方案模擬'!$N$2/$B38,IF($B38&gt;='116替代方案模擬'!$J$2,'116替代方案模擬'!$P$2,IF($B38&gt;='116替代方案模擬'!$L$2,'116替代方案模擬'!$R$2,($B38+'116替代方案模擬'!$F$2*('116替代方案模擬'!$L$2-$B38))*'116替代方案模擬'!$R$2/$B38)))*'116替代方案模擬'!$H$4</f>
        <v>1.31354809646218</v>
      </c>
      <c r="H38" s="619">
        <f>MAX(1+MAX('116替代方案模擬'!$H$3,MIN('116替代方案模擬'!$J$3,'116替代方案模擬'!$D$3-'116替代方案模擬'!$F$3*($B38-1))),'116替代方案模擬'!$L$3/$B38)*'116替代方案模擬'!$L$4</f>
        <v>1.63449309879433</v>
      </c>
      <c r="I38" s="613" t="inlineStr">
        <is>
          <t xml:space="preserve"/>
        </is>
      </c>
    </row>
    <row r="39">
      <c r="B39" s="620">
        <v>0.6</v>
      </c>
      <c r="C39" s="619">
        <f>IF(VLOOKUP($B39,原始參數_115!$E$2:$G$10,2,TRUE)&lt;&gt;1,VLOOKUP($B39,原始參數_115!$E$2:$G$10,2,TRUE),VLOOKUP($B39,原始參數_115!$E$2:$G$10,3,TRUE)/$B39)</f>
        <v>1.91666666666667</v>
      </c>
      <c r="D39" s="619">
        <f>IF($B39&gt;=1.8,0.7,IF($B39&gt;=1.5,0.8,IF($B39&gt;=1.35,0.9,IF($B39&gt;=1,1.01,IF($B39&gt;=0.8,1.02,1.03)))))</f>
        <v>1.03</v>
      </c>
      <c r="E39" s="619">
        <f>IF($B39&gt;=$E$3,$F$3*$G$3/$B39,IF($B39&gt;=$E$4,$F$4,IF($B39&gt;=$E$5,$F$5,$F$6*$G$6/$B39)))</f>
        <v>1.6</v>
      </c>
      <c r="F39" s="619">
        <f>E39*$B39</f>
        <v>0.96</v>
      </c>
      <c r="G39" s="619">
        <f>IF($B39&gt;='116替代方案模擬'!$H$2,('116替代方案模擬'!$H$2+'116替代方案模擬'!$D$2*($B39-'116替代方案模擬'!$H$2))*'116替代方案模擬'!$N$2/$B39,IF($B39&gt;='116替代方案模擬'!$J$2,'116替代方案模擬'!$P$2,IF($B39&gt;='116替代方案模擬'!$L$2,'116替代方案模擬'!$R$2,($B39+'116替代方案模擬'!$F$2*('116替代方案模擬'!$L$2-$B39))*'116替代方案模擬'!$R$2/$B39)))*'116替代方案模擬'!$H$4</f>
        <v>1.20740279573796</v>
      </c>
      <c r="H39" s="619">
        <f>MAX(1+MAX('116替代方案模擬'!$H$3,MIN('116替代方案模擬'!$J$3,'116替代方案模擬'!$D$3-'116替代方案模擬'!$F$3*($B39-1))),'116替代方案模擬'!$L$3/$B39)*'116替代方案模擬'!$L$4</f>
        <v>1.41656068562175</v>
      </c>
      <c r="I39" s="613" t="inlineStr">
        <is>
          <t xml:space="preserve"/>
        </is>
      </c>
    </row>
    <row r="40">
      <c r="B40" s="620">
        <v>0.7</v>
      </c>
      <c r="C40" s="619">
        <f>IF(VLOOKUP($B40,原始參數_115!$E$2:$G$10,2,TRUE)&lt;&gt;1,VLOOKUP($B40,原始參數_115!$E$2:$G$10,2,TRUE),VLOOKUP($B40,原始參數_115!$E$2:$G$10,3,TRUE)/$B40)</f>
        <v>1.64285714285714</v>
      </c>
      <c r="D40" s="619">
        <f>IF($B40&gt;=1.8,0.7,IF($B40&gt;=1.5,0.8,IF($B40&gt;=1.35,0.9,IF($B40&gt;=1,1.01,IF($B40&gt;=0.8,1.02,1.03)))))</f>
        <v>1.03</v>
      </c>
      <c r="E40" s="619">
        <f>IF($B40&gt;=$E$3,$F$3*$G$3/$B40,IF($B40&gt;=$E$4,$F$4,IF($B40&gt;=$E$5,$F$5,$F$6*$G$6/$B40)))</f>
        <v>1.37142857142857</v>
      </c>
      <c r="F40" s="619">
        <f>E40*$B40</f>
        <v>0.96</v>
      </c>
      <c r="G40" s="619">
        <f>IF($B40&gt;='116替代方案模擬'!$H$2,('116替代方案模擬'!$H$2+'116替代方案模擬'!$D$2*($B40-'116替代方案模擬'!$H$2))*'116替代方案模擬'!$N$2/$B40,IF($B40&gt;='116替代方案模擬'!$J$2,'116替代方案模擬'!$P$2,IF($B40&gt;='116替代方案模擬'!$L$2,'116替代方案模擬'!$R$2,($B40+'116替代方案模擬'!$F$2*('116替代方案模擬'!$L$2-$B40))*'116替代方案模擬'!$R$2/$B40)))*'116替代方案模擬'!$H$4</f>
        <v>1.10883930220833</v>
      </c>
      <c r="H40" s="619">
        <f>MAX(1+MAX('116替代方案模擬'!$H$3,MIN('116替代方案模擬'!$J$3,'116替代方案模擬'!$D$3-'116替代方案模擬'!$F$3*($B40-1))),'116替代方案模擬'!$L$3/$B40)*'116替代方案模擬'!$L$4</f>
        <v>1.21419487339008</v>
      </c>
      <c r="I40" s="613" t="inlineStr">
        <is>
          <t xml:space="preserve"/>
        </is>
      </c>
    </row>
    <row r="41">
      <c r="B41" s="620">
        <v>0.74</v>
      </c>
      <c r="C41" s="619">
        <f>IF(VLOOKUP($B41,原始參數_115!$E$2:$G$10,2,TRUE)&lt;&gt;1,VLOOKUP($B41,原始參數_115!$E$2:$G$10,2,TRUE),VLOOKUP($B41,原始參數_115!$E$2:$G$10,3,TRUE)/$B41)</f>
        <v>1.55405405405405</v>
      </c>
      <c r="D41" s="619">
        <f>IF($B41&gt;=1.8,0.7,IF($B41&gt;=1.5,0.8,IF($B41&gt;=1.35,0.9,IF($B41&gt;=1,1.01,IF($B41&gt;=0.8,1.02,1.03)))))</f>
        <v>1.03</v>
      </c>
      <c r="E41" s="619">
        <f>IF($B41&gt;=$E$3,$F$3*$G$3/$B41,IF($B41&gt;=$E$4,$F$4,IF($B41&gt;=$E$5,$F$5,$F$6*$G$6/$B41)))</f>
        <v>1.2972972972973</v>
      </c>
      <c r="F41" s="619">
        <f>E41*$B41</f>
        <v>0.96</v>
      </c>
      <c r="G41" s="619">
        <f>IF($B41&gt;='116替代方案模擬'!$H$2,('116替代方案模擬'!$H$2+'116替代方案模擬'!$D$2*($B41-'116替代方案模擬'!$H$2))*'116替代方案模擬'!$N$2/$B41,IF($B41&gt;='116替代方案模擬'!$J$2,'116替代方案模擬'!$P$2,IF($B41&gt;='116替代方案模擬'!$L$2,'116替代方案模擬'!$R$2,($B41+'116替代方案模擬'!$F$2*('116替代方案模擬'!$L$2-$B41))*'116替代方案模擬'!$R$2/$B41)))*'116替代方案模擬'!$H$4</f>
        <v>1.07687276376629</v>
      </c>
      <c r="H41" s="619">
        <f>MAX(1+MAX('116替代方案模擬'!$H$3,MIN('116替代方案模擬'!$J$3,'116替代方案模擬'!$D$3-'116替代方案模擬'!$F$3*($B41-1))),'116替代方案模擬'!$L$3/$B41)*'116替代方案模擬'!$L$4</f>
        <v>1.14856271807169</v>
      </c>
      <c r="I41" s="613" t="inlineStr">
        <is>
          <t xml:space="preserve"/>
        </is>
      </c>
    </row>
    <row r="42">
      <c r="B42" s="620">
        <v>0.75</v>
      </c>
      <c r="C42" s="619">
        <f>IF(VLOOKUP($B42,原始參數_115!$E$2:$G$10,2,TRUE)&lt;&gt;1,VLOOKUP($B42,原始參數_115!$E$2:$G$10,2,TRUE),VLOOKUP($B42,原始參數_115!$E$2:$G$10,3,TRUE)/$B42)</f>
        <v>1.46666666666667</v>
      </c>
      <c r="D42" s="619">
        <f>IF($B42&gt;=1.8,0.7,IF($B42&gt;=1.5,0.8,IF($B42&gt;=1.35,0.9,IF($B42&gt;=1,1.01,IF($B42&gt;=0.8,1.02,1.03)))))</f>
        <v>1.03</v>
      </c>
      <c r="E42" s="619">
        <f>IF($B42&gt;=$E$3,$F$3*$G$3/$B42,IF($B42&gt;=$E$4,$F$4,IF($B42&gt;=$E$5,$F$5,$F$6*$G$6/$B42)))</f>
        <v>1.28</v>
      </c>
      <c r="F42" s="619">
        <f>E42*$B42</f>
        <v>0.96</v>
      </c>
      <c r="G42" s="619">
        <f>IF($B42&gt;='116替代方案模擬'!$H$2,('116替代方案模擬'!$H$2+'116替代方案模擬'!$D$2*($B42-'116替代方案模擬'!$H$2))*'116替代方案模擬'!$N$2/$B42,IF($B42&gt;='116替代方案模擬'!$J$2,'116替代方案模擬'!$P$2,IF($B42&gt;='116替代方案模擬'!$L$2,'116替代方案模擬'!$R$2,($B42+'116替代方案模擬'!$F$2*('116替代方案模擬'!$L$2-$B42))*'116替代方案模擬'!$R$2/$B42)))*'116替代方案模擬'!$H$4</f>
        <v>1.06941390479648</v>
      </c>
      <c r="H42" s="619">
        <f>MAX(1+MAX('116替代方案模擬'!$H$3,MIN('116替代方案模擬'!$J$3,'116替代方案模擬'!$D$3-'116替代方案模擬'!$F$3*($B42-1))),'116替代方案模擬'!$L$3/$B42)*'116替代方案模擬'!$L$4</f>
        <v>1.1332485484974</v>
      </c>
      <c r="I42" s="613" t="inlineStr">
        <is>
          <t xml:space="preserve"/>
        </is>
      </c>
    </row>
    <row r="43">
      <c r="B43" s="620">
        <v>0.79</v>
      </c>
      <c r="C43" s="619">
        <f>IF(VLOOKUP($B43,原始參數_115!$E$2:$G$10,2,TRUE)&lt;&gt;1,VLOOKUP($B43,原始參數_115!$E$2:$G$10,2,TRUE),VLOOKUP($B43,原始參數_115!$E$2:$G$10,3,TRUE)/$B43)</f>
        <v>1.39240506329114</v>
      </c>
      <c r="D43" s="619">
        <f>IF($B43&gt;=1.8,0.7,IF($B43&gt;=1.5,0.8,IF($B43&gt;=1.35,0.9,IF($B43&gt;=1,1.01,IF($B43&gt;=0.8,1.02,1.03)))))</f>
        <v>1.03</v>
      </c>
      <c r="E43" s="619">
        <f>IF($B43&gt;=$E$3,$F$3*$G$3/$B43,IF($B43&gt;=$E$4,$F$4,IF($B43&gt;=$E$5,$F$5,$F$6*$G$6/$B43)))</f>
        <v>1.21518987341772</v>
      </c>
      <c r="F43" s="619">
        <f>E43*$B43</f>
        <v>0.96</v>
      </c>
      <c r="G43" s="619">
        <f>IF($B43&gt;='116替代方案模擬'!$H$2,('116替代方案模擬'!$H$2+'116替代方案模擬'!$D$2*($B43-'116替代方案模擬'!$H$2))*'116替代方案模擬'!$N$2/$B43,IF($B43&gt;='116替代方案模擬'!$J$2,'116替代方案模擬'!$P$2,IF($B43&gt;='116替代方案模擬'!$L$2,'116替代方案模擬'!$R$2,($B43+'116替代方案模擬'!$F$2*('116替代方案模擬'!$L$2-$B43))*'116替代方案模擬'!$R$2/$B43)))*'116替代方案模擬'!$H$4</f>
        <v>1.04146678764378</v>
      </c>
      <c r="H43" s="619">
        <f>MAX(1+MAX('116替代方案模擬'!$H$3,MIN('116替代方案模擬'!$J$3,'116替代方案模擬'!$D$3-'116替代方案模擬'!$F$3*($B43-1))),'116替代方案模擬'!$L$3/$B43)*'116替代方案模擬'!$L$4</f>
        <v>1.07841931725393</v>
      </c>
      <c r="I43" s="613" t="inlineStr">
        <is>
          <t xml:space="preserve">←ver5_2：79% 的目標(÷115目標0.960)高於 80%(0.824)，反向斷層</t>
        </is>
      </c>
    </row>
    <row r="44">
      <c r="B44" s="620">
        <v>0.8</v>
      </c>
      <c r="C44" s="619">
        <f>IF(VLOOKUP($B44,原始參數_115!$E$2:$G$10,2,TRUE)&lt;&gt;1,VLOOKUP($B44,原始參數_115!$E$2:$G$10,2,TRUE),VLOOKUP($B44,原始參數_115!$E$2:$G$10,3,TRUE)/$B44)</f>
        <v>1.375</v>
      </c>
      <c r="D44" s="619">
        <f>IF($B44&gt;=1.8,0.7,IF($B44&gt;=1.5,0.8,IF($B44&gt;=1.35,0.9,IF($B44&gt;=1,1.01,IF($B44&gt;=0.8,1.02,1.03)))))</f>
        <v>1.02</v>
      </c>
      <c r="E44" s="619">
        <f>IF($B44&gt;=$E$3,$F$3*$G$3/$B44,IF($B44&gt;=$E$4,$F$4,IF($B44&gt;=$E$5,$F$5,$F$6*$G$6/$B44)))</f>
        <v>1.03</v>
      </c>
      <c r="F44" s="619">
        <f>E44*$B44</f>
        <v>0.824</v>
      </c>
      <c r="G44" s="619">
        <f>IF($B44&gt;='116替代方案模擬'!$H$2,('116替代方案模擬'!$H$2+'116替代方案模擬'!$D$2*($B44-'116替代方案模擬'!$H$2))*'116替代方案模擬'!$N$2/$B44,IF($B44&gt;='116替代方案模擬'!$J$2,'116替代方案模擬'!$P$2,IF($B44&gt;='116替代方案模擬'!$L$2,'116替代方案模擬'!$R$2,($B44+'116替代方案模擬'!$F$2*('116替代方案模擬'!$L$2-$B44))*'116替代方案模擬'!$R$2/$B44)))*'116替代方案模擬'!$H$4</f>
        <v>1.03491668206111</v>
      </c>
      <c r="H44" s="619">
        <f>MAX(1+MAX('116替代方案模擬'!$H$3,MIN('116替代方案模擬'!$J$3,'116替代方案模擬'!$D$3-'116替代方案模擬'!$F$3*($B44-1))),'116替代方案模擬'!$L$3/$B44)*'116替代方案模擬'!$L$4</f>
        <v>1.0759195042793</v>
      </c>
      <c r="I44" s="613" t="inlineStr">
        <is>
          <t xml:space="preserve"/>
        </is>
      </c>
    </row>
    <row r="45">
      <c r="B45" s="620">
        <v>0.89</v>
      </c>
      <c r="C45" s="619">
        <f>IF(VLOOKUP($B45,原始參數_115!$E$2:$G$10,2,TRUE)&lt;&gt;1,VLOOKUP($B45,原始參數_115!$E$2:$G$10,2,TRUE),VLOOKUP($B45,原始參數_115!$E$2:$G$10,3,TRUE)/$B45)</f>
        <v>1.23595505617978</v>
      </c>
      <c r="D45" s="619">
        <f>IF($B45&gt;=1.8,0.7,IF($B45&gt;=1.5,0.8,IF($B45&gt;=1.35,0.9,IF($B45&gt;=1,1.01,IF($B45&gt;=0.8,1.02,1.03)))))</f>
        <v>1.02</v>
      </c>
      <c r="E45" s="619">
        <f>IF($B45&gt;=$E$3,$F$3*$G$3/$B45,IF($B45&gt;=$E$4,$F$4,IF($B45&gt;=$E$5,$F$5,$F$6*$G$6/$B45)))</f>
        <v>1.03</v>
      </c>
      <c r="F45" s="619">
        <f>E45*$B45</f>
        <v>0.9167</v>
      </c>
      <c r="G45" s="619">
        <f>IF($B45&gt;='116替代方案模擬'!$H$2,('116替代方案模擬'!$H$2+'116替代方案模擬'!$D$2*($B45-'116替代方案模擬'!$H$2))*'116替代方案模擬'!$N$2/$B45,IF($B45&gt;='116替代方案模擬'!$J$2,'116替代方案模擬'!$P$2,IF($B45&gt;='116替代方案模擬'!$L$2,'116替代方案模擬'!$R$2,($B45+'116替代方案模擬'!$F$2*('116替代方案模擬'!$L$2-$B45))*'116替代方案模擬'!$R$2/$B45)))*'116替代方案模擬'!$H$4</f>
        <v>1.03491668206111</v>
      </c>
      <c r="H45" s="619">
        <f>MAX(1+MAX('116替代方案模擬'!$H$3,MIN('116替代方案模擬'!$J$3,'116替代方案模擬'!$D$3-'116替代方案模擬'!$F$3*($B45-1))),'116替代方案模擬'!$L$3/$B45)*'116替代方案模擬'!$L$4</f>
        <v>1.05342118750766</v>
      </c>
      <c r="I45" s="613" t="inlineStr">
        <is>
          <t xml:space="preserve"/>
        </is>
      </c>
    </row>
    <row r="46">
      <c r="B46" s="620">
        <v>0.9</v>
      </c>
      <c r="C46" s="619">
        <f>IF(VLOOKUP($B46,原始參數_115!$E$2:$G$10,2,TRUE)&lt;&gt;1,VLOOKUP($B46,原始參數_115!$E$2:$G$10,2,TRUE),VLOOKUP($B46,原始參數_115!$E$2:$G$10,3,TRUE)/$B46)</f>
        <v>1.16666666666667</v>
      </c>
      <c r="D46" s="619">
        <f>IF($B46&gt;=1.8,0.7,IF($B46&gt;=1.5,0.8,IF($B46&gt;=1.35,0.9,IF($B46&gt;=1,1.01,IF($B46&gt;=0.8,1.02,1.03)))))</f>
        <v>1.02</v>
      </c>
      <c r="E46" s="619">
        <f>IF($B46&gt;=$E$3,$F$3*$G$3/$B46,IF($B46&gt;=$E$4,$F$4,IF($B46&gt;=$E$5,$F$5,$F$6*$G$6/$B46)))</f>
        <v>1.03</v>
      </c>
      <c r="F46" s="619">
        <f>E46*$B46</f>
        <v>0.927</v>
      </c>
      <c r="G46" s="619">
        <f>IF($B46&gt;='116替代方案模擬'!$H$2,('116替代方案模擬'!$H$2+'116替代方案模擬'!$D$2*($B46-'116替代方案模擬'!$H$2))*'116替代方案模擬'!$N$2/$B46,IF($B46&gt;='116替代方案模擬'!$J$2,'116替代方案模擬'!$P$2,IF($B46&gt;='116替代方案模擬'!$L$2,'116替代方案模擬'!$R$2,($B46+'116替代方案模擬'!$F$2*('116替代方案模擬'!$L$2-$B46))*'116替代方案模擬'!$R$2/$B46)))*'116替代方案模擬'!$H$4</f>
        <v>1.03491668206111</v>
      </c>
      <c r="H46" s="619">
        <f>MAX(1+MAX('116替代方案模擬'!$H$3,MIN('116替代方案模擬'!$J$3,'116替代方案模擬'!$D$3-'116替代方案模擬'!$F$3*($B46-1))),'116替代方案模擬'!$L$3/$B46)*'116替代方案模擬'!$L$4</f>
        <v>1.05092137453303</v>
      </c>
      <c r="I46" s="613" t="inlineStr">
        <is>
          <t xml:space="preserve"/>
        </is>
      </c>
    </row>
    <row r="47">
      <c r="B47" s="620">
        <v>0.99</v>
      </c>
      <c r="C47" s="619">
        <f>IF(VLOOKUP($B47,原始參數_115!$E$2:$G$10,2,TRUE)&lt;&gt;1,VLOOKUP($B47,原始參數_115!$E$2:$G$10,2,TRUE),VLOOKUP($B47,原始參數_115!$E$2:$G$10,3,TRUE)/$B47)</f>
        <v>1.06060606060606</v>
      </c>
      <c r="D47" s="619">
        <f>IF($B47&gt;=1.8,0.7,IF($B47&gt;=1.5,0.8,IF($B47&gt;=1.35,0.9,IF($B47&gt;=1,1.01,IF($B47&gt;=0.8,1.02,1.03)))))</f>
        <v>1.02</v>
      </c>
      <c r="E47" s="619">
        <f>IF($B47&gt;=$E$3,$F$3*$G$3/$B47,IF($B47&gt;=$E$4,$F$4,IF($B47&gt;=$E$5,$F$5,$F$6*$G$6/$B47)))</f>
        <v>1.03</v>
      </c>
      <c r="F47" s="619">
        <f>E47*$B47</f>
        <v>1.0197</v>
      </c>
      <c r="G47" s="619">
        <f>IF($B47&gt;='116替代方案模擬'!$H$2,('116替代方案模擬'!$H$2+'116替代方案模擬'!$D$2*($B47-'116替代方案模擬'!$H$2))*'116替代方案模擬'!$N$2/$B47,IF($B47&gt;='116替代方案模擬'!$J$2,'116替代方案模擬'!$P$2,IF($B47&gt;='116替代方案模擬'!$L$2,'116替代方案模擬'!$R$2,($B47+'116替代方案模擬'!$F$2*('116替代方案模擬'!$L$2-$B47))*'116替代方案模擬'!$R$2/$B47)))*'116替代方案模擬'!$H$4</f>
        <v>1.03491668206111</v>
      </c>
      <c r="H47" s="619">
        <f>MAX(1+MAX('116替代方案模擬'!$H$3,MIN('116替代方案模擬'!$J$3,'116替代方案模擬'!$D$3-'116替代方案模擬'!$F$3*($B47-1))),'116替代方案模擬'!$L$3/$B47)*'116替代方案模擬'!$L$4</f>
        <v>1.02842305776139</v>
      </c>
      <c r="I47" s="613" t="inlineStr">
        <is>
          <t xml:space="preserve"/>
        </is>
      </c>
    </row>
    <row r="48">
      <c r="B48" s="620">
        <v>1.0</v>
      </c>
      <c r="C48" s="619">
        <f>IF(VLOOKUP($B48,原始參數_115!$E$2:$G$10,2,TRUE)&lt;&gt;1,VLOOKUP($B48,原始參數_115!$E$2:$G$10,2,TRUE),VLOOKUP($B48,原始參數_115!$E$2:$G$10,3,TRUE)/$B48)</f>
        <v>1.05</v>
      </c>
      <c r="D48" s="619">
        <f>IF($B48&gt;=1.8,0.7,IF($B48&gt;=1.5,0.8,IF($B48&gt;=1.35,0.9,IF($B48&gt;=1,1.01,IF($B48&gt;=0.8,1.02,1.03)))))</f>
        <v>1.01</v>
      </c>
      <c r="E48" s="619">
        <f>IF($B48&gt;=$E$3,$F$3*$G$3/$B48,IF($B48&gt;=$E$4,$F$4,IF($B48&gt;=$E$5,$F$5,$F$6*$G$6/$B48)))</f>
        <v>1.01</v>
      </c>
      <c r="F48" s="619">
        <f>E48*$B48</f>
        <v>1.01</v>
      </c>
      <c r="G48" s="619">
        <f>IF($B48&gt;='116替代方案模擬'!$H$2,('116替代方案模擬'!$H$2+'116替代方案模擬'!$D$2*($B48-'116替代方案模擬'!$H$2))*'116替代方案模擬'!$N$2/$B48,IF($B48&gt;='116替代方案模擬'!$J$2,'116替代方案模擬'!$P$2,IF($B48&gt;='116替代方案模擬'!$L$2,'116替代方案模擬'!$R$2,($B48+'116替代方案模擬'!$F$2*('116替代方案模擬'!$L$2-$B48))*'116替代方案模擬'!$R$2/$B48)))*'116替代方案模擬'!$H$4</f>
        <v>1.01482121250653</v>
      </c>
      <c r="H48" s="619">
        <f>MAX(1+MAX('116替代方案模擬'!$H$3,MIN('116替代方案模擬'!$J$3,'116替代方案模擬'!$D$3-'116替代方案模擬'!$F$3*($B48-1))),'116替代方案模擬'!$L$3/$B48)*'116替代方案模擬'!$L$4</f>
        <v>1.02592324478677</v>
      </c>
      <c r="I48" s="613" t="inlineStr">
        <is>
          <t xml:space="preserve"/>
        </is>
      </c>
    </row>
    <row r="49">
      <c r="B49" s="620">
        <v>1.09</v>
      </c>
      <c r="C49" s="619">
        <f>IF(VLOOKUP($B49,原始參數_115!$E$2:$G$10,2,TRUE)&lt;&gt;1,VLOOKUP($B49,原始參數_115!$E$2:$G$10,2,TRUE),VLOOKUP($B49,原始參數_115!$E$2:$G$10,3,TRUE)/$B49)</f>
        <v>1.05</v>
      </c>
      <c r="D49" s="619">
        <f>IF($B49&gt;=1.8,0.7,IF($B49&gt;=1.5,0.8,IF($B49&gt;=1.35,0.9,IF($B49&gt;=1,1.01,IF($B49&gt;=0.8,1.02,1.03)))))</f>
        <v>1.01</v>
      </c>
      <c r="E49" s="619">
        <f>IF($B49&gt;=$E$3,$F$3*$G$3/$B49,IF($B49&gt;=$E$4,$F$4,IF($B49&gt;=$E$5,$F$5,$F$6*$G$6/$B49)))</f>
        <v>1.01</v>
      </c>
      <c r="F49" s="619">
        <f>E49*$B49</f>
        <v>1.1009</v>
      </c>
      <c r="G49" s="619">
        <f>IF($B49&gt;='116替代方案模擬'!$H$2,('116替代方案模擬'!$H$2+'116替代方案模擬'!$D$2*($B49-'116替代方案模擬'!$H$2))*'116替代方案模擬'!$N$2/$B49,IF($B49&gt;='116替代方案模擬'!$J$2,'116替代方案模擬'!$P$2,IF($B49&gt;='116替代方案模擬'!$L$2,'116替代方案模擬'!$R$2,($B49+'116替代方案模擬'!$F$2*('116替代方案模擬'!$L$2-$B49))*'116替代方案模擬'!$R$2/$B49)))*'116替代方案模擬'!$H$4</f>
        <v>1.01482121250653</v>
      </c>
      <c r="H49" s="619">
        <f>MAX(1+MAX('116替代方案模擬'!$H$3,MIN('116替代方案模擬'!$J$3,'116替代方案模擬'!$D$3-'116替代方案模擬'!$F$3*($B49-1))),'116替代方案模擬'!$L$3/$B49)*'116替代方案模擬'!$L$4</f>
        <v>1.00342492801513</v>
      </c>
      <c r="I49" s="613" t="inlineStr">
        <is>
          <t xml:space="preserve"/>
        </is>
      </c>
    </row>
    <row r="50">
      <c r="B50" s="620">
        <v>1.1</v>
      </c>
      <c r="C50" s="619">
        <f>IF(VLOOKUP($B50,原始參數_115!$E$2:$G$10,2,TRUE)&lt;&gt;1,VLOOKUP($B50,原始參數_115!$E$2:$G$10,2,TRUE),VLOOKUP($B50,原始參數_115!$E$2:$G$10,3,TRUE)/$B50)</f>
        <v>1.03</v>
      </c>
      <c r="D50" s="619">
        <f>IF($B50&gt;=1.8,0.7,IF($B50&gt;=1.5,0.8,IF($B50&gt;=1.35,0.9,IF($B50&gt;=1,1.01,IF($B50&gt;=0.8,1.02,1.03)))))</f>
        <v>1.01</v>
      </c>
      <c r="E50" s="619">
        <f>IF($B50&gt;=$E$3,$F$3*$G$3/$B50,IF($B50&gt;=$E$4,$F$4,IF($B50&gt;=$E$5,$F$5,$F$6*$G$6/$B50)))</f>
        <v>1.01</v>
      </c>
      <c r="F50" s="619">
        <f>E50*$B50</f>
        <v>1.111</v>
      </c>
      <c r="G50" s="619">
        <f>IF($B50&gt;='116替代方案模擬'!$H$2,('116替代方案模擬'!$H$2+'116替代方案模擬'!$D$2*($B50-'116替代方案模擬'!$H$2))*'116替代方案模擬'!$N$2/$B50,IF($B50&gt;='116替代方案模擬'!$J$2,'116替代方案模擬'!$P$2,IF($B50&gt;='116替代方案模擬'!$L$2,'116替代方案模擬'!$R$2,($B50+'116替代方案模擬'!$F$2*('116替代方案模擬'!$L$2-$B50))*'116替代方案模擬'!$R$2/$B50)))*'116替代方案模擬'!$H$4</f>
        <v>1.01482121250653</v>
      </c>
      <c r="H50" s="619">
        <f>MAX(1+MAX('116替代方案模擬'!$H$3,MIN('116替代方案模擬'!$J$3,'116替代方案模擬'!$D$3-'116替代方案模擬'!$F$3*($B50-1))),'116替代方案模擬'!$L$3/$B50)*'116替代方案模擬'!$L$4</f>
        <v>1.0009251150405</v>
      </c>
      <c r="I50" s="613" t="inlineStr">
        <is>
          <t xml:space="preserve"/>
        </is>
      </c>
    </row>
    <row r="51">
      <c r="B51" s="620">
        <v>1.19</v>
      </c>
      <c r="C51" s="619">
        <f>IF(VLOOKUP($B51,原始參數_115!$E$2:$G$10,2,TRUE)&lt;&gt;1,VLOOKUP($B51,原始參數_115!$E$2:$G$10,2,TRUE),VLOOKUP($B51,原始參數_115!$E$2:$G$10,3,TRUE)/$B51)</f>
        <v>1.03</v>
      </c>
      <c r="D51" s="619">
        <f>IF($B51&gt;=1.8,0.7,IF($B51&gt;=1.5,0.8,IF($B51&gt;=1.35,0.9,IF($B51&gt;=1,1.01,IF($B51&gt;=0.8,1.02,1.03)))))</f>
        <v>1.01</v>
      </c>
      <c r="E51" s="619">
        <f>IF($B51&gt;=$E$3,$F$3*$G$3/$B51,IF($B51&gt;=$E$4,$F$4,IF($B51&gt;=$E$5,$F$5,$F$6*$G$6/$B51)))</f>
        <v>1.01</v>
      </c>
      <c r="F51" s="619">
        <f>E51*$B51</f>
        <v>1.2019</v>
      </c>
      <c r="G51" s="619">
        <f>IF($B51&gt;='116替代方案模擬'!$H$2,('116替代方案模擬'!$H$2+'116替代方案模擬'!$D$2*($B51-'116替代方案模擬'!$H$2))*'116替代方案模擬'!$N$2/$B51,IF($B51&gt;='116替代方案模擬'!$J$2,'116替代方案模擬'!$P$2,IF($B51&gt;='116替代方案模擬'!$L$2,'116替代方案模擬'!$R$2,($B51+'116替代方案模擬'!$F$2*('116替代方案模擬'!$L$2-$B51))*'116替代方案模擬'!$R$2/$B51)))*'116替代方案模擬'!$H$4</f>
        <v>1.01482121250653</v>
      </c>
      <c r="H51" s="619">
        <f>MAX(1+MAX('116替代方案模擬'!$H$3,MIN('116替代方案模擬'!$J$3,'116替代方案模擬'!$D$3-'116替代方案模擬'!$F$3*($B51-1))),'116替代方案模擬'!$L$3/$B51)*'116替代方案模擬'!$L$4</f>
        <v>0.978426798268861</v>
      </c>
      <c r="I51" s="613" t="inlineStr">
        <is>
          <t xml:space="preserve"/>
        </is>
      </c>
    </row>
    <row r="52">
      <c r="B52" s="620">
        <v>1.2</v>
      </c>
      <c r="C52" s="619">
        <f>IF(VLOOKUP($B52,原始參數_115!$E$2:$G$10,2,TRUE)&lt;&gt;1,VLOOKUP($B52,原始參數_115!$E$2:$G$10,2,TRUE),VLOOKUP($B52,原始參數_115!$E$2:$G$10,3,TRUE)/$B52)</f>
        <v>1.01</v>
      </c>
      <c r="D52" s="619">
        <f>IF($B52&gt;=1.8,0.7,IF($B52&gt;=1.5,0.8,IF($B52&gt;=1.35,0.9,IF($B52&gt;=1,1.01,IF($B52&gt;=0.8,1.02,1.03)))))</f>
        <v>1.01</v>
      </c>
      <c r="E52" s="619">
        <f>IF($B52&gt;=$E$3,$F$3*$G$3/$B52,IF($B52&gt;=$E$4,$F$4,IF($B52&gt;=$E$5,$F$5,$F$6*$G$6/$B52)))</f>
        <v>1.01</v>
      </c>
      <c r="F52" s="619">
        <f>E52*$B52</f>
        <v>1.212</v>
      </c>
      <c r="G52" s="619">
        <f>IF($B52&gt;='116替代方案模擬'!$H$2,('116替代方案模擬'!$H$2+'116替代方案模擬'!$D$2*($B52-'116替代方案模擬'!$H$2))*'116替代方案模擬'!$N$2/$B52,IF($B52&gt;='116替代方案模擬'!$J$2,'116替代方案模擬'!$P$2,IF($B52&gt;='116替代方案模擬'!$L$2,'116替代方案模擬'!$R$2,($B52+'116替代方案模擬'!$F$2*('116替代方案模擬'!$L$2-$B52))*'116替代方案模擬'!$R$2/$B52)))*'116替代方案模擬'!$H$4</f>
        <v>1.01482121250653</v>
      </c>
      <c r="H52" s="619">
        <f>MAX(1+MAX('116替代方案模擬'!$H$3,MIN('116替代方案模擬'!$J$3,'116替代方案模擬'!$D$3-'116替代方案模擬'!$F$3*($B52-1))),'116替代方案模擬'!$L$3/$B52)*'116替代方案模擬'!$L$4</f>
        <v>0.975926985294235</v>
      </c>
      <c r="I52" s="613" t="inlineStr">
        <is>
          <t xml:space="preserve">←ver5_2 在 120% 連續（1.212/1.2＝1.01）</t>
        </is>
      </c>
    </row>
    <row r="53">
      <c r="B53" s="620">
        <v>1.21</v>
      </c>
      <c r="C53" s="619">
        <f>IF(VLOOKUP($B53,原始參數_115!$E$2:$G$10,2,TRUE)&lt;&gt;1,VLOOKUP($B53,原始參數_115!$E$2:$G$10,2,TRUE),VLOOKUP($B53,原始參數_115!$E$2:$G$10,3,TRUE)/$B53)</f>
        <v>1.01</v>
      </c>
      <c r="D53" s="619">
        <f>IF($B53&gt;=1.8,0.7,IF($B53&gt;=1.5,0.8,IF($B53&gt;=1.35,0.9,IF($B53&gt;=1,1.01,IF($B53&gt;=0.8,1.02,1.03)))))</f>
        <v>1.01</v>
      </c>
      <c r="E53" s="619">
        <f>IF($B53&gt;=$E$3,$F$3*$G$3/$B53,IF($B53&gt;=$E$4,$F$4,IF($B53&gt;=$E$5,$F$5,$F$6*$G$6/$B53)))</f>
        <v>1.00165289256198</v>
      </c>
      <c r="F53" s="619">
        <f>E53*$B53</f>
        <v>1.212</v>
      </c>
      <c r="G53" s="619">
        <f>IF($B53&gt;='116替代方案模擬'!$H$2,('116替代方案模擬'!$H$2+'116替代方案模擬'!$D$2*($B53-'116替代方案模擬'!$H$2))*'116替代方案模擬'!$N$2/$B53,IF($B53&gt;='116替代方案模擬'!$J$2,'116替代方案模擬'!$P$2,IF($B53&gt;='116替代方案模擬'!$L$2,'116替代方案模擬'!$R$2,($B53+'116替代方案模擬'!$F$2*('116替代方案模擬'!$L$2-$B53))*'116替代方案模擬'!$R$2/$B53)))*'116替代方案模擬'!$H$4</f>
        <v>1.01062773642179</v>
      </c>
      <c r="H53" s="619">
        <f>MAX(1+MAX('116替代方案模擬'!$H$3,MIN('116替代方案模擬'!$J$3,'116替代方案模擬'!$D$3-'116替代方案模擬'!$F$3*($B53-1))),'116替代方案模擬'!$L$3/$B53)*'116替代方案模擬'!$L$4</f>
        <v>0.973427172319608</v>
      </c>
      <c r="I53" s="613" t="inlineStr">
        <is>
          <t xml:space="preserve"/>
        </is>
      </c>
    </row>
    <row r="54">
      <c r="B54" s="620">
        <v>1.3</v>
      </c>
      <c r="C54" s="619">
        <f>IF(VLOOKUP($B54,原始參數_115!$E$2:$G$10,2,TRUE)&lt;&gt;1,VLOOKUP($B54,原始參數_115!$E$2:$G$10,2,TRUE),VLOOKUP($B54,原始參數_115!$E$2:$G$10,3,TRUE)/$B54)</f>
        <v>0.9</v>
      </c>
      <c r="D54" s="619">
        <f>IF($B54&gt;=1.8,0.7,IF($B54&gt;=1.5,0.8,IF($B54&gt;=1.35,0.9,IF($B54&gt;=1,1.01,IF($B54&gt;=0.8,1.02,1.03)))))</f>
        <v>1.01</v>
      </c>
      <c r="E54" s="619">
        <f>IF($B54&gt;=$E$3,$F$3*$G$3/$B54,IF($B54&gt;=$E$4,$F$4,IF($B54&gt;=$E$5,$F$5,$F$6*$G$6/$B54)))</f>
        <v>0.932307692307692</v>
      </c>
      <c r="F54" s="619">
        <f>E54*$B54</f>
        <v>1.212</v>
      </c>
      <c r="G54" s="619">
        <f>IF($B54&gt;='116替代方案模擬'!$H$2,('116替代方案模擬'!$H$2+'116替代方案模擬'!$D$2*($B54-'116替代方案模擬'!$H$2))*'116替代方案模擬'!$N$2/$B54,IF($B54&gt;='116替代方案模擬'!$J$2,'116替代方案模擬'!$P$2,IF($B54&gt;='116替代方案模擬'!$L$2,'116替代方案模擬'!$R$2,($B54+'116替代方案模擬'!$F$2*('116替代方案模擬'!$L$2-$B54))*'116替代方案模擬'!$R$2/$B54)))*'116替代方案模擬'!$H$4</f>
        <v>0.975789627410123</v>
      </c>
      <c r="H54" s="619">
        <f>MAX(1+MAX('116替代方案模擬'!$H$3,MIN('116替代方案模擬'!$J$3,'116替代方案模擬'!$D$3-'116替代方案模擬'!$F$3*($B54-1))),'116替代方案模擬'!$L$3/$B54)*'116替代方案模擬'!$L$4</f>
        <v>0.950928855547968</v>
      </c>
      <c r="I54" s="613" t="inlineStr">
        <is>
          <t xml:space="preserve"/>
        </is>
      </c>
    </row>
    <row r="55">
      <c r="B55" s="620">
        <v>1.35</v>
      </c>
      <c r="C55" s="619">
        <f>IF(VLOOKUP($B55,原始參數_115!$E$2:$G$10,2,TRUE)&lt;&gt;1,VLOOKUP($B55,原始參數_115!$E$2:$G$10,2,TRUE),VLOOKUP($B55,原始參數_115!$E$2:$G$10,3,TRUE)/$B55)</f>
        <v>0.9</v>
      </c>
      <c r="D55" s="619">
        <f>IF($B55&gt;=1.8,0.7,IF($B55&gt;=1.5,0.8,IF($B55&gt;=1.35,0.9,IF($B55&gt;=1,1.01,IF($B55&gt;=0.8,1.02,1.03)))))</f>
        <v>0.9</v>
      </c>
      <c r="E55" s="619">
        <f>IF($B55&gt;=$E$3,$F$3*$G$3/$B55,IF($B55&gt;=$E$4,$F$4,IF($B55&gt;=$E$5,$F$5,$F$6*$G$6/$B55)))</f>
        <v>0.897777777777778</v>
      </c>
      <c r="F55" s="619">
        <f>E55*$B55</f>
        <v>1.212</v>
      </c>
      <c r="G55" s="619">
        <f>IF($B55&gt;='116替代方案模擬'!$H$2,('116替代方案模擬'!$H$2+'116替代方案模擬'!$D$2*($B55-'116替代方案模擬'!$H$2))*'116替代方案模擬'!$N$2/$B55,IF($B55&gt;='116替代方案模擬'!$J$2,'116替代方案模擬'!$P$2,IF($B55&gt;='116替代方案模擬'!$L$2,'116替代方案模擬'!$R$2,($B55+'116替代方案模擬'!$F$2*('116替代方案模擬'!$L$2-$B55))*'116替代方案模擬'!$R$2/$B55)))*'116替代方案模擬'!$H$4</f>
        <v>0.958442256256165</v>
      </c>
      <c r="H55" s="619">
        <f>MAX(1+MAX('116替代方案模擬'!$H$3,MIN('116替代方案模擬'!$J$3,'116替代方案模擬'!$D$3-'116替代方案模擬'!$F$3*($B55-1))),'116替代方案模擬'!$L$3/$B55)*'116替代方案模擬'!$L$4</f>
        <v>0.938429790674835</v>
      </c>
      <c r="I55" s="613" t="inlineStr">
        <is>
          <t xml:space="preserve"/>
        </is>
      </c>
    </row>
    <row r="56">
      <c r="B56" s="620">
        <v>1.4</v>
      </c>
      <c r="C56" s="619">
        <f>IF(VLOOKUP($B56,原始參數_115!$E$2:$G$10,2,TRUE)&lt;&gt;1,VLOOKUP($B56,原始參數_115!$E$2:$G$10,2,TRUE),VLOOKUP($B56,原始參數_115!$E$2:$G$10,3,TRUE)/$B56)</f>
        <v>0.9</v>
      </c>
      <c r="D56" s="619">
        <f>IF($B56&gt;=1.8,0.7,IF($B56&gt;=1.5,0.8,IF($B56&gt;=1.35,0.9,IF($B56&gt;=1,1.01,IF($B56&gt;=0.8,1.02,1.03)))))</f>
        <v>0.9</v>
      </c>
      <c r="E56" s="619">
        <f>IF($B56&gt;=$E$3,$F$3*$G$3/$B56,IF($B56&gt;=$E$4,$F$4,IF($B56&gt;=$E$5,$F$5,$F$6*$G$6/$B56)))</f>
        <v>0.865714285714286</v>
      </c>
      <c r="F56" s="619">
        <f>E56*$B56</f>
        <v>1.212</v>
      </c>
      <c r="G56" s="619">
        <f>IF($B56&gt;='116替代方案模擬'!$H$2,('116替代方案模擬'!$H$2+'116替代方案模擬'!$D$2*($B56-'116替代方案模擬'!$H$2))*'116替代方案模擬'!$N$2/$B56,IF($B56&gt;='116替代方案模擬'!$J$2,'116替代方案模擬'!$P$2,IF($B56&gt;='116替代方案模擬'!$L$2,'116替代方案模擬'!$R$2,($B56+'116替代方案模擬'!$F$2*('116替代方案模擬'!$L$2-$B56))*'116替代方案模擬'!$R$2/$B56)))*'116替代方案模擬'!$H$4</f>
        <v>0.942333983041775</v>
      </c>
      <c r="H56" s="619">
        <f>MAX(1+MAX('116替代方案模擬'!$H$3,MIN('116替代方案模擬'!$J$3,'116替代方案模擬'!$D$3-'116替代方案模擬'!$F$3*($B56-1))),'116替代方案模擬'!$L$3/$B56)*'116替代方案模擬'!$L$4</f>
        <v>0.925930725801702</v>
      </c>
      <c r="I56" s="613" t="inlineStr">
        <is>
          <t xml:space="preserve"/>
        </is>
      </c>
    </row>
    <row r="57">
      <c r="B57" s="620">
        <v>1.5</v>
      </c>
      <c r="C57" s="619">
        <f>IF(VLOOKUP($B57,原始參數_115!$E$2:$G$10,2,TRUE)&lt;&gt;1,VLOOKUP($B57,原始參數_115!$E$2:$G$10,2,TRUE),VLOOKUP($B57,原始參數_115!$E$2:$G$10,3,TRUE)/$B57)</f>
        <v>0.8</v>
      </c>
      <c r="D57" s="619">
        <f>IF($B57&gt;=1.8,0.7,IF($B57&gt;=1.5,0.8,IF($B57&gt;=1.35,0.9,IF($B57&gt;=1,1.01,IF($B57&gt;=0.8,1.02,1.03)))))</f>
        <v>0.8</v>
      </c>
      <c r="E57" s="619">
        <f>IF($B57&gt;=$E$3,$F$3*$G$3/$B57,IF($B57&gt;=$E$4,$F$4,IF($B57&gt;=$E$5,$F$5,$F$6*$G$6/$B57)))</f>
        <v>0.808</v>
      </c>
      <c r="F57" s="619">
        <f>E57*$B57</f>
        <v>1.212</v>
      </c>
      <c r="G57" s="619">
        <f>IF($B57&gt;='116替代方案模擬'!$H$2,('116替代方案模擬'!$H$2+'116替代方案模擬'!$D$2*($B57-'116替代方案模擬'!$H$2))*'116替代方案模擬'!$N$2/$B57,IF($B57&gt;='116替代方案模擬'!$J$2,'116替代方案模擬'!$P$2,IF($B57&gt;='116替代方案模擬'!$L$2,'116替代方案模擬'!$R$2,($B57+'116替代方案模擬'!$F$2*('116替代方案模擬'!$L$2-$B57))*'116替代方案模擬'!$R$2/$B57)))*'116替代方案模擬'!$H$4</f>
        <v>0.913339091255875</v>
      </c>
      <c r="H57" s="619">
        <f>MAX(1+MAX('116替代方案模擬'!$H$3,MIN('116替代方案模擬'!$J$3,'116替代方案模擬'!$D$3-'116替代方案模擬'!$F$3*($B57-1))),'116替代方案模擬'!$L$3/$B57)*'116替代方案模擬'!$L$4</f>
        <v>0.900932596055436</v>
      </c>
      <c r="I57" s="613" t="inlineStr">
        <is>
          <t xml:space="preserve"/>
        </is>
      </c>
    </row>
    <row r="58">
      <c r="B58" s="620">
        <v>1.6</v>
      </c>
      <c r="C58" s="619">
        <f>IF(VLOOKUP($B58,原始參數_115!$E$2:$G$10,2,TRUE)&lt;&gt;1,VLOOKUP($B58,原始參數_115!$E$2:$G$10,2,TRUE),VLOOKUP($B58,原始參數_115!$E$2:$G$10,3,TRUE)/$B58)</f>
        <v>0.8</v>
      </c>
      <c r="D58" s="619">
        <f>IF($B58&gt;=1.8,0.7,IF($B58&gt;=1.5,0.8,IF($B58&gt;=1.35,0.9,IF($B58&gt;=1,1.01,IF($B58&gt;=0.8,1.02,1.03)))))</f>
        <v>0.8</v>
      </c>
      <c r="E58" s="619">
        <f>IF($B58&gt;=$E$3,$F$3*$G$3/$B58,IF($B58&gt;=$E$4,$F$4,IF($B58&gt;=$E$5,$F$5,$F$6*$G$6/$B58)))</f>
        <v>0.7575</v>
      </c>
      <c r="F58" s="619">
        <f>E58*$B58</f>
        <v>1.212</v>
      </c>
      <c r="G58" s="619">
        <f>IF($B58&gt;='116替代方案模擬'!$H$2,('116替代方案模擬'!$H$2+'116替代方案模擬'!$D$2*($B58-'116替代方案模擬'!$H$2))*'116替代方案模擬'!$N$2/$B58,IF($B58&gt;='116替代方案模擬'!$J$2,'116替代方案模擬'!$P$2,IF($B58&gt;='116替代方案模擬'!$L$2,'116替代方案模擬'!$R$2,($B58+'116替代方案模擬'!$F$2*('116替代方案模擬'!$L$2-$B58))*'116替代方案模擬'!$R$2/$B58)))*'116替代方案模擬'!$H$4</f>
        <v>0.887968560943212</v>
      </c>
      <c r="H58" s="619">
        <f>MAX(1+MAX('116替代方案模擬'!$H$3,MIN('116替代方案模擬'!$J$3,'116替代方案模擬'!$D$3-'116替代方案模擬'!$F$3*($B58-1))),'116替代方案模擬'!$L$3/$B58)*'116替代方案模擬'!$L$4</f>
        <v>0.87593446630917</v>
      </c>
      <c r="I58" s="613" t="inlineStr">
        <is>
          <t xml:space="preserve"/>
        </is>
      </c>
    </row>
    <row r="59">
      <c r="B59" s="620">
        <v>1.8</v>
      </c>
      <c r="C59" s="619">
        <f>IF(VLOOKUP($B59,原始參數_115!$E$2:$G$10,2,TRUE)&lt;&gt;1,VLOOKUP($B59,原始參數_115!$E$2:$G$10,2,TRUE),VLOOKUP($B59,原始參數_115!$E$2:$G$10,3,TRUE)/$B59)</f>
        <v>0.8</v>
      </c>
      <c r="D59" s="619">
        <f>IF($B59&gt;=1.8,0.7,IF($B59&gt;=1.5,0.8,IF($B59&gt;=1.35,0.9,IF($B59&gt;=1,1.01,IF($B59&gt;=0.8,1.02,1.03)))))</f>
        <v>0.7</v>
      </c>
      <c r="E59" s="619">
        <f>IF($B59&gt;=$E$3,$F$3*$G$3/$B59,IF($B59&gt;=$E$4,$F$4,IF($B59&gt;=$E$5,$F$5,$F$6*$G$6/$B59)))</f>
        <v>0.673333333333333</v>
      </c>
      <c r="F59" s="619">
        <f>E59*$B59</f>
        <v>1.212</v>
      </c>
      <c r="G59" s="619">
        <f>IF($B59&gt;='116替代方案模擬'!$H$2,('116替代方案模擬'!$H$2+'116替代方案模擬'!$D$2*($B59-'116替代方案模擬'!$H$2))*'116替代方案模擬'!$N$2/$B59,IF($B59&gt;='116替代方案模擬'!$J$2,'116替代方案模擬'!$P$2,IF($B59&gt;='116替代方案模擬'!$L$2,'116替代方案模擬'!$R$2,($B59+'116替代方案模擬'!$F$2*('116替代方案模擬'!$L$2-$B59))*'116替代方案模擬'!$R$2/$B59)))*'116替代方案模擬'!$H$4</f>
        <v>0.84568434375544</v>
      </c>
      <c r="H59" s="619">
        <f>MAX(1+MAX('116替代方案模擬'!$H$3,MIN('116替代方案模擬'!$J$3,'116替代方案模擬'!$D$3-'116替代方案模擬'!$F$3*($B59-1))),'116替代方案模擬'!$L$3/$B59)*'116替代方案模擬'!$L$4</f>
        <v>0.825938206816637</v>
      </c>
      <c r="I59" s="613" t="inlineStr">
        <is>
          <t xml:space="preserve"/>
        </is>
      </c>
    </row>
    <row r="60">
      <c r="B60" s="620">
        <v>2.0</v>
      </c>
      <c r="C60" s="619">
        <f>IF(VLOOKUP($B60,原始參數_115!$E$2:$G$10,2,TRUE)&lt;&gt;1,VLOOKUP($B60,原始參數_115!$E$2:$G$10,2,TRUE),VLOOKUP($B60,原始參數_115!$E$2:$G$10,3,TRUE)/$B60)</f>
        <v>0.7</v>
      </c>
      <c r="D60" s="619">
        <f>IF($B60&gt;=1.8,0.7,IF($B60&gt;=1.5,0.8,IF($B60&gt;=1.35,0.9,IF($B60&gt;=1,1.01,IF($B60&gt;=0.8,1.02,1.03)))))</f>
        <v>0.7</v>
      </c>
      <c r="E60" s="619">
        <f>IF($B60&gt;=$E$3,$F$3*$G$3/$B60,IF($B60&gt;=$E$4,$F$4,IF($B60&gt;=$E$5,$F$5,$F$6*$G$6/$B60)))</f>
        <v>0.606</v>
      </c>
      <c r="F60" s="619">
        <f>E60*$B60</f>
        <v>1.212</v>
      </c>
      <c r="G60" s="619">
        <f>IF($B60&gt;='116替代方案模擬'!$H$2,('116替代方案模擬'!$H$2+'116替代方案模擬'!$D$2*($B60-'116替代方案模擬'!$H$2))*'116替代方案模擬'!$N$2/$B60,IF($B60&gt;='116替代方案模擬'!$J$2,'116替代方案模擬'!$P$2,IF($B60&gt;='116替代方案模擬'!$L$2,'116替代方案模擬'!$R$2,($B60+'116替代方案模擬'!$F$2*('116替代方案模擬'!$L$2-$B60))*'116替代方案模擬'!$R$2/$B60)))*'116替代方案模擬'!$H$4</f>
        <v>0.811856970005222</v>
      </c>
      <c r="H60" s="619">
        <f>MAX(1+MAX('116替代方案模擬'!$H$3,MIN('116替代方案模擬'!$J$3,'116替代方案模擬'!$D$3-'116替代方案模擬'!$F$3*($B60-1))),'116替代方案模擬'!$L$3/$B60)*'116替代方案模擬'!$L$4</f>
        <v>0.79994015188052</v>
      </c>
      <c r="I60" s="613" t="inlineStr">
        <is>
          <t xml:space="preserve"/>
        </is>
      </c>
    </row>
    <row r="61">
      <c r="B61" s="620">
        <v>2.14</v>
      </c>
      <c r="C61" s="619">
        <f>IF(VLOOKUP($B61,原始參數_115!$E$2:$G$10,2,TRUE)&lt;&gt;1,VLOOKUP($B61,原始參數_115!$E$2:$G$10,2,TRUE),VLOOKUP($B61,原始參數_115!$E$2:$G$10,3,TRUE)/$B61)</f>
        <v>0.7</v>
      </c>
      <c r="D61" s="619">
        <f>IF($B61&gt;=1.8,0.7,IF($B61&gt;=1.5,0.8,IF($B61&gt;=1.35,0.9,IF($B61&gt;=1,1.01,IF($B61&gt;=0.8,1.02,1.03)))))</f>
        <v>0.7</v>
      </c>
      <c r="E61" s="619">
        <f>IF($B61&gt;=$E$3,$F$3*$G$3/$B61,IF($B61&gt;=$E$4,$F$4,IF($B61&gt;=$E$5,$F$5,$F$6*$G$6/$B61)))</f>
        <v>0.566355140186916</v>
      </c>
      <c r="F61" s="619">
        <f>E61*$B61</f>
        <v>1.212</v>
      </c>
      <c r="G61" s="619">
        <f>IF($B61&gt;='116替代方案模擬'!$H$2,('116替代方案模擬'!$H$2+'116替代方案模擬'!$D$2*($B61-'116替代方案模擬'!$H$2))*'116替代方案模擬'!$N$2/$B61,IF($B61&gt;='116替代方案模擬'!$J$2,'116替代方案模擬'!$P$2,IF($B61&gt;='116替代方案模擬'!$L$2,'116替代方案模擬'!$R$2,($B61+'116替代方案模擬'!$F$2*('116替代方案模擬'!$L$2-$B61))*'116替代方案模擬'!$R$2/$B61)))*'116替代方案模擬'!$H$4</f>
        <v>0.791939918170982</v>
      </c>
      <c r="H61" s="619">
        <f>MAX(1+MAX('116替代方案模擬'!$H$3,MIN('116替代方案模擬'!$J$3,'116替代方案模擬'!$D$3-'116替代方案模擬'!$F$3*($B61-1))),'116替代方案模擬'!$L$3/$B61)*'116替代方案模擬'!$L$4</f>
        <v>0.79994015188052</v>
      </c>
      <c r="I61" s="613" t="inlineStr">
        <is>
          <t xml:space="preserve">←新興分行；ver5_2 給 −42%</t>
        </is>
      </c>
    </row>
    <row r="63">
      <c r="B63" s="610" t="inlineStr">
        <is>
          <t xml:space="preserve">參、三套規則分組統計與比對（金額單位：億元；ver5_2 與原規則為連動公式，ver5_1 為靜態值）</t>
        </is>
      </c>
    </row>
    <row r="64">
      <c r="B64" s="615" t="inlineStr">
        <is>
          <t xml:space="preserve">（一）ver5_2 現行 4 類</t>
        </is>
      </c>
    </row>
    <row r="65" ht="48" customHeight="1">
      <c r="A65" s="611" t="inlineStr">
        <is>
          <t xml:space="preserve">分類</t>
        </is>
      </c>
      <c r="B65" s="611" t="inlineStr">
        <is>
          <t xml:space="preserve">達成率區間</t>
        </is>
      </c>
      <c r="C65" s="611" t="inlineStr">
        <is>
          <t xml:space="preserve">家數</t>
        </is>
      </c>
      <c r="D65" s="611" t="inlineStr">
        <is>
          <t xml:space="preserve">115年化實績</t>
        </is>
      </c>
      <c r="E65" s="611" t="inlineStr">
        <is>
          <t xml:space="preserve">115年中調整後目標</t>
        </is>
      </c>
      <c r="F65" s="611" t="inlineStr">
        <is>
          <t xml:space="preserve">116成長目標</t>
        </is>
      </c>
      <c r="G65" s="611" t="inlineStr">
        <is>
          <t xml:space="preserve">116目標合計</t>
        </is>
      </c>
      <c r="H65" s="611" t="inlineStr">
        <is>
          <t xml:space="preserve">合計 vs 115實績</t>
        </is>
      </c>
      <c r="I65" s="611" t="inlineStr">
        <is>
          <t xml:space="preserve">合計 vs 115目標</t>
        </is>
      </c>
      <c r="J65" s="611" t="inlineStr">
        <is>
          <t xml:space="preserve">分行vs實績 中位(靜)</t>
        </is>
      </c>
      <c r="K65" s="611" t="inlineStr">
        <is>
          <t xml:space="preserve">分行vs實績 最低(靜)</t>
        </is>
      </c>
      <c r="L65" s="611" t="inlineStr">
        <is>
          <t xml:space="preserve">分行vs實績 最高(靜)</t>
        </is>
      </c>
      <c r="M65" s="611" t="inlineStr">
        <is>
          <t xml:space="preserve">116目標&lt;115實績 家數</t>
        </is>
      </c>
    </row>
    <row r="66">
      <c r="A66" s="613" t="inlineStr">
        <is>
          <t xml:space="preserve">TYPE_1</t>
        </is>
      </c>
      <c r="B66" s="613" t="str">
        <f>VLOOKUP($A66,$A$3:$B$6,2,0)</f>
        <v>120%以上</v>
      </c>
      <c r="C66" s="616">
        <f>COUNTIF('116目標底稿ver1'!$A$8:$A$190,$A66)</f>
        <v>47</v>
      </c>
      <c r="D66" s="617">
        <f>SUMIF('116目標底稿ver1'!$A$8:$A$190,$A66,'116目標底稿ver1'!$G$8:$G$190)/100000000</f>
        <v>43.55005112</v>
      </c>
      <c r="E66" s="617">
        <f>SUMIF('116目標底稿ver1'!$A$8:$A$190,$A66,'116目標底稿ver1'!$I$8:$I$190)/100000000</f>
        <v>31.9018</v>
      </c>
      <c r="F66" s="617">
        <f>SUMIF('116目標底稿ver1'!$A$8:$A$190,$A66,'116目標底稿ver1'!$Q$8:$Q$190)/100000000</f>
        <v>38.6653</v>
      </c>
      <c r="G66" s="617">
        <f>SUMIF('116目標底稿ver1'!$A$8:$A$190,$A66,'116目標底稿ver1'!$Z$8:$Z$190)/100000000</f>
        <v>39.8393</v>
      </c>
      <c r="H66" s="618">
        <f>G66/D66-1</f>
        <v>-0.0852065847127299</v>
      </c>
      <c r="I66" s="618">
        <f>G66/E66-1</f>
        <v>0.248810411951677</v>
      </c>
      <c r="J66" s="618">
        <v>-0.047745552094940136</v>
      </c>
      <c r="K66" s="618">
        <v>-0.42331489411283585</v>
      </c>
      <c r="L66" s="618">
        <v>0.045165553169870476</v>
      </c>
      <c r="M66" s="616">
        <f>SUMPRODUCT(('116目標底稿ver1'!$A$8:$A$190=$A66)*('116目標底稿ver1'!$Z$8:$Z$190&lt;'116目標底稿ver1'!$G$8:$G$190))</f>
        <v>32</v>
      </c>
    </row>
    <row r="67">
      <c r="A67" s="613" t="inlineStr">
        <is>
          <t xml:space="preserve">TYPE_2</t>
        </is>
      </c>
      <c r="B67" s="613" t="str">
        <f>VLOOKUP($A67,$A$3:$B$6,2,0)</f>
        <v>100%以上，未達120%</v>
      </c>
      <c r="C67" s="616">
        <f>COUNTIF('116目標底稿ver1'!$A$8:$A$190,$A67)</f>
        <v>52</v>
      </c>
      <c r="D67" s="617">
        <f>SUMIF('116目標底稿ver1'!$A$8:$A$190,$A67,'116目標底稿ver1'!$G$8:$G$190)/100000000</f>
        <v>39.4735153</v>
      </c>
      <c r="E67" s="617">
        <f>SUMIF('116目標底稿ver1'!$A$8:$A$190,$A67,'116目標底稿ver1'!$I$8:$I$190)/100000000</f>
        <v>35.8901</v>
      </c>
      <c r="F67" s="617">
        <f>SUMIF('116目標底稿ver1'!$A$8:$A$190,$A67,'116目標底稿ver1'!$Q$8:$Q$190)/100000000</f>
        <v>39.8679</v>
      </c>
      <c r="G67" s="617">
        <f>SUMIF('116目標底稿ver1'!$A$8:$A$190,$A67,'116目標底稿ver1'!$Z$8:$Z$190)/100000000</f>
        <v>41.1893</v>
      </c>
      <c r="H67" s="618">
        <f>G67/D67-1</f>
        <v>0.0434667317303763</v>
      </c>
      <c r="I67" s="618">
        <f>G67/E67-1</f>
        <v>0.147650744912943</v>
      </c>
      <c r="J67" s="618">
        <v>0.04354169357143811</v>
      </c>
      <c r="K67" s="618">
        <v>0.038141983033580296</v>
      </c>
      <c r="L67" s="618">
        <v>0.05891094011739084</v>
      </c>
      <c r="M67" s="616">
        <f>SUMPRODUCT(('116目標底稿ver1'!$A$8:$A$190=$A67)*('116目標底稿ver1'!$Z$8:$Z$190&lt;'116目標底稿ver1'!$G$8:$G$190))</f>
        <v>0</v>
      </c>
    </row>
    <row r="68">
      <c r="A68" s="613" t="inlineStr">
        <is>
          <t xml:space="preserve">TYPE_3</t>
        </is>
      </c>
      <c r="B68" s="613" t="str">
        <f>VLOOKUP($A68,$A$3:$B$6,2,0)</f>
        <v>80%以上，未達100%</v>
      </c>
      <c r="C68" s="616">
        <f>COUNTIF('116目標底稿ver1'!$A$8:$A$190,$A68)</f>
        <v>53</v>
      </c>
      <c r="D68" s="617">
        <f>SUMIF('116目標底稿ver1'!$A$8:$A$190,$A68,'116目標底稿ver1'!$G$8:$G$190)/100000000</f>
        <v>28.65792381</v>
      </c>
      <c r="E68" s="617">
        <f>SUMIF('116目標底稿ver1'!$A$8:$A$190,$A68,'116目標底稿ver1'!$I$8:$I$190)/100000000</f>
        <v>31.738</v>
      </c>
      <c r="F68" s="617">
        <f>SUMIF('116目標底稿ver1'!$A$8:$A$190,$A68,'116目標底稿ver1'!$Q$8:$Q$190)/100000000</f>
        <v>29.5179</v>
      </c>
      <c r="G68" s="617">
        <f>SUMIF('116目標底稿ver1'!$A$8:$A$190,$A68,'116目標底稿ver1'!$Z$8:$Z$190)/100000000</f>
        <v>30.6853</v>
      </c>
      <c r="H68" s="618">
        <f>G68/D68-1</f>
        <v>0.0707440009765314</v>
      </c>
      <c r="I68" s="618">
        <f>G68/E68-1</f>
        <v>-0.0331684416157287</v>
      </c>
      <c r="J68" s="618">
        <v>0.07112340006317441</v>
      </c>
      <c r="K68" s="618">
        <v>0.06337887470427983</v>
      </c>
      <c r="L68" s="618">
        <v>0.08346945688857965</v>
      </c>
      <c r="M68" s="616">
        <f>SUMPRODUCT(('116目標底稿ver1'!$A$8:$A$190=$A68)*('116目標底稿ver1'!$Z$8:$Z$190&lt;'116目標底稿ver1'!$G$8:$G$190))</f>
        <v>0</v>
      </c>
    </row>
    <row r="69">
      <c r="A69" s="613" t="inlineStr">
        <is>
          <t xml:space="preserve">TYPE_4</t>
        </is>
      </c>
      <c r="B69" s="613" t="str">
        <f>VLOOKUP($A69,$A$3:$B$6,2,0)</f>
        <v>未達80%</v>
      </c>
      <c r="C69" s="616">
        <f>COUNTIF('116目標底稿ver1'!$A$8:$A$190,$A69)</f>
        <v>31</v>
      </c>
      <c r="D69" s="617">
        <f>SUMIF('116目標底稿ver1'!$A$8:$A$190,$A69,'116目標底稿ver1'!$G$8:$G$190)/100000000</f>
        <v>13.17450346</v>
      </c>
      <c r="E69" s="617">
        <f>SUMIF('116目標底稿ver1'!$A$8:$A$190,$A69,'116目標底稿ver1'!$I$8:$I$190)/100000000</f>
        <v>18.3239</v>
      </c>
      <c r="F69" s="617">
        <f>SUMIF('116目標底稿ver1'!$A$8:$A$190,$A69,'116目標底稿ver1'!$Q$8:$Q$190)/100000000</f>
        <v>17.5909</v>
      </c>
      <c r="G69" s="617">
        <f>SUMIF('116目標底稿ver1'!$A$8:$A$190,$A69,'116目標底稿ver1'!$Z$8:$Z$190)/100000000</f>
        <v>18.2798</v>
      </c>
      <c r="H69" s="618">
        <f>G69/D69-1</f>
        <v>0.387513393237213</v>
      </c>
      <c r="I69" s="618">
        <f>G69/E69-1</f>
        <v>-0.00240669289834572</v>
      </c>
      <c r="J69" s="618">
        <v>0.35185681359356935</v>
      </c>
      <c r="K69" s="618">
        <v>0.26041440233523727</v>
      </c>
      <c r="L69" s="618">
        <v>0.9176573975188194</v>
      </c>
      <c r="M69" s="616">
        <f>SUMPRODUCT(('116目標底稿ver1'!$A$8:$A$190=$A69)*('116目標底稿ver1'!$Z$8:$Z$190&lt;'116目標底稿ver1'!$G$8:$G$190))</f>
        <v>0</v>
      </c>
    </row>
    <row r="70">
      <c r="A70" s="615" t="inlineStr">
        <is>
          <t xml:space="preserve">合計</t>
        </is>
      </c>
      <c r="B70" s="613" t="inlineStr">
        <is>
          <t xml:space="preserve"/>
        </is>
      </c>
      <c r="C70" s="631">
        <f>SUM(C66:C69)</f>
        <v>183</v>
      </c>
      <c r="D70" s="632">
        <f>SUM(D66:D69)</f>
        <v>124.85599369</v>
      </c>
      <c r="E70" s="632">
        <f>SUM(E66:E69)</f>
        <v>117.8538</v>
      </c>
      <c r="F70" s="632">
        <f>SUM(F66:F69)</f>
        <v>125.642</v>
      </c>
      <c r="G70" s="632">
        <f>SUM(G66:G69)</f>
        <v>129.9937</v>
      </c>
      <c r="H70" s="633">
        <f>G70/D70-1</f>
        <v>0.0411490562700276</v>
      </c>
      <c r="I70" s="633">
        <f>G70/E70-1</f>
        <v>0.103008133806462</v>
      </c>
      <c r="J70" s="613" t="inlineStr">
        <is>
          <t xml:space="preserve"/>
        </is>
      </c>
      <c r="K70" s="613" t="inlineStr">
        <is>
          <t xml:space="preserve"/>
        </is>
      </c>
      <c r="L70" s="613" t="inlineStr">
        <is>
          <t xml:space="preserve"/>
        </is>
      </c>
      <c r="M70" s="631">
        <f>SUM(M66:M69)</f>
        <v>32</v>
      </c>
    </row>
    <row r="71">
      <c r="B71" s="614" t="inlineStr">
        <is>
          <t xml:space="preserve">全行 116試算達成率 K（115年化業績÷116目標）：</t>
        </is>
      </c>
      <c r="E71" s="635">
        <f>'116目標底稿ver1'!K196</f>
        <v>0.96</v>
      </c>
      <c r="F71" s="624" t="inlineStr">
        <is>
          <t xml:space="preserve">（1.00＝照115年水準即可達成；0.96 表示全行需再成長約 4%）</t>
        </is>
      </c>
    </row>
    <row r="73">
      <c r="B73" s="615" t="inlineStr">
        <is>
          <t xml:space="preserve">（二）115年原規則（9類）直接套用 116 年：成長目標合計已超過 130 億，綜合指標池為負，無法採用</t>
        </is>
      </c>
    </row>
    <row r="74" ht="48" customHeight="1">
      <c r="B74" s="611" t="inlineStr">
        <is>
          <t xml:space="preserve">達成率區間（底稿L欄）</t>
        </is>
      </c>
      <c r="C74" s="611" t="inlineStr">
        <is>
          <t xml:space="preserve">家數</t>
        </is>
      </c>
      <c r="D74" s="611" t="inlineStr">
        <is>
          <t xml:space="preserve">115年化實績</t>
        </is>
      </c>
      <c r="E74" s="611" t="inlineStr">
        <is>
          <t xml:space="preserve">115年中調整後目標</t>
        </is>
      </c>
      <c r="F74" s="611" t="inlineStr">
        <is>
          <t xml:space="preserve">116成長目標(原規則N欄)</t>
        </is>
      </c>
      <c r="G74" s="611" t="inlineStr">
        <is>
          <t xml:space="preserve">成長目標 vs 115實績</t>
        </is>
      </c>
      <c r="H74" s="611" t="inlineStr">
        <is>
          <t xml:space="preserve">成長目標 vs 115目標</t>
        </is>
      </c>
    </row>
    <row r="75">
      <c r="B75" s="613" t="inlineStr">
        <is>
          <t xml:space="preserve">200%以上</t>
        </is>
      </c>
      <c r="C75" s="616">
        <f>COUNTIF('116目標底稿ver1'!$L$8:$L$190,$B75)</f>
        <v>1</v>
      </c>
      <c r="D75" s="617">
        <f>SUMIF('116目標底稿ver1'!$L$8:$L$190,$B75,'116目標底稿ver1'!$G$8:$G$190)/100000000</f>
        <v>1.46683171</v>
      </c>
      <c r="E75" s="617">
        <f>SUMIF('116目標底稿ver1'!$L$8:$L$190,$B75,'116目標底稿ver1'!$I$8:$I$190)/100000000</f>
        <v>0.6839</v>
      </c>
      <c r="F75" s="617">
        <f>SUMIF('116目標底稿ver1'!$L$8:$L$190,$B75,'116目標底稿ver1'!$N$8:$N$190)/100000000</f>
        <v>1.0268</v>
      </c>
      <c r="G75" s="618">
        <f>F75/D75-1</f>
        <v>-0.299987862956685</v>
      </c>
      <c r="H75" s="618">
        <f>F75/E75-1</f>
        <v>0.501389091972511</v>
      </c>
    </row>
    <row r="76">
      <c r="B76" s="613" t="inlineStr">
        <is>
          <t xml:space="preserve">150%以上、未達200%</t>
        </is>
      </c>
      <c r="C76" s="616">
        <f>COUNTIF('116目標底稿ver1'!$L$8:$L$190,$B76)</f>
        <v>6</v>
      </c>
      <c r="D76" s="617">
        <f>SUMIF('116目標底稿ver1'!$L$8:$L$190,$B76,'116目標底稿ver1'!$G$8:$G$190)/100000000</f>
        <v>7.70092348</v>
      </c>
      <c r="E76" s="617">
        <f>SUMIF('116目標底稿ver1'!$L$8:$L$190,$B76,'116目標底稿ver1'!$I$8:$I$190)/100000000</f>
        <v>4.7026</v>
      </c>
      <c r="F76" s="617">
        <f>SUMIF('116目標底稿ver1'!$L$8:$L$190,$B76,'116目標底稿ver1'!$N$8:$N$190)/100000000</f>
        <v>6.1607</v>
      </c>
      <c r="G76" s="618">
        <f>F76/D76-1</f>
        <v>-0.200005036279104</v>
      </c>
      <c r="H76" s="618">
        <f>F76/E76-1</f>
        <v>0.310062518606728</v>
      </c>
    </row>
    <row r="77">
      <c r="B77" s="613" t="inlineStr">
        <is>
          <t xml:space="preserve">130%以上、未達150%</t>
        </is>
      </c>
      <c r="C77" s="616">
        <f>COUNTIF('116目標底稿ver1'!$L$8:$L$190,$B77)</f>
        <v>23</v>
      </c>
      <c r="D77" s="617">
        <f>SUMIF('116目標底稿ver1'!$L$8:$L$190,$B77,'116目標底稿ver1'!$G$8:$G$190)/100000000</f>
        <v>18.8456691</v>
      </c>
      <c r="E77" s="617">
        <f>SUMIF('116目標底稿ver1'!$L$8:$L$190,$B77,'116目標底稿ver1'!$I$8:$I$190)/100000000</f>
        <v>13.8127</v>
      </c>
      <c r="F77" s="617">
        <f>SUMIF('116目標底稿ver1'!$L$8:$L$190,$B77,'116目標底稿ver1'!$N$8:$N$190)/100000000</f>
        <v>16.9609</v>
      </c>
      <c r="G77" s="618">
        <f>F77/D77-1</f>
        <v>-0.100010728724936</v>
      </c>
      <c r="H77" s="618">
        <f>F77/E77-1</f>
        <v>0.227920681691487</v>
      </c>
    </row>
    <row r="78">
      <c r="B78" s="613" t="inlineStr">
        <is>
          <t xml:space="preserve">120%以上、未達130%</t>
        </is>
      </c>
      <c r="C78" s="616">
        <f>COUNTIF('116目標底稿ver1'!$L$8:$L$190,$B78)</f>
        <v>17</v>
      </c>
      <c r="D78" s="617">
        <f>SUMIF('116目標底稿ver1'!$L$8:$L$190,$B78,'116目標底稿ver1'!$G$8:$G$190)/100000000</f>
        <v>15.53662683</v>
      </c>
      <c r="E78" s="617">
        <f>SUMIF('116目標底稿ver1'!$L$8:$L$190,$B78,'116目標底稿ver1'!$I$8:$I$190)/100000000</f>
        <v>12.7026</v>
      </c>
      <c r="F78" s="617">
        <f>SUMIF('116目標底稿ver1'!$L$8:$L$190,$B78,'116目標底稿ver1'!$N$8:$N$190)/100000000</f>
        <v>15.692</v>
      </c>
      <c r="G78" s="618">
        <f>F78/D78-1</f>
        <v>0.0100004442212636</v>
      </c>
      <c r="H78" s="618">
        <f>F78/E78-1</f>
        <v>0.235337647410766</v>
      </c>
    </row>
    <row r="79">
      <c r="B79" s="613" t="inlineStr">
        <is>
          <t xml:space="preserve">110%以上、未達120%</t>
        </is>
      </c>
      <c r="C79" s="616">
        <f>COUNTIF('116目標底稿ver1'!$L$8:$L$190,$B79)</f>
        <v>27</v>
      </c>
      <c r="D79" s="617">
        <f>SUMIF('116目標底稿ver1'!$L$8:$L$190,$B79,'116目標底稿ver1'!$G$8:$G$190)/100000000</f>
        <v>22.30321706</v>
      </c>
      <c r="E79" s="617">
        <f>SUMIF('116目標底稿ver1'!$L$8:$L$190,$B79,'116目標底稿ver1'!$I$8:$I$190)/100000000</f>
        <v>19.4216</v>
      </c>
      <c r="F79" s="617">
        <f>SUMIF('116目標底稿ver1'!$L$8:$L$190,$B79,'116目標底稿ver1'!$N$8:$N$190)/100000000</f>
        <v>22.9727</v>
      </c>
      <c r="G79" s="618">
        <f>F79/D79-1</f>
        <v>0.03001732611932</v>
      </c>
      <c r="H79" s="618">
        <f>F79/E79-1</f>
        <v>0.182842814186267</v>
      </c>
    </row>
    <row r="80">
      <c r="B80" s="613" t="inlineStr">
        <is>
          <t xml:space="preserve">100%以上、未達110%</t>
        </is>
      </c>
      <c r="C80" s="616">
        <f>COUNTIF('116目標底稿ver1'!$L$8:$L$190,$B80)</f>
        <v>25</v>
      </c>
      <c r="D80" s="617">
        <f>SUMIF('116目標底稿ver1'!$L$8:$L$190,$B80,'116目標底稿ver1'!$G$8:$G$190)/100000000</f>
        <v>17.17029824</v>
      </c>
      <c r="E80" s="617">
        <f>SUMIF('116目標底稿ver1'!$L$8:$L$190,$B80,'116目標底稿ver1'!$I$8:$I$190)/100000000</f>
        <v>16.4685</v>
      </c>
      <c r="F80" s="617">
        <f>SUMIF('116目標底稿ver1'!$L$8:$L$190,$B80,'116目標底稿ver1'!$N$8:$N$190)/100000000</f>
        <v>18.0287</v>
      </c>
      <c r="G80" s="618">
        <f>F80/D80-1</f>
        <v>0.0499934100154571</v>
      </c>
      <c r="H80" s="618">
        <f>F80/E80-1</f>
        <v>0.0947384400522211</v>
      </c>
    </row>
    <row r="81">
      <c r="B81" s="613" t="inlineStr">
        <is>
          <t xml:space="preserve">90%以上、未達100%</t>
        </is>
      </c>
      <c r="C81" s="616">
        <f>COUNTIF('116目標底稿ver1'!$L$8:$L$190,$B81)</f>
        <v>29</v>
      </c>
      <c r="D81" s="617">
        <f>SUMIF('116目標底稿ver1'!$L$8:$L$190,$B81,'116目標底稿ver1'!$G$8:$G$190)/100000000</f>
        <v>17.09304807</v>
      </c>
      <c r="E81" s="617">
        <f>SUMIF('116目標底稿ver1'!$L$8:$L$190,$B81,'116目標底稿ver1'!$I$8:$I$190)/100000000</f>
        <v>18.0469</v>
      </c>
      <c r="F81" s="617">
        <f>SUMIF('116目標底稿ver1'!$L$8:$L$190,$B81,'116目標底稿ver1'!$N$8:$N$190)/100000000</f>
        <v>18.9495</v>
      </c>
      <c r="G81" s="618">
        <f>F81/D81-1</f>
        <v>0.108608594698699</v>
      </c>
      <c r="H81" s="618">
        <f>F81/E81-1</f>
        <v>0.0500141298505561</v>
      </c>
    </row>
    <row r="82">
      <c r="B82" s="613" t="inlineStr">
        <is>
          <t xml:space="preserve">75%以上、未達90%</t>
        </is>
      </c>
      <c r="C82" s="616">
        <f>COUNTIF('116目標底稿ver1'!$L$8:$L$190,$B82)</f>
        <v>36</v>
      </c>
      <c r="D82" s="617">
        <f>SUMIF('116目標底稿ver1'!$L$8:$L$190,$B82,'116目標底稿ver1'!$G$8:$G$190)/100000000</f>
        <v>17.22830617</v>
      </c>
      <c r="E82" s="617">
        <f>SUMIF('116目標底稿ver1'!$L$8:$L$190,$B82,'116目標底稿ver1'!$I$8:$I$190)/100000000</f>
        <v>21.0377</v>
      </c>
      <c r="F82" s="617">
        <f>SUMIF('116目標底稿ver1'!$L$8:$L$190,$B82,'116目標底稿ver1'!$N$8:$N$190)/100000000</f>
        <v>23.1418</v>
      </c>
      <c r="G82" s="618">
        <f>F82/D82-1</f>
        <v>0.343242903373594</v>
      </c>
      <c r="H82" s="618">
        <f>F82/E82-1</f>
        <v>0.100015686125384</v>
      </c>
    </row>
    <row r="83">
      <c r="B83" s="613" t="inlineStr">
        <is>
          <t xml:space="preserve">未達75%</t>
        </is>
      </c>
      <c r="C83" s="616">
        <f>COUNTIF('116目標底稿ver1'!$L$8:$L$190,$B83)</f>
        <v>19</v>
      </c>
      <c r="D83" s="617">
        <f>SUMIF('116目標底稿ver1'!$L$8:$L$190,$B83,'116目標底稿ver1'!$G$8:$G$190)/100000000</f>
        <v>7.51107303</v>
      </c>
      <c r="E83" s="617">
        <f>SUMIF('116目標底稿ver1'!$L$8:$L$190,$B83,'116目標底稿ver1'!$I$8:$I$190)/100000000</f>
        <v>10.9773</v>
      </c>
      <c r="F83" s="617">
        <f>SUMIF('116目標底稿ver1'!$L$8:$L$190,$B83,'116目標底稿ver1'!$N$8:$N$190)/100000000</f>
        <v>12.6241</v>
      </c>
      <c r="G83" s="618">
        <f>F83/D83-1</f>
        <v>0.680731894042042</v>
      </c>
      <c r="H83" s="618">
        <f>F83/E83-1</f>
        <v>0.150018674901843</v>
      </c>
    </row>
    <row r="84">
      <c r="B84" s="615" t="inlineStr">
        <is>
          <t xml:space="preserve">合計</t>
        </is>
      </c>
      <c r="C84" s="631">
        <f>SUM(C75:C83)</f>
        <v>183</v>
      </c>
      <c r="D84" s="632">
        <f>SUM(D75:D83)</f>
        <v>124.85599369</v>
      </c>
      <c r="E84" s="632">
        <f>SUM(E75:E83)</f>
        <v>117.8538</v>
      </c>
      <c r="F84" s="632">
        <f>SUM(F75:F83)</f>
        <v>135.5572</v>
      </c>
      <c r="G84" s="633">
        <f>F84/D84-1</f>
        <v>0.0857083908728451</v>
      </c>
      <c r="H84" s="633">
        <f>F84/E84-1</f>
        <v>0.150214927308241</v>
      </c>
      <c r="I84" s="614" t="inlineStr">
        <is>
          <t xml:space="preserve">超出130億：</t>
        </is>
      </c>
      <c r="J84" s="632">
        <f>F84-130</f>
        <v>5.5572</v>
      </c>
      <c r="K84" s="625" t="inlineStr">
        <is>
          <t xml:space="preserve">億元 → 綜合指標池為負</t>
        </is>
      </c>
    </row>
    <row r="86">
      <c r="B86" s="615" t="inlineStr">
        <is>
          <t xml:space="preserve">（三）ver5_1（6類，靜態值，來源：ver5_1 檔 116目標底稿ver1）</t>
        </is>
      </c>
    </row>
    <row r="87" ht="48" customHeight="1">
      <c r="A87" s="611" t="inlineStr">
        <is>
          <t xml:space="preserve">分類</t>
        </is>
      </c>
      <c r="B87" s="611" t="inlineStr">
        <is>
          <t xml:space="preserve">達成率區間</t>
        </is>
      </c>
      <c r="C87" s="611" t="inlineStr">
        <is>
          <t xml:space="preserve">家數</t>
        </is>
      </c>
      <c r="D87" s="611" t="inlineStr">
        <is>
          <t xml:space="preserve">115年化實績</t>
        </is>
      </c>
      <c r="E87" s="611" t="inlineStr">
        <is>
          <t xml:space="preserve">115年中調整後目標</t>
        </is>
      </c>
      <c r="F87" s="611" t="inlineStr">
        <is>
          <t xml:space="preserve">116成長目標</t>
        </is>
      </c>
      <c r="G87" s="611" t="inlineStr">
        <is>
          <t xml:space="preserve">116目標合計</t>
        </is>
      </c>
      <c r="H87" s="611" t="inlineStr">
        <is>
          <t xml:space="preserve">合計 vs 115實績</t>
        </is>
      </c>
      <c r="I87" s="611" t="inlineStr">
        <is>
          <t xml:space="preserve">合計 vs 115目標</t>
        </is>
      </c>
      <c r="J87" s="611" t="inlineStr">
        <is>
          <t xml:space="preserve">分行vs實績 中位(靜)</t>
        </is>
      </c>
      <c r="K87" s="611" t="inlineStr">
        <is>
          <t xml:space="preserve">分行vs實績 最低(靜)</t>
        </is>
      </c>
      <c r="L87" s="611" t="inlineStr">
        <is>
          <t xml:space="preserve">分行vs實績 最高(靜)</t>
        </is>
      </c>
      <c r="M87" s="611" t="inlineStr">
        <is>
          <t xml:space="preserve">116目標&lt;115實績 家數</t>
        </is>
      </c>
    </row>
    <row r="88">
      <c r="A88" s="613" t="inlineStr">
        <is>
          <t xml:space="preserve">TYPE_1</t>
        </is>
      </c>
      <c r="B88" s="613" t="inlineStr">
        <is>
          <t xml:space="preserve">180%以上</t>
        </is>
      </c>
      <c r="C88" s="616">
        <v>3</v>
      </c>
      <c r="D88" s="617">
        <v>3.16295495</v>
      </c>
      <c r="E88" s="617">
        <v>1.5821</v>
      </c>
      <c r="F88" s="617">
        <v>2.214</v>
      </c>
      <c r="G88" s="617">
        <v>2.294</v>
      </c>
      <c r="H88" s="618">
        <f>G88/D88-1</f>
        <v>-0.274728841774999</v>
      </c>
      <c r="I88" s="618">
        <f>G88/E88-1</f>
        <v>0.449971556791606</v>
      </c>
      <c r="J88" s="618">
        <v>-0.27282456674782685</v>
      </c>
      <c r="K88" s="618">
        <v>-0.2820580624071728</v>
      </c>
      <c r="L88" s="618">
        <v>-0.2671061485163655</v>
      </c>
      <c r="M88" s="616">
        <v>3</v>
      </c>
    </row>
    <row r="89">
      <c r="A89" s="613" t="inlineStr">
        <is>
          <t xml:space="preserve">TYPE_2</t>
        </is>
      </c>
      <c r="B89" s="613" t="inlineStr">
        <is>
          <t xml:space="preserve">150%以上，未達180%</t>
        </is>
      </c>
      <c r="C89" s="616">
        <v>4</v>
      </c>
      <c r="D89" s="617">
        <v>6.00480024</v>
      </c>
      <c r="E89" s="617">
        <v>3.8044</v>
      </c>
      <c r="F89" s="617">
        <v>4.8038</v>
      </c>
      <c r="G89" s="617">
        <v>5.0055</v>
      </c>
      <c r="H89" s="618">
        <f>G89/D89-1</f>
        <v>-0.166416899823465</v>
      </c>
      <c r="I89" s="618">
        <f>G89/E89-1</f>
        <v>0.315713384502155</v>
      </c>
      <c r="J89" s="618">
        <v>-0.16566799328775134</v>
      </c>
      <c r="K89" s="618">
        <v>-0.17022223745774756</v>
      </c>
      <c r="L89" s="618">
        <v>-0.16427662529696407</v>
      </c>
      <c r="M89" s="616">
        <v>4</v>
      </c>
    </row>
    <row r="90">
      <c r="A90" s="613" t="inlineStr">
        <is>
          <t xml:space="preserve">TYPE_3</t>
        </is>
      </c>
      <c r="B90" s="613" t="inlineStr">
        <is>
          <t xml:space="preserve">135%以上，未達150%</t>
        </is>
      </c>
      <c r="C90" s="616">
        <v>13</v>
      </c>
      <c r="D90" s="617">
        <v>10.46648441</v>
      </c>
      <c r="E90" s="617">
        <v>7.4231</v>
      </c>
      <c r="F90" s="617">
        <v>9.4196</v>
      </c>
      <c r="G90" s="617">
        <v>9.8677</v>
      </c>
      <c r="H90" s="618">
        <f>G90/D90-1</f>
        <v>-0.0572096977881038</v>
      </c>
      <c r="I90" s="618">
        <f>G90/E90-1</f>
        <v>0.329323328528512</v>
      </c>
      <c r="J90" s="618">
        <v>-0.05689979419833302</v>
      </c>
      <c r="K90" s="618">
        <v>-0.06293260447359961</v>
      </c>
      <c r="L90" s="618">
        <v>-0.029651537037551967</v>
      </c>
      <c r="M90" s="616">
        <v>13</v>
      </c>
    </row>
    <row r="91">
      <c r="A91" s="613" t="inlineStr">
        <is>
          <t xml:space="preserve">TYPE_4</t>
        </is>
      </c>
      <c r="B91" s="613" t="inlineStr">
        <is>
          <t xml:space="preserve">100%以上，未達135%</t>
        </is>
      </c>
      <c r="C91" s="616">
        <v>79</v>
      </c>
      <c r="D91" s="617">
        <v>63.38932682</v>
      </c>
      <c r="E91" s="617">
        <v>54.9823</v>
      </c>
      <c r="F91" s="617">
        <v>64.0229</v>
      </c>
      <c r="G91" s="617">
        <v>67.1541</v>
      </c>
      <c r="H91" s="618">
        <f>G91/D91-1</f>
        <v>0.0593912787666988</v>
      </c>
      <c r="I91" s="618">
        <f>G91/E91-1</f>
        <v>0.22137669759177</v>
      </c>
      <c r="J91" s="618">
        <v>0.05943537085994022</v>
      </c>
      <c r="K91" s="618">
        <v>0.04943765537900546</v>
      </c>
      <c r="L91" s="618">
        <v>0.08574235129447483</v>
      </c>
      <c r="M91" s="616">
        <v>0</v>
      </c>
    </row>
    <row r="92">
      <c r="A92" s="613" t="inlineStr">
        <is>
          <t xml:space="preserve">TYPE_5</t>
        </is>
      </c>
      <c r="B92" s="613" t="inlineStr">
        <is>
          <t xml:space="preserve">80%以上，未達100%</t>
        </is>
      </c>
      <c r="C92" s="616">
        <v>53</v>
      </c>
      <c r="D92" s="617">
        <v>28.65792381</v>
      </c>
      <c r="E92" s="617">
        <v>31.738</v>
      </c>
      <c r="F92" s="617">
        <v>29.2312</v>
      </c>
      <c r="G92" s="617">
        <v>31.0377</v>
      </c>
      <c r="H92" s="618">
        <f>G92/D92-1</f>
        <v>0.0830407745438138</v>
      </c>
      <c r="I92" s="618">
        <f>G92/E92-1</f>
        <v>-0.0220650324532106</v>
      </c>
      <c r="J92" s="618">
        <v>0.08380384885620495</v>
      </c>
      <c r="K92" s="618">
        <v>0.07164796917708371</v>
      </c>
      <c r="L92" s="618">
        <v>0.1024278025909171</v>
      </c>
      <c r="M92" s="616">
        <v>0</v>
      </c>
    </row>
    <row r="93">
      <c r="A93" s="613" t="inlineStr">
        <is>
          <t xml:space="preserve">TYPE_6</t>
        </is>
      </c>
      <c r="B93" s="613" t="inlineStr">
        <is>
          <t xml:space="preserve">未達80%</t>
        </is>
      </c>
      <c r="C93" s="616">
        <v>31</v>
      </c>
      <c r="D93" s="617">
        <v>13.17450346</v>
      </c>
      <c r="E93" s="617">
        <v>18.3239</v>
      </c>
      <c r="F93" s="617">
        <v>13.5696</v>
      </c>
      <c r="G93" s="617">
        <v>14.6356</v>
      </c>
      <c r="H93" s="618">
        <f>G93/D93-1</f>
        <v>0.110903347851867</v>
      </c>
      <c r="I93" s="618">
        <f>G93/E93-1</f>
        <v>-0.201283569545784</v>
      </c>
      <c r="J93" s="618">
        <v>0.11082005749967672</v>
      </c>
      <c r="K93" s="618">
        <v>0.096608503644392</v>
      </c>
      <c r="L93" s="618">
        <v>0.15220732715823226</v>
      </c>
      <c r="M93" s="616">
        <v>0</v>
      </c>
    </row>
    <row r="94">
      <c r="A94" s="615" t="inlineStr">
        <is>
          <t xml:space="preserve">合計</t>
        </is>
      </c>
      <c r="B94" s="613" t="inlineStr">
        <is>
          <t xml:space="preserve"/>
        </is>
      </c>
      <c r="C94" s="631">
        <f>SUM(C88:C93)</f>
        <v>183</v>
      </c>
      <c r="D94" s="632">
        <f>SUM(D88:D93)</f>
        <v>124.85599369</v>
      </c>
      <c r="E94" s="632">
        <f>SUM(E88:E93)</f>
        <v>117.8538</v>
      </c>
      <c r="F94" s="632">
        <f>SUM(F88:F93)</f>
        <v>123.2611</v>
      </c>
      <c r="G94" s="632">
        <f>SUM(G88:G93)</f>
        <v>129.9946</v>
      </c>
      <c r="H94" s="633">
        <f>G94/D94-1</f>
        <v>0.0411562645743577</v>
      </c>
      <c r="I94" s="633">
        <f>G94/E94-1</f>
        <v>0.103015770386699</v>
      </c>
      <c r="J94" s="613" t="inlineStr">
        <is>
          <t xml:space="preserve"/>
        </is>
      </c>
      <c r="K94" s="613" t="inlineStr">
        <is>
          <t xml:space="preserve"/>
        </is>
      </c>
      <c r="L94" s="613" t="inlineStr">
        <is>
          <t xml:space="preserve"/>
        </is>
      </c>
      <c r="M94" s="631">
        <f>SUM(M88:M93)</f>
        <v>20</v>
      </c>
    </row>
    <row r="96">
      <c r="B96" s="615" t="inlineStr">
        <is>
          <t xml:space="preserve">（四）ver5_1 → ver5_2 改版對同一群分行的影響（以 ver5_2 分類歸戶；靜態值）</t>
        </is>
      </c>
    </row>
    <row r="97" ht="36" customHeight="1">
      <c r="B97" s="611" t="inlineStr">
        <is>
          <t xml:space="preserve">ver5_2 分類</t>
        </is>
      </c>
      <c r="C97" s="611" t="inlineStr">
        <is>
          <t xml:space="preserve">家數</t>
        </is>
      </c>
      <c r="D97" s="611" t="inlineStr">
        <is>
          <t xml:space="preserve">115年化實績</t>
        </is>
      </c>
      <c r="E97" s="611" t="inlineStr">
        <is>
          <t xml:space="preserve">ver5_1 116目標合計</t>
        </is>
      </c>
      <c r="F97" s="611" t="inlineStr">
        <is>
          <t xml:space="preserve">ver5_2 116目標合計</t>
        </is>
      </c>
      <c r="G97" s="611" t="inlineStr">
        <is>
          <t xml:space="preserve">改版差異(ver5_2−ver5_1)</t>
        </is>
      </c>
      <c r="H97" s="611" t="inlineStr">
        <is>
          <t xml:space="preserve">ver5_1 合計vs實績</t>
        </is>
      </c>
      <c r="I97" s="611" t="inlineStr">
        <is>
          <t xml:space="preserve">ver5_2 合計vs實績</t>
        </is>
      </c>
    </row>
    <row r="98">
      <c r="B98" s="613" t="inlineStr">
        <is>
          <t xml:space="preserve">TYPE_1</t>
        </is>
      </c>
      <c r="C98" s="616">
        <v>47</v>
      </c>
      <c r="D98" s="617">
        <v>43.55005112</v>
      </c>
      <c r="E98" s="617">
        <v>42.4087</v>
      </c>
      <c r="F98" s="617">
        <v>39.8393</v>
      </c>
      <c r="G98" s="617">
        <f>F98-E98</f>
        <v>-2.5694</v>
      </c>
      <c r="H98" s="618">
        <f>E98/D98-1</f>
        <v>-0.026207802072495</v>
      </c>
      <c r="I98" s="618">
        <f>F98/D98-1</f>
        <v>-0.0852065847127299</v>
      </c>
    </row>
    <row r="99">
      <c r="B99" s="613" t="inlineStr">
        <is>
          <t xml:space="preserve">TYPE_2</t>
        </is>
      </c>
      <c r="C99" s="616">
        <v>52</v>
      </c>
      <c r="D99" s="617">
        <v>39.4735153</v>
      </c>
      <c r="E99" s="617">
        <v>41.9126</v>
      </c>
      <c r="F99" s="617">
        <v>41.1893</v>
      </c>
      <c r="G99" s="617">
        <f>F99-E99</f>
        <v>-0.723299999999995</v>
      </c>
      <c r="H99" s="618">
        <f>E99/D99-1</f>
        <v>0.0617904101386175</v>
      </c>
      <c r="I99" s="618">
        <f>F99/D99-1</f>
        <v>0.0434667317303763</v>
      </c>
    </row>
    <row r="100">
      <c r="B100" s="613" t="inlineStr">
        <is>
          <t xml:space="preserve">TYPE_3</t>
        </is>
      </c>
      <c r="C100" s="616">
        <v>53</v>
      </c>
      <c r="D100" s="617">
        <v>28.65792381</v>
      </c>
      <c r="E100" s="617">
        <v>31.0377</v>
      </c>
      <c r="F100" s="617">
        <v>30.6853</v>
      </c>
      <c r="G100" s="617">
        <f>F100-E100</f>
        <v>-0.352399999999999</v>
      </c>
      <c r="H100" s="618">
        <f>E100/D100-1</f>
        <v>0.0830407745438138</v>
      </c>
      <c r="I100" s="618">
        <f>F100/D100-1</f>
        <v>0.0707440009765314</v>
      </c>
    </row>
    <row r="101">
      <c r="B101" s="613" t="inlineStr">
        <is>
          <t xml:space="preserve">TYPE_4</t>
        </is>
      </c>
      <c r="C101" s="616">
        <v>31</v>
      </c>
      <c r="D101" s="617">
        <v>13.17450346</v>
      </c>
      <c r="E101" s="617">
        <v>14.6356</v>
      </c>
      <c r="F101" s="617">
        <v>18.2798</v>
      </c>
      <c r="G101" s="617">
        <f>F101-E101</f>
        <v>3.6442</v>
      </c>
      <c r="H101" s="618">
        <f>E101/D101-1</f>
        <v>0.110903347851867</v>
      </c>
      <c r="I101" s="618">
        <f>F101/D101-1</f>
        <v>0.387513393237213</v>
      </c>
    </row>
    <row r="102">
      <c r="B102" s="615" t="inlineStr">
        <is>
          <t xml:space="preserve">合計</t>
        </is>
      </c>
      <c r="C102" s="631">
        <f>SUM(C98:C101)</f>
        <v>183</v>
      </c>
      <c r="D102" s="632">
        <f>SUM(D98:D101)</f>
        <v>124.85599369</v>
      </c>
      <c r="E102" s="632">
        <f>SUM(E98:E101)</f>
        <v>129.9946</v>
      </c>
      <c r="F102" s="632">
        <f>SUM(F98:F101)</f>
        <v>129.9937</v>
      </c>
      <c r="G102" s="632">
        <f>F102-E102</f>
        <v>-0.000899999999973034</v>
      </c>
      <c r="H102" s="633">
        <f>E102/D102-1</f>
        <v>0.0411562645743577</v>
      </c>
      <c r="I102" s="633">
        <f>F102/D102-1</f>
        <v>0.0411490562700276</v>
      </c>
    </row>
    <row r="103">
      <c r="B103" s="614" t="inlineStr">
        <is>
          <t xml:space="preserve">解讀：ver5_1 對兩端最寬鬆（高達成用實績×0.7–0.9、未達80%用實績×1.03），中段 100–135% 負擔最重；ver5_2 把高端改為「目標×1.212」、低端改為「目標×0.96」，等於把 ver5_1 讓給低端的約 3.6 億加回低端，兩端一起收緊，但 &lt;80% 分行因此成為全行成長率最高的一群。</t>
        </is>
      </c>
    </row>
    <row r="105">
      <c r="B105" s="610" t="inlineStr">
        <is>
          <t xml:space="preserve">肆、現行 ver5_2 規則診斷（依使用者目標：達成好者少加、達成差者不要加太多）</t>
        </is>
      </c>
    </row>
    <row r="106">
      <c r="B106" s="625" t="inlineStr">
        <is>
          <t xml:space="preserve">D1. 文字與參數不一致：本表 C4/D4 寫「成長3%／預估實績*103%」但 F4＝1.01；C5/D5 寫「成長5%／*105%」但 F5＝1.03。底稿 P 欄與「財管手收比較表_重點」I 欄顯示的公式文字因此與實算不符（實算 TYPE_2 ×1.01、TYPE_3 ×1.03），呈報前需二擇一修正。</t>
        </is>
      </c>
    </row>
    <row r="107">
      <c r="B107" s="614" t="inlineStr">
        <is>
          <t xml:space="preserve">D2. 未達 80%（TYPE_4，31 家）成為全行成長率最高的一群：116合計較 115 年化實績 中位 +35%、最高 +92%（建成分行 達成率 0.52、台東分行 0.58），但其 116 目標僅等於 115 目標×0.96。這正是「直接放棄」風險區，與使用者目標相反。</t>
        </is>
      </c>
    </row>
    <row r="108">
      <c r="B108" s="625" t="inlineStr">
        <is>
          <t xml:space="preserve">D3. 80% 門檻反向斷層：達成率 79% 的分行 116 成長目標＝115 目標×0.960，80% 的分行＝115 目標×0.824（實績×1.03）；愈差目標反而愈高，且形成「衝到 79% 就停」的誘因（見貳之曲線表 0.79／0.80 列）。</t>
        </is>
      </c>
    </row>
    <row r="109">
      <c r="B109" s="614" t="inlineStr">
        <is>
          <t xml:space="preserve">D4. 120% 以上（TYPE_1，47 家）一律 115 目標×1.212、不看實績：32 家 116 目標低於 115 年化實績，最低 -42%（新興分行 達成率 2.14）；達成 121% 與 214% 套同一公式，組內公平性不足，釋出約 3.7 億缺口由其他三類吸收。</t>
        </is>
      </c>
    </row>
    <row r="110">
      <c r="B110" s="614" t="inlineStr">
        <is>
          <t xml:space="preserve">D5. 分佈離散：115 達成率與「116 目標較實績成長」相關係數 -0.85（負向合理），但分行成長率分佈 -42% ～ +92%，中位 +5%；極端值集中在兩端分類。</t>
        </is>
      </c>
    </row>
    <row r="111">
      <c r="B111" s="614" t="inlineStr">
        <is>
          <t xml:space="preserve">D6. 115 年原規則不可直接沿用：套用後成長目標合計 135.56 億 &gt; 130 億（超出 5.56 億），且 &lt;75% 的 19 家需 +47%～+110%。</t>
        </is>
      </c>
    </row>
    <row r="112">
      <c r="B112" s="614" t="inlineStr">
        <is>
          <t xml:space="preserve">D7. 115 年化較 114 年實績平均 +142%（中位 +137%），屬高基期年；以 115 單年為唯一基期會把一次性大案帶入 116 目標。「兩年平均基期」經試算需 g0&gt;50% 才能湊到總額，本年度不適用，但可作為剔除大案的敏感度檢核。</t>
        </is>
      </c>
    </row>
    <row r="113">
      <c r="B113" s="614" t="inlineStr">
        <is>
          <t xml:space="preserve">D8. 其他檢核：116年參數表 G22／J23 為 REF 參照錯誤；重點呈報表標題「160億元版本」與欄名「85%／15%」與實際 130 億、96.7%／3.3% 不符；115_分行業績 公式引用外部檔 [11]；底稿_前2年手收20% 留有「要改!!!!」註記。</t>
        </is>
      </c>
    </row>
    <row r="115">
      <c r="B115" s="610" t="inlineStr">
        <is>
          <t xml:space="preserve">伍、替代方案模擬比較（Python 離線模擬，靜態值；每一方案皆校準至成長目標合計 125.64 億，綜合指標池與各分行綜合指標數不變；「vs實績」＝116目標合計÷115年化實績−1）</t>
        </is>
      </c>
    </row>
    <row r="116" ht="60" customHeight="1">
      <c r="B116" s="611" t="inlineStr">
        <is>
          <t xml:space="preserve">方案</t>
        </is>
      </c>
      <c r="C116" s="611" t="inlineStr">
        <is>
          <t xml:space="preserve">作法</t>
        </is>
      </c>
      <c r="D116" s="611" t="inlineStr">
        <is>
          <t xml:space="preserve">校準參數</t>
        </is>
      </c>
      <c r="E116" s="611" t="inlineStr">
        <is>
          <t xml:space="preserve">TYPE_1 (≥120%) 合計vs實績</t>
        </is>
      </c>
      <c r="F116" s="611" t="inlineStr">
        <is>
          <t xml:space="preserve">TYPE_2 (100–120%)</t>
        </is>
      </c>
      <c r="G116" s="611" t="inlineStr">
        <is>
          <t xml:space="preserve">TYPE_3 (80–100%)</t>
        </is>
      </c>
      <c r="H116" s="611" t="inlineStr">
        <is>
          <t xml:space="preserve">TYPE_4 (&lt;80%)</t>
        </is>
      </c>
      <c r="I116" s="611" t="inlineStr">
        <is>
          <t xml:space="preserve">分行vs實績 最低</t>
        </is>
      </c>
      <c r="J116" s="611" t="inlineStr">
        <is>
          <t xml:space="preserve">P10</t>
        </is>
      </c>
      <c r="K116" s="611" t="inlineStr">
        <is>
          <t xml:space="preserve">中位</t>
        </is>
      </c>
      <c r="L116" s="611" t="inlineStr">
        <is>
          <t xml:space="preserve">P90</t>
        </is>
      </c>
      <c r="M116" s="611" t="inlineStr">
        <is>
          <t xml:space="preserve">最高</t>
        </is>
      </c>
      <c r="N116" s="611" t="inlineStr">
        <is>
          <t xml:space="preserve">116目標&lt;115實績 家數</t>
        </is>
      </c>
      <c r="O116" s="611" t="inlineStr">
        <is>
          <t xml:space="preserve">達成率vs成長 相關係數</t>
        </is>
      </c>
      <c r="P116" s="611" t="inlineStr">
        <is>
          <t xml:space="preserve">TYPE_4 最高</t>
        </is>
      </c>
      <c r="Q116" s="611" t="inlineStr">
        <is>
          <t xml:space="preserve">TYPE_1 最低</t>
        </is>
      </c>
    </row>
    <row r="117" ht="54" customHeight="1">
      <c r="B117" s="612" t="inlineStr">
        <is>
          <t xml:space="preserve">S0 現行 v2（4類）</t>
        </is>
      </c>
      <c r="C117" s="612" t="inlineStr">
        <is>
          <t xml:space="preserve">現行調整規則</t>
        </is>
      </c>
      <c r="D117" s="613" t="inlineStr">
        <is>
          <t xml:space="preserve">—</t>
        </is>
      </c>
      <c r="E117" s="618">
        <v>-0.0852065847127299</v>
      </c>
      <c r="F117" s="618">
        <v>0.043466731730376296</v>
      </c>
      <c r="G117" s="618">
        <v>0.07074400097653122</v>
      </c>
      <c r="H117" s="618">
        <v>0.3875133932372128</v>
      </c>
      <c r="I117" s="618">
        <v>-0.42331489411283585</v>
      </c>
      <c r="J117" s="618">
        <v>-0.0693554692614288</v>
      </c>
      <c r="K117" s="618">
        <v>0.0477671140319027</v>
      </c>
      <c r="L117" s="618">
        <v>0.344980141629522</v>
      </c>
      <c r="M117" s="618">
        <v>0.9176573975188194</v>
      </c>
      <c r="N117" s="616">
        <v>32</v>
      </c>
      <c r="O117" s="619">
        <v>-0.8510111605635361</v>
      </c>
      <c r="P117" s="618">
        <v>0.9176573975188194</v>
      </c>
      <c r="Q117" s="618">
        <v>-0.42331489411283585</v>
      </c>
    </row>
    <row r="118" ht="54" customHeight="1">
      <c r="B118" s="612" t="inlineStr">
        <is>
          <t xml:space="preserve">S1 混合基期 w=0.6</t>
        </is>
      </c>
      <c r="C118" s="612" t="inlineStr">
        <is>
          <t xml:space="preserve">基期=0.6×115實績+0.4×115目標，×(1+g)</t>
        </is>
      </c>
      <c r="D118" s="613" t="inlineStr">
        <is>
          <t xml:space="preserve">g=2.939%</t>
        </is>
      </c>
      <c r="E118" s="618">
        <v>-0.05379215545683158</v>
      </c>
      <c r="F118" s="618">
        <v>0.025482521441408057</v>
      </c>
      <c r="G118" s="618">
        <v>0.11438289150786884</v>
      </c>
      <c r="H118" s="618">
        <v>0.24262747736224743</v>
      </c>
      <c r="I118" s="618">
        <v>-0.1787742303443931</v>
      </c>
      <c r="J118" s="618">
        <v>-0.04618864618345664</v>
      </c>
      <c r="K118" s="618">
        <v>0.05959228005567008</v>
      </c>
      <c r="L118" s="618">
        <v>0.22383907383121662</v>
      </c>
      <c r="M118" s="618">
        <v>0.4852016290578556</v>
      </c>
      <c r="N118" s="616">
        <v>51</v>
      </c>
      <c r="O118" s="619">
        <v>-0.9437870058461546</v>
      </c>
      <c r="P118" s="618">
        <v>0.4852016290578556</v>
      </c>
      <c r="Q118" s="618">
        <v>-0.1787742303443931</v>
      </c>
    </row>
    <row r="119" ht="54" customHeight="1">
      <c r="B119" s="612" t="inlineStr">
        <is>
          <t xml:space="preserve">S2 非對稱混合+上下限</t>
        </is>
      </c>
      <c r="C119" s="612" t="inlineStr">
        <is>
          <t xml:space="preserve">≥100% w=0.7；&lt;100% w=0.5；vs實績上限+25%／下限−20%</t>
        </is>
      </c>
      <c r="D119" s="613" t="inlineStr">
        <is>
          <t xml:space="preserve">g=1.136%</t>
        </is>
      </c>
      <c r="E119" s="618">
        <v>-0.04283235201860314</v>
      </c>
      <c r="F119" s="618">
        <v>0.01729475307206796</v>
      </c>
      <c r="G119" s="618">
        <v>0.10644442389561926</v>
      </c>
      <c r="H119" s="618">
        <v>0.2481988448314545</v>
      </c>
      <c r="I119" s="618">
        <v>-0.13896052874395526</v>
      </c>
      <c r="J119" s="618">
        <v>-0.03715374623106711</v>
      </c>
      <c r="K119" s="618">
        <v>0.04320660687786759</v>
      </c>
      <c r="L119" s="618">
        <v>0.2391399358497645</v>
      </c>
      <c r="M119" s="618">
        <v>0.3289530413854793</v>
      </c>
      <c r="N119" s="616">
        <v>53</v>
      </c>
      <c r="O119" s="619">
        <v>-0.9219847221552601</v>
      </c>
      <c r="P119" s="618">
        <v>0.3289530413854793</v>
      </c>
      <c r="Q119" s="618">
        <v>-0.13896052874395526</v>
      </c>
    </row>
    <row r="120" ht="54" customHeight="1">
      <c r="B120" s="612" t="inlineStr">
        <is>
          <t xml:space="preserve">S3a 連續成長率(無地板)</t>
        </is>
      </c>
      <c r="C120" s="612" t="inlineStr">
        <is>
          <t xml:space="preserve">g(J)=g0−0.25×(J−1)，夾[−20%,+15%]，基期=115實績</t>
        </is>
      </c>
      <c r="D120" s="613" t="inlineStr">
        <is>
          <t xml:space="preserve">g0=3.532%</t>
        </is>
      </c>
      <c r="E120" s="618">
        <v>-0.03381743722738484</v>
      </c>
      <c r="F120" s="618">
        <v>0.04308926344849762</v>
      </c>
      <c r="G120" s="618">
        <v>0.09947950901471803</v>
      </c>
      <c r="H120" s="618">
        <v>0.15626369117064232</v>
      </c>
      <c r="I120" s="618">
        <v>-0.1883867850116221</v>
      </c>
      <c r="J120" s="618">
        <v>-0.02009447544333449</v>
      </c>
      <c r="K120" s="618">
        <v>0.06815119421994043</v>
      </c>
      <c r="L120" s="618">
        <v>0.14872549299320093</v>
      </c>
      <c r="M120" s="618">
        <v>0.22881953788791365</v>
      </c>
      <c r="N120" s="616">
        <v>32</v>
      </c>
      <c r="O120" s="619">
        <v>-0.9956716331550873</v>
      </c>
      <c r="P120" s="618">
        <v>0.22881953788791365</v>
      </c>
      <c r="Q120" s="618">
        <v>-0.1883867850116221</v>
      </c>
    </row>
    <row r="121" ht="54" customHeight="1">
      <c r="B121" s="612" t="inlineStr">
        <is>
          <t xml:space="preserve">S3b 連續成長率+地板0.75</t>
        </is>
      </c>
      <c r="C121" s="612" t="inlineStr">
        <is>
          <t xml:space="preserve">同上，另 116目標≥115目標×75%</t>
        </is>
      </c>
      <c r="D121" s="613" t="inlineStr">
        <is>
          <t xml:space="preserve">g0=3.371%</t>
        </is>
      </c>
      <c r="E121" s="618">
        <v>-0.03536737800274714</v>
      </c>
      <c r="F121" s="618">
        <v>0.041480589898209574</v>
      </c>
      <c r="G121" s="618">
        <v>0.09786390000176359</v>
      </c>
      <c r="H121" s="618">
        <v>0.16971391345325126</v>
      </c>
      <c r="I121" s="618">
        <v>-0.1883867850116221</v>
      </c>
      <c r="J121" s="618">
        <v>-0.021698867767324593</v>
      </c>
      <c r="K121" s="618">
        <v>0.06651726928487012</v>
      </c>
      <c r="L121" s="618">
        <v>0.14710770568427375</v>
      </c>
      <c r="M121" s="618">
        <v>0.5154432911879929</v>
      </c>
      <c r="N121" s="616">
        <v>32</v>
      </c>
      <c r="O121" s="619">
        <v>-0.9449506971186309</v>
      </c>
      <c r="P121" s="618">
        <v>0.5154432911879929</v>
      </c>
      <c r="Q121" s="618">
        <v>-0.1883867850116221</v>
      </c>
    </row>
    <row r="122" ht="54" customHeight="1">
      <c r="B122" s="612" t="inlineStr">
        <is>
          <t xml:space="preserve">S3c 連續成長率+地板0.85</t>
        </is>
      </c>
      <c r="C122" s="612" t="inlineStr">
        <is>
          <t xml:space="preserve">同上，另 116目標≥115目標×85%</t>
        </is>
      </c>
      <c r="D122" s="613" t="inlineStr">
        <is>
          <t xml:space="preserve">g0=2.592%</t>
        </is>
      </c>
      <c r="E122" s="618">
        <v>-0.04286220272983232</v>
      </c>
      <c r="F122" s="618">
        <v>0.0336804231874428</v>
      </c>
      <c r="G122" s="618">
        <v>0.09006849927835026</v>
      </c>
      <c r="H122" s="618">
        <v>0.23481693631890388</v>
      </c>
      <c r="I122" s="618">
        <v>-0.1883867850116221</v>
      </c>
      <c r="J122" s="618">
        <v>-0.029499129624303188</v>
      </c>
      <c r="K122" s="618">
        <v>0.05867442959653291</v>
      </c>
      <c r="L122" s="618">
        <v>0.19712460070689863</v>
      </c>
      <c r="M122" s="618">
        <v>0.706973818012196</v>
      </c>
      <c r="N122" s="616">
        <v>38</v>
      </c>
      <c r="O122" s="619">
        <v>-0.8721669329501309</v>
      </c>
      <c r="P122" s="618">
        <v>0.706973818012196</v>
      </c>
      <c r="Q122" s="618">
        <v>-0.1883867850116221</v>
      </c>
    </row>
    <row r="123" ht="54" customHeight="1">
      <c r="B123" s="626" t="inlineStr">
        <is>
          <t xml:space="preserve">S4a 現行框架+兩端缺口分攤 β=0.5/0.5（建議）</t>
        </is>
      </c>
      <c r="C123" s="626" t="inlineStr">
        <is>
          <t xml:space="preserve">TYPE_1=(目標×1.2+0.5×超額)×1.01；TYPE_4=(實績+0.5×(目標×0.8−實績))×1.03；中間不變；等比例校準</t>
        </is>
      </c>
      <c r="D123" s="626" t="inlineStr">
        <is>
          <t xml:space="preserve">校準係數=1.0048</t>
        </is>
      </c>
      <c r="E123" s="627">
        <v>-0.01960390626517361</v>
      </c>
      <c r="F123" s="627">
        <v>0.0482927523812402</v>
      </c>
      <c r="G123" s="627">
        <v>0.07565712730534324</v>
      </c>
      <c r="H123" s="627">
        <v>0.14550806759589263</v>
      </c>
      <c r="I123" s="627">
        <v>-0.1971130757733619</v>
      </c>
      <c r="J123" s="627">
        <v>-0.009301796431108357</v>
      </c>
      <c r="K123" s="627">
        <v>0.05257857835889945</v>
      </c>
      <c r="L123" s="627">
        <v>0.12666852361546463</v>
      </c>
      <c r="M123" s="627">
        <v>0.389436365645754</v>
      </c>
      <c r="N123" s="630">
        <v>23</v>
      </c>
      <c r="O123" s="629">
        <v>-0.9194724225164667</v>
      </c>
      <c r="P123" s="627">
        <v>0.389436365645754</v>
      </c>
      <c r="Q123" s="627">
        <v>-0.1971130757733619</v>
      </c>
    </row>
    <row r="124" ht="54" customHeight="1">
      <c r="B124" s="612" t="inlineStr">
        <is>
          <t xml:space="preserve">S4b 同上 β=0.3/0.5</t>
        </is>
      </c>
      <c r="C124" s="612" t="inlineStr">
        <is>
          <t xml:space="preserve">高端僅保留30%超額</t>
        </is>
      </c>
      <c r="D124" s="613" t="inlineStr">
        <is>
          <t xml:space="preserve">校準係數=1.0134</t>
        </is>
      </c>
      <c r="E124" s="618">
        <v>-0.03617793962304772</v>
      </c>
      <c r="F124" s="618">
        <v>0.057002389650358865</v>
      </c>
      <c r="G124" s="618">
        <v>0.08452727441318442</v>
      </c>
      <c r="H124" s="618">
        <v>0.15489741576947447</v>
      </c>
      <c r="I124" s="618">
        <v>-0.28049005703592267</v>
      </c>
      <c r="J124" s="618">
        <v>-0.023578236827155433</v>
      </c>
      <c r="K124" s="618">
        <v>0.061342990713084244</v>
      </c>
      <c r="L124" s="618">
        <v>0.1359398640482747</v>
      </c>
      <c r="M124" s="618">
        <v>0.4005249750934712</v>
      </c>
      <c r="N124" s="616">
        <v>29</v>
      </c>
      <c r="O124" s="619">
        <v>-0.9329110187180255</v>
      </c>
      <c r="P124" s="618">
        <v>0.4005249750934712</v>
      </c>
      <c r="Q124" s="618">
        <v>-0.28049005703592267</v>
      </c>
    </row>
    <row r="125" ht="54" customHeight="1">
      <c r="B125" s="612" t="inlineStr">
        <is>
          <t xml:space="preserve">S4c 同上 β=0.5/0.3</t>
        </is>
      </c>
      <c r="C125" s="612" t="inlineStr">
        <is>
          <t xml:space="preserve">低端僅回補30%缺口</t>
        </is>
      </c>
      <c r="D125" s="613" t="inlineStr">
        <is>
          <t xml:space="preserve">校準係數=1.0072</t>
        </is>
      </c>
      <c r="E125" s="618">
        <v>-0.01726406974651562</v>
      </c>
      <c r="F125" s="618">
        <v>0.05078302970396953</v>
      </c>
      <c r="G125" s="618">
        <v>0.07818347919601099</v>
      </c>
      <c r="H125" s="618">
        <v>0.12481658568709353</v>
      </c>
      <c r="I125" s="618">
        <v>-0.1951360255226552</v>
      </c>
      <c r="J125" s="618">
        <v>-0.006795272472839198</v>
      </c>
      <c r="K125" s="618">
        <v>0.05512582417907441</v>
      </c>
      <c r="L125" s="618">
        <v>0.11189386823935144</v>
      </c>
      <c r="M125" s="618">
        <v>0.2819104558497103</v>
      </c>
      <c r="N125" s="616">
        <v>22</v>
      </c>
      <c r="O125" s="619">
        <v>-0.952588592775689</v>
      </c>
      <c r="P125" s="618">
        <v>0.2819104558497103</v>
      </c>
      <c r="Q125" s="618">
        <v>-0.1951360255226552</v>
      </c>
    </row>
    <row r="127">
      <c r="B127" s="615" t="inlineStr">
        <is>
          <t xml:space="preserve">方案說明：</t>
        </is>
      </c>
    </row>
    <row r="128">
      <c r="B128" s="614" t="inlineStr">
        <is>
          <t xml:space="preserve">S1 混合基期：基期＝w×115實績＋(1−w)×115目標，再×(1+g)。單一公式、無斷層；w 愈高愈看實績。缺點：&lt;80% 仍有 +49%，且 TYPE_2 有分行目標低於實績。</t>
        </is>
      </c>
    </row>
    <row r="129">
      <c r="B129" s="614" t="inlineStr">
        <is>
          <t xml:space="preserve">S2 非對稱混合＋上下限：&gt;100% 用 w_hi、&lt;100% 用 w_lo，另設 vs實績 上限／下限。上限能硬性擋住「直接放棄」，但 100–120% 分行有 6 家目標低於實績，需再調。</t>
        </is>
      </c>
    </row>
    <row r="130">
      <c r="B130" s="614" t="inlineStr">
        <is>
          <t xml:space="preserve">S3 連續成長率：成長率 g(J)＝g0−k×(J−1)，夾在[下限,上限]，基期＝115實績，另設「116目標≥115目標×地板」。無地板時分佈最緊（−19%～+23%）但達成率 52% 的分行 116 目標只剩 115 目標的 6 成（道德風險）；地板愈高，低端成長率愈大（0.75→+52%、0.85→+71%），地板高度即「放棄風險」與「做差反而輕鬆」的取捨點。</t>
        </is>
      </c>
    </row>
    <row r="131">
      <c r="B131" s="614" t="inlineStr">
        <is>
          <t xml:space="preserve">S4 現行 4 類框架＋兩端缺口分攤（建議）：只改 TYPE_1 與 TYPE_4 公式，中間兩類不動，兩端皆與鄰類連續（消除 80% 反向斷層，120% 原本即連續）。β＝0.5／0.5 時：&lt;80% 中位 +13%、最高 +39%；≥120% 中位 0%、最低 −20%；目標&lt;實績家數 32→23；中間兩類僅多 0.5%。參數可在「116替代方案模擬」工作表調整並即時連動。</t>
        </is>
      </c>
    </row>
    <row r="133">
      <c r="B133" s="610" t="inlineStr">
        <is>
          <t xml:space="preserve">陸、建議</t>
        </is>
      </c>
    </row>
    <row r="134">
      <c r="B134" s="614" t="inlineStr">
        <is>
          <t xml:space="preserve">1. 本次呈報（改動最小）：採 S4（βhi＝0.5、βlo＝0.5）。對達成好的分行，超額部分只保留一半進基期（目標仍可低於 115 實績，但不再一律 −20%～−40%）；對達成差的分行，只要求補回「與 115 目標 8 成」缺口的一半，成長率上限自 +92% 降到 +39%。若希望低端更保守可用 βlo＝0.3（最高 +28%），高端更保守可用 βhi＝0.3。</t>
        </is>
      </c>
    </row>
    <row r="135">
      <c r="B135" s="614" t="inlineStr">
        <is>
          <t xml:space="preserve">2. 若可接受較大改版：採 S3 連續成長率（k＝0.25、地板 0.75–0.85），完全取消分類門檻，杜絕「卡門檻」行為；門檻改以本表 E3:E5 連動即可過渡。</t>
        </is>
      </c>
    </row>
    <row r="136">
      <c r="B136" s="614" t="inlineStr">
        <is>
          <t xml:space="preserve">3. 115 目標合理性檢核：達成率 &lt;75% 的 19 家，先確認 115 目標是否本來偏高（例如以同區／同組中位數、或 113–114 年平均 × 全行成長率回推），對「目標偏高」者直接以合理化後的 115 目標重算，而非用成長率硬壓。</t>
        </is>
      </c>
    </row>
    <row r="137">
      <c r="B137" s="614" t="inlineStr">
        <is>
          <t xml:space="preserve">4. 基期剔除一次性大案：G 欄為「未刪除超過 100%」年化數，建議對單筆佔分行年業績 &gt;20% 的保險／信託大案做剔除或折半後再年化，避免 116 年「業績變業障」；可與 D7 的兩年平均檢核並用。</t>
        </is>
      </c>
    </row>
    <row r="138">
      <c r="B138" s="614" t="inlineStr">
        <is>
          <t xml:space="preserve">5. 提高綜合指標比重：目前綜合指標僅 3.3%（重點表卻標 15%）。建議提高至 10–15%，讓目標更多反映存款、AUM、人數等「潛力」而非單一年度手收；提高後成長目標合計下降，兩端壓力同步減輕。</t>
        </is>
      </c>
    </row>
    <row r="139">
      <c r="B139" s="614" t="inlineStr">
        <is>
          <t xml:space="preserve">6. 雙軌目標：基本目標（S4）＋挑戰目標（基本×1.10），獎酬與排名掛鉤挑戰目標、考核掛鉤基本目標，高達成分行不會因 116 目標被墊高而失去衝刺誘因。</t>
        </is>
      </c>
    </row>
    <row r="140">
      <c r="B140" s="614" t="inlineStr">
        <is>
          <t xml:space="preserve">7. 年中檢視機制先寫入規則：上半年達成 &gt;60% 者不調升、&lt;35% 者檢討基期，避免年底再做一次「達成率分類」造成相同斷層。</t>
        </is>
      </c>
    </row>
    <row r="141">
      <c r="B141" s="614" t="inlineStr">
        <is>
          <t xml:space="preserve">8. 分類改用分位數：若保留分類制，門檻改為每年依達成率分位數（如前 25%／中 50%／後 25%）訂定，避免整數門檻與各類家數逐年飄移。</t>
        </is>
      </c>
    </row>
    <row r="142">
      <c r="B142" s="614" t="inlineStr">
        <is>
          <t xml:space="preserve">9. 呈報前應修正：本表 C4/D4、C5/D5 文字（或改 F4/F5 參數）；116年參數表 G22/J23 參照錯誤；重點表「160億元版本」與「85%／15%」標示。</t>
        </is>
      </c>
    </row>
  </sheetData>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B194-D9B9-4E35-8CD8-6C55D534E8EC}">
  <dimension ref="A1:C184"/>
  <sheetViews>
    <sheetView tabSelected="1" topLeftCell="C1" zoomScale="85" zoomScaleNormal="85" workbookViewId="0">
      <selection activeCell="T27" sqref="T27"/>
    </sheetView>
  </sheetViews>
  <sheetFormatPr defaultRowHeight="16.5"/>
  <cols>
    <col min="2" max="2" width="14.125" customWidth="1"/>
  </cols>
  <sheetData>
    <row r="1" spans="1:3" ht="56.25" customHeight="1">
      <c r="A1" s="372" t="s">
        <v>2089</v>
      </c>
      <c r="B1" s="474" t="s">
        <v>2070</v>
      </c>
      <c r="C1" s="474" t="s">
        <v>2071</v>
      </c>
    </row>
    <row r="2" spans="1:3">
      <c r="A2" s="456">
        <v>1.46</v>
      </c>
      <c r="B2" s="276">
        <v>-0.1434988868153243</v>
      </c>
      <c r="C2" s="276">
        <v>0.2519738108992875</v>
      </c>
    </row>
    <row r="3" spans="1:3">
      <c r="A3" s="456">
        <v>0.69</v>
      </c>
      <c r="B3" s="276">
        <v>0.46449645622536129</v>
      </c>
      <c r="C3" s="276">
        <v>6.9386622259228758E-3</v>
      </c>
    </row>
    <row r="4" spans="1:3">
      <c r="A4" s="456">
        <v>0.97</v>
      </c>
      <c r="B4" s="276">
        <v>6.9473132729424236E-2</v>
      </c>
      <c r="C4" s="276">
        <v>4.0705563093622832E-2</v>
      </c>
    </row>
    <row r="5" spans="1:3">
      <c r="A5" s="456">
        <v>1.33</v>
      </c>
      <c r="B5" s="276">
        <v>-5.9988864697721689E-2</v>
      </c>
      <c r="C5" s="276">
        <v>0.24933897408778427</v>
      </c>
    </row>
    <row r="6" spans="1:3">
      <c r="A6" s="456">
        <v>0.52</v>
      </c>
      <c r="B6" s="276">
        <v>0.91765739751881936</v>
      </c>
      <c r="C6" s="276">
        <v>1.2280701754385781E-3</v>
      </c>
    </row>
    <row r="7" spans="1:3">
      <c r="A7" s="456">
        <v>0.92</v>
      </c>
      <c r="B7" s="276">
        <v>6.8700414458627179E-2</v>
      </c>
      <c r="C7" s="276">
        <v>-1.6609623515200345E-2</v>
      </c>
    </row>
    <row r="8" spans="1:3">
      <c r="A8" s="456">
        <v>1.21</v>
      </c>
      <c r="B8" s="276">
        <v>3.6014792970014531E-2</v>
      </c>
      <c r="C8" s="276">
        <v>0.25099500381065298</v>
      </c>
    </row>
    <row r="9" spans="1:3">
      <c r="A9" s="456">
        <v>1.4</v>
      </c>
      <c r="B9" s="276">
        <v>-0.11193954561296782</v>
      </c>
      <c r="C9" s="276">
        <v>0.24583817266744101</v>
      </c>
    </row>
    <row r="10" spans="1:3">
      <c r="A10" s="456">
        <v>0.78</v>
      </c>
      <c r="B10" s="276">
        <v>0.29610726729076542</v>
      </c>
      <c r="C10" s="276">
        <v>5.0026329647183676E-3</v>
      </c>
    </row>
    <row r="11" spans="1:3">
      <c r="A11" s="456">
        <v>0.74</v>
      </c>
      <c r="B11" s="276">
        <v>0.34441073893773155</v>
      </c>
      <c r="C11" s="276">
        <v>-4.3719522448293358E-3</v>
      </c>
    </row>
    <row r="12" spans="1:3">
      <c r="A12" s="456">
        <v>1.53</v>
      </c>
      <c r="B12" s="276">
        <v>-0.18675880077157769</v>
      </c>
      <c r="C12" s="276">
        <v>0.24722413284858002</v>
      </c>
    </row>
    <row r="13" spans="1:3">
      <c r="A13" s="456">
        <v>1.19</v>
      </c>
      <c r="B13" s="276">
        <v>5.2397531246170637E-2</v>
      </c>
      <c r="C13" s="276">
        <v>0.25547552550345443</v>
      </c>
    </row>
    <row r="14" spans="1:3">
      <c r="A14" s="456">
        <v>1.08</v>
      </c>
      <c r="B14" s="276">
        <v>4.1732880831797381E-2</v>
      </c>
      <c r="C14" s="276">
        <v>0.12482191780821927</v>
      </c>
    </row>
    <row r="15" spans="1:3">
      <c r="A15" s="456">
        <v>0.74</v>
      </c>
      <c r="B15" s="276">
        <v>0.34995241531477794</v>
      </c>
      <c r="C15" s="276">
        <v>-4.3144774688398391E-3</v>
      </c>
    </row>
    <row r="16" spans="1:3">
      <c r="A16" s="456">
        <v>0.85</v>
      </c>
      <c r="B16" s="276">
        <v>7.094367146791436E-2</v>
      </c>
      <c r="C16" s="276">
        <v>-8.493242115801769E-2</v>
      </c>
    </row>
    <row r="17" spans="1:3">
      <c r="A17" s="456">
        <v>0.78</v>
      </c>
      <c r="B17" s="276">
        <v>0.28687191346003127</v>
      </c>
      <c r="C17" s="276">
        <v>1.5971251746855764E-3</v>
      </c>
    </row>
    <row r="18" spans="1:3">
      <c r="A18" s="456">
        <v>1.1100000000000001</v>
      </c>
      <c r="B18" s="276">
        <v>4.4368793103476856E-2</v>
      </c>
      <c r="C18" s="276">
        <v>0.15890555117074445</v>
      </c>
    </row>
    <row r="19" spans="1:3">
      <c r="A19" s="456">
        <v>0.91</v>
      </c>
      <c r="B19" s="276">
        <v>6.8341726210414455E-2</v>
      </c>
      <c r="C19" s="276">
        <v>-2.8102090686940029E-2</v>
      </c>
    </row>
    <row r="20" spans="1:3">
      <c r="A20" s="456">
        <v>0.99</v>
      </c>
      <c r="B20" s="276">
        <v>6.5493605883276462E-2</v>
      </c>
      <c r="C20" s="276">
        <v>5.2589799563405482E-2</v>
      </c>
    </row>
    <row r="21" spans="1:3">
      <c r="A21" s="456">
        <v>1.1200000000000001</v>
      </c>
      <c r="B21" s="276">
        <v>4.4222271990913775E-2</v>
      </c>
      <c r="C21" s="276">
        <v>0.17054436157185804</v>
      </c>
    </row>
    <row r="22" spans="1:3">
      <c r="A22" s="456">
        <v>0.96</v>
      </c>
      <c r="B22" s="276">
        <v>6.8014979248063323E-2</v>
      </c>
      <c r="C22" s="276">
        <v>2.3005923680947893E-2</v>
      </c>
    </row>
    <row r="23" spans="1:3">
      <c r="A23" s="456">
        <v>1.05</v>
      </c>
      <c r="B23" s="276">
        <v>4.5468977217013151E-2</v>
      </c>
      <c r="C23" s="276">
        <v>9.4400396432110956E-2</v>
      </c>
    </row>
    <row r="24" spans="1:3">
      <c r="A24" s="456">
        <v>1.05</v>
      </c>
      <c r="B24" s="276">
        <v>4.2388100609323187E-2</v>
      </c>
      <c r="C24" s="276">
        <v>9.5902075572112722E-2</v>
      </c>
    </row>
    <row r="25" spans="1:3">
      <c r="A25" s="456">
        <v>1.01</v>
      </c>
      <c r="B25" s="276">
        <v>5.7560349081672735E-2</v>
      </c>
      <c r="C25" s="276">
        <v>7.245354034344853E-2</v>
      </c>
    </row>
    <row r="26" spans="1:3">
      <c r="A26" s="456">
        <v>0.75</v>
      </c>
      <c r="B26" s="276">
        <v>0.3255498547875797</v>
      </c>
      <c r="C26" s="276">
        <v>-7.8162008526764248E-3</v>
      </c>
    </row>
    <row r="27" spans="1:3">
      <c r="A27" s="456">
        <v>1.23</v>
      </c>
      <c r="B27" s="276">
        <v>1.6706343702953097E-2</v>
      </c>
      <c r="C27" s="276">
        <v>0.2507829977628635</v>
      </c>
    </row>
    <row r="28" spans="1:3">
      <c r="A28" s="456">
        <v>0.98</v>
      </c>
      <c r="B28" s="276">
        <v>7.0709927895304503E-2</v>
      </c>
      <c r="C28" s="276">
        <v>4.4609125254286619E-2</v>
      </c>
    </row>
    <row r="29" spans="1:3">
      <c r="A29" s="456">
        <v>0.85</v>
      </c>
      <c r="B29" s="276">
        <v>7.8712246878351877E-2</v>
      </c>
      <c r="C29" s="276">
        <v>-8.4021164021163997E-2</v>
      </c>
    </row>
    <row r="30" spans="1:3">
      <c r="A30" s="456">
        <v>0.87</v>
      </c>
      <c r="B30" s="276">
        <v>7.2115738911579852E-2</v>
      </c>
      <c r="C30" s="276">
        <v>-6.5688562854284815E-2</v>
      </c>
    </row>
    <row r="31" spans="1:3">
      <c r="A31" s="456">
        <v>0.74</v>
      </c>
      <c r="B31" s="276">
        <v>0.35185681359356935</v>
      </c>
      <c r="C31" s="276">
        <v>6.1168529846022945E-3</v>
      </c>
    </row>
    <row r="32" spans="1:3">
      <c r="A32" s="456">
        <v>0.99</v>
      </c>
      <c r="B32" s="276">
        <v>7.6423394569271608E-2</v>
      </c>
      <c r="C32" s="276">
        <v>6.4935064935064846E-2</v>
      </c>
    </row>
    <row r="33" spans="1:3">
      <c r="A33" s="456">
        <v>0.71</v>
      </c>
      <c r="B33" s="276">
        <v>0.40126820995328516</v>
      </c>
      <c r="C33" s="276">
        <v>-3.3438237608182098E-3</v>
      </c>
    </row>
    <row r="34" spans="1:3">
      <c r="A34" s="456">
        <v>0.81</v>
      </c>
      <c r="B34" s="276">
        <v>7.2441479712218593E-2</v>
      </c>
      <c r="C34" s="276">
        <v>-0.12620334959778456</v>
      </c>
    </row>
    <row r="35" spans="1:3">
      <c r="A35" s="456">
        <v>1.43</v>
      </c>
      <c r="B35" s="276">
        <v>-0.12838433530232951</v>
      </c>
      <c r="C35" s="276">
        <v>0.24618485459257133</v>
      </c>
    </row>
    <row r="36" spans="1:3">
      <c r="A36" s="456">
        <v>1.3</v>
      </c>
      <c r="B36" s="276">
        <v>-3.5470617228645418E-2</v>
      </c>
      <c r="C36" s="276">
        <v>0.24978759558198815</v>
      </c>
    </row>
    <row r="37" spans="1:3">
      <c r="A37" s="456">
        <v>1.07</v>
      </c>
      <c r="B37" s="276">
        <v>4.3891404628477959E-2</v>
      </c>
      <c r="C37" s="276">
        <v>0.12147716229348893</v>
      </c>
    </row>
    <row r="38" spans="1:3">
      <c r="A38" s="456">
        <v>1.35</v>
      </c>
      <c r="B38" s="276">
        <v>-7.0674015296085857E-2</v>
      </c>
      <c r="C38" s="276">
        <v>0.25680325304973417</v>
      </c>
    </row>
    <row r="39" spans="1:3">
      <c r="A39" s="456">
        <v>1.18</v>
      </c>
      <c r="B39" s="276">
        <v>4.4695589572044669E-2</v>
      </c>
      <c r="C39" s="276">
        <v>0.22835595776772255</v>
      </c>
    </row>
    <row r="40" spans="1:3">
      <c r="A40" s="456">
        <v>0.84</v>
      </c>
      <c r="B40" s="276">
        <v>7.3332809638929852E-2</v>
      </c>
      <c r="C40" s="276">
        <v>-9.3312245820153628E-2</v>
      </c>
    </row>
    <row r="41" spans="1:3">
      <c r="A41" s="456">
        <v>1.01</v>
      </c>
      <c r="B41" s="276">
        <v>4.5709850129010965E-2</v>
      </c>
      <c r="C41" s="276">
        <v>5.8443655150145268E-2</v>
      </c>
    </row>
    <row r="42" spans="1:3">
      <c r="A42" s="456">
        <v>1.1399999999999999</v>
      </c>
      <c r="B42" s="276">
        <v>4.0237247121244213E-2</v>
      </c>
      <c r="C42" s="276">
        <v>0.1861534737351731</v>
      </c>
    </row>
    <row r="43" spans="1:3">
      <c r="A43" s="456">
        <v>0.8</v>
      </c>
      <c r="B43" s="276">
        <v>7.7845338242823026E-2</v>
      </c>
      <c r="C43" s="276">
        <v>-0.14153525348625051</v>
      </c>
    </row>
    <row r="44" spans="1:3">
      <c r="A44" s="456">
        <v>1.3</v>
      </c>
      <c r="B44" s="276">
        <v>-3.8419564010140905E-2</v>
      </c>
      <c r="C44" s="276">
        <v>0.24793858402047197</v>
      </c>
    </row>
    <row r="45" spans="1:3">
      <c r="A45" s="456">
        <v>1.3</v>
      </c>
      <c r="B45" s="276">
        <v>-3.3748249335377345E-2</v>
      </c>
      <c r="C45" s="276">
        <v>0.25352480417754575</v>
      </c>
    </row>
    <row r="46" spans="1:3">
      <c r="A46" s="456">
        <v>0.96</v>
      </c>
      <c r="B46" s="276">
        <v>7.0424918395697089E-2</v>
      </c>
      <c r="C46" s="276">
        <v>2.7488709994109461E-2</v>
      </c>
    </row>
    <row r="47" spans="1:3">
      <c r="A47" s="456">
        <v>1</v>
      </c>
      <c r="B47" s="276">
        <v>5.8910940117390842E-2</v>
      </c>
      <c r="C47" s="276">
        <v>6.2366737739872002E-2</v>
      </c>
    </row>
    <row r="48" spans="1:3">
      <c r="A48" s="456">
        <v>1.1599999999999999</v>
      </c>
      <c r="B48" s="276">
        <v>4.3537168580144003E-2</v>
      </c>
      <c r="C48" s="276">
        <v>0.21125907990314774</v>
      </c>
    </row>
    <row r="49" spans="1:3">
      <c r="A49" s="456">
        <v>1.23</v>
      </c>
      <c r="B49" s="276">
        <v>1.636498534344355E-2</v>
      </c>
      <c r="C49" s="276">
        <v>0.24585890860169846</v>
      </c>
    </row>
    <row r="50" spans="1:3">
      <c r="A50" s="456">
        <v>1.3</v>
      </c>
      <c r="B50" s="276">
        <v>-4.4666397630757304E-2</v>
      </c>
      <c r="C50" s="276">
        <v>0.24518629657414359</v>
      </c>
    </row>
    <row r="51" spans="1:3">
      <c r="A51" s="456">
        <v>0.82</v>
      </c>
      <c r="B51" s="276">
        <v>7.4223732163744893E-2</v>
      </c>
      <c r="C51" s="276">
        <v>-0.12205484743144068</v>
      </c>
    </row>
    <row r="52" spans="1:3">
      <c r="A52" s="456">
        <v>1.6</v>
      </c>
      <c r="B52" s="276">
        <v>-0.2214946396739369</v>
      </c>
      <c r="C52" s="276">
        <v>0.24638202247191021</v>
      </c>
    </row>
    <row r="53" spans="1:3">
      <c r="A53" s="456">
        <v>0.82</v>
      </c>
      <c r="B53" s="276">
        <v>7.6520926640343268E-2</v>
      </c>
      <c r="C53" s="276">
        <v>-0.1168628808864266</v>
      </c>
    </row>
    <row r="54" spans="1:3">
      <c r="A54" s="456">
        <v>0.77</v>
      </c>
      <c r="B54" s="276">
        <v>0.29917091915638938</v>
      </c>
      <c r="C54" s="276">
        <v>-5.1777218024069427E-3</v>
      </c>
    </row>
    <row r="55" spans="1:3">
      <c r="A55" s="456">
        <v>1.55</v>
      </c>
      <c r="B55" s="276">
        <v>-0.19490246608850059</v>
      </c>
      <c r="C55" s="276">
        <v>0.24786624576172112</v>
      </c>
    </row>
    <row r="56" spans="1:3">
      <c r="A56" s="456">
        <v>0.9</v>
      </c>
      <c r="B56" s="276">
        <v>7.7325048238095606E-2</v>
      </c>
      <c r="C56" s="276">
        <v>-3.3112582781456901E-2</v>
      </c>
    </row>
    <row r="57" spans="1:3">
      <c r="A57" s="456">
        <v>0.87</v>
      </c>
      <c r="B57" s="276">
        <v>6.8998099317742589E-2</v>
      </c>
      <c r="C57" s="276">
        <v>-6.7605075337034082E-2</v>
      </c>
    </row>
    <row r="58" spans="1:3">
      <c r="A58" s="456">
        <v>1.06</v>
      </c>
      <c r="B58" s="276">
        <v>4.2503514048594981E-2</v>
      </c>
      <c r="C58" s="276">
        <v>0.10325739833936565</v>
      </c>
    </row>
    <row r="59" spans="1:3">
      <c r="A59" s="456">
        <v>0.95</v>
      </c>
      <c r="B59" s="276">
        <v>6.7658554461065723E-2</v>
      </c>
      <c r="C59" s="276">
        <v>1.637162252096358E-2</v>
      </c>
    </row>
    <row r="60" spans="1:3">
      <c r="A60" s="456">
        <v>1.2</v>
      </c>
      <c r="B60" s="276">
        <v>4.5165553169870476E-2</v>
      </c>
      <c r="C60" s="276">
        <v>0.24984443061605477</v>
      </c>
    </row>
    <row r="61" spans="1:3">
      <c r="A61" s="456">
        <v>1.47</v>
      </c>
      <c r="B61" s="276">
        <v>-0.14695401548153608</v>
      </c>
      <c r="C61" s="276">
        <v>0.24971419238935155</v>
      </c>
    </row>
    <row r="62" spans="1:3">
      <c r="A62" s="456">
        <v>1.38</v>
      </c>
      <c r="B62" s="276">
        <v>-8.9529412092265392E-2</v>
      </c>
      <c r="C62" s="276">
        <v>0.25969601677148857</v>
      </c>
    </row>
    <row r="63" spans="1:3">
      <c r="A63" s="456">
        <v>0.71</v>
      </c>
      <c r="B63" s="276">
        <v>0.4068392532589713</v>
      </c>
      <c r="C63" s="276">
        <v>-1.5625000000000222E-3</v>
      </c>
    </row>
    <row r="64" spans="1:3">
      <c r="A64" s="456">
        <v>1.19</v>
      </c>
      <c r="B64" s="276">
        <v>3.9759853685475965E-2</v>
      </c>
      <c r="C64" s="276">
        <v>0.23259584207514772</v>
      </c>
    </row>
    <row r="65" spans="1:3">
      <c r="A65" s="456">
        <v>0.89</v>
      </c>
      <c r="B65" s="276">
        <v>7.0661640122511971E-2</v>
      </c>
      <c r="C65" s="276">
        <v>-4.4880785413744739E-2</v>
      </c>
    </row>
    <row r="66" spans="1:3">
      <c r="A66" s="456">
        <v>0.89</v>
      </c>
      <c r="B66" s="276">
        <v>7.8408128847864633E-2</v>
      </c>
      <c r="C66" s="276">
        <v>-3.7316957959376507E-2</v>
      </c>
    </row>
    <row r="67" spans="1:3">
      <c r="A67" s="456">
        <v>0.86</v>
      </c>
      <c r="B67" s="276">
        <v>7.2795764505395599E-2</v>
      </c>
      <c r="C67" s="276">
        <v>-7.2380952380952435E-2</v>
      </c>
    </row>
    <row r="68" spans="1:3">
      <c r="A68" s="456">
        <v>1.91</v>
      </c>
      <c r="B68" s="276">
        <v>-0.34435691655323375</v>
      </c>
      <c r="C68" s="276">
        <v>0.25261475886112716</v>
      </c>
    </row>
    <row r="69" spans="1:3">
      <c r="A69" s="456">
        <v>0.97</v>
      </c>
      <c r="B69" s="276">
        <v>6.6973379656932508E-2</v>
      </c>
      <c r="C69" s="276">
        <v>3.9375161373612189E-2</v>
      </c>
    </row>
    <row r="70" spans="1:3">
      <c r="A70" s="456">
        <v>1.26</v>
      </c>
      <c r="B70" s="276">
        <v>-1.1201441581118687E-2</v>
      </c>
      <c r="C70" s="276">
        <v>0.24686595949855361</v>
      </c>
    </row>
    <row r="71" spans="1:3">
      <c r="A71" s="456">
        <v>1.1499999999999999</v>
      </c>
      <c r="B71" s="276">
        <v>4.1284051304089298E-2</v>
      </c>
      <c r="C71" s="276">
        <v>0.19330428800733768</v>
      </c>
    </row>
    <row r="72" spans="1:3">
      <c r="A72" s="456">
        <v>0.82</v>
      </c>
      <c r="B72" s="276">
        <v>8.3469456888579652E-2</v>
      </c>
      <c r="C72" s="276">
        <v>-0.11600928074245942</v>
      </c>
    </row>
    <row r="73" spans="1:3">
      <c r="A73" s="456">
        <v>1.1299999999999999</v>
      </c>
      <c r="B73" s="276">
        <v>4.0369698341713445E-2</v>
      </c>
      <c r="C73" s="276">
        <v>0.18051675977653625</v>
      </c>
    </row>
    <row r="74" spans="1:3">
      <c r="A74" s="456">
        <v>0.98</v>
      </c>
      <c r="B74" s="276">
        <v>6.6694621650696284E-2</v>
      </c>
      <c r="C74" s="276">
        <v>4.5786653677545086E-2</v>
      </c>
    </row>
    <row r="75" spans="1:3">
      <c r="A75" s="456">
        <v>0.66</v>
      </c>
      <c r="B75" s="276">
        <v>0.5168303326529704</v>
      </c>
      <c r="C75" s="276">
        <v>-5.443940375891132E-3</v>
      </c>
    </row>
    <row r="76" spans="1:3">
      <c r="A76" s="456">
        <v>1.33</v>
      </c>
      <c r="B76" s="276">
        <v>-6.4081285122800535E-2</v>
      </c>
      <c r="C76" s="276">
        <v>0.24821085704311407</v>
      </c>
    </row>
    <row r="77" spans="1:3">
      <c r="A77" s="456">
        <v>1.1299999999999999</v>
      </c>
      <c r="B77" s="276">
        <v>3.9950853835910349E-2</v>
      </c>
      <c r="C77" s="276">
        <v>0.17217391304347829</v>
      </c>
    </row>
    <row r="78" spans="1:3">
      <c r="A78" s="456">
        <v>1.36</v>
      </c>
      <c r="B78" s="276">
        <v>-8.2270295396748572E-2</v>
      </c>
      <c r="C78" s="276">
        <v>0.25025227043390519</v>
      </c>
    </row>
    <row r="79" spans="1:3">
      <c r="A79" s="456">
        <v>1.0900000000000001</v>
      </c>
      <c r="B79" s="276">
        <v>4.3654655748851745E-2</v>
      </c>
      <c r="C79" s="276">
        <v>0.14215880565464389</v>
      </c>
    </row>
    <row r="80" spans="1:3">
      <c r="A80" s="456">
        <v>1.23</v>
      </c>
      <c r="B80" s="276">
        <v>1.2447399677675497E-2</v>
      </c>
      <c r="C80" s="276">
        <v>0.24654705047115022</v>
      </c>
    </row>
    <row r="81" spans="1:3">
      <c r="A81" s="456">
        <v>0.72</v>
      </c>
      <c r="B81" s="276">
        <v>0.38817787428248396</v>
      </c>
      <c r="C81" s="276">
        <v>5.3380782918148739E-3</v>
      </c>
    </row>
    <row r="82" spans="1:3">
      <c r="A82" s="456">
        <v>0.75</v>
      </c>
      <c r="B82" s="276">
        <v>0.34512249230246961</v>
      </c>
      <c r="C82" s="276">
        <v>2.6503567787972138E-3</v>
      </c>
    </row>
    <row r="83" spans="1:3">
      <c r="A83" s="456">
        <v>0.93</v>
      </c>
      <c r="B83" s="276">
        <v>6.7179504323072958E-2</v>
      </c>
      <c r="C83" s="276">
        <v>-3.5925612848689559E-3</v>
      </c>
    </row>
    <row r="84" spans="1:3">
      <c r="A84" s="456">
        <v>0.98</v>
      </c>
      <c r="B84" s="276">
        <v>6.837776536820761E-2</v>
      </c>
      <c r="C84" s="276">
        <v>4.8043034687442088E-2</v>
      </c>
    </row>
    <row r="85" spans="1:3">
      <c r="A85" s="456">
        <v>0.83</v>
      </c>
      <c r="B85" s="276">
        <v>7.5188361638051093E-2</v>
      </c>
      <c r="C85" s="276">
        <v>-0.10259469132120491</v>
      </c>
    </row>
    <row r="86" spans="1:3">
      <c r="A86" s="456">
        <v>1.38</v>
      </c>
      <c r="B86" s="276">
        <v>-9.576590454880185E-2</v>
      </c>
      <c r="C86" s="276">
        <v>0.25172168131085249</v>
      </c>
    </row>
    <row r="87" spans="1:3">
      <c r="A87" s="456">
        <v>0.84</v>
      </c>
      <c r="B87" s="276">
        <v>7.5328869056530356E-2</v>
      </c>
      <c r="C87" s="276">
        <v>-9.2801387684301795E-2</v>
      </c>
    </row>
    <row r="88" spans="1:3">
      <c r="A88" s="456">
        <v>0.98</v>
      </c>
      <c r="B88" s="276">
        <v>6.6963393849419406E-2</v>
      </c>
      <c r="C88" s="276">
        <v>4.5095394102909969E-2</v>
      </c>
    </row>
    <row r="89" spans="1:3">
      <c r="A89" s="456">
        <v>1.47</v>
      </c>
      <c r="B89" s="276">
        <v>-0.15072359512568179</v>
      </c>
      <c r="C89" s="276">
        <v>0.24934920044626252</v>
      </c>
    </row>
    <row r="90" spans="1:3">
      <c r="A90" s="456">
        <v>1.22</v>
      </c>
      <c r="B90" s="276">
        <v>2.8285204492387805E-2</v>
      </c>
      <c r="C90" s="276">
        <v>0.25116931711880253</v>
      </c>
    </row>
    <row r="91" spans="1:3">
      <c r="A91" s="456">
        <v>1.0900000000000001</v>
      </c>
      <c r="B91" s="276">
        <v>4.4258973148334713E-2</v>
      </c>
      <c r="C91" s="276">
        <v>0.14075630252100835</v>
      </c>
    </row>
    <row r="92" spans="1:3">
      <c r="A92" s="456">
        <v>1.21</v>
      </c>
      <c r="B92" s="276">
        <v>2.7785766518361621E-2</v>
      </c>
      <c r="C92" s="276">
        <v>0.24760940488243888</v>
      </c>
    </row>
    <row r="93" spans="1:3">
      <c r="A93" s="456">
        <v>1.1100000000000001</v>
      </c>
      <c r="B93" s="276">
        <v>4.0993791314118511E-2</v>
      </c>
      <c r="C93" s="276">
        <v>0.1575378195096504</v>
      </c>
    </row>
    <row r="94" spans="1:3">
      <c r="A94" s="456">
        <v>1.01</v>
      </c>
      <c r="B94" s="276">
        <v>4.527624512895656E-2</v>
      </c>
      <c r="C94" s="276">
        <v>5.7410468319559316E-2</v>
      </c>
    </row>
    <row r="95" spans="1:3">
      <c r="A95" s="456">
        <v>0.84</v>
      </c>
      <c r="B95" s="276">
        <v>7.1123400063174413E-2</v>
      </c>
      <c r="C95" s="276">
        <v>-9.7524154589372025E-2</v>
      </c>
    </row>
    <row r="96" spans="1:3">
      <c r="A96" s="456">
        <v>1.17</v>
      </c>
      <c r="B96" s="276">
        <v>3.8268827400891547E-2</v>
      </c>
      <c r="C96" s="276">
        <v>0.21794280442804426</v>
      </c>
    </row>
    <row r="97" spans="1:3">
      <c r="A97" s="456">
        <v>1.3</v>
      </c>
      <c r="B97" s="276">
        <v>-3.7131928199015118E-2</v>
      </c>
      <c r="C97" s="276">
        <v>0.25148698884758369</v>
      </c>
    </row>
    <row r="98" spans="1:3">
      <c r="A98" s="456">
        <v>0.98</v>
      </c>
      <c r="B98" s="276">
        <v>6.8395002518334858E-2</v>
      </c>
      <c r="C98" s="276">
        <v>4.3574468085106455E-2</v>
      </c>
    </row>
    <row r="99" spans="1:3">
      <c r="A99" s="456">
        <v>1.36</v>
      </c>
      <c r="B99" s="276">
        <v>-7.9874287594050131E-2</v>
      </c>
      <c r="C99" s="276">
        <v>0.25209100033456</v>
      </c>
    </row>
    <row r="100" spans="1:3">
      <c r="A100" s="456">
        <v>1.21</v>
      </c>
      <c r="B100" s="276">
        <v>3.2869126545028715E-2</v>
      </c>
      <c r="C100" s="276">
        <v>0.24828247323853647</v>
      </c>
    </row>
    <row r="101" spans="1:3">
      <c r="A101" s="456">
        <v>1.3</v>
      </c>
      <c r="B101" s="276">
        <v>-3.9549123763785388E-2</v>
      </c>
      <c r="C101" s="276">
        <v>0.2453333333333334</v>
      </c>
    </row>
    <row r="102" spans="1:3">
      <c r="A102" s="456">
        <v>1.22</v>
      </c>
      <c r="B102" s="276">
        <v>2.8403036517740565E-2</v>
      </c>
      <c r="C102" s="276">
        <v>0.2510928961748633</v>
      </c>
    </row>
    <row r="103" spans="1:3">
      <c r="A103" s="456">
        <v>1.1599999999999999</v>
      </c>
      <c r="B103" s="276">
        <v>4.5871965762676936E-2</v>
      </c>
      <c r="C103" s="276">
        <v>0.20927936821322812</v>
      </c>
    </row>
    <row r="104" spans="1:3">
      <c r="A104" s="456">
        <v>0.9</v>
      </c>
      <c r="B104" s="276">
        <v>7.3571758990410352E-2</v>
      </c>
      <c r="C104" s="276">
        <v>-2.9358995269939681E-2</v>
      </c>
    </row>
    <row r="105" spans="1:3">
      <c r="A105" s="456">
        <v>1.1499999999999999</v>
      </c>
      <c r="B105" s="276">
        <v>4.1712544397559226E-2</v>
      </c>
      <c r="C105" s="276">
        <v>0.19620498257389962</v>
      </c>
    </row>
    <row r="106" spans="1:3">
      <c r="A106" s="456">
        <v>0.92</v>
      </c>
      <c r="B106" s="276">
        <v>6.9105294936085082E-2</v>
      </c>
      <c r="C106" s="276">
        <v>-1.1256720430107503E-2</v>
      </c>
    </row>
    <row r="107" spans="1:3">
      <c r="A107" s="456">
        <v>1.82</v>
      </c>
      <c r="B107" s="276">
        <v>-0.3148274798598657</v>
      </c>
      <c r="C107" s="276">
        <v>0.24404194470924701</v>
      </c>
    </row>
    <row r="108" spans="1:3">
      <c r="A108" s="456">
        <v>0.9</v>
      </c>
      <c r="B108" s="276">
        <v>7.1216708104582915E-2</v>
      </c>
      <c r="C108" s="276">
        <v>-3.6160420775805391E-2</v>
      </c>
    </row>
    <row r="109" spans="1:3">
      <c r="A109" s="456">
        <v>0.93</v>
      </c>
      <c r="B109" s="276">
        <v>6.6017132410810309E-2</v>
      </c>
      <c r="C109" s="276">
        <v>-1.182675403548028E-2</v>
      </c>
    </row>
    <row r="110" spans="1:3">
      <c r="A110" s="456">
        <v>0.74</v>
      </c>
      <c r="B110" s="276">
        <v>0.35042776913017493</v>
      </c>
      <c r="C110" s="276">
        <v>-3.3993201359727721E-3</v>
      </c>
    </row>
    <row r="111" spans="1:3">
      <c r="A111" s="456">
        <v>1.04</v>
      </c>
      <c r="B111" s="276">
        <v>4.4811001752905977E-2</v>
      </c>
      <c r="C111" s="276">
        <v>8.2864180154820444E-2</v>
      </c>
    </row>
    <row r="112" spans="1:3">
      <c r="A112" s="456">
        <v>1.17</v>
      </c>
      <c r="B112" s="276">
        <v>4.4063697754683107E-2</v>
      </c>
      <c r="C112" s="276">
        <v>0.22305682560418028</v>
      </c>
    </row>
    <row r="113" spans="1:3">
      <c r="A113" s="456">
        <v>1.17</v>
      </c>
      <c r="B113" s="276">
        <v>4.1614188827632681E-2</v>
      </c>
      <c r="C113" s="276">
        <v>0.21769662921348321</v>
      </c>
    </row>
    <row r="114" spans="1:3">
      <c r="A114" s="456">
        <v>0.65</v>
      </c>
      <c r="B114" s="276">
        <v>0.53249063777069039</v>
      </c>
      <c r="C114" s="276">
        <v>-8.058017727639033E-3</v>
      </c>
    </row>
    <row r="115" spans="1:3">
      <c r="A115" s="456">
        <v>0.91</v>
      </c>
      <c r="B115" s="276">
        <v>7.0838060967302274E-2</v>
      </c>
      <c r="C115" s="276">
        <v>-2.8615452344265879E-2</v>
      </c>
    </row>
    <row r="116" spans="1:3">
      <c r="A116" s="456">
        <v>1.04</v>
      </c>
      <c r="B116" s="276">
        <v>4.8091015793450653E-2</v>
      </c>
      <c r="C116" s="276">
        <v>8.6032814472023489E-2</v>
      </c>
    </row>
    <row r="117" spans="1:3">
      <c r="A117" s="456">
        <v>1.1299999999999999</v>
      </c>
      <c r="B117" s="276">
        <v>4.1359803045627919E-2</v>
      </c>
      <c r="C117" s="276">
        <v>0.17398613154023956</v>
      </c>
    </row>
    <row r="118" spans="1:3">
      <c r="A118" s="456">
        <v>0.95</v>
      </c>
      <c r="B118" s="276">
        <v>6.5180239480318702E-2</v>
      </c>
      <c r="C118" s="276">
        <v>1.3481598110608228E-2</v>
      </c>
    </row>
    <row r="119" spans="1:3">
      <c r="A119" s="456">
        <v>0.9</v>
      </c>
      <c r="B119" s="276">
        <v>7.1017696212057224E-2</v>
      </c>
      <c r="C119" s="276">
        <v>-3.527881645260933E-2</v>
      </c>
    </row>
    <row r="120" spans="1:3">
      <c r="A120" s="456">
        <v>1.23</v>
      </c>
      <c r="B120" s="276">
        <v>1.1158720243972908E-2</v>
      </c>
      <c r="C120" s="276">
        <v>0.24655754741491287</v>
      </c>
    </row>
    <row r="121" spans="1:3">
      <c r="A121" s="456">
        <v>0.96</v>
      </c>
      <c r="B121" s="276">
        <v>6.6014718745369017E-2</v>
      </c>
      <c r="C121" s="276">
        <v>1.8776077885952702E-2</v>
      </c>
    </row>
    <row r="122" spans="1:3">
      <c r="A122" s="456">
        <v>1.1299999999999999</v>
      </c>
      <c r="B122" s="276">
        <v>4.354621856273222E-2</v>
      </c>
      <c r="C122" s="276">
        <v>0.1796649335644136</v>
      </c>
    </row>
    <row r="123" spans="1:3">
      <c r="A123" s="456">
        <v>1.63</v>
      </c>
      <c r="B123" s="276">
        <v>-0.23857271285100812</v>
      </c>
      <c r="C123" s="276">
        <v>0.24337525949444383</v>
      </c>
    </row>
    <row r="124" spans="1:3">
      <c r="A124" s="456">
        <v>1.03</v>
      </c>
      <c r="B124" s="276">
        <v>4.6375747042849857E-2</v>
      </c>
      <c r="C124" s="276">
        <v>7.8392621870882806E-2</v>
      </c>
    </row>
    <row r="125" spans="1:3">
      <c r="A125" s="456">
        <v>1.1399999999999999</v>
      </c>
      <c r="B125" s="276">
        <v>3.8141983033580296E-2</v>
      </c>
      <c r="C125" s="276">
        <v>0.18747125379449914</v>
      </c>
    </row>
    <row r="126" spans="1:3">
      <c r="A126" s="456">
        <v>0.8</v>
      </c>
      <c r="B126" s="276">
        <v>7.4277253533467258E-2</v>
      </c>
      <c r="C126" s="276">
        <v>-0.13840872869927667</v>
      </c>
    </row>
    <row r="127" spans="1:3">
      <c r="A127" s="456">
        <v>0.87</v>
      </c>
      <c r="B127" s="276">
        <v>7.4693196620521318E-2</v>
      </c>
      <c r="C127" s="276">
        <v>-6.6986437313926617E-2</v>
      </c>
    </row>
    <row r="128" spans="1:3">
      <c r="A128" s="456">
        <v>0.97</v>
      </c>
      <c r="B128" s="276">
        <v>6.8422203532201742E-2</v>
      </c>
      <c r="C128" s="276">
        <v>3.6312849162011274E-2</v>
      </c>
    </row>
    <row r="129" spans="1:3">
      <c r="A129" s="456">
        <v>1.28</v>
      </c>
      <c r="B129" s="276">
        <v>-2.999579164490318E-2</v>
      </c>
      <c r="C129" s="276">
        <v>0.24620857517318862</v>
      </c>
    </row>
    <row r="130" spans="1:3">
      <c r="A130" s="456">
        <v>0.73</v>
      </c>
      <c r="B130" s="276">
        <v>0.36556550783721442</v>
      </c>
      <c r="C130" s="276">
        <v>-6.6254416961131213E-4</v>
      </c>
    </row>
    <row r="131" spans="1:3">
      <c r="A131" s="456">
        <v>1.1399999999999999</v>
      </c>
      <c r="B131" s="276">
        <v>4.1783259017301511E-2</v>
      </c>
      <c r="C131" s="276">
        <v>0.19253177966101687</v>
      </c>
    </row>
    <row r="132" spans="1:3">
      <c r="A132" s="456">
        <v>0.73</v>
      </c>
      <c r="B132" s="276">
        <v>0.36994705437843867</v>
      </c>
      <c r="C132" s="276">
        <v>-6.5789473684210176E-3</v>
      </c>
    </row>
    <row r="133" spans="1:3">
      <c r="A133" s="456">
        <v>1.1599999999999999</v>
      </c>
      <c r="B133" s="276">
        <v>4.0571990052881146E-2</v>
      </c>
      <c r="C133" s="276">
        <v>0.20497687031424472</v>
      </c>
    </row>
    <row r="134" spans="1:3">
      <c r="A134" s="456">
        <v>0.76</v>
      </c>
      <c r="B134" s="276">
        <v>0.30679307464973804</v>
      </c>
      <c r="C134" s="276">
        <v>-2.9525742756966178E-3</v>
      </c>
    </row>
    <row r="135" spans="1:3">
      <c r="A135" s="456">
        <v>1</v>
      </c>
      <c r="B135" s="276">
        <v>4.1997574298288098E-2</v>
      </c>
      <c r="C135" s="276">
        <v>4.6580124359114183E-2</v>
      </c>
    </row>
    <row r="136" spans="1:3">
      <c r="A136" s="456">
        <v>1.31</v>
      </c>
      <c r="B136" s="276">
        <v>-4.7745552094940136E-2</v>
      </c>
      <c r="C136" s="276">
        <v>0.25199118793424846</v>
      </c>
    </row>
    <row r="137" spans="1:3">
      <c r="A137" s="456">
        <v>1.18</v>
      </c>
      <c r="B137" s="276">
        <v>4.163191217053086E-2</v>
      </c>
      <c r="C137" s="276">
        <v>0.22775341759092083</v>
      </c>
    </row>
    <row r="138" spans="1:3">
      <c r="A138" s="456">
        <v>0.87</v>
      </c>
      <c r="B138" s="276">
        <v>7.3719038034332218E-2</v>
      </c>
      <c r="C138" s="276">
        <v>-7.0491566959780871E-2</v>
      </c>
    </row>
    <row r="139" spans="1:3">
      <c r="A139" s="456">
        <v>0.89</v>
      </c>
      <c r="B139" s="276">
        <v>7.2703763330462134E-2</v>
      </c>
      <c r="C139" s="276">
        <v>-4.3898156277436318E-2</v>
      </c>
    </row>
    <row r="140" spans="1:3">
      <c r="A140" s="456">
        <v>0.79</v>
      </c>
      <c r="B140" s="276">
        <v>0.26041440233523727</v>
      </c>
      <c r="C140" s="276">
        <v>1.7869108778199028E-3</v>
      </c>
    </row>
    <row r="141" spans="1:3">
      <c r="A141" s="456">
        <v>1.01</v>
      </c>
      <c r="B141" s="276">
        <v>4.7767114031902702E-2</v>
      </c>
      <c r="C141" s="276">
        <v>6.2571756601607298E-2</v>
      </c>
    </row>
    <row r="142" spans="1:3">
      <c r="A142" s="456">
        <v>0.77</v>
      </c>
      <c r="B142" s="276">
        <v>0.29362562254010638</v>
      </c>
      <c r="C142" s="276">
        <v>-2.3379383634430928E-3</v>
      </c>
    </row>
    <row r="143" spans="1:3">
      <c r="A143" s="456">
        <v>1.06</v>
      </c>
      <c r="B143" s="276">
        <v>4.3449128933156445E-2</v>
      </c>
      <c r="C143" s="276">
        <v>0.10548691377706931</v>
      </c>
    </row>
    <row r="144" spans="1:3">
      <c r="A144" s="456">
        <v>1.02</v>
      </c>
      <c r="B144" s="276">
        <v>4.5741099315666167E-2</v>
      </c>
      <c r="C144" s="276">
        <v>6.9583627381792468E-2</v>
      </c>
    </row>
    <row r="145" spans="1:3">
      <c r="A145" s="456">
        <v>0.94</v>
      </c>
      <c r="B145" s="276">
        <v>6.8380787173383251E-2</v>
      </c>
      <c r="C145" s="276">
        <v>2.4742268041237914E-3</v>
      </c>
    </row>
    <row r="146" spans="1:3">
      <c r="A146" s="456">
        <v>1.24</v>
      </c>
      <c r="B146" s="276">
        <v>1.3823695863242502E-2</v>
      </c>
      <c r="C146" s="276">
        <v>0.25213882163034707</v>
      </c>
    </row>
    <row r="147" spans="1:3">
      <c r="A147" s="456">
        <v>0.71</v>
      </c>
      <c r="B147" s="276">
        <v>0.41020149952587603</v>
      </c>
      <c r="C147" s="276">
        <v>-2.2305705564686917E-3</v>
      </c>
    </row>
    <row r="148" spans="1:3">
      <c r="A148" s="456">
        <v>0.99</v>
      </c>
      <c r="B148" s="276">
        <v>6.3378874704279831E-2</v>
      </c>
      <c r="C148" s="276">
        <v>5.6726308813783932E-2</v>
      </c>
    </row>
    <row r="149" spans="1:3">
      <c r="A149" s="456">
        <v>1.2</v>
      </c>
      <c r="B149" s="276">
        <v>4.4193136157815838E-2</v>
      </c>
      <c r="C149" s="276">
        <v>0.24923592625455981</v>
      </c>
    </row>
    <row r="150" spans="1:3">
      <c r="A150" s="456">
        <v>0.77</v>
      </c>
      <c r="B150" s="276">
        <v>0.28607738307927755</v>
      </c>
      <c r="C150" s="276">
        <v>-5.8369814467374992E-3</v>
      </c>
    </row>
    <row r="151" spans="1:3">
      <c r="A151" s="456">
        <v>1.0900000000000001</v>
      </c>
      <c r="B151" s="276">
        <v>4.4293247243143874E-2</v>
      </c>
      <c r="C151" s="276">
        <v>0.14111874386653578</v>
      </c>
    </row>
    <row r="152" spans="1:3">
      <c r="A152" s="456">
        <v>0.66</v>
      </c>
      <c r="B152" s="276">
        <v>0.51587280851616835</v>
      </c>
      <c r="C152" s="276">
        <v>-5.8414464534075616E-3</v>
      </c>
    </row>
    <row r="153" spans="1:3">
      <c r="A153" s="456">
        <v>1.02</v>
      </c>
      <c r="B153" s="276">
        <v>4.7897849413978344E-2</v>
      </c>
      <c r="C153" s="276">
        <v>6.7803718719418482E-2</v>
      </c>
    </row>
    <row r="154" spans="1:3">
      <c r="A154" s="456">
        <v>0.78</v>
      </c>
      <c r="B154" s="276">
        <v>0.2834608371431071</v>
      </c>
      <c r="C154" s="276">
        <v>6.211180124222615E-4</v>
      </c>
    </row>
    <row r="155" spans="1:3">
      <c r="A155" s="456">
        <v>1.01</v>
      </c>
      <c r="B155" s="276">
        <v>5.125777236722584E-2</v>
      </c>
      <c r="C155" s="276">
        <v>5.8005003126954335E-2</v>
      </c>
    </row>
    <row r="156" spans="1:3">
      <c r="A156" s="456">
        <v>1.34</v>
      </c>
      <c r="B156" s="276">
        <v>-6.2786587085590373E-2</v>
      </c>
      <c r="C156" s="276">
        <v>0.25160771704180074</v>
      </c>
    </row>
    <row r="157" spans="1:3">
      <c r="A157" s="456">
        <v>0.69</v>
      </c>
      <c r="B157" s="276">
        <v>0.44914049685476365</v>
      </c>
      <c r="C157" s="276">
        <v>2.1516944593866771E-3</v>
      </c>
    </row>
    <row r="158" spans="1:3">
      <c r="A158" s="456">
        <v>1.22</v>
      </c>
      <c r="B158" s="276">
        <v>2.2149984706440362E-2</v>
      </c>
      <c r="C158" s="276">
        <v>0.24741695367181427</v>
      </c>
    </row>
    <row r="159" spans="1:3">
      <c r="A159" s="456">
        <v>1.23</v>
      </c>
      <c r="B159" s="276">
        <v>1.6085816162190403E-2</v>
      </c>
      <c r="C159" s="276">
        <v>0.25262706412181002</v>
      </c>
    </row>
    <row r="160" spans="1:3">
      <c r="A160" s="456">
        <v>2.14</v>
      </c>
      <c r="B160" s="276">
        <v>-0.42331489411283585</v>
      </c>
      <c r="C160" s="276">
        <v>0.23687673636496553</v>
      </c>
    </row>
    <row r="161" spans="1:3">
      <c r="A161" s="456">
        <v>0.64</v>
      </c>
      <c r="B161" s="276">
        <v>0.54544702182723781</v>
      </c>
      <c r="C161" s="276">
        <v>-7.5804138496209372E-3</v>
      </c>
    </row>
    <row r="162" spans="1:3">
      <c r="A162" s="456">
        <v>1.1200000000000001</v>
      </c>
      <c r="B162" s="276">
        <v>4.1831699452888671E-2</v>
      </c>
      <c r="C162" s="276">
        <v>0.16438653637350709</v>
      </c>
    </row>
    <row r="163" spans="1:3">
      <c r="A163" s="456">
        <v>1.05</v>
      </c>
      <c r="B163" s="276">
        <v>4.7428419746178063E-2</v>
      </c>
      <c r="C163" s="276">
        <v>9.8963474827245879E-2</v>
      </c>
    </row>
    <row r="164" spans="1:3">
      <c r="A164" s="456">
        <v>0.8</v>
      </c>
      <c r="B164" s="276">
        <v>7.3380685099552423E-2</v>
      </c>
      <c r="C164" s="276">
        <v>-0.1394397230091281</v>
      </c>
    </row>
    <row r="165" spans="1:3">
      <c r="A165" s="456">
        <v>0.86</v>
      </c>
      <c r="B165" s="276">
        <v>7.2178734986775073E-2</v>
      </c>
      <c r="C165" s="276">
        <v>-7.9536476165393721E-2</v>
      </c>
    </row>
    <row r="166" spans="1:3">
      <c r="A166" s="456">
        <v>0.63</v>
      </c>
      <c r="B166" s="276">
        <v>0.59008536703208581</v>
      </c>
      <c r="C166" s="276">
        <v>-6.0105184072126727E-3</v>
      </c>
    </row>
    <row r="167" spans="1:3">
      <c r="A167" s="456">
        <v>1.18</v>
      </c>
      <c r="B167" s="276">
        <v>4.0412882059396527E-2</v>
      </c>
      <c r="C167" s="276">
        <v>0.22325502788575302</v>
      </c>
    </row>
    <row r="168" spans="1:3">
      <c r="A168" s="456">
        <v>1.36</v>
      </c>
      <c r="B168" s="276">
        <v>-8.1012845916124787E-2</v>
      </c>
      <c r="C168" s="276">
        <v>0.24992679355783309</v>
      </c>
    </row>
    <row r="169" spans="1:3">
      <c r="A169" s="456">
        <v>1.01</v>
      </c>
      <c r="B169" s="276">
        <v>4.8840178357256514E-2</v>
      </c>
      <c r="C169" s="276">
        <v>5.4131054131054235E-2</v>
      </c>
    </row>
    <row r="170" spans="1:3">
      <c r="A170" s="456">
        <v>0.89</v>
      </c>
      <c r="B170" s="276">
        <v>7.9187701510480046E-2</v>
      </c>
      <c r="C170" s="276">
        <v>-4.159212880143115E-2</v>
      </c>
    </row>
    <row r="171" spans="1:3">
      <c r="A171" s="456">
        <v>1.0900000000000001</v>
      </c>
      <c r="B171" s="276">
        <v>4.3349389374544689E-2</v>
      </c>
      <c r="C171" s="276">
        <v>0.13527643445301263</v>
      </c>
    </row>
    <row r="172" spans="1:3">
      <c r="A172" s="456">
        <v>1.05</v>
      </c>
      <c r="B172" s="276">
        <v>4.4746261952338218E-2</v>
      </c>
      <c r="C172" s="276">
        <v>0.10047048110487178</v>
      </c>
    </row>
    <row r="173" spans="1:3">
      <c r="A173" s="456">
        <v>0.79</v>
      </c>
      <c r="B173" s="276">
        <v>0.2675009232193315</v>
      </c>
      <c r="C173" s="276">
        <v>9.1124476034254442E-4</v>
      </c>
    </row>
    <row r="174" spans="1:3">
      <c r="A174" s="456">
        <v>0.97</v>
      </c>
      <c r="B174" s="276">
        <v>7.3522187331984012E-2</v>
      </c>
      <c r="C174" s="276">
        <v>4.510155316606923E-2</v>
      </c>
    </row>
    <row r="175" spans="1:3">
      <c r="A175" s="456">
        <v>0.9</v>
      </c>
      <c r="B175" s="276">
        <v>7.3146487742113298E-2</v>
      </c>
      <c r="C175" s="276">
        <v>-2.8915105250983064E-2</v>
      </c>
    </row>
    <row r="176" spans="1:3">
      <c r="A176" s="456">
        <v>1.1399999999999999</v>
      </c>
      <c r="B176" s="276">
        <v>4.2736021615955577E-2</v>
      </c>
      <c r="C176" s="276">
        <v>0.1837274681660328</v>
      </c>
    </row>
    <row r="177" spans="1:3">
      <c r="A177" s="456">
        <v>1.46</v>
      </c>
      <c r="B177" s="276">
        <v>-0.14417965970914937</v>
      </c>
      <c r="C177" s="276">
        <v>0.25175973721257616</v>
      </c>
    </row>
    <row r="178" spans="1:3">
      <c r="A178" s="456">
        <v>0.83</v>
      </c>
      <c r="B178" s="276">
        <v>7.1136542340730857E-2</v>
      </c>
      <c r="C178" s="276">
        <v>-0.11060845962451937</v>
      </c>
    </row>
    <row r="179" spans="1:3">
      <c r="A179" s="456">
        <v>1.1100000000000001</v>
      </c>
      <c r="B179" s="276">
        <v>4.2283849218604397E-2</v>
      </c>
      <c r="C179" s="276">
        <v>0.1595779220779221</v>
      </c>
    </row>
    <row r="180" spans="1:3">
      <c r="A180" s="456">
        <v>1.1499999999999999</v>
      </c>
      <c r="B180" s="276">
        <v>3.875950681536855E-2</v>
      </c>
      <c r="C180" s="276">
        <v>0.19966759002770074</v>
      </c>
    </row>
    <row r="181" spans="1:3">
      <c r="A181" s="456">
        <v>0.78</v>
      </c>
      <c r="B181" s="276">
        <v>0.27793455080580554</v>
      </c>
      <c r="C181" s="276">
        <v>-6.2163282221301408E-3</v>
      </c>
    </row>
    <row r="182" spans="1:3">
      <c r="A182" s="456">
        <v>1.2</v>
      </c>
      <c r="B182" s="276">
        <v>3.4493128957819419E-2</v>
      </c>
      <c r="C182" s="276">
        <v>0.24447131997235649</v>
      </c>
    </row>
    <row r="183" spans="1:3">
      <c r="A183" s="456">
        <v>0.57999999999999996</v>
      </c>
      <c r="B183" s="276">
        <v>0.71959067459515236</v>
      </c>
      <c r="C183" s="276">
        <v>5.7742782152230276E-3</v>
      </c>
    </row>
    <row r="184" spans="1:3">
      <c r="A184" s="456">
        <v>1.36</v>
      </c>
      <c r="B184" s="276">
        <v>-6.0592674917665401E-2</v>
      </c>
      <c r="C184" s="276">
        <v>0.27389277389277389</v>
      </c>
    </row>
  </sheetData>
  <phoneticPr fontId="13" type="noConversion"/>
  <conditionalFormatting sqref="B2:C184">
    <cfRule type="cellIs" dxfId="19" priority="3" operator="lessThanOrEqual">
      <formula>0</formula>
    </cfRule>
    <cfRule type="cellIs" dxfId="18" priority="4" stopIfTrue="1" operator="greaterThan">
      <formula>1</formula>
    </cfRule>
  </conditionalFormatting>
  <conditionalFormatting sqref="A2:A184">
    <cfRule type="cellIs" dxfId="17" priority="1" operator="lessThanOrEqual">
      <formula>0.6</formula>
    </cfRule>
    <cfRule type="cellIs" dxfId="16" priority="2" operator="greaterThanOrEqual">
      <formula>1</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499984740745262"/>
    <pageSetUpPr fitToPage="1"/>
  </sheetPr>
  <dimension ref="A1:AE196"/>
  <sheetViews>
    <sheetView view="pageBreakPreview" topLeftCell="N1" zoomScale="70" zoomScaleNormal="100" zoomScaleSheetLayoutView="70" workbookViewId="0">
      <pane ySplit="6" topLeftCell="A172" activePane="bottomLeft" state="frozen"/>
      <selection activeCell="B1" sqref="B1"/>
      <selection pane="bottomLeft" activeCell="A7" sqref="A7"/>
    </sheetView>
  </sheetViews>
  <sheetFormatPr defaultColWidth="8.875" defaultRowHeight="16.5"/>
  <cols>
    <col min="1" max="1" width="8.875" style="260"/>
    <col min="2" max="2" width="6.75" style="260" bestFit="1" customWidth="1"/>
    <col min="3" max="3" width="11.125" style="255" bestFit="1" customWidth="1"/>
    <col min="4" max="4" width="6.75" style="256" bestFit="1" customWidth="1"/>
    <col min="5" max="5" width="16.625" style="257" bestFit="1" customWidth="1"/>
    <col min="6" max="6" width="6.75" style="289" bestFit="1" customWidth="1"/>
    <col min="7" max="7" width="19.625" style="257" bestFit="1" customWidth="1"/>
    <col min="8" max="8" width="18.25" style="257" customWidth="1"/>
    <col min="9" max="9" width="20.875" style="257" customWidth="1"/>
    <col min="10" max="11" width="13" style="462" customWidth="1"/>
    <col min="12" max="12" width="26.5" style="258" bestFit="1" customWidth="1"/>
    <col min="13" max="13" width="19.875" style="258" bestFit="1" customWidth="1"/>
    <col min="14" max="14" width="21.75" style="258" bestFit="1" customWidth="1"/>
    <col min="15" max="15" width="26.5" style="258" bestFit="1" customWidth="1"/>
    <col min="16" max="16" width="25.625" style="258" bestFit="1" customWidth="1"/>
    <col min="17" max="17" width="21.75" style="258" bestFit="1" customWidth="1"/>
    <col min="18" max="18" width="19.875" style="258" bestFit="1" customWidth="1"/>
    <col min="19" max="23" width="17.75" style="260" hidden="1" customWidth="1"/>
    <col min="24" max="24" width="11.625" style="260" hidden="1" customWidth="1"/>
    <col min="25" max="25" width="20.125" style="260" bestFit="1" customWidth="1"/>
    <col min="26" max="26" width="21.75" style="290" bestFit="1" customWidth="1"/>
    <col min="27" max="28" width="13.75" style="259" bestFit="1" customWidth="1"/>
    <col min="29" max="29" width="20.125" style="290" bestFit="1" customWidth="1"/>
    <col min="30" max="30" width="59" style="260" bestFit="1" customWidth="1"/>
    <col min="31" max="16384" width="8.875" style="260"/>
  </cols>
  <sheetData>
    <row r="1" spans="1:31">
      <c r="B1" s="255">
        <v>1</v>
      </c>
      <c r="C1" s="255">
        <v>2</v>
      </c>
      <c r="D1" s="256">
        <v>3</v>
      </c>
      <c r="E1" s="255">
        <v>4</v>
      </c>
      <c r="F1" s="255">
        <v>5</v>
      </c>
      <c r="G1" s="256">
        <v>6</v>
      </c>
      <c r="H1" s="255">
        <v>7</v>
      </c>
      <c r="I1" s="255">
        <v>8</v>
      </c>
      <c r="J1" s="256">
        <v>9</v>
      </c>
      <c r="K1" s="255">
        <v>10</v>
      </c>
      <c r="L1" s="255">
        <v>11</v>
      </c>
      <c r="M1" s="256">
        <v>12</v>
      </c>
      <c r="N1" s="255">
        <v>13</v>
      </c>
      <c r="O1" s="255">
        <v>14</v>
      </c>
      <c r="P1" s="256">
        <v>15</v>
      </c>
      <c r="Q1" s="255">
        <v>16</v>
      </c>
      <c r="R1" s="255">
        <v>17</v>
      </c>
      <c r="S1" s="256">
        <v>18</v>
      </c>
      <c r="T1" s="255">
        <v>19</v>
      </c>
      <c r="U1" s="255">
        <v>20</v>
      </c>
      <c r="V1" s="256">
        <v>21</v>
      </c>
      <c r="W1" s="255">
        <v>22</v>
      </c>
      <c r="X1" s="255">
        <v>23</v>
      </c>
      <c r="Y1" s="256">
        <v>24</v>
      </c>
      <c r="Z1" s="255">
        <v>25</v>
      </c>
      <c r="AA1" s="255">
        <v>26</v>
      </c>
      <c r="AB1" s="256">
        <v>27</v>
      </c>
      <c r="AC1" s="255">
        <v>28</v>
      </c>
    </row>
    <row r="2" spans="1:31" ht="33" customHeight="1">
      <c r="D2" s="256">
        <v>1</v>
      </c>
      <c r="F2" s="257"/>
      <c r="G2" s="325">
        <f>SUM(G8:G190)</f>
        <v>12485599369</v>
      </c>
      <c r="H2" s="325">
        <f>SUM(H8:H190)</f>
        <v>8177163968.2099991</v>
      </c>
      <c r="I2" s="325">
        <f>SUM(I8:I190)</f>
        <v>11785380000</v>
      </c>
      <c r="J2" s="458"/>
      <c r="K2" s="458"/>
      <c r="L2" s="351"/>
      <c r="M2" s="325">
        <f>SUM(M8:M190)</f>
        <v>0</v>
      </c>
      <c r="N2" s="325">
        <f>SUM(N8:N190)</f>
        <v>13555720000</v>
      </c>
      <c r="O2" s="325"/>
      <c r="P2" s="325"/>
      <c r="Q2" s="325">
        <f>SUM(Q8:Q190)</f>
        <v>12564200000</v>
      </c>
      <c r="R2" s="588">
        <f>Y2/Z2</f>
        <v>3.347623769459597E-2</v>
      </c>
      <c r="S2" s="325">
        <f>SUM(S8:S190)</f>
        <v>87160004</v>
      </c>
      <c r="T2" s="325">
        <f>SUM(T8:T190)</f>
        <v>108950000</v>
      </c>
      <c r="U2" s="325">
        <f>SUM(U8:U190)</f>
        <v>108949988</v>
      </c>
      <c r="V2" s="325">
        <f>SUM(V8:V190)</f>
        <v>108970603</v>
      </c>
      <c r="W2" s="325">
        <f>SUM(W8:W190)</f>
        <v>21120000</v>
      </c>
      <c r="X2" s="325"/>
      <c r="Y2" s="325">
        <f>SUM(Y8:Y190)</f>
        <v>435170000</v>
      </c>
      <c r="Z2" s="325">
        <f>SUM(Z8:Z190)</f>
        <v>12999370000</v>
      </c>
      <c r="AA2" s="346">
        <v>3.0099999999999998E-2</v>
      </c>
      <c r="AB2" s="325"/>
      <c r="AC2" s="325">
        <f>SUM(AC8:AC190)</f>
        <v>7149653500</v>
      </c>
    </row>
    <row r="3" spans="1:31" s="279" customFormat="1" ht="33" customHeight="1">
      <c r="B3" s="463"/>
      <c r="C3" s="454"/>
      <c r="D3" s="289"/>
      <c r="E3" s="455"/>
      <c r="F3" s="455"/>
      <c r="G3" s="289">
        <f>G196</f>
        <v>12485599369</v>
      </c>
      <c r="H3" s="289">
        <f t="shared" ref="H3:AB3" si="0">H196</f>
        <v>8177163968.2099991</v>
      </c>
      <c r="I3" s="289">
        <f t="shared" si="0"/>
        <v>11785380000</v>
      </c>
      <c r="J3" s="459">
        <f t="shared" si="0"/>
        <v>1.06</v>
      </c>
      <c r="K3" s="459">
        <f t="shared" si="0"/>
        <v>0.96</v>
      </c>
      <c r="L3" s="289">
        <f t="shared" si="0"/>
        <v>0</v>
      </c>
      <c r="M3" s="289">
        <f t="shared" si="0"/>
        <v>0</v>
      </c>
      <c r="N3" s="289">
        <f t="shared" si="0"/>
        <v>13555720000</v>
      </c>
      <c r="O3" s="289">
        <f t="shared" si="0"/>
        <v>0</v>
      </c>
      <c r="P3" s="289">
        <f t="shared" si="0"/>
        <v>0</v>
      </c>
      <c r="Q3" s="289">
        <f t="shared" si="0"/>
        <v>12564200000</v>
      </c>
      <c r="R3" s="289">
        <f t="shared" si="0"/>
        <v>-991520000</v>
      </c>
      <c r="S3" s="289">
        <f t="shared" si="0"/>
        <v>87160004</v>
      </c>
      <c r="T3" s="289">
        <f t="shared" si="0"/>
        <v>108950000</v>
      </c>
      <c r="U3" s="289">
        <f t="shared" si="0"/>
        <v>108949988</v>
      </c>
      <c r="V3" s="289">
        <f t="shared" si="0"/>
        <v>108970603</v>
      </c>
      <c r="W3" s="289">
        <f t="shared" si="0"/>
        <v>21120000</v>
      </c>
      <c r="X3" s="289">
        <f t="shared" si="0"/>
        <v>0</v>
      </c>
      <c r="Y3" s="289">
        <f t="shared" si="0"/>
        <v>435170000</v>
      </c>
      <c r="Z3" s="289">
        <f t="shared" si="0"/>
        <v>12999370000</v>
      </c>
      <c r="AA3" s="457">
        <f t="shared" si="0"/>
        <v>4.1149056270027407E-2</v>
      </c>
      <c r="AB3" s="457">
        <f t="shared" si="0"/>
        <v>0.1030081338064619</v>
      </c>
      <c r="AC3" s="325"/>
    </row>
    <row r="4" spans="1:31" s="326" customFormat="1" ht="60.75" customHeight="1">
      <c r="B4" s="546" t="s">
        <v>2081</v>
      </c>
      <c r="C4" s="546"/>
      <c r="D4" s="546"/>
      <c r="E4" s="546"/>
      <c r="F4" s="546"/>
      <c r="G4" s="546"/>
      <c r="H4" s="546"/>
      <c r="I4" s="546"/>
      <c r="J4" s="546"/>
      <c r="K4" s="546"/>
      <c r="L4" s="551" t="s">
        <v>2072</v>
      </c>
      <c r="M4" s="552"/>
      <c r="N4" s="552"/>
      <c r="O4" s="552"/>
      <c r="P4" s="552"/>
      <c r="Q4" s="552"/>
      <c r="R4" s="553"/>
      <c r="S4" s="554" t="s">
        <v>2073</v>
      </c>
      <c r="T4" s="555"/>
      <c r="U4" s="555"/>
      <c r="V4" s="555"/>
      <c r="W4" s="555"/>
      <c r="X4" s="555"/>
      <c r="Y4" s="556"/>
      <c r="Z4" s="557" t="s">
        <v>2069</v>
      </c>
      <c r="AA4" s="559" t="s">
        <v>2070</v>
      </c>
      <c r="AB4" s="559" t="s">
        <v>2071</v>
      </c>
      <c r="AC4" s="561" t="s">
        <v>1861</v>
      </c>
    </row>
    <row r="5" spans="1:31" s="265" customFormat="1" ht="118.5" customHeight="1">
      <c r="B5" s="549" t="s">
        <v>1846</v>
      </c>
      <c r="C5" s="570" t="s">
        <v>1275</v>
      </c>
      <c r="D5" s="572" t="s">
        <v>128</v>
      </c>
      <c r="E5" s="566" t="s">
        <v>129</v>
      </c>
      <c r="F5" s="549" t="s">
        <v>1890</v>
      </c>
      <c r="G5" s="261" t="s">
        <v>2041</v>
      </c>
      <c r="H5" s="261" t="s">
        <v>2042</v>
      </c>
      <c r="I5" s="261" t="s">
        <v>2043</v>
      </c>
      <c r="J5" s="372" t="s">
        <v>2044</v>
      </c>
      <c r="K5" s="460" t="s">
        <v>2054</v>
      </c>
      <c r="L5" s="447" t="s">
        <v>2118</v>
      </c>
      <c r="M5" s="447" t="s">
        <v>2059</v>
      </c>
      <c r="N5" s="447" t="s">
        <v>2061</v>
      </c>
      <c r="O5" s="448" t="s">
        <v>2119</v>
      </c>
      <c r="P5" s="448" t="s">
        <v>2064</v>
      </c>
      <c r="Q5" s="448" t="s">
        <v>2066</v>
      </c>
      <c r="R5" s="449" t="s">
        <v>2068</v>
      </c>
      <c r="S5" s="262" t="s">
        <v>2046</v>
      </c>
      <c r="T5" s="263" t="s">
        <v>1274</v>
      </c>
      <c r="U5" s="263" t="s">
        <v>1276</v>
      </c>
      <c r="V5" s="263" t="s">
        <v>2049</v>
      </c>
      <c r="W5" s="263" t="s">
        <v>2051</v>
      </c>
      <c r="X5" s="263" t="s">
        <v>1871</v>
      </c>
      <c r="Y5" s="264" t="s">
        <v>2056</v>
      </c>
      <c r="Z5" s="558"/>
      <c r="AA5" s="560"/>
      <c r="AB5" s="560"/>
      <c r="AC5" s="562"/>
    </row>
    <row r="6" spans="1:31" s="255" customFormat="1" ht="36.75" customHeight="1">
      <c r="B6" s="550"/>
      <c r="C6" s="571"/>
      <c r="D6" s="573"/>
      <c r="E6" s="567"/>
      <c r="F6" s="550"/>
      <c r="G6" s="266" t="s">
        <v>613</v>
      </c>
      <c r="H6" s="266" t="s">
        <v>611</v>
      </c>
      <c r="I6" s="266" t="s">
        <v>1277</v>
      </c>
      <c r="J6" s="373" t="s">
        <v>1278</v>
      </c>
      <c r="K6" s="373" t="s">
        <v>2080</v>
      </c>
      <c r="L6" s="266" t="s">
        <v>1849</v>
      </c>
      <c r="M6" s="266" t="s">
        <v>612</v>
      </c>
      <c r="N6" s="266" t="s">
        <v>645</v>
      </c>
      <c r="O6" s="266" t="s">
        <v>1279</v>
      </c>
      <c r="P6" s="266" t="s">
        <v>1601</v>
      </c>
      <c r="Q6" s="266" t="s">
        <v>1862</v>
      </c>
      <c r="R6" s="266" t="s">
        <v>1863</v>
      </c>
      <c r="S6" s="267" t="s">
        <v>1864</v>
      </c>
      <c r="T6" s="267" t="s">
        <v>1865</v>
      </c>
      <c r="U6" s="267" t="s">
        <v>1850</v>
      </c>
      <c r="V6" s="267" t="s">
        <v>1603</v>
      </c>
      <c r="W6" s="267" t="s">
        <v>1602</v>
      </c>
      <c r="X6" s="267" t="s">
        <v>2074</v>
      </c>
      <c r="Y6" s="268" t="s">
        <v>2075</v>
      </c>
      <c r="Z6" s="450" t="s">
        <v>2076</v>
      </c>
      <c r="AA6" s="269" t="s">
        <v>2077</v>
      </c>
      <c r="AB6" s="269" t="s">
        <v>2078</v>
      </c>
      <c r="AC6" s="269" t="s">
        <v>2079</v>
      </c>
    </row>
    <row r="7" spans="1:31" s="473" customFormat="1" ht="36.75" customHeight="1">
      <c r="A7" s="473" t="s">
        <v>2117</v>
      </c>
      <c r="B7" s="465" t="s">
        <v>2082</v>
      </c>
      <c r="C7" s="466" t="s">
        <v>474</v>
      </c>
      <c r="D7" s="465" t="s">
        <v>2083</v>
      </c>
      <c r="E7" s="467" t="s">
        <v>2084</v>
      </c>
      <c r="F7" s="465" t="s">
        <v>2085</v>
      </c>
      <c r="G7" s="468" t="s">
        <v>2086</v>
      </c>
      <c r="H7" s="468" t="s">
        <v>2087</v>
      </c>
      <c r="I7" s="468" t="s">
        <v>2088</v>
      </c>
      <c r="J7" s="469" t="s">
        <v>2089</v>
      </c>
      <c r="K7" s="469" t="s">
        <v>2053</v>
      </c>
      <c r="L7" s="468" t="s">
        <v>2057</v>
      </c>
      <c r="M7" s="468" t="s">
        <v>2058</v>
      </c>
      <c r="N7" s="468" t="s">
        <v>2060</v>
      </c>
      <c r="O7" s="468" t="s">
        <v>2062</v>
      </c>
      <c r="P7" s="468" t="s">
        <v>2063</v>
      </c>
      <c r="Q7" s="468" t="s">
        <v>2065</v>
      </c>
      <c r="R7" s="468" t="s">
        <v>2067</v>
      </c>
      <c r="S7" s="470" t="s">
        <v>2045</v>
      </c>
      <c r="T7" s="470" t="s">
        <v>2090</v>
      </c>
      <c r="U7" s="470" t="s">
        <v>2047</v>
      </c>
      <c r="V7" s="470" t="s">
        <v>2048</v>
      </c>
      <c r="W7" s="470" t="s">
        <v>2050</v>
      </c>
      <c r="X7" s="470" t="s">
        <v>2091</v>
      </c>
      <c r="Y7" s="471" t="s">
        <v>2055</v>
      </c>
      <c r="Z7" s="464" t="s">
        <v>2069</v>
      </c>
      <c r="AA7" s="472" t="s">
        <v>2070</v>
      </c>
      <c r="AB7" s="472" t="s">
        <v>2071</v>
      </c>
      <c r="AC7" s="470"/>
    </row>
    <row r="8" spans="1:31" s="279" customFormat="1" ht="24.95" customHeight="1">
      <c r="A8" s="279" t="str">
        <f>IF(J8&gt;='116目標底稿SUMMARY'!$E$3,"TYPE_1",IF(J8&gt;='116目標底稿SUMMARY'!$E$4,"TYPE_2",IF(J8&gt;='116目標底稿SUMMARY'!$E$5,"TYPE_3","TYPE_4")))</f>
        <v>TYPE_1</v>
      </c>
      <c r="B8" s="272">
        <v>1</v>
      </c>
      <c r="C8" s="271" t="s">
        <v>0</v>
      </c>
      <c r="D8" s="272">
        <v>100</v>
      </c>
      <c r="E8" s="273" t="s">
        <v>131</v>
      </c>
      <c r="F8" s="272">
        <f>IF(ISERROR(VLOOKUP(D8,'115分組'!A:D,4,0)), "未分", VLOOKUP(D8,'115分組'!A:D,4,0))</f>
        <v>1</v>
      </c>
      <c r="G8" s="273">
        <f>ROUND(VLOOKUP(D8,'115_分行業績'!A:J,8,0), 0)</f>
        <v>151815331</v>
      </c>
      <c r="H8" s="274">
        <f>(VLOOKUP(D8, '底稿_前2年手收20%'!A:G,7,0)+VLOOKUP(D8, '底稿_前2年手收20%'!O:U,7,0))/2</f>
        <v>74374340.25999999</v>
      </c>
      <c r="I8" s="273">
        <f>VLOOKUP(D8,'115_分行業績'!A:I,9,0)</f>
        <v>103860000</v>
      </c>
      <c r="J8" s="456">
        <f>ROUND(G8/I8, 2)</f>
        <v>1.46</v>
      </c>
      <c r="K8" s="456">
        <f>ROUND(G8/Z8, 2)</f>
        <v>1.17</v>
      </c>
      <c r="L8" s="273" t="str">
        <f>IF(J8&gt;= 2, "200%以上", IF(J8&gt;= 1.5, "150%以上、未達200%", IF(J8&gt;= 1.3, "130%以上、未達150%", IF(J8&gt;= 1.2, "120%以上、未達130%", IF(J8&gt;= 1.1, "110%以上、未達120%", IF(J8&gt;= 1, "100%以上、未達110%",  IF(J8&gt;= 0.9, "90%以上、未達100%", IF(J8&gt;= 0.75, "75%以上、未達90%", "未達75%"))))))))</f>
        <v>130%以上、未達150%</v>
      </c>
      <c r="M8" s="273" t="str">
        <f>IF(J8&gt;= 2, "預估實績*70%", IF(J8&gt;= 1.5, "預估實績*80%", IF(J8&gt;= 1.3, "預估實績*90%", IF(J8&gt;= 1.2, "預估實績*101%", IF(J8&gt;= 1.1, "預估實績*103%", IF(J8&gt;= 1, "預估實績105%",  IF(J8&gt;= 0.9, "分行目標105%", IF(J8&gt;= 0.75, "分行目標110%", "分行目標115%"))))))))</f>
        <v>預估實績*90%</v>
      </c>
      <c r="N8" s="273">
        <f>IF(J8&gt;= 2, ROUND(G8*0.7, -4), IF(J8&gt;= 1.5,  ROUND(G8*0.8, -4), IF(J8&gt;= 1.3,  ROUND(G8*0.9, -4), IF(J8&gt;= 1.2,  ROUND(G8*1.01, -4), IF(J8&gt;= 1.1,  ROUND(G8*1.03, -4), IF(J8&gt;= 1,  ROUND(G8*1.05, -4),  IF(J8&gt;= 0.9,  ROUND(I8*1.05, -4), IF(J8&gt;= 0.75, ROUND(I8*1.1, -4), ROUND(I8*1.15, -4)))))))))</f>
        <v>136630000</v>
      </c>
      <c r="O8" s="273" t="str">
        <f>VLOOKUP(A8,'116目標底稿SUMMARY'!A:B,2,0)</f>
        <v>120%以上</v>
      </c>
      <c r="P8" s="273" t="str">
        <f>VLOOKUP(A8,'116目標底稿SUMMARY'!A:D,4,0)</f>
        <v>分行目標*120%*101%</v>
      </c>
      <c r="Q8" s="273">
        <f>ROUND(IF(A8 = "TYPE_1", I8*'116目標底稿SUMMARY'!$F$3*'116目標底稿SUMMARY'!$G$3, IF(A8 = "TYPE_2", G8*'116目標底稿SUMMARY'!$F$4, IF(A8 = "TYPE_3", G8*'116目標底稿SUMMARY'!$F$5, '116目標底稿ver1'!I8*'116目標底稿SUMMARY'!$F$6*'116目標底稿SUMMARY'!$G$6))), -4)</f>
        <v>125880000</v>
      </c>
      <c r="R8" s="452">
        <f>Q8-N8</f>
        <v>-10750000</v>
      </c>
      <c r="S8" s="274">
        <f>VLOOKUP(D8,'116指標1_前2年手收20%'!A:M,13,0)</f>
        <v>772798</v>
      </c>
      <c r="T8" s="274">
        <f>VLOOKUP(D8,'116指標2_存款25%'!A:F,6,0)</f>
        <v>1187744</v>
      </c>
      <c r="U8" s="274">
        <f>VLOOKUP(D8,'116指標6_理財AUM25%'!A:F,6,0)</f>
        <v>847588</v>
      </c>
      <c r="V8" s="274">
        <f>VLOOKUP(D8,'116指標4_114分行人數25%'!A:Q,17,0)</f>
        <v>1154551</v>
      </c>
      <c r="W8" s="274">
        <f>VLOOKUP(F8,'115分組'!D:F,3,0)</f>
        <v>190000</v>
      </c>
      <c r="X8" s="274"/>
      <c r="Y8" s="275">
        <f t="shared" ref="Y8:Y71" si="1">ROUND(SUM(S8:W8), -4)+X8</f>
        <v>4150000</v>
      </c>
      <c r="Z8" s="451">
        <f>Q8+Y8</f>
        <v>130030000</v>
      </c>
      <c r="AA8" s="276">
        <f>Z8/G8 -1</f>
        <v>-0.1434988868153243</v>
      </c>
      <c r="AB8" s="276">
        <f>Z8/I8 -1</f>
        <v>0.2519738108992875</v>
      </c>
      <c r="AC8" s="277">
        <f>Z8*0.55</f>
        <v>71516500</v>
      </c>
    </row>
    <row r="9" spans="1:31" s="279" customFormat="1" ht="24.95" customHeight="1">
      <c r="A9" s="279" t="str">
        <f>IF(J9&gt;='116目標底稿SUMMARY'!$E$3,"TYPE_1",IF(J9&gt;='116目標底稿SUMMARY'!$E$4,"TYPE_2",IF(J9&gt;='116目標底稿SUMMARY'!$E$5,"TYPE_3","TYPE_4")))</f>
        <v>TYPE_4</v>
      </c>
      <c r="B9" s="272">
        <v>2</v>
      </c>
      <c r="C9" s="271" t="s">
        <v>0</v>
      </c>
      <c r="D9" s="272">
        <v>101</v>
      </c>
      <c r="E9" s="273" t="s">
        <v>132</v>
      </c>
      <c r="F9" s="272">
        <f>IF(ISERROR(VLOOKUP(D9,'115分組'!A:D,4,0)), "未分", VLOOKUP(D9,'115分組'!A:D,4,0))</f>
        <v>3</v>
      </c>
      <c r="G9" s="273">
        <f>ROUND(VLOOKUP(D9,'115_分行業績'!A:J,8,0), 0)</f>
        <v>24773020</v>
      </c>
      <c r="H9" s="274">
        <f>(VLOOKUP(D9, '底稿_前2年手收20%'!A:G,7,0)+VLOOKUP(D9, '底稿_前2年手收20%'!O:U,7,0))/2</f>
        <v>16897911.670000002</v>
      </c>
      <c r="I9" s="273">
        <f>VLOOKUP(D9,'115_分行業績'!A:I,9,0)</f>
        <v>36030000</v>
      </c>
      <c r="J9" s="456">
        <f t="shared" ref="J9:J72" si="2">ROUND(G9/I9, 2)</f>
        <v>0.69</v>
      </c>
      <c r="K9" s="456">
        <f t="shared" ref="K9:K72" si="3">ROUND(G9/Z9, 2)</f>
        <v>0.68</v>
      </c>
      <c r="L9" s="273" t="str">
        <f t="shared" ref="L9:L72" si="4">IF(J9&gt;= 2, "200%以上", IF(J9&gt;= 1.5, "150%以上、未達200%", IF(J9&gt;= 1.3, "130%以上、未達150%", IF(J9&gt;= 1.2, "120%以上、未達130%", IF(J9&gt;= 1.1, "110%以上、未達120%", IF(J9&gt;= 1, "100%以上、未達110%",  IF(J9&gt;= 0.9, "90%以上、未達100%", IF(J9&gt;= 0.75, "75%以上、未達90%", "未達75%"))))))))</f>
        <v>未達75%</v>
      </c>
      <c r="M9" s="273" t="str">
        <f t="shared" ref="M9:M72" si="5">IF(J9&gt;= 2, "預估實績*70%", IF(J9&gt;= 1.5, "預估實績*80%", IF(J9&gt;= 1.3, "預估實績*90%", IF(J9&gt;= 1.2, "預估實績*101%", IF(J9&gt;= 1.1, "預估實績*103%", IF(J9&gt;= 1, "預估實績105%",  IF(J9&gt;= 0.9, "分行目標105%", IF(J9&gt;= 0.75, "分行目標110%", "分行目標115%"))))))))</f>
        <v>分行目標115%</v>
      </c>
      <c r="N9" s="273">
        <f t="shared" ref="N9:N72" si="6">IF(J9&gt;= 2, ROUND(G9*0.7, -4), IF(J9&gt;= 1.5,  ROUND(G9*0.8, -4), IF(J9&gt;= 1.3,  ROUND(G9*0.9, -4), IF(J9&gt;= 1.2,  ROUND(G9*1.01, -4), IF(J9&gt;= 1.1,  ROUND(G9*1.03, -4), IF(J9&gt;= 1,  ROUND(G9*1.05, -4),  IF(J9&gt;= 0.9,  ROUND(I9*1.05, -4), IF(J9&gt;= 0.75, ROUND(I9*1.1, -4), ROUND(I9*1.15, -4)))))))))</f>
        <v>41430000</v>
      </c>
      <c r="O9" s="273" t="str">
        <f>VLOOKUP(A9,'116目標底稿SUMMARY'!A:B,2,0)</f>
        <v>未達80%</v>
      </c>
      <c r="P9" s="273" t="str">
        <f>VLOOKUP(A9,'116目標底稿SUMMARY'!A:D,4,0)</f>
        <v>分行目標*80%*120%</v>
      </c>
      <c r="Q9" s="273">
        <f>ROUND(IF(A9 = "TYPE_1", I9*'116目標底稿SUMMARY'!$F$3*'116目標底稿SUMMARY'!$G$3, IF(A9 = "TYPE_2", G9*'116目標底稿SUMMARY'!$F$4, IF(A9 = "TYPE_3", G9*'116目標底稿SUMMARY'!$F$5, '116目標底稿ver1'!I9*'116目標底稿SUMMARY'!$F$6*'116目標底稿SUMMARY'!$G$6))), -4)</f>
        <v>34590000</v>
      </c>
      <c r="R9" s="452">
        <f t="shared" ref="R9:R72" si="7">Q9-N9</f>
        <v>-6840000</v>
      </c>
      <c r="S9" s="274">
        <f>VLOOKUP(D9,'116指標1_前2年手收20%'!A:M,13,0)</f>
        <v>200971</v>
      </c>
      <c r="T9" s="274">
        <f>VLOOKUP(D9,'116指標2_存款25%'!A:F,6,0)</f>
        <v>494536</v>
      </c>
      <c r="U9" s="274">
        <f>VLOOKUP(D9,'116指標6_理財AUM25%'!A:F,6,0)</f>
        <v>265249</v>
      </c>
      <c r="V9" s="274">
        <f>VLOOKUP(D9,'116指標4_114分行人數25%'!A:Q,17,0)</f>
        <v>577276</v>
      </c>
      <c r="W9" s="274">
        <f>VLOOKUP(F9,'115分組'!D:F,3,0)</f>
        <v>150000</v>
      </c>
      <c r="X9" s="274"/>
      <c r="Y9" s="275">
        <f t="shared" si="1"/>
        <v>1690000</v>
      </c>
      <c r="Z9" s="451">
        <f t="shared" ref="Z9:Z72" si="8">Q9+Y9</f>
        <v>36280000</v>
      </c>
      <c r="AA9" s="276">
        <f t="shared" ref="AA9:AA72" si="9">Z9/G9 -1</f>
        <v>0.46449645622536129</v>
      </c>
      <c r="AB9" s="276">
        <f t="shared" ref="AB9:AB72" si="10">Z9/I9 -1</f>
        <v>6.9386622259228758E-3</v>
      </c>
      <c r="AC9" s="277">
        <f t="shared" ref="AC9:AC72" si="11">Z9*0.55</f>
        <v>19954000</v>
      </c>
    </row>
    <row r="10" spans="1:31" s="279" customFormat="1" ht="24.95" customHeight="1">
      <c r="A10" s="279" t="str">
        <f>IF(J10&gt;='116目標底稿SUMMARY'!$E$3,"TYPE_1",IF(J10&gt;='116目標底稿SUMMARY'!$E$4,"TYPE_2",IF(J10&gt;='116目標底稿SUMMARY'!$E$5,"TYPE_3","TYPE_4")))</f>
        <v>TYPE_3</v>
      </c>
      <c r="B10" s="272">
        <v>3</v>
      </c>
      <c r="C10" s="271" t="s">
        <v>0</v>
      </c>
      <c r="D10" s="272">
        <v>103</v>
      </c>
      <c r="E10" s="273" t="s">
        <v>133</v>
      </c>
      <c r="F10" s="272">
        <f>IF(ISERROR(VLOOKUP(D10,'115分組'!A:D,4,0)), "未分", VLOOKUP(D10,'115分組'!A:D,4,0))</f>
        <v>3</v>
      </c>
      <c r="G10" s="273">
        <f>ROUND(VLOOKUP(D10,'115_分行業績'!A:J,8,0), 0)</f>
        <v>43030534</v>
      </c>
      <c r="H10" s="274">
        <f>(VLOOKUP(D10, '底稿_前2年手收20%'!A:G,7,0)+VLOOKUP(D10, '底稿_前2年手收20%'!O:U,7,0))/2</f>
        <v>30352974.274999999</v>
      </c>
      <c r="I10" s="273">
        <f>VLOOKUP(D10,'115_分行業績'!A:I,9,0)</f>
        <v>44220000</v>
      </c>
      <c r="J10" s="456">
        <f t="shared" si="2"/>
        <v>0.97</v>
      </c>
      <c r="K10" s="456">
        <f t="shared" si="3"/>
        <v>0.94</v>
      </c>
      <c r="L10" s="273" t="str">
        <f t="shared" si="4"/>
        <v>90%以上、未達100%</v>
      </c>
      <c r="M10" s="273" t="str">
        <f t="shared" si="5"/>
        <v>分行目標105%</v>
      </c>
      <c r="N10" s="273">
        <f t="shared" si="6"/>
        <v>46430000</v>
      </c>
      <c r="O10" s="273" t="str">
        <f>VLOOKUP(A10,'116目標底稿SUMMARY'!A:B,2,0)</f>
        <v>80%以上，未達100%</v>
      </c>
      <c r="P10" s="273" t="str">
        <f>VLOOKUP(A10,'116目標底稿SUMMARY'!A:D,4,0)</f>
        <v>預估實績*105%</v>
      </c>
      <c r="Q10" s="273">
        <f>ROUND(IF(A10 = "TYPE_1", I10*'116目標底稿SUMMARY'!$F$3*'116目標底稿SUMMARY'!$G$3, IF(A10 = "TYPE_2", G10*'116目標底稿SUMMARY'!$F$4, IF(A10 = "TYPE_3", G10*'116目標底稿SUMMARY'!$F$5, '116目標底稿ver1'!I10*'116目標底稿SUMMARY'!$F$6*'116目標底稿SUMMARY'!$G$6))), -4)</f>
        <v>44320000</v>
      </c>
      <c r="R10" s="452">
        <f t="shared" si="7"/>
        <v>-2110000</v>
      </c>
      <c r="S10" s="274">
        <f>VLOOKUP(D10,'116指標1_前2年手收20%'!A:M,13,0)</f>
        <v>356853</v>
      </c>
      <c r="T10" s="274">
        <f>VLOOKUP(D10,'116指標2_存款25%'!A:F,6,0)</f>
        <v>373499</v>
      </c>
      <c r="U10" s="274">
        <f>VLOOKUP(D10,'116指標6_理財AUM25%'!A:F,6,0)</f>
        <v>264648</v>
      </c>
      <c r="V10" s="274">
        <f>VLOOKUP(D10,'116指標4_114分行人數25%'!A:Q,17,0)</f>
        <v>557370</v>
      </c>
      <c r="W10" s="274">
        <f>VLOOKUP(F10,'115分組'!D:F,3,0)</f>
        <v>150000</v>
      </c>
      <c r="X10" s="274"/>
      <c r="Y10" s="275">
        <f t="shared" si="1"/>
        <v>1700000</v>
      </c>
      <c r="Z10" s="451">
        <f t="shared" si="8"/>
        <v>46020000</v>
      </c>
      <c r="AA10" s="276">
        <f t="shared" si="9"/>
        <v>6.9473132729424236E-2</v>
      </c>
      <c r="AB10" s="276">
        <f t="shared" si="10"/>
        <v>4.0705563093622832E-2</v>
      </c>
      <c r="AC10" s="277">
        <f t="shared" si="11"/>
        <v>25311000.000000004</v>
      </c>
      <c r="AD10" s="279" t="s">
        <v>410</v>
      </c>
    </row>
    <row r="11" spans="1:31" s="279" customFormat="1" ht="24.95" customHeight="1">
      <c r="A11" s="279" t="str">
        <f>IF(J11&gt;='116目標底稿SUMMARY'!$E$3,"TYPE_1",IF(J11&gt;='116目標底稿SUMMARY'!$E$4,"TYPE_2",IF(J11&gt;='116目標底稿SUMMARY'!$E$5,"TYPE_3","TYPE_4")))</f>
        <v>TYPE_1</v>
      </c>
      <c r="B11" s="272">
        <v>4</v>
      </c>
      <c r="C11" s="271" t="s">
        <v>0</v>
      </c>
      <c r="D11" s="272">
        <v>104</v>
      </c>
      <c r="E11" s="273" t="s">
        <v>134</v>
      </c>
      <c r="F11" s="272">
        <f>IF(ISERROR(VLOOKUP(D11,'115分組'!A:D,4,0)), "未分", VLOOKUP(D11,'115分組'!A:D,4,0))</f>
        <v>2</v>
      </c>
      <c r="G11" s="273">
        <f>ROUND(VLOOKUP(D11,'115_分行業績'!A:J,8,0), 0)</f>
        <v>100530724</v>
      </c>
      <c r="H11" s="274">
        <f>(VLOOKUP(D11, '底稿_前2年手收20%'!A:G,7,0)+VLOOKUP(D11, '底稿_前2年手收20%'!O:U,7,0))/2</f>
        <v>55965332.630000003</v>
      </c>
      <c r="I11" s="273">
        <f>VLOOKUP(D11,'115_分行業績'!A:I,9,0)</f>
        <v>75640000</v>
      </c>
      <c r="J11" s="456">
        <f t="shared" si="2"/>
        <v>1.33</v>
      </c>
      <c r="K11" s="456">
        <f t="shared" si="3"/>
        <v>1.06</v>
      </c>
      <c r="L11" s="273" t="str">
        <f t="shared" si="4"/>
        <v>130%以上、未達150%</v>
      </c>
      <c r="M11" s="273" t="str">
        <f t="shared" si="5"/>
        <v>預估實績*90%</v>
      </c>
      <c r="N11" s="273">
        <f t="shared" si="6"/>
        <v>90480000</v>
      </c>
      <c r="O11" s="273" t="str">
        <f>VLOOKUP(A11,'116目標底稿SUMMARY'!A:B,2,0)</f>
        <v>120%以上</v>
      </c>
      <c r="P11" s="273" t="str">
        <f>VLOOKUP(A11,'116目標底稿SUMMARY'!A:D,4,0)</f>
        <v>分行目標*120%*101%</v>
      </c>
      <c r="Q11" s="273">
        <f>ROUND(IF(A11 = "TYPE_1", I11*'116目標底稿SUMMARY'!$F$3*'116目標底稿SUMMARY'!$G$3, IF(A11 = "TYPE_2", G11*'116目標底稿SUMMARY'!$F$4, IF(A11 = "TYPE_3", G11*'116目標底稿SUMMARY'!$F$5, '116目標底稿ver1'!I11*'116目標底稿SUMMARY'!$F$6*'116目標底稿SUMMARY'!$G$6))), -4)</f>
        <v>91680000</v>
      </c>
      <c r="R11" s="452">
        <f t="shared" si="7"/>
        <v>1200000</v>
      </c>
      <c r="S11" s="274">
        <f>VLOOKUP(D11,'116指標1_前2年手收20%'!A:M,13,0)</f>
        <v>593231</v>
      </c>
      <c r="T11" s="274">
        <f>VLOOKUP(D11,'116指標2_存款25%'!A:F,6,0)</f>
        <v>802456</v>
      </c>
      <c r="U11" s="274">
        <f>VLOOKUP(D11,'116指標6_理財AUM25%'!A:F,6,0)</f>
        <v>655029</v>
      </c>
      <c r="V11" s="274">
        <f>VLOOKUP(D11,'116指標4_114分行人數25%'!A:Q,17,0)</f>
        <v>597182</v>
      </c>
      <c r="W11" s="274">
        <f>VLOOKUP(F11,'115分組'!D:F,3,0)</f>
        <v>170000</v>
      </c>
      <c r="X11" s="274"/>
      <c r="Y11" s="275">
        <f t="shared" si="1"/>
        <v>2820000</v>
      </c>
      <c r="Z11" s="451">
        <f t="shared" si="8"/>
        <v>94500000</v>
      </c>
      <c r="AA11" s="276">
        <f t="shared" si="9"/>
        <v>-5.9988864697721689E-2</v>
      </c>
      <c r="AB11" s="276">
        <f t="shared" si="10"/>
        <v>0.24933897408778427</v>
      </c>
      <c r="AC11" s="277">
        <f t="shared" si="11"/>
        <v>51975000.000000007</v>
      </c>
      <c r="AE11" s="279" t="s">
        <v>420</v>
      </c>
    </row>
    <row r="12" spans="1:31" s="279" customFormat="1" ht="24.95" customHeight="1">
      <c r="A12" s="279" t="str">
        <f>IF(J12&gt;='116目標底稿SUMMARY'!$E$3,"TYPE_1",IF(J12&gt;='116目標底稿SUMMARY'!$E$4,"TYPE_2",IF(J12&gt;='116目標底稿SUMMARY'!$E$5,"TYPE_3","TYPE_4")))</f>
        <v>TYPE_4</v>
      </c>
      <c r="B12" s="272">
        <v>5</v>
      </c>
      <c r="C12" s="271" t="s">
        <v>0</v>
      </c>
      <c r="D12" s="272">
        <v>105</v>
      </c>
      <c r="E12" s="273" t="s">
        <v>135</v>
      </c>
      <c r="F12" s="272">
        <f>IF(ISERROR(VLOOKUP(D12,'115分組'!A:D,4,0)), "未分", VLOOKUP(D12,'115分組'!A:D,4,0))</f>
        <v>1</v>
      </c>
      <c r="G12" s="273">
        <f>ROUND(VLOOKUP(D12,'115_分行業績'!A:J,8,0), 0)</f>
        <v>29760269</v>
      </c>
      <c r="H12" s="274">
        <f>(VLOOKUP(D12, '底稿_前2年手收20%'!A:G,7,0)+VLOOKUP(D12, '底稿_前2年手收20%'!O:U,7,0))/2</f>
        <v>34286984.344999999</v>
      </c>
      <c r="I12" s="273">
        <f>VLOOKUP(D12,'115_分行業績'!A:I,9,0)</f>
        <v>57000000</v>
      </c>
      <c r="J12" s="456">
        <f t="shared" si="2"/>
        <v>0.52</v>
      </c>
      <c r="K12" s="456">
        <f t="shared" si="3"/>
        <v>0.52</v>
      </c>
      <c r="L12" s="273" t="str">
        <f t="shared" si="4"/>
        <v>未達75%</v>
      </c>
      <c r="M12" s="273" t="str">
        <f t="shared" si="5"/>
        <v>分行目標115%</v>
      </c>
      <c r="N12" s="273">
        <f t="shared" si="6"/>
        <v>65550000</v>
      </c>
      <c r="O12" s="273" t="str">
        <f>VLOOKUP(A12,'116目標底稿SUMMARY'!A:B,2,0)</f>
        <v>未達80%</v>
      </c>
      <c r="P12" s="273" t="str">
        <f>VLOOKUP(A12,'116目標底稿SUMMARY'!A:D,4,0)</f>
        <v>分行目標*80%*120%</v>
      </c>
      <c r="Q12" s="273">
        <f>ROUND(IF(A12 = "TYPE_1", I12*'116目標底稿SUMMARY'!$F$3*'116目標底稿SUMMARY'!$G$3, IF(A12 = "TYPE_2", G12*'116目標底稿SUMMARY'!$F$4, IF(A12 = "TYPE_3", G12*'116目標底稿SUMMARY'!$F$5, '116目標底稿ver1'!I12*'116目標底稿SUMMARY'!$F$6*'116目標底稿SUMMARY'!$G$6))), -4)</f>
        <v>54720000</v>
      </c>
      <c r="R12" s="452">
        <f t="shared" si="7"/>
        <v>-10830000</v>
      </c>
      <c r="S12" s="274">
        <f>VLOOKUP(D12,'116指標1_前2年手收20%'!A:M,13,0)</f>
        <v>392914</v>
      </c>
      <c r="T12" s="274">
        <f>VLOOKUP(D12,'116指標2_存款25%'!A:F,6,0)</f>
        <v>557316</v>
      </c>
      <c r="U12" s="274">
        <f>VLOOKUP(D12,'116指標6_理財AUM25%'!A:F,6,0)</f>
        <v>492021</v>
      </c>
      <c r="V12" s="274">
        <f>VLOOKUP(D12,'116指標4_114分行人數25%'!A:Q,17,0)</f>
        <v>716618</v>
      </c>
      <c r="W12" s="274">
        <f>VLOOKUP(F12,'115分組'!D:F,3,0)</f>
        <v>190000</v>
      </c>
      <c r="X12" s="274"/>
      <c r="Y12" s="275">
        <f t="shared" si="1"/>
        <v>2350000</v>
      </c>
      <c r="Z12" s="451">
        <f t="shared" si="8"/>
        <v>57070000</v>
      </c>
      <c r="AA12" s="276">
        <f t="shared" si="9"/>
        <v>0.91765739751881936</v>
      </c>
      <c r="AB12" s="276">
        <f t="shared" si="10"/>
        <v>1.2280701754385781E-3</v>
      </c>
      <c r="AC12" s="277">
        <f t="shared" si="11"/>
        <v>31388500.000000004</v>
      </c>
    </row>
    <row r="13" spans="1:31" s="279" customFormat="1" ht="24.95" customHeight="1">
      <c r="A13" s="279" t="str">
        <f>IF(J13&gt;='116目標底稿SUMMARY'!$E$3,"TYPE_1",IF(J13&gt;='116目標底稿SUMMARY'!$E$4,"TYPE_2",IF(J13&gt;='116目標底稿SUMMARY'!$E$5,"TYPE_3","TYPE_4")))</f>
        <v>TYPE_3</v>
      </c>
      <c r="B13" s="272">
        <v>6</v>
      </c>
      <c r="C13" s="271" t="s">
        <v>0</v>
      </c>
      <c r="D13" s="272">
        <v>106</v>
      </c>
      <c r="E13" s="273" t="s">
        <v>614</v>
      </c>
      <c r="F13" s="272">
        <f>IF(ISERROR(VLOOKUP(D13,'115分組'!A:D,4,0)), "未分", VLOOKUP(D13,'115分組'!A:D,4,0))</f>
        <v>1</v>
      </c>
      <c r="G13" s="273">
        <f>ROUND(VLOOKUP(D13,'115_分行業績'!A:J,8,0), 0)</f>
        <v>91410089</v>
      </c>
      <c r="H13" s="274">
        <f>(VLOOKUP(D13, '底稿_前2年手收20%'!A:G,7,0)+VLOOKUP(D13, '底稿_前2年手收20%'!O:U,7,0))/2</f>
        <v>63329002.924999997</v>
      </c>
      <c r="I13" s="273">
        <f>VLOOKUP(D13,'115_分行業績'!A:I,9,0)</f>
        <v>99340000</v>
      </c>
      <c r="J13" s="456">
        <f t="shared" si="2"/>
        <v>0.92</v>
      </c>
      <c r="K13" s="456">
        <f t="shared" si="3"/>
        <v>0.94</v>
      </c>
      <c r="L13" s="273" t="str">
        <f t="shared" si="4"/>
        <v>90%以上、未達100%</v>
      </c>
      <c r="M13" s="273" t="str">
        <f t="shared" si="5"/>
        <v>分行目標105%</v>
      </c>
      <c r="N13" s="273">
        <f t="shared" si="6"/>
        <v>104310000</v>
      </c>
      <c r="O13" s="273" t="str">
        <f>VLOOKUP(A13,'116目標底稿SUMMARY'!A:B,2,0)</f>
        <v>80%以上，未達100%</v>
      </c>
      <c r="P13" s="273" t="str">
        <f>VLOOKUP(A13,'116目標底稿SUMMARY'!A:D,4,0)</f>
        <v>預估實績*105%</v>
      </c>
      <c r="Q13" s="273">
        <f>ROUND(IF(A13 = "TYPE_1", I13*'116目標底稿SUMMARY'!$F$3*'116目標底稿SUMMARY'!$G$3, IF(A13 = "TYPE_2", G13*'116目標底稿SUMMARY'!$F$4, IF(A13 = "TYPE_3", G13*'116目標底稿SUMMARY'!$F$5, '116目標底稿ver1'!I13*'116目標底稿SUMMARY'!$F$6*'116目標底稿SUMMARY'!$G$6))), -4)</f>
        <v>94150000</v>
      </c>
      <c r="R13" s="452">
        <f t="shared" si="7"/>
        <v>-10160000</v>
      </c>
      <c r="S13" s="274">
        <f>VLOOKUP(D13,'116指標1_前2年手收20%'!A:M,13,0)</f>
        <v>708835</v>
      </c>
      <c r="T13" s="274">
        <f>VLOOKUP(D13,'116指標2_存款25%'!A:F,6,0)</f>
        <v>853019</v>
      </c>
      <c r="U13" s="274">
        <f>VLOOKUP(D13,'116指標6_理財AUM25%'!A:F,6,0)</f>
        <v>956135</v>
      </c>
      <c r="V13" s="274">
        <f>VLOOKUP(D13,'116指標4_114分行人數25%'!A:Q,17,0)</f>
        <v>836054</v>
      </c>
      <c r="W13" s="274">
        <f>VLOOKUP(F13,'115分組'!D:F,3,0)</f>
        <v>190000</v>
      </c>
      <c r="X13" s="274"/>
      <c r="Y13" s="275">
        <f t="shared" si="1"/>
        <v>3540000</v>
      </c>
      <c r="Z13" s="451">
        <f t="shared" si="8"/>
        <v>97690000</v>
      </c>
      <c r="AA13" s="276">
        <f t="shared" si="9"/>
        <v>6.8700414458627179E-2</v>
      </c>
      <c r="AB13" s="276">
        <f t="shared" si="10"/>
        <v>-1.6609623515200345E-2</v>
      </c>
      <c r="AC13" s="277">
        <f t="shared" si="11"/>
        <v>53729500.000000007</v>
      </c>
    </row>
    <row r="14" spans="1:31" s="279" customFormat="1" ht="24.95" customHeight="1">
      <c r="A14" s="279" t="str">
        <f>IF(J14&gt;='116目標底稿SUMMARY'!$E$3,"TYPE_1",IF(J14&gt;='116目標底稿SUMMARY'!$E$4,"TYPE_2",IF(J14&gt;='116目標底稿SUMMARY'!$E$5,"TYPE_3","TYPE_4")))</f>
        <v>TYPE_1</v>
      </c>
      <c r="B14" s="272">
        <v>7</v>
      </c>
      <c r="C14" s="271" t="s">
        <v>0</v>
      </c>
      <c r="D14" s="272">
        <v>107</v>
      </c>
      <c r="E14" s="273" t="s">
        <v>73</v>
      </c>
      <c r="F14" s="272">
        <f>IF(ISERROR(VLOOKUP(D14,'115分組'!A:D,4,0)), "未分", VLOOKUP(D14,'115分組'!A:D,4,0))</f>
        <v>1</v>
      </c>
      <c r="G14" s="273">
        <f>ROUND(VLOOKUP(D14,'115_分行業績'!A:J,8,0), 0)</f>
        <v>142594489</v>
      </c>
      <c r="H14" s="274">
        <f>(VLOOKUP(D14, '底稿_前2年手收20%'!A:G,7,0)+VLOOKUP(D14, '底稿_前2年手收20%'!O:U,7,0))/2</f>
        <v>98548011.200000003</v>
      </c>
      <c r="I14" s="273">
        <f>VLOOKUP(D14,'115_分行業績'!A:I,9,0)</f>
        <v>118090000</v>
      </c>
      <c r="J14" s="456">
        <f t="shared" si="2"/>
        <v>1.21</v>
      </c>
      <c r="K14" s="456">
        <f t="shared" si="3"/>
        <v>0.97</v>
      </c>
      <c r="L14" s="273" t="str">
        <f t="shared" si="4"/>
        <v>120%以上、未達130%</v>
      </c>
      <c r="M14" s="273" t="str">
        <f t="shared" si="5"/>
        <v>預估實績*101%</v>
      </c>
      <c r="N14" s="273">
        <f t="shared" si="6"/>
        <v>144020000</v>
      </c>
      <c r="O14" s="273" t="str">
        <f>VLOOKUP(A14,'116目標底稿SUMMARY'!A:B,2,0)</f>
        <v>120%以上</v>
      </c>
      <c r="P14" s="273" t="str">
        <f>VLOOKUP(A14,'116目標底稿SUMMARY'!A:D,4,0)</f>
        <v>分行目標*120%*101%</v>
      </c>
      <c r="Q14" s="273">
        <f>ROUND(IF(A14 = "TYPE_1", I14*'116目標底稿SUMMARY'!$F$3*'116目標底稿SUMMARY'!$G$3, IF(A14 = "TYPE_2", G14*'116目標底稿SUMMARY'!$F$4, IF(A14 = "TYPE_3", G14*'116目標底稿SUMMARY'!$F$5, '116目標底稿ver1'!I14*'116目標底稿SUMMARY'!$F$6*'116目標底稿SUMMARY'!$G$6))), -4)</f>
        <v>143130000</v>
      </c>
      <c r="R14" s="452">
        <f t="shared" si="7"/>
        <v>-890000</v>
      </c>
      <c r="S14" s="274">
        <f>VLOOKUP(D14,'116指標1_前2年手收20%'!A:M,13,0)</f>
        <v>987496</v>
      </c>
      <c r="T14" s="274">
        <f>VLOOKUP(D14,'116指標2_存款25%'!A:F,6,0)</f>
        <v>1053092</v>
      </c>
      <c r="U14" s="274">
        <f>VLOOKUP(D14,'116指標6_理財AUM25%'!A:F,6,0)</f>
        <v>1312004</v>
      </c>
      <c r="V14" s="274">
        <f>VLOOKUP(D14,'116指標4_114分行人數25%'!A:Q,17,0)</f>
        <v>1055021</v>
      </c>
      <c r="W14" s="274">
        <f>VLOOKUP(F14,'115分組'!D:F,3,0)</f>
        <v>190000</v>
      </c>
      <c r="X14" s="274"/>
      <c r="Y14" s="275">
        <f t="shared" si="1"/>
        <v>4600000</v>
      </c>
      <c r="Z14" s="451">
        <f t="shared" si="8"/>
        <v>147730000</v>
      </c>
      <c r="AA14" s="276">
        <f t="shared" si="9"/>
        <v>3.6014792970014531E-2</v>
      </c>
      <c r="AB14" s="276">
        <f t="shared" si="10"/>
        <v>0.25099500381065298</v>
      </c>
      <c r="AC14" s="277">
        <f t="shared" si="11"/>
        <v>81251500</v>
      </c>
    </row>
    <row r="15" spans="1:31" s="279" customFormat="1" ht="24.95" customHeight="1">
      <c r="A15" s="279" t="str">
        <f>IF(J15&gt;='116目標底稿SUMMARY'!$E$3,"TYPE_1",IF(J15&gt;='116目標底稿SUMMARY'!$E$4,"TYPE_2",IF(J15&gt;='116目標底稿SUMMARY'!$E$5,"TYPE_3","TYPE_4")))</f>
        <v>TYPE_1</v>
      </c>
      <c r="B15" s="272">
        <v>8</v>
      </c>
      <c r="C15" s="271" t="s">
        <v>0</v>
      </c>
      <c r="D15" s="272">
        <v>108</v>
      </c>
      <c r="E15" s="273" t="s">
        <v>1</v>
      </c>
      <c r="F15" s="272">
        <f>IF(ISERROR(VLOOKUP(D15,'115分組'!A:D,4,0)), "未分", VLOOKUP(D15,'115分組'!A:D,4,0))</f>
        <v>1</v>
      </c>
      <c r="G15" s="273">
        <f>ROUND(VLOOKUP(D15,'115_分行業績'!A:J,8,0), 0)</f>
        <v>181181359</v>
      </c>
      <c r="H15" s="274">
        <f>(VLOOKUP(D15, '底稿_前2年手收20%'!A:G,7,0)+VLOOKUP(D15, '底稿_前2年手收20%'!O:U,7,0))/2</f>
        <v>69824217.194999993</v>
      </c>
      <c r="I15" s="273">
        <f>VLOOKUP(D15,'115_分行業績'!A:I,9,0)</f>
        <v>129150000</v>
      </c>
      <c r="J15" s="456">
        <f t="shared" si="2"/>
        <v>1.4</v>
      </c>
      <c r="K15" s="456">
        <f t="shared" si="3"/>
        <v>1.1299999999999999</v>
      </c>
      <c r="L15" s="273" t="str">
        <f t="shared" si="4"/>
        <v>130%以上、未達150%</v>
      </c>
      <c r="M15" s="273" t="str">
        <f t="shared" si="5"/>
        <v>預估實績*90%</v>
      </c>
      <c r="N15" s="273">
        <f t="shared" si="6"/>
        <v>163060000</v>
      </c>
      <c r="O15" s="273" t="str">
        <f>VLOOKUP(A15,'116目標底稿SUMMARY'!A:B,2,0)</f>
        <v>120%以上</v>
      </c>
      <c r="P15" s="273" t="str">
        <f>VLOOKUP(A15,'116目標底稿SUMMARY'!A:D,4,0)</f>
        <v>分行目標*120%*101%</v>
      </c>
      <c r="Q15" s="273">
        <f>ROUND(IF(A15 = "TYPE_1", I15*'116目標底稿SUMMARY'!$F$3*'116目標底稿SUMMARY'!$G$3, IF(A15 = "TYPE_2", G15*'116目標底稿SUMMARY'!$F$4, IF(A15 = "TYPE_3", G15*'116目標底稿SUMMARY'!$F$5, '116目標底稿ver1'!I15*'116目標底稿SUMMARY'!$F$6*'116目標底稿SUMMARY'!$G$6))), -4)</f>
        <v>156530000</v>
      </c>
      <c r="R15" s="452">
        <f t="shared" si="7"/>
        <v>-6530000</v>
      </c>
      <c r="S15" s="274">
        <f>VLOOKUP(D15,'116指標1_前2年手收20%'!A:M,13,0)</f>
        <v>830437</v>
      </c>
      <c r="T15" s="274">
        <f>VLOOKUP(D15,'116指標2_存款25%'!A:F,6,0)</f>
        <v>1043239</v>
      </c>
      <c r="U15" s="274">
        <f>VLOOKUP(D15,'116指標6_理財AUM25%'!A:F,6,0)</f>
        <v>853573</v>
      </c>
      <c r="V15" s="274">
        <f>VLOOKUP(D15,'116指標4_114分行人數25%'!A:Q,17,0)</f>
        <v>1453142</v>
      </c>
      <c r="W15" s="274">
        <f>VLOOKUP(F15,'115分組'!D:F,3,0)</f>
        <v>190000</v>
      </c>
      <c r="X15" s="274"/>
      <c r="Y15" s="275">
        <f t="shared" si="1"/>
        <v>4370000</v>
      </c>
      <c r="Z15" s="451">
        <f t="shared" si="8"/>
        <v>160900000</v>
      </c>
      <c r="AA15" s="276">
        <f t="shared" si="9"/>
        <v>-0.11193954561296782</v>
      </c>
      <c r="AB15" s="276">
        <f t="shared" si="10"/>
        <v>0.24583817266744101</v>
      </c>
      <c r="AC15" s="277">
        <f t="shared" si="11"/>
        <v>88495000</v>
      </c>
    </row>
    <row r="16" spans="1:31" s="279" customFormat="1" ht="24.95" customHeight="1">
      <c r="A16" s="279" t="str">
        <f>IF(J16&gt;='116目標底稿SUMMARY'!$E$3,"TYPE_1",IF(J16&gt;='116目標底稿SUMMARY'!$E$4,"TYPE_2",IF(J16&gt;='116目標底稿SUMMARY'!$E$5,"TYPE_3","TYPE_4")))</f>
        <v>TYPE_4</v>
      </c>
      <c r="B16" s="272">
        <v>9</v>
      </c>
      <c r="C16" s="271" t="s">
        <v>0</v>
      </c>
      <c r="D16" s="272">
        <v>109</v>
      </c>
      <c r="E16" s="273" t="s">
        <v>2</v>
      </c>
      <c r="F16" s="272">
        <f>IF(ISERROR(VLOOKUP(D16,'115分組'!A:D,4,0)), "未分", VLOOKUP(D16,'115分組'!A:D,4,0))</f>
        <v>4</v>
      </c>
      <c r="G16" s="273">
        <f>ROUND(VLOOKUP(D16,'115_分行業績'!A:J,8,0), 0)</f>
        <v>29449723</v>
      </c>
      <c r="H16" s="274">
        <f>(VLOOKUP(D16, '底稿_前2年手收20%'!A:G,7,0)+VLOOKUP(D16, '底稿_前2年手收20%'!O:U,7,0))/2</f>
        <v>18087475.66</v>
      </c>
      <c r="I16" s="273">
        <f>VLOOKUP(D16,'115_分行業績'!A:I,9,0)</f>
        <v>37980000</v>
      </c>
      <c r="J16" s="456">
        <f t="shared" si="2"/>
        <v>0.78</v>
      </c>
      <c r="K16" s="456">
        <f t="shared" si="3"/>
        <v>0.77</v>
      </c>
      <c r="L16" s="273" t="str">
        <f t="shared" si="4"/>
        <v>75%以上、未達90%</v>
      </c>
      <c r="M16" s="273" t="str">
        <f t="shared" si="5"/>
        <v>分行目標110%</v>
      </c>
      <c r="N16" s="273">
        <f t="shared" si="6"/>
        <v>41780000</v>
      </c>
      <c r="O16" s="273" t="str">
        <f>VLOOKUP(A16,'116目標底稿SUMMARY'!A:B,2,0)</f>
        <v>未達80%</v>
      </c>
      <c r="P16" s="273" t="str">
        <f>VLOOKUP(A16,'116目標底稿SUMMARY'!A:D,4,0)</f>
        <v>分行目標*80%*120%</v>
      </c>
      <c r="Q16" s="273">
        <f>ROUND(IF(A16 = "TYPE_1", I16*'116目標底稿SUMMARY'!$F$3*'116目標底稿SUMMARY'!$G$3, IF(A16 = "TYPE_2", G16*'116目標底稿SUMMARY'!$F$4, IF(A16 = "TYPE_3", G16*'116目標底稿SUMMARY'!$F$5, '116目標底稿ver1'!I16*'116目標底稿SUMMARY'!$F$6*'116目標底稿SUMMARY'!$G$6))), -4)</f>
        <v>36460000</v>
      </c>
      <c r="R16" s="452">
        <f t="shared" si="7"/>
        <v>-5320000</v>
      </c>
      <c r="S16" s="274">
        <f>VLOOKUP(D16,'116指標1_前2年手收20%'!A:M,13,0)</f>
        <v>215119</v>
      </c>
      <c r="T16" s="274">
        <f>VLOOKUP(D16,'116指標2_存款25%'!A:F,6,0)</f>
        <v>455146</v>
      </c>
      <c r="U16" s="274">
        <f>VLOOKUP(D16,'116指標6_理財AUM25%'!A:F,6,0)</f>
        <v>268842</v>
      </c>
      <c r="V16" s="274">
        <f>VLOOKUP(D16,'116指標4_114分行人數25%'!A:Q,17,0)</f>
        <v>636994</v>
      </c>
      <c r="W16" s="274">
        <f>VLOOKUP(F16,'115分組'!D:F,3,0)</f>
        <v>130000</v>
      </c>
      <c r="X16" s="274"/>
      <c r="Y16" s="275">
        <f t="shared" si="1"/>
        <v>1710000</v>
      </c>
      <c r="Z16" s="451">
        <f t="shared" si="8"/>
        <v>38170000</v>
      </c>
      <c r="AA16" s="276">
        <f t="shared" si="9"/>
        <v>0.29610726729076542</v>
      </c>
      <c r="AB16" s="276">
        <f t="shared" si="10"/>
        <v>5.0026329647183676E-3</v>
      </c>
      <c r="AC16" s="277">
        <f t="shared" si="11"/>
        <v>20993500</v>
      </c>
    </row>
    <row r="17" spans="1:29" s="279" customFormat="1" ht="24.95" customHeight="1">
      <c r="A17" s="279" t="str">
        <f>IF(J17&gt;='116目標底稿SUMMARY'!$E$3,"TYPE_1",IF(J17&gt;='116目標底稿SUMMARY'!$E$4,"TYPE_2",IF(J17&gt;='116目標底稿SUMMARY'!$E$5,"TYPE_3","TYPE_4")))</f>
        <v>TYPE_4</v>
      </c>
      <c r="B17" s="272">
        <v>10</v>
      </c>
      <c r="C17" s="271" t="s">
        <v>0</v>
      </c>
      <c r="D17" s="272">
        <v>110</v>
      </c>
      <c r="E17" s="273" t="s">
        <v>74</v>
      </c>
      <c r="F17" s="272">
        <f>IF(ISERROR(VLOOKUP(D17,'115分組'!A:D,4,0)), "未分", VLOOKUP(D17,'115分組'!A:D,4,0))</f>
        <v>5</v>
      </c>
      <c r="G17" s="273">
        <f>ROUND(VLOOKUP(D17,'115_分行業績'!A:J,8,0), 0)</f>
        <v>44041600</v>
      </c>
      <c r="H17" s="274">
        <f>(VLOOKUP(D17, '底稿_前2年手收20%'!A:G,7,0)+VLOOKUP(D17, '底稿_前2年手收20%'!O:U,7,0))/2</f>
        <v>35418780.695</v>
      </c>
      <c r="I17" s="273">
        <f>VLOOKUP(D17,'115_分行業績'!A:I,9,0)</f>
        <v>59470000</v>
      </c>
      <c r="J17" s="456">
        <f t="shared" si="2"/>
        <v>0.74</v>
      </c>
      <c r="K17" s="456">
        <f t="shared" si="3"/>
        <v>0.74</v>
      </c>
      <c r="L17" s="273" t="str">
        <f t="shared" si="4"/>
        <v>未達75%</v>
      </c>
      <c r="M17" s="273" t="str">
        <f t="shared" si="5"/>
        <v>分行目標115%</v>
      </c>
      <c r="N17" s="273">
        <f t="shared" si="6"/>
        <v>68390000</v>
      </c>
      <c r="O17" s="273" t="str">
        <f>VLOOKUP(A17,'116目標底稿SUMMARY'!A:B,2,0)</f>
        <v>未達80%</v>
      </c>
      <c r="P17" s="273" t="str">
        <f>VLOOKUP(A17,'116目標底稿SUMMARY'!A:D,4,0)</f>
        <v>分行目標*80%*120%</v>
      </c>
      <c r="Q17" s="273">
        <f>ROUND(IF(A17 = "TYPE_1", I17*'116目標底稿SUMMARY'!$F$3*'116目標底稿SUMMARY'!$G$3, IF(A17 = "TYPE_2", G17*'116目標底稿SUMMARY'!$F$4, IF(A17 = "TYPE_3", G17*'116目標底稿SUMMARY'!$F$5, '116目標底稿ver1'!I17*'116目標底稿SUMMARY'!$F$6*'116目標底稿SUMMARY'!$G$6))), -4)</f>
        <v>57090000</v>
      </c>
      <c r="R17" s="452">
        <f t="shared" si="7"/>
        <v>-11300000</v>
      </c>
      <c r="S17" s="274">
        <f>VLOOKUP(D17,'116指標1_前2年手收20%'!A:M,13,0)</f>
        <v>400597</v>
      </c>
      <c r="T17" s="274">
        <f>VLOOKUP(D17,'116指標2_存款25%'!A:F,6,0)</f>
        <v>563631</v>
      </c>
      <c r="U17" s="274">
        <f>VLOOKUP(D17,'116指標6_理財AUM25%'!A:F,6,0)</f>
        <v>454107</v>
      </c>
      <c r="V17" s="274">
        <f>VLOOKUP(D17,'116指標4_114分行人數25%'!A:Q,17,0)</f>
        <v>597182</v>
      </c>
      <c r="W17" s="274">
        <f>VLOOKUP(F17,'115分組'!D:F,3,0)</f>
        <v>100000</v>
      </c>
      <c r="X17" s="274"/>
      <c r="Y17" s="275">
        <f t="shared" si="1"/>
        <v>2120000</v>
      </c>
      <c r="Z17" s="451">
        <f t="shared" si="8"/>
        <v>59210000</v>
      </c>
      <c r="AA17" s="276">
        <f t="shared" si="9"/>
        <v>0.34441073893773155</v>
      </c>
      <c r="AB17" s="276">
        <f t="shared" si="10"/>
        <v>-4.3719522448293358E-3</v>
      </c>
      <c r="AC17" s="277">
        <f t="shared" si="11"/>
        <v>32565500.000000004</v>
      </c>
    </row>
    <row r="18" spans="1:29" s="279" customFormat="1" ht="24.95" customHeight="1">
      <c r="A18" s="279" t="str">
        <f>IF(J18&gt;='116目標底稿SUMMARY'!$E$3,"TYPE_1",IF(J18&gt;='116目標底稿SUMMARY'!$E$4,"TYPE_2",IF(J18&gt;='116目標底稿SUMMARY'!$E$5,"TYPE_3","TYPE_4")))</f>
        <v>TYPE_1</v>
      </c>
      <c r="B18" s="272">
        <v>11</v>
      </c>
      <c r="C18" s="271" t="s">
        <v>0</v>
      </c>
      <c r="D18" s="272">
        <v>111</v>
      </c>
      <c r="E18" s="273" t="s">
        <v>75</v>
      </c>
      <c r="F18" s="272">
        <f>IF(ISERROR(VLOOKUP(D18,'115分組'!A:D,4,0)), "未分", VLOOKUP(D18,'115分組'!A:D,4,0))</f>
        <v>1</v>
      </c>
      <c r="G18" s="273">
        <f>ROUND(VLOOKUP(D18,'115_分行業績'!A:J,8,0), 0)</f>
        <v>156079156</v>
      </c>
      <c r="H18" s="274">
        <f>(VLOOKUP(D18, '底稿_前2年手收20%'!A:G,7,0)+VLOOKUP(D18, '底稿_前2年手收20%'!O:U,7,0))/2</f>
        <v>60633304.240000002</v>
      </c>
      <c r="I18" s="273">
        <f>VLOOKUP(D18,'115_分行業績'!A:I,9,0)</f>
        <v>101770000</v>
      </c>
      <c r="J18" s="456">
        <f t="shared" si="2"/>
        <v>1.53</v>
      </c>
      <c r="K18" s="456">
        <f t="shared" si="3"/>
        <v>1.23</v>
      </c>
      <c r="L18" s="273" t="str">
        <f t="shared" si="4"/>
        <v>150%以上、未達200%</v>
      </c>
      <c r="M18" s="273" t="str">
        <f t="shared" si="5"/>
        <v>預估實績*80%</v>
      </c>
      <c r="N18" s="273">
        <f t="shared" si="6"/>
        <v>124860000</v>
      </c>
      <c r="O18" s="273" t="str">
        <f>VLOOKUP(A18,'116目標底稿SUMMARY'!A:B,2,0)</f>
        <v>120%以上</v>
      </c>
      <c r="P18" s="273" t="str">
        <f>VLOOKUP(A18,'116目標底稿SUMMARY'!A:D,4,0)</f>
        <v>分行目標*120%*101%</v>
      </c>
      <c r="Q18" s="273">
        <f>ROUND(IF(A18 = "TYPE_1", I18*'116目標底稿SUMMARY'!$F$3*'116目標底稿SUMMARY'!$G$3, IF(A18 = "TYPE_2", G18*'116目標底稿SUMMARY'!$F$4, IF(A18 = "TYPE_3", G18*'116目標底稿SUMMARY'!$F$5, '116目標底稿ver1'!I18*'116目標底稿SUMMARY'!$F$6*'116目標底稿SUMMARY'!$G$6))), -4)</f>
        <v>123350000</v>
      </c>
      <c r="R18" s="452">
        <f t="shared" si="7"/>
        <v>-1510000</v>
      </c>
      <c r="S18" s="274">
        <f>VLOOKUP(D18,'116指標1_前2年手收20%'!A:M,13,0)</f>
        <v>693476</v>
      </c>
      <c r="T18" s="274">
        <f>VLOOKUP(D18,'116指標2_存款25%'!A:F,6,0)</f>
        <v>885076</v>
      </c>
      <c r="U18" s="274">
        <f>VLOOKUP(D18,'116指標6_理財AUM25%'!A:F,6,0)</f>
        <v>992876</v>
      </c>
      <c r="V18" s="274">
        <f>VLOOKUP(D18,'116指標4_114分行人數25%'!A:Q,17,0)</f>
        <v>816148</v>
      </c>
      <c r="W18" s="274">
        <f>VLOOKUP(F18,'115分組'!D:F,3,0)</f>
        <v>190000</v>
      </c>
      <c r="X18" s="274"/>
      <c r="Y18" s="275">
        <f t="shared" si="1"/>
        <v>3580000</v>
      </c>
      <c r="Z18" s="451">
        <f t="shared" si="8"/>
        <v>126930000</v>
      </c>
      <c r="AA18" s="276">
        <f t="shared" si="9"/>
        <v>-0.18675880077157769</v>
      </c>
      <c r="AB18" s="276">
        <f t="shared" si="10"/>
        <v>0.24722413284858002</v>
      </c>
      <c r="AC18" s="277">
        <f t="shared" si="11"/>
        <v>69811500</v>
      </c>
    </row>
    <row r="19" spans="1:29" s="279" customFormat="1" ht="24.95" customHeight="1">
      <c r="A19" s="279" t="str">
        <f>IF(J19&gt;='116目標底稿SUMMARY'!$E$3,"TYPE_1",IF(J19&gt;='116目標底稿SUMMARY'!$E$4,"TYPE_2",IF(J19&gt;='116目標底稿SUMMARY'!$E$5,"TYPE_3","TYPE_4")))</f>
        <v>TYPE_2</v>
      </c>
      <c r="B19" s="272">
        <v>12</v>
      </c>
      <c r="C19" s="271" t="s">
        <v>0</v>
      </c>
      <c r="D19" s="272">
        <v>112</v>
      </c>
      <c r="E19" s="273" t="s">
        <v>137</v>
      </c>
      <c r="F19" s="272">
        <f>IF(ISERROR(VLOOKUP(D19,'115分組'!A:D,4,0)), "未分", VLOOKUP(D19,'115分組'!A:D,4,0))</f>
        <v>1</v>
      </c>
      <c r="G19" s="273">
        <f>ROUND(VLOOKUP(D19,'115_分行業績'!A:J,8,0), 0)</f>
        <v>81157545</v>
      </c>
      <c r="H19" s="274">
        <f>(VLOOKUP(D19, '底稿_前2年手收20%'!A:G,7,0)+VLOOKUP(D19, '底稿_前2年手收20%'!O:U,7,0))/2</f>
        <v>39137481.230000004</v>
      </c>
      <c r="I19" s="273">
        <f>VLOOKUP(D19,'115_分行業績'!A:I,9,0)</f>
        <v>68030000</v>
      </c>
      <c r="J19" s="456">
        <f t="shared" si="2"/>
        <v>1.19</v>
      </c>
      <c r="K19" s="456">
        <f t="shared" si="3"/>
        <v>0.95</v>
      </c>
      <c r="L19" s="273" t="str">
        <f t="shared" si="4"/>
        <v>110%以上、未達120%</v>
      </c>
      <c r="M19" s="273" t="str">
        <f t="shared" si="5"/>
        <v>預估實績*103%</v>
      </c>
      <c r="N19" s="273">
        <f t="shared" si="6"/>
        <v>83590000</v>
      </c>
      <c r="O19" s="273" t="str">
        <f>VLOOKUP(A19,'116目標底稿SUMMARY'!A:B,2,0)</f>
        <v>100%以上，未達120%</v>
      </c>
      <c r="P19" s="273" t="str">
        <f>VLOOKUP(A19,'116目標底稿SUMMARY'!A:D,4,0)</f>
        <v>預估實績*103%</v>
      </c>
      <c r="Q19" s="273">
        <f>ROUND(IF(A19 = "TYPE_1", I19*'116目標底稿SUMMARY'!$F$3*'116目標底稿SUMMARY'!$G$3, IF(A19 = "TYPE_2", G19*'116目標底稿SUMMARY'!$F$4, IF(A19 = "TYPE_3", G19*'116目標底稿SUMMARY'!$F$5, '116目標底稿ver1'!I19*'116目標底稿SUMMARY'!$F$6*'116目標底稿SUMMARY'!$G$6))), -4)</f>
        <v>81970000</v>
      </c>
      <c r="R19" s="452">
        <f t="shared" si="7"/>
        <v>-1620000</v>
      </c>
      <c r="S19" s="274">
        <f>VLOOKUP(D19,'116指標1_前2年手收20%'!A:M,13,0)</f>
        <v>465472</v>
      </c>
      <c r="T19" s="274">
        <f>VLOOKUP(D19,'116指標2_存款25%'!A:F,6,0)</f>
        <v>1129918</v>
      </c>
      <c r="U19" s="274">
        <f>VLOOKUP(D19,'116指標6_理財AUM25%'!A:F,6,0)</f>
        <v>634693</v>
      </c>
      <c r="V19" s="274">
        <f>VLOOKUP(D19,'116指標4_114分行人數25%'!A:Q,17,0)</f>
        <v>1015209</v>
      </c>
      <c r="W19" s="274">
        <f>VLOOKUP(F19,'115分組'!D:F,3,0)</f>
        <v>190000</v>
      </c>
      <c r="X19" s="274"/>
      <c r="Y19" s="275">
        <f t="shared" si="1"/>
        <v>3440000</v>
      </c>
      <c r="Z19" s="451">
        <f t="shared" si="8"/>
        <v>85410000</v>
      </c>
      <c r="AA19" s="276">
        <f t="shared" si="9"/>
        <v>5.2397531246170637E-2</v>
      </c>
      <c r="AB19" s="276">
        <f t="shared" si="10"/>
        <v>0.25547552550345443</v>
      </c>
      <c r="AC19" s="277">
        <f t="shared" si="11"/>
        <v>46975500.000000007</v>
      </c>
    </row>
    <row r="20" spans="1:29" s="279" customFormat="1" ht="24.95" customHeight="1">
      <c r="A20" s="279" t="str">
        <f>IF(J20&gt;='116目標底稿SUMMARY'!$E$3,"TYPE_1",IF(J20&gt;='116目標底稿SUMMARY'!$E$4,"TYPE_2",IF(J20&gt;='116目標底稿SUMMARY'!$E$5,"TYPE_3","TYPE_4")))</f>
        <v>TYPE_2</v>
      </c>
      <c r="B20" s="272">
        <v>13</v>
      </c>
      <c r="C20" s="271" t="s">
        <v>0</v>
      </c>
      <c r="D20" s="272">
        <v>113</v>
      </c>
      <c r="E20" s="273" t="s">
        <v>3</v>
      </c>
      <c r="F20" s="272">
        <f>IF(ISERROR(VLOOKUP(D20,'115分組'!A:D,4,0)), "未分", VLOOKUP(D20,'115分組'!A:D,4,0))</f>
        <v>2</v>
      </c>
      <c r="G20" s="273">
        <f>ROUND(VLOOKUP(D20,'115_分行業績'!A:J,8,0), 0)</f>
        <v>98528137</v>
      </c>
      <c r="H20" s="274">
        <f>(VLOOKUP(D20, '底稿_前2年手收20%'!A:G,7,0)+VLOOKUP(D20, '底稿_前2年手收20%'!O:U,7,0))/2</f>
        <v>72976111.930000007</v>
      </c>
      <c r="I20" s="273">
        <f>VLOOKUP(D20,'115_分行業績'!A:I,9,0)</f>
        <v>91250000</v>
      </c>
      <c r="J20" s="456">
        <f t="shared" si="2"/>
        <v>1.08</v>
      </c>
      <c r="K20" s="456">
        <f t="shared" si="3"/>
        <v>0.96</v>
      </c>
      <c r="L20" s="273" t="str">
        <f t="shared" si="4"/>
        <v>100%以上、未達110%</v>
      </c>
      <c r="M20" s="273" t="str">
        <f t="shared" si="5"/>
        <v>預估實績105%</v>
      </c>
      <c r="N20" s="273">
        <f t="shared" si="6"/>
        <v>103450000</v>
      </c>
      <c r="O20" s="273" t="str">
        <f>VLOOKUP(A20,'116目標底稿SUMMARY'!A:B,2,0)</f>
        <v>100%以上，未達120%</v>
      </c>
      <c r="P20" s="273" t="str">
        <f>VLOOKUP(A20,'116目標底稿SUMMARY'!A:D,4,0)</f>
        <v>預估實績*103%</v>
      </c>
      <c r="Q20" s="273">
        <f>ROUND(IF(A20 = "TYPE_1", I20*'116目標底稿SUMMARY'!$F$3*'116目標底稿SUMMARY'!$G$3, IF(A20 = "TYPE_2", G20*'116目標底稿SUMMARY'!$F$4, IF(A20 = "TYPE_3", G20*'116目標底稿SUMMARY'!$F$5, '116目標底稿ver1'!I20*'116目標底稿SUMMARY'!$F$6*'116目標底稿SUMMARY'!$G$6))), -4)</f>
        <v>99510000</v>
      </c>
      <c r="R20" s="452">
        <f t="shared" si="7"/>
        <v>-3940000</v>
      </c>
      <c r="S20" s="274">
        <f>VLOOKUP(D20,'116指標1_前2年手收20%'!A:M,13,0)</f>
        <v>669629</v>
      </c>
      <c r="T20" s="274">
        <f>VLOOKUP(D20,'116指標2_存款25%'!A:F,6,0)</f>
        <v>769719</v>
      </c>
      <c r="U20" s="274">
        <f>VLOOKUP(D20,'116指標6_理財AUM25%'!A:F,6,0)</f>
        <v>700714</v>
      </c>
      <c r="V20" s="274">
        <f>VLOOKUP(D20,'116指標4_114分行人數25%'!A:Q,17,0)</f>
        <v>816148</v>
      </c>
      <c r="W20" s="274">
        <f>VLOOKUP(F20,'115分組'!D:F,3,0)</f>
        <v>170000</v>
      </c>
      <c r="X20" s="274"/>
      <c r="Y20" s="275">
        <f t="shared" si="1"/>
        <v>3130000</v>
      </c>
      <c r="Z20" s="451">
        <f t="shared" si="8"/>
        <v>102640000</v>
      </c>
      <c r="AA20" s="276">
        <f t="shared" si="9"/>
        <v>4.1732880831797381E-2</v>
      </c>
      <c r="AB20" s="276">
        <f t="shared" si="10"/>
        <v>0.12482191780821927</v>
      </c>
      <c r="AC20" s="277">
        <f t="shared" si="11"/>
        <v>56452000.000000007</v>
      </c>
    </row>
    <row r="21" spans="1:29" s="279" customFormat="1" ht="24.95" customHeight="1">
      <c r="A21" s="279" t="str">
        <f>IF(J21&gt;='116目標底稿SUMMARY'!$E$3,"TYPE_1",IF(J21&gt;='116目標底稿SUMMARY'!$E$4,"TYPE_2",IF(J21&gt;='116目標底稿SUMMARY'!$E$5,"TYPE_3","TYPE_4")))</f>
        <v>TYPE_4</v>
      </c>
      <c r="B21" s="272">
        <v>14</v>
      </c>
      <c r="C21" s="271" t="s">
        <v>0</v>
      </c>
      <c r="D21" s="272">
        <v>114</v>
      </c>
      <c r="E21" s="273" t="s">
        <v>138</v>
      </c>
      <c r="F21" s="272">
        <f>IF(ISERROR(VLOOKUP(D21,'115分組'!A:D,4,0)), "未分", VLOOKUP(D21,'115分組'!A:D,4,0))</f>
        <v>3</v>
      </c>
      <c r="G21" s="273">
        <f>ROUND(VLOOKUP(D21,'115_分行業績'!A:J,8,0), 0)</f>
        <v>61542910</v>
      </c>
      <c r="H21" s="274">
        <f>(VLOOKUP(D21, '底稿_前2年手收20%'!A:G,7,0)+VLOOKUP(D21, '底稿_前2年手收20%'!O:U,7,0))/2</f>
        <v>54643322.269999996</v>
      </c>
      <c r="I21" s="273">
        <f>VLOOKUP(D21,'115_分行業績'!A:I,9,0)</f>
        <v>83440000</v>
      </c>
      <c r="J21" s="456">
        <f t="shared" si="2"/>
        <v>0.74</v>
      </c>
      <c r="K21" s="456">
        <f t="shared" si="3"/>
        <v>0.74</v>
      </c>
      <c r="L21" s="273" t="str">
        <f t="shared" si="4"/>
        <v>未達75%</v>
      </c>
      <c r="M21" s="273" t="str">
        <f t="shared" si="5"/>
        <v>分行目標115%</v>
      </c>
      <c r="N21" s="273">
        <f t="shared" si="6"/>
        <v>95960000</v>
      </c>
      <c r="O21" s="273" t="str">
        <f>VLOOKUP(A21,'116目標底稿SUMMARY'!A:B,2,0)</f>
        <v>未達80%</v>
      </c>
      <c r="P21" s="273" t="str">
        <f>VLOOKUP(A21,'116目標底稿SUMMARY'!A:D,4,0)</f>
        <v>分行目標*80%*120%</v>
      </c>
      <c r="Q21" s="273">
        <f>ROUND(IF(A21 = "TYPE_1", I21*'116目標底稿SUMMARY'!$F$3*'116目標底稿SUMMARY'!$G$3, IF(A21 = "TYPE_2", G21*'116目標底稿SUMMARY'!$F$4, IF(A21 = "TYPE_3", G21*'116目標底稿SUMMARY'!$F$5, '116目標底稿ver1'!I21*'116目標底稿SUMMARY'!$F$6*'116目標底稿SUMMARY'!$G$6))), -4)</f>
        <v>80100000</v>
      </c>
      <c r="R21" s="452">
        <f t="shared" si="7"/>
        <v>-15860000</v>
      </c>
      <c r="S21" s="274">
        <f>VLOOKUP(D21,'116指標1_前2年手收20%'!A:M,13,0)</f>
        <v>610484</v>
      </c>
      <c r="T21" s="274">
        <f>VLOOKUP(D21,'116指標2_存款25%'!A:F,6,0)</f>
        <v>809352</v>
      </c>
      <c r="U21" s="274">
        <f>VLOOKUP(D21,'116指標6_理財AUM25%'!A:F,6,0)</f>
        <v>831260</v>
      </c>
      <c r="V21" s="274">
        <f>VLOOKUP(D21,'116指標4_114分行人數25%'!A:Q,17,0)</f>
        <v>577276</v>
      </c>
      <c r="W21" s="274">
        <f>VLOOKUP(F21,'115分組'!D:F,3,0)</f>
        <v>150000</v>
      </c>
      <c r="X21" s="274"/>
      <c r="Y21" s="275">
        <f t="shared" si="1"/>
        <v>2980000</v>
      </c>
      <c r="Z21" s="451">
        <f t="shared" si="8"/>
        <v>83080000</v>
      </c>
      <c r="AA21" s="276">
        <f t="shared" si="9"/>
        <v>0.34995241531477794</v>
      </c>
      <c r="AB21" s="276">
        <f t="shared" si="10"/>
        <v>-4.3144774688398391E-3</v>
      </c>
      <c r="AC21" s="277">
        <f t="shared" si="11"/>
        <v>45694000</v>
      </c>
    </row>
    <row r="22" spans="1:29" s="279" customFormat="1" ht="24.95" customHeight="1">
      <c r="A22" s="279" t="str">
        <f>IF(J22&gt;='116目標底稿SUMMARY'!$E$3,"TYPE_1",IF(J22&gt;='116目標底稿SUMMARY'!$E$4,"TYPE_2",IF(J22&gt;='116目標底稿SUMMARY'!$E$5,"TYPE_3","TYPE_4")))</f>
        <v>TYPE_3</v>
      </c>
      <c r="B22" s="272">
        <v>15</v>
      </c>
      <c r="C22" s="271" t="s">
        <v>0</v>
      </c>
      <c r="D22" s="272">
        <v>115</v>
      </c>
      <c r="E22" s="273" t="s">
        <v>139</v>
      </c>
      <c r="F22" s="272">
        <f>IF(ISERROR(VLOOKUP(D22,'115分組'!A:D,4,0)), "未分", VLOOKUP(D22,'115分組'!A:D,4,0))</f>
        <v>3</v>
      </c>
      <c r="G22" s="273">
        <f>ROUND(VLOOKUP(D22,'115_分行業績'!A:J,8,0), 0)</f>
        <v>51207175</v>
      </c>
      <c r="H22" s="274">
        <f>(VLOOKUP(D22, '底稿_前2年手收20%'!A:G,7,0)+VLOOKUP(D22, '底稿_前2年手收20%'!O:U,7,0))/2</f>
        <v>61287282.144999996</v>
      </c>
      <c r="I22" s="273">
        <f>VLOOKUP(D22,'115_分行業績'!A:I,9,0)</f>
        <v>59930000</v>
      </c>
      <c r="J22" s="456">
        <f t="shared" si="2"/>
        <v>0.85</v>
      </c>
      <c r="K22" s="456">
        <f t="shared" si="3"/>
        <v>0.93</v>
      </c>
      <c r="L22" s="273" t="str">
        <f t="shared" si="4"/>
        <v>75%以上、未達90%</v>
      </c>
      <c r="M22" s="273" t="str">
        <f t="shared" si="5"/>
        <v>分行目標110%</v>
      </c>
      <c r="N22" s="273">
        <f t="shared" si="6"/>
        <v>65920000</v>
      </c>
      <c r="O22" s="273" t="str">
        <f>VLOOKUP(A22,'116目標底稿SUMMARY'!A:B,2,0)</f>
        <v>80%以上，未達100%</v>
      </c>
      <c r="P22" s="273" t="str">
        <f>VLOOKUP(A22,'116目標底稿SUMMARY'!A:D,4,0)</f>
        <v>預估實績*105%</v>
      </c>
      <c r="Q22" s="273">
        <f>ROUND(IF(A22 = "TYPE_1", I22*'116目標底稿SUMMARY'!$F$3*'116目標底稿SUMMARY'!$G$3, IF(A22 = "TYPE_2", G22*'116目標底稿SUMMARY'!$F$4, IF(A22 = "TYPE_3", G22*'116目標底稿SUMMARY'!$F$5, '116目標底稿ver1'!I22*'116目標底稿SUMMARY'!$F$6*'116目標底稿SUMMARY'!$G$6))), -4)</f>
        <v>52740000</v>
      </c>
      <c r="R22" s="452">
        <f t="shared" si="7"/>
        <v>-13180000</v>
      </c>
      <c r="S22" s="274">
        <f>VLOOKUP(D22,'116指標1_前2年手收20%'!A:M,13,0)</f>
        <v>532758</v>
      </c>
      <c r="T22" s="274">
        <f>VLOOKUP(D22,'116指標2_存款25%'!A:F,6,0)</f>
        <v>455812</v>
      </c>
      <c r="U22" s="274">
        <f>VLOOKUP(D22,'116指標6_理財AUM25%'!A:F,6,0)</f>
        <v>363573</v>
      </c>
      <c r="V22" s="274">
        <f>VLOOKUP(D22,'116指標4_114分行人數25%'!A:Q,17,0)</f>
        <v>597182</v>
      </c>
      <c r="W22" s="274">
        <f>VLOOKUP(F22,'115分組'!D:F,3,0)</f>
        <v>150000</v>
      </c>
      <c r="X22" s="274"/>
      <c r="Y22" s="275">
        <f t="shared" si="1"/>
        <v>2100000</v>
      </c>
      <c r="Z22" s="451">
        <f t="shared" si="8"/>
        <v>54840000</v>
      </c>
      <c r="AA22" s="276">
        <f t="shared" si="9"/>
        <v>7.094367146791436E-2</v>
      </c>
      <c r="AB22" s="276">
        <f t="shared" si="10"/>
        <v>-8.493242115801769E-2</v>
      </c>
      <c r="AC22" s="277">
        <f t="shared" si="11"/>
        <v>30162000.000000004</v>
      </c>
    </row>
    <row r="23" spans="1:29" s="279" customFormat="1" ht="24.95" customHeight="1">
      <c r="A23" s="279" t="str">
        <f>IF(J23&gt;='116目標底稿SUMMARY'!$E$3,"TYPE_1",IF(J23&gt;='116目標底稿SUMMARY'!$E$4,"TYPE_2",IF(J23&gt;='116目標底稿SUMMARY'!$E$5,"TYPE_3","TYPE_4")))</f>
        <v>TYPE_4</v>
      </c>
      <c r="B23" s="272">
        <v>16</v>
      </c>
      <c r="C23" s="271" t="s">
        <v>0</v>
      </c>
      <c r="D23" s="272">
        <v>116</v>
      </c>
      <c r="E23" s="273" t="s">
        <v>140</v>
      </c>
      <c r="F23" s="272">
        <f>IF(ISERROR(VLOOKUP(D23,'115分組'!A:D,4,0)), "未分", VLOOKUP(D23,'115分組'!A:D,4,0))</f>
        <v>2</v>
      </c>
      <c r="G23" s="273">
        <f>ROUND(VLOOKUP(D23,'115_分行業績'!A:J,8,0), 0)</f>
        <v>38986009</v>
      </c>
      <c r="H23" s="274">
        <f>(VLOOKUP(D23, '底稿_前2年手收20%'!A:G,7,0)+VLOOKUP(D23, '底稿_前2年手收20%'!O:U,7,0))/2</f>
        <v>31251448.009999998</v>
      </c>
      <c r="I23" s="273">
        <f>VLOOKUP(D23,'115_分行業績'!A:I,9,0)</f>
        <v>50090000</v>
      </c>
      <c r="J23" s="456">
        <f t="shared" si="2"/>
        <v>0.78</v>
      </c>
      <c r="K23" s="456">
        <f t="shared" si="3"/>
        <v>0.78</v>
      </c>
      <c r="L23" s="273" t="str">
        <f t="shared" si="4"/>
        <v>75%以上、未達90%</v>
      </c>
      <c r="M23" s="273" t="str">
        <f t="shared" si="5"/>
        <v>分行目標110%</v>
      </c>
      <c r="N23" s="273">
        <f t="shared" si="6"/>
        <v>55100000</v>
      </c>
      <c r="O23" s="273" t="str">
        <f>VLOOKUP(A23,'116目標底稿SUMMARY'!A:B,2,0)</f>
        <v>未達80%</v>
      </c>
      <c r="P23" s="273" t="str">
        <f>VLOOKUP(A23,'116目標底稿SUMMARY'!A:D,4,0)</f>
        <v>分行目標*80%*120%</v>
      </c>
      <c r="Q23" s="273">
        <f>ROUND(IF(A23 = "TYPE_1", I23*'116目標底稿SUMMARY'!$F$3*'116目標底稿SUMMARY'!$G$3, IF(A23 = "TYPE_2", G23*'116目標底稿SUMMARY'!$F$4, IF(A23 = "TYPE_3", G23*'116目標底稿SUMMARY'!$F$5, '116目標底稿ver1'!I23*'116目標底稿SUMMARY'!$F$6*'116目標底稿SUMMARY'!$G$6))), -4)</f>
        <v>48090000</v>
      </c>
      <c r="R23" s="452">
        <f t="shared" si="7"/>
        <v>-7010000</v>
      </c>
      <c r="S23" s="274">
        <f>VLOOKUP(D23,'116指標1_前2年手收20%'!A:M,13,0)</f>
        <v>371681</v>
      </c>
      <c r="T23" s="274">
        <f>VLOOKUP(D23,'116指標2_存款25%'!A:F,6,0)</f>
        <v>532191</v>
      </c>
      <c r="U23" s="274">
        <f>VLOOKUP(D23,'116指標6_理財AUM25%'!A:F,6,0)</f>
        <v>412084</v>
      </c>
      <c r="V23" s="274">
        <f>VLOOKUP(D23,'116指標4_114分行人數25%'!A:Q,17,0)</f>
        <v>597182</v>
      </c>
      <c r="W23" s="274">
        <f>VLOOKUP(F23,'115分組'!D:F,3,0)</f>
        <v>170000</v>
      </c>
      <c r="X23" s="274"/>
      <c r="Y23" s="275">
        <f t="shared" si="1"/>
        <v>2080000</v>
      </c>
      <c r="Z23" s="451">
        <f t="shared" si="8"/>
        <v>50170000</v>
      </c>
      <c r="AA23" s="276">
        <f t="shared" si="9"/>
        <v>0.28687191346003127</v>
      </c>
      <c r="AB23" s="276">
        <f t="shared" si="10"/>
        <v>1.5971251746855764E-3</v>
      </c>
      <c r="AC23" s="277">
        <f t="shared" si="11"/>
        <v>27593500.000000004</v>
      </c>
    </row>
    <row r="24" spans="1:29" s="279" customFormat="1" ht="24.95" customHeight="1">
      <c r="A24" s="279" t="str">
        <f>IF(J24&gt;='116目標底稿SUMMARY'!$E$3,"TYPE_1",IF(J24&gt;='116目標底稿SUMMARY'!$E$4,"TYPE_2",IF(J24&gt;='116目標底稿SUMMARY'!$E$5,"TYPE_3","TYPE_4")))</f>
        <v>TYPE_2</v>
      </c>
      <c r="B24" s="272">
        <v>17</v>
      </c>
      <c r="C24" s="271" t="s">
        <v>0</v>
      </c>
      <c r="D24" s="272">
        <v>117</v>
      </c>
      <c r="E24" s="273" t="s">
        <v>399</v>
      </c>
      <c r="F24" s="272">
        <f>IF(ISERROR(VLOOKUP(D24,'115分組'!A:D,4,0)), "未分", VLOOKUP(D24,'115分組'!A:D,4,0))</f>
        <v>1</v>
      </c>
      <c r="G24" s="273">
        <f>ROUND(VLOOKUP(D24,'115_分行業績'!A:J,8,0), 0)</f>
        <v>84357174</v>
      </c>
      <c r="H24" s="274">
        <f>(VLOOKUP(D24, '底稿_前2年手收20%'!A:G,7,0)+VLOOKUP(D24, '底稿_前2年手收20%'!O:U,7,0))/2</f>
        <v>54503620.075000003</v>
      </c>
      <c r="I24" s="273">
        <f>VLOOKUP(D24,'115_分行業績'!A:I,9,0)</f>
        <v>76020000</v>
      </c>
      <c r="J24" s="456">
        <f t="shared" si="2"/>
        <v>1.1100000000000001</v>
      </c>
      <c r="K24" s="456">
        <f t="shared" si="3"/>
        <v>0.96</v>
      </c>
      <c r="L24" s="273" t="str">
        <f t="shared" si="4"/>
        <v>110%以上、未達120%</v>
      </c>
      <c r="M24" s="273" t="str">
        <f t="shared" si="5"/>
        <v>預估實績*103%</v>
      </c>
      <c r="N24" s="273">
        <f t="shared" si="6"/>
        <v>86890000</v>
      </c>
      <c r="O24" s="273" t="str">
        <f>VLOOKUP(A24,'116目標底稿SUMMARY'!A:B,2,0)</f>
        <v>100%以上，未達120%</v>
      </c>
      <c r="P24" s="273" t="str">
        <f>VLOOKUP(A24,'116目標底稿SUMMARY'!A:D,4,0)</f>
        <v>預估實績*103%</v>
      </c>
      <c r="Q24" s="273">
        <f>ROUND(IF(A24 = "TYPE_1", I24*'116目標底稿SUMMARY'!$F$3*'116目標底稿SUMMARY'!$G$3, IF(A24 = "TYPE_2", G24*'116目標底稿SUMMARY'!$F$4, IF(A24 = "TYPE_3", G24*'116目標底稿SUMMARY'!$F$5, '116目標底稿ver1'!I24*'116目標底稿SUMMARY'!$F$6*'116目標底稿SUMMARY'!$G$6))), -4)</f>
        <v>85200000</v>
      </c>
      <c r="R24" s="452">
        <f t="shared" si="7"/>
        <v>-1690000</v>
      </c>
      <c r="S24" s="274">
        <f>VLOOKUP(D24,'116指標1_前2年手收20%'!A:M,13,0)</f>
        <v>608696</v>
      </c>
      <c r="T24" s="274">
        <f>VLOOKUP(D24,'116指標2_存款25%'!A:F,6,0)</f>
        <v>745394</v>
      </c>
      <c r="U24" s="274">
        <f>VLOOKUP(D24,'116指標6_理財AUM25%'!A:F,6,0)</f>
        <v>641684</v>
      </c>
      <c r="V24" s="274">
        <f>VLOOKUP(D24,'116指標4_114分行人數25%'!A:Q,17,0)</f>
        <v>716618</v>
      </c>
      <c r="W24" s="274">
        <f>VLOOKUP(F24,'115分組'!D:F,3,0)</f>
        <v>190000</v>
      </c>
      <c r="X24" s="274"/>
      <c r="Y24" s="275">
        <f t="shared" si="1"/>
        <v>2900000</v>
      </c>
      <c r="Z24" s="451">
        <f t="shared" si="8"/>
        <v>88100000</v>
      </c>
      <c r="AA24" s="276">
        <f t="shared" si="9"/>
        <v>4.4368793103476856E-2</v>
      </c>
      <c r="AB24" s="276">
        <f t="shared" si="10"/>
        <v>0.15890555117074445</v>
      </c>
      <c r="AC24" s="277">
        <f t="shared" si="11"/>
        <v>48455000.000000007</v>
      </c>
    </row>
    <row r="25" spans="1:29" s="279" customFormat="1" ht="24.95" customHeight="1">
      <c r="A25" s="279" t="str">
        <f>IF(J25&gt;='116目標底稿SUMMARY'!$E$3,"TYPE_1",IF(J25&gt;='116目標底稿SUMMARY'!$E$4,"TYPE_2",IF(J25&gt;='116目標底稿SUMMARY'!$E$5,"TYPE_3","TYPE_4")))</f>
        <v>TYPE_3</v>
      </c>
      <c r="B25" s="272">
        <v>18</v>
      </c>
      <c r="C25" s="271" t="s">
        <v>0</v>
      </c>
      <c r="D25" s="272">
        <v>118</v>
      </c>
      <c r="E25" s="273" t="s">
        <v>141</v>
      </c>
      <c r="F25" s="272">
        <f>IF(ISERROR(VLOOKUP(D25,'115分組'!A:D,4,0)), "未分", VLOOKUP(D25,'115分組'!A:D,4,0))</f>
        <v>2</v>
      </c>
      <c r="G25" s="273">
        <f>ROUND(VLOOKUP(D25,'115_分行業績'!A:J,8,0), 0)</f>
        <v>67010394</v>
      </c>
      <c r="H25" s="274">
        <f>(VLOOKUP(D25, '底稿_前2年手收20%'!A:G,7,0)+VLOOKUP(D25, '底稿_前2年手收20%'!O:U,7,0))/2</f>
        <v>45662891.174999997</v>
      </c>
      <c r="I25" s="273">
        <f>VLOOKUP(D25,'115_分行業績'!A:I,9,0)</f>
        <v>73660000</v>
      </c>
      <c r="J25" s="456">
        <f t="shared" si="2"/>
        <v>0.91</v>
      </c>
      <c r="K25" s="456">
        <f t="shared" si="3"/>
        <v>0.94</v>
      </c>
      <c r="L25" s="273" t="str">
        <f t="shared" si="4"/>
        <v>90%以上、未達100%</v>
      </c>
      <c r="M25" s="273" t="str">
        <f t="shared" si="5"/>
        <v>分行目標105%</v>
      </c>
      <c r="N25" s="273">
        <f t="shared" si="6"/>
        <v>77340000</v>
      </c>
      <c r="O25" s="273" t="str">
        <f>VLOOKUP(A25,'116目標底稿SUMMARY'!A:B,2,0)</f>
        <v>80%以上，未達100%</v>
      </c>
      <c r="P25" s="273" t="str">
        <f>VLOOKUP(A25,'116目標底稿SUMMARY'!A:D,4,0)</f>
        <v>預估實績*105%</v>
      </c>
      <c r="Q25" s="273">
        <f>ROUND(IF(A25 = "TYPE_1", I25*'116目標底稿SUMMARY'!$F$3*'116目標底稿SUMMARY'!$G$3, IF(A25 = "TYPE_2", G25*'116目標底稿SUMMARY'!$F$4, IF(A25 = "TYPE_3", G25*'116目標底稿SUMMARY'!$F$5, '116目標底稿ver1'!I25*'116目標底稿SUMMARY'!$F$6*'116目標底稿SUMMARY'!$G$6))), -4)</f>
        <v>69020000</v>
      </c>
      <c r="R25" s="452">
        <f t="shared" si="7"/>
        <v>-8320000</v>
      </c>
      <c r="S25" s="274">
        <f>VLOOKUP(D25,'116指標1_前2年手收20%'!A:M,13,0)</f>
        <v>543080</v>
      </c>
      <c r="T25" s="274">
        <f>VLOOKUP(D25,'116指標2_存款25%'!A:F,6,0)</f>
        <v>697089</v>
      </c>
      <c r="U25" s="274">
        <f>VLOOKUP(D25,'116指標6_理財AUM25%'!A:F,6,0)</f>
        <v>582492</v>
      </c>
      <c r="V25" s="274">
        <f>VLOOKUP(D25,'116指標4_114分行人數25%'!A:Q,17,0)</f>
        <v>577276</v>
      </c>
      <c r="W25" s="274">
        <f>VLOOKUP(F25,'115分組'!D:F,3,0)</f>
        <v>170000</v>
      </c>
      <c r="X25" s="274"/>
      <c r="Y25" s="275">
        <f t="shared" si="1"/>
        <v>2570000</v>
      </c>
      <c r="Z25" s="451">
        <f t="shared" si="8"/>
        <v>71590000</v>
      </c>
      <c r="AA25" s="276">
        <f t="shared" si="9"/>
        <v>6.8341726210414455E-2</v>
      </c>
      <c r="AB25" s="276">
        <f t="shared" si="10"/>
        <v>-2.8102090686940029E-2</v>
      </c>
      <c r="AC25" s="277">
        <f t="shared" si="11"/>
        <v>39374500</v>
      </c>
    </row>
    <row r="26" spans="1:29" s="279" customFormat="1" ht="24.95" customHeight="1">
      <c r="A26" s="279" t="str">
        <f>IF(J26&gt;='116目標底稿SUMMARY'!$E$3,"TYPE_1",IF(J26&gt;='116目標底稿SUMMARY'!$E$4,"TYPE_2",IF(J26&gt;='116目標底稿SUMMARY'!$E$5,"TYPE_3","TYPE_4")))</f>
        <v>TYPE_3</v>
      </c>
      <c r="B26" s="272">
        <v>19</v>
      </c>
      <c r="C26" s="271" t="s">
        <v>0</v>
      </c>
      <c r="D26" s="272">
        <v>119</v>
      </c>
      <c r="E26" s="273" t="s">
        <v>76</v>
      </c>
      <c r="F26" s="272">
        <f>IF(ISERROR(VLOOKUP(D26,'115分組'!A:D,4,0)), "未分", VLOOKUP(D26,'115分組'!A:D,4,0))</f>
        <v>5</v>
      </c>
      <c r="G26" s="273">
        <f>ROUND(VLOOKUP(D26,'115_分行業績'!A:J,8,0), 0)</f>
        <v>49779745</v>
      </c>
      <c r="H26" s="274">
        <f>(VLOOKUP(D26, '底稿_前2年手收20%'!A:G,7,0)+VLOOKUP(D26, '底稿_前2年手收20%'!O:U,7,0))/2</f>
        <v>32981790.575000003</v>
      </c>
      <c r="I26" s="273">
        <f>VLOOKUP(D26,'115_分行業績'!A:I,9,0)</f>
        <v>50390000</v>
      </c>
      <c r="J26" s="456">
        <f t="shared" si="2"/>
        <v>0.99</v>
      </c>
      <c r="K26" s="456">
        <f t="shared" si="3"/>
        <v>0.94</v>
      </c>
      <c r="L26" s="273" t="str">
        <f t="shared" si="4"/>
        <v>90%以上、未達100%</v>
      </c>
      <c r="M26" s="273" t="str">
        <f t="shared" si="5"/>
        <v>分行目標105%</v>
      </c>
      <c r="N26" s="273">
        <f t="shared" si="6"/>
        <v>52910000</v>
      </c>
      <c r="O26" s="273" t="str">
        <f>VLOOKUP(A26,'116目標底稿SUMMARY'!A:B,2,0)</f>
        <v>80%以上，未達100%</v>
      </c>
      <c r="P26" s="273" t="str">
        <f>VLOOKUP(A26,'116目標底稿SUMMARY'!A:D,4,0)</f>
        <v>預估實績*105%</v>
      </c>
      <c r="Q26" s="273">
        <f>ROUND(IF(A26 = "TYPE_1", I26*'116目標底稿SUMMARY'!$F$3*'116目標底稿SUMMARY'!$G$3, IF(A26 = "TYPE_2", G26*'116目標底稿SUMMARY'!$F$4, IF(A26 = "TYPE_3", G26*'116目標底稿SUMMARY'!$F$5, '116目標底稿ver1'!I26*'116目標底稿SUMMARY'!$F$6*'116目標底稿SUMMARY'!$G$6))), -4)</f>
        <v>51270000</v>
      </c>
      <c r="R26" s="452">
        <f t="shared" si="7"/>
        <v>-1640000</v>
      </c>
      <c r="S26" s="274">
        <f>VLOOKUP(D26,'116指標1_前2年手收20%'!A:M,13,0)</f>
        <v>374147</v>
      </c>
      <c r="T26" s="274">
        <f>VLOOKUP(D26,'116指標2_存款25%'!A:F,6,0)</f>
        <v>426505</v>
      </c>
      <c r="U26" s="274">
        <f>VLOOKUP(D26,'116指標6_理財AUM25%'!A:F,6,0)</f>
        <v>395432</v>
      </c>
      <c r="V26" s="274">
        <f>VLOOKUP(D26,'116指標4_114分行人數25%'!A:Q,17,0)</f>
        <v>477745</v>
      </c>
      <c r="W26" s="274">
        <f>VLOOKUP(F26,'115分組'!D:F,3,0)</f>
        <v>100000</v>
      </c>
      <c r="X26" s="274"/>
      <c r="Y26" s="275">
        <f t="shared" si="1"/>
        <v>1770000</v>
      </c>
      <c r="Z26" s="451">
        <f t="shared" si="8"/>
        <v>53040000</v>
      </c>
      <c r="AA26" s="276">
        <f t="shared" si="9"/>
        <v>6.5493605883276462E-2</v>
      </c>
      <c r="AB26" s="276">
        <f t="shared" si="10"/>
        <v>5.2589799563405482E-2</v>
      </c>
      <c r="AC26" s="277">
        <f t="shared" si="11"/>
        <v>29172000.000000004</v>
      </c>
    </row>
    <row r="27" spans="1:29" s="279" customFormat="1" ht="24.95" customHeight="1">
      <c r="A27" s="279" t="str">
        <f>IF(J27&gt;='116目標底稿SUMMARY'!$E$3,"TYPE_1",IF(J27&gt;='116目標底稿SUMMARY'!$E$4,"TYPE_2",IF(J27&gt;='116目標底稿SUMMARY'!$E$5,"TYPE_3","TYPE_4")))</f>
        <v>TYPE_2</v>
      </c>
      <c r="B27" s="272">
        <v>20</v>
      </c>
      <c r="C27" s="271" t="s">
        <v>0</v>
      </c>
      <c r="D27" s="272">
        <v>120</v>
      </c>
      <c r="E27" s="273" t="s">
        <v>142</v>
      </c>
      <c r="F27" s="272">
        <f>IF(ISERROR(VLOOKUP(D27,'115分組'!A:D,4,0)), "未分", VLOOKUP(D27,'115分組'!A:D,4,0))</f>
        <v>1</v>
      </c>
      <c r="G27" s="273">
        <f>ROUND(VLOOKUP(D27,'115_分行業績'!A:J,8,0), 0)</f>
        <v>100696952</v>
      </c>
      <c r="H27" s="274">
        <f>(VLOOKUP(D27, '底稿_前2年手收20%'!A:G,7,0)+VLOOKUP(D27, '底稿_前2年手收20%'!O:U,7,0))/2</f>
        <v>81235410.044999987</v>
      </c>
      <c r="I27" s="273">
        <f>VLOOKUP(D27,'115_分行業績'!A:I,9,0)</f>
        <v>89830000</v>
      </c>
      <c r="J27" s="456">
        <f t="shared" si="2"/>
        <v>1.1200000000000001</v>
      </c>
      <c r="K27" s="456">
        <f t="shared" si="3"/>
        <v>0.96</v>
      </c>
      <c r="L27" s="273" t="str">
        <f t="shared" si="4"/>
        <v>110%以上、未達120%</v>
      </c>
      <c r="M27" s="273" t="str">
        <f t="shared" si="5"/>
        <v>預估實績*103%</v>
      </c>
      <c r="N27" s="273">
        <f t="shared" si="6"/>
        <v>103720000</v>
      </c>
      <c r="O27" s="273" t="str">
        <f>VLOOKUP(A27,'116目標底稿SUMMARY'!A:B,2,0)</f>
        <v>100%以上，未達120%</v>
      </c>
      <c r="P27" s="273" t="str">
        <f>VLOOKUP(A27,'116目標底稿SUMMARY'!A:D,4,0)</f>
        <v>預估實績*103%</v>
      </c>
      <c r="Q27" s="273">
        <f>ROUND(IF(A27 = "TYPE_1", I27*'116目標底稿SUMMARY'!$F$3*'116目標底稿SUMMARY'!$G$3, IF(A27 = "TYPE_2", G27*'116目標底稿SUMMARY'!$F$4, IF(A27 = "TYPE_3", G27*'116目標底稿SUMMARY'!$F$5, '116目標底稿ver1'!I27*'116目標底稿SUMMARY'!$F$6*'116目標底稿SUMMARY'!$G$6))), -4)</f>
        <v>101700000</v>
      </c>
      <c r="R27" s="452">
        <f t="shared" si="7"/>
        <v>-2020000</v>
      </c>
      <c r="S27" s="274">
        <f>VLOOKUP(D27,'116指標1_前2年手收20%'!A:M,13,0)</f>
        <v>774726</v>
      </c>
      <c r="T27" s="274">
        <f>VLOOKUP(D27,'116指標2_存款25%'!A:F,6,0)</f>
        <v>895205</v>
      </c>
      <c r="U27" s="274">
        <f>VLOOKUP(D27,'116指標6_理財AUM25%'!A:F,6,0)</f>
        <v>691924</v>
      </c>
      <c r="V27" s="274">
        <f>VLOOKUP(D27,'116指標4_114分行人數25%'!A:Q,17,0)</f>
        <v>895773</v>
      </c>
      <c r="W27" s="274">
        <f>VLOOKUP(F27,'115分組'!D:F,3,0)</f>
        <v>190000</v>
      </c>
      <c r="X27" s="274"/>
      <c r="Y27" s="275">
        <f t="shared" si="1"/>
        <v>3450000</v>
      </c>
      <c r="Z27" s="451">
        <f t="shared" si="8"/>
        <v>105150000</v>
      </c>
      <c r="AA27" s="276">
        <f t="shared" si="9"/>
        <v>4.4222271990913775E-2</v>
      </c>
      <c r="AB27" s="276">
        <f t="shared" si="10"/>
        <v>0.17054436157185804</v>
      </c>
      <c r="AC27" s="277">
        <f t="shared" si="11"/>
        <v>57832500.000000007</v>
      </c>
    </row>
    <row r="28" spans="1:29" s="279" customFormat="1" ht="24.95" customHeight="1">
      <c r="A28" s="279" t="str">
        <f>IF(J28&gt;='116目標底稿SUMMARY'!$E$3,"TYPE_1",IF(J28&gt;='116目標底稿SUMMARY'!$E$4,"TYPE_2",IF(J28&gt;='116目標底稿SUMMARY'!$E$5,"TYPE_3","TYPE_4")))</f>
        <v>TYPE_3</v>
      </c>
      <c r="B28" s="272">
        <v>21</v>
      </c>
      <c r="C28" s="271" t="s">
        <v>0</v>
      </c>
      <c r="D28" s="272">
        <v>121</v>
      </c>
      <c r="E28" s="273" t="s">
        <v>4</v>
      </c>
      <c r="F28" s="272">
        <f>IF(ISERROR(VLOOKUP(D28,'115分組'!A:D,4,0)), "未分", VLOOKUP(D28,'115分組'!A:D,4,0))</f>
        <v>3</v>
      </c>
      <c r="G28" s="273">
        <f>ROUND(VLOOKUP(D28,'115_分行業績'!A:J,8,0), 0)</f>
        <v>69530860</v>
      </c>
      <c r="H28" s="274">
        <f>(VLOOKUP(D28, '底稿_前2年手收20%'!A:G,7,0)+VLOOKUP(D28, '底稿_前2年手收20%'!O:U,7,0))/2</f>
        <v>47497966.799999997</v>
      </c>
      <c r="I28" s="273">
        <f>VLOOKUP(D28,'115_分行業績'!A:I,9,0)</f>
        <v>72590000</v>
      </c>
      <c r="J28" s="456">
        <f t="shared" si="2"/>
        <v>0.96</v>
      </c>
      <c r="K28" s="456">
        <f t="shared" si="3"/>
        <v>0.94</v>
      </c>
      <c r="L28" s="273" t="str">
        <f t="shared" si="4"/>
        <v>90%以上、未達100%</v>
      </c>
      <c r="M28" s="273" t="str">
        <f t="shared" si="5"/>
        <v>分行目標105%</v>
      </c>
      <c r="N28" s="273">
        <f t="shared" si="6"/>
        <v>76220000</v>
      </c>
      <c r="O28" s="273" t="str">
        <f>VLOOKUP(A28,'116目標底稿SUMMARY'!A:B,2,0)</f>
        <v>80%以上，未達100%</v>
      </c>
      <c r="P28" s="273" t="str">
        <f>VLOOKUP(A28,'116目標底稿SUMMARY'!A:D,4,0)</f>
        <v>預估實績*105%</v>
      </c>
      <c r="Q28" s="273">
        <f>ROUND(IF(A28 = "TYPE_1", I28*'116目標底稿SUMMARY'!$F$3*'116目標底稿SUMMARY'!$G$3, IF(A28 = "TYPE_2", G28*'116目標底稿SUMMARY'!$F$4, IF(A28 = "TYPE_3", G28*'116目標底稿SUMMARY'!$F$5, '116目標底稿ver1'!I28*'116目標底稿SUMMARY'!$F$6*'116目標底稿SUMMARY'!$G$6))), -4)</f>
        <v>71620000</v>
      </c>
      <c r="R28" s="452">
        <f t="shared" si="7"/>
        <v>-4600000</v>
      </c>
      <c r="S28" s="274">
        <f>VLOOKUP(D28,'116指標1_前2年手收20%'!A:M,13,0)</f>
        <v>560220</v>
      </c>
      <c r="T28" s="274">
        <f>VLOOKUP(D28,'116指標2_存款25%'!A:F,6,0)</f>
        <v>827421</v>
      </c>
      <c r="U28" s="274">
        <f>VLOOKUP(D28,'116指標6_理財AUM25%'!A:F,6,0)</f>
        <v>543503</v>
      </c>
      <c r="V28" s="274">
        <f>VLOOKUP(D28,'116指標4_114分行人數25%'!A:Q,17,0)</f>
        <v>557370</v>
      </c>
      <c r="W28" s="274">
        <f>VLOOKUP(F28,'115分組'!D:F,3,0)</f>
        <v>150000</v>
      </c>
      <c r="X28" s="274"/>
      <c r="Y28" s="275">
        <f t="shared" si="1"/>
        <v>2640000</v>
      </c>
      <c r="Z28" s="451">
        <f t="shared" si="8"/>
        <v>74260000</v>
      </c>
      <c r="AA28" s="276">
        <f t="shared" si="9"/>
        <v>6.8014979248063323E-2</v>
      </c>
      <c r="AB28" s="276">
        <f t="shared" si="10"/>
        <v>2.3005923680947893E-2</v>
      </c>
      <c r="AC28" s="277">
        <f t="shared" si="11"/>
        <v>40843000</v>
      </c>
    </row>
    <row r="29" spans="1:29" s="279" customFormat="1" ht="24.95" customHeight="1">
      <c r="A29" s="279" t="str">
        <f>IF(J29&gt;='116目標底稿SUMMARY'!$E$3,"TYPE_1",IF(J29&gt;='116目標底稿SUMMARY'!$E$4,"TYPE_2",IF(J29&gt;='116目標底稿SUMMARY'!$E$5,"TYPE_3","TYPE_4")))</f>
        <v>TYPE_2</v>
      </c>
      <c r="B29" s="272">
        <v>22</v>
      </c>
      <c r="C29" s="271" t="s">
        <v>0</v>
      </c>
      <c r="D29" s="272">
        <v>122</v>
      </c>
      <c r="E29" s="273" t="s">
        <v>77</v>
      </c>
      <c r="F29" s="272">
        <f>IF(ISERROR(VLOOKUP(D29,'115分組'!A:D,4,0)), "未分", VLOOKUP(D29,'115分組'!A:D,4,0))</f>
        <v>3</v>
      </c>
      <c r="G29" s="273">
        <f>ROUND(VLOOKUP(D29,'115_分行業績'!A:J,8,0), 0)</f>
        <v>84497964</v>
      </c>
      <c r="H29" s="274">
        <f>(VLOOKUP(D29, '底稿_前2年手收20%'!A:G,7,0)+VLOOKUP(D29, '底稿_前2年手收20%'!O:U,7,0))/2</f>
        <v>53055218.020000003</v>
      </c>
      <c r="I29" s="273">
        <f>VLOOKUP(D29,'115_分行業績'!A:I,9,0)</f>
        <v>80720000</v>
      </c>
      <c r="J29" s="456">
        <f t="shared" si="2"/>
        <v>1.05</v>
      </c>
      <c r="K29" s="456">
        <f t="shared" si="3"/>
        <v>0.96</v>
      </c>
      <c r="L29" s="273" t="str">
        <f t="shared" si="4"/>
        <v>100%以上、未達110%</v>
      </c>
      <c r="M29" s="273" t="str">
        <f t="shared" si="5"/>
        <v>預估實績105%</v>
      </c>
      <c r="N29" s="273">
        <f t="shared" si="6"/>
        <v>88720000</v>
      </c>
      <c r="O29" s="273" t="str">
        <f>VLOOKUP(A29,'116目標底稿SUMMARY'!A:B,2,0)</f>
        <v>100%以上，未達120%</v>
      </c>
      <c r="P29" s="273" t="str">
        <f>VLOOKUP(A29,'116目標底稿SUMMARY'!A:D,4,0)</f>
        <v>預估實績*103%</v>
      </c>
      <c r="Q29" s="273">
        <f>ROUND(IF(A29 = "TYPE_1", I29*'116目標底稿SUMMARY'!$F$3*'116目標底稿SUMMARY'!$G$3, IF(A29 = "TYPE_2", G29*'116目標底稿SUMMARY'!$F$4, IF(A29 = "TYPE_3", G29*'116目標底稿SUMMARY'!$F$5, '116目標底稿ver1'!I29*'116目標底稿SUMMARY'!$F$6*'116目標底稿SUMMARY'!$G$6))), -4)</f>
        <v>85340000</v>
      </c>
      <c r="R29" s="452">
        <f t="shared" si="7"/>
        <v>-3380000</v>
      </c>
      <c r="S29" s="274">
        <f>VLOOKUP(D29,'116指標1_前2年手收20%'!A:M,13,0)</f>
        <v>615936</v>
      </c>
      <c r="T29" s="274">
        <f>VLOOKUP(D29,'116指標2_存款25%'!A:F,6,0)</f>
        <v>819735</v>
      </c>
      <c r="U29" s="274">
        <f>VLOOKUP(D29,'116指標6_理財AUM25%'!A:F,6,0)</f>
        <v>793251</v>
      </c>
      <c r="V29" s="274">
        <f>VLOOKUP(D29,'116指標4_114分行人數25%'!A:Q,17,0)</f>
        <v>617088</v>
      </c>
      <c r="W29" s="274">
        <f>VLOOKUP(F29,'115分組'!D:F,3,0)</f>
        <v>150000</v>
      </c>
      <c r="X29" s="274"/>
      <c r="Y29" s="275">
        <f t="shared" si="1"/>
        <v>3000000</v>
      </c>
      <c r="Z29" s="451">
        <f t="shared" si="8"/>
        <v>88340000</v>
      </c>
      <c r="AA29" s="276">
        <f t="shared" si="9"/>
        <v>4.5468977217013151E-2</v>
      </c>
      <c r="AB29" s="276">
        <f t="shared" si="10"/>
        <v>9.4400396432110956E-2</v>
      </c>
      <c r="AC29" s="277">
        <f t="shared" si="11"/>
        <v>48587000.000000007</v>
      </c>
    </row>
    <row r="30" spans="1:29" s="279" customFormat="1" ht="24.95" customHeight="1">
      <c r="A30" s="279" t="str">
        <f>IF(J30&gt;='116目標底稿SUMMARY'!$E$3,"TYPE_1",IF(J30&gt;='116目標底稿SUMMARY'!$E$4,"TYPE_2",IF(J30&gt;='116目標底稿SUMMARY'!$E$5,"TYPE_3","TYPE_4")))</f>
        <v>TYPE_2</v>
      </c>
      <c r="B30" s="272">
        <v>23</v>
      </c>
      <c r="C30" s="271" t="s">
        <v>0</v>
      </c>
      <c r="D30" s="272">
        <v>123</v>
      </c>
      <c r="E30" s="273" t="s">
        <v>5</v>
      </c>
      <c r="F30" s="272">
        <f>IF(ISERROR(VLOOKUP(D30,'115分組'!A:D,4,0)), "未分", VLOOKUP(D30,'115分組'!A:D,4,0))</f>
        <v>1</v>
      </c>
      <c r="G30" s="273">
        <f>ROUND(VLOOKUP(D30,'115_分行業績'!A:J,8,0), 0)</f>
        <v>98773192</v>
      </c>
      <c r="H30" s="274">
        <f>(VLOOKUP(D30, '底稿_前2年手收20%'!A:G,7,0)+VLOOKUP(D30, '底稿_前2年手收20%'!O:U,7,0))/2</f>
        <v>53856476.834999993</v>
      </c>
      <c r="I30" s="273">
        <f>VLOOKUP(D30,'115_分行業績'!A:I,9,0)</f>
        <v>93950000</v>
      </c>
      <c r="J30" s="456">
        <f t="shared" si="2"/>
        <v>1.05</v>
      </c>
      <c r="K30" s="456">
        <f t="shared" si="3"/>
        <v>0.96</v>
      </c>
      <c r="L30" s="273" t="str">
        <f t="shared" si="4"/>
        <v>100%以上、未達110%</v>
      </c>
      <c r="M30" s="273" t="str">
        <f t="shared" si="5"/>
        <v>預估實績105%</v>
      </c>
      <c r="N30" s="273">
        <f t="shared" si="6"/>
        <v>103710000</v>
      </c>
      <c r="O30" s="273" t="str">
        <f>VLOOKUP(A30,'116目標底稿SUMMARY'!A:B,2,0)</f>
        <v>100%以上，未達120%</v>
      </c>
      <c r="P30" s="273" t="str">
        <f>VLOOKUP(A30,'116目標底稿SUMMARY'!A:D,4,0)</f>
        <v>預估實績*103%</v>
      </c>
      <c r="Q30" s="273">
        <f>ROUND(IF(A30 = "TYPE_1", I30*'116目標底稿SUMMARY'!$F$3*'116目標底稿SUMMARY'!$G$3, IF(A30 = "TYPE_2", G30*'116目標底稿SUMMARY'!$F$4, IF(A30 = "TYPE_3", G30*'116目標底稿SUMMARY'!$F$5, '116目標底稿ver1'!I30*'116目標底稿SUMMARY'!$F$6*'116目標底稿SUMMARY'!$G$6))), -4)</f>
        <v>99760000</v>
      </c>
      <c r="R30" s="452">
        <f t="shared" si="7"/>
        <v>-3950000</v>
      </c>
      <c r="S30" s="274">
        <f>VLOOKUP(D30,'116指標1_前2年手收20%'!A:M,13,0)</f>
        <v>640528</v>
      </c>
      <c r="T30" s="274">
        <f>VLOOKUP(D30,'116指標2_存款25%'!A:F,6,0)</f>
        <v>994736</v>
      </c>
      <c r="U30" s="274">
        <f>VLOOKUP(D30,'116指標6_理財AUM25%'!A:F,6,0)</f>
        <v>717923</v>
      </c>
      <c r="V30" s="274">
        <f>VLOOKUP(D30,'116指標4_114分行人數25%'!A:Q,17,0)</f>
        <v>656900</v>
      </c>
      <c r="W30" s="274">
        <f>VLOOKUP(F30,'115分組'!D:F,3,0)</f>
        <v>190000</v>
      </c>
      <c r="X30" s="274"/>
      <c r="Y30" s="275">
        <f t="shared" si="1"/>
        <v>3200000</v>
      </c>
      <c r="Z30" s="451">
        <f t="shared" si="8"/>
        <v>102960000</v>
      </c>
      <c r="AA30" s="276">
        <f t="shared" si="9"/>
        <v>4.2388100609323187E-2</v>
      </c>
      <c r="AB30" s="276">
        <f t="shared" si="10"/>
        <v>9.5902075572112722E-2</v>
      </c>
      <c r="AC30" s="277">
        <f t="shared" si="11"/>
        <v>56628000.000000007</v>
      </c>
    </row>
    <row r="31" spans="1:29" s="279" customFormat="1" ht="24.95" customHeight="1">
      <c r="A31" s="279" t="str">
        <f>IF(J31&gt;='116目標底稿SUMMARY'!$E$3,"TYPE_1",IF(J31&gt;='116目標底稿SUMMARY'!$E$4,"TYPE_2",IF(J31&gt;='116目標底稿SUMMARY'!$E$5,"TYPE_3","TYPE_4")))</f>
        <v>TYPE_2</v>
      </c>
      <c r="B31" s="272">
        <v>24</v>
      </c>
      <c r="C31" s="271" t="s">
        <v>0</v>
      </c>
      <c r="D31" s="272">
        <v>124</v>
      </c>
      <c r="E31" s="273" t="s">
        <v>143</v>
      </c>
      <c r="F31" s="272">
        <f>IF(ISERROR(VLOOKUP(D31,'115分組'!A:D,4,0)), "未分", VLOOKUP(D31,'115分組'!A:D,4,0))</f>
        <v>4</v>
      </c>
      <c r="G31" s="273">
        <f>ROUND(VLOOKUP(D31,'115_分行業績'!A:J,8,0), 0)</f>
        <v>43108651</v>
      </c>
      <c r="H31" s="274">
        <f>(VLOOKUP(D31, '底稿_前2年手收20%'!A:G,7,0)+VLOOKUP(D31, '底稿_前2年手收20%'!O:U,7,0))/2</f>
        <v>28223900.280000001</v>
      </c>
      <c r="I31" s="273">
        <f>VLOOKUP(D31,'115_分行業績'!A:I,9,0)</f>
        <v>42510000</v>
      </c>
      <c r="J31" s="456">
        <f t="shared" si="2"/>
        <v>1.01</v>
      </c>
      <c r="K31" s="456">
        <f t="shared" si="3"/>
        <v>0.95</v>
      </c>
      <c r="L31" s="273" t="str">
        <f t="shared" si="4"/>
        <v>100%以上、未達110%</v>
      </c>
      <c r="M31" s="273" t="str">
        <f t="shared" si="5"/>
        <v>預估實績105%</v>
      </c>
      <c r="N31" s="273">
        <f t="shared" si="6"/>
        <v>45260000</v>
      </c>
      <c r="O31" s="273" t="str">
        <f>VLOOKUP(A31,'116目標底稿SUMMARY'!A:B,2,0)</f>
        <v>100%以上，未達120%</v>
      </c>
      <c r="P31" s="273" t="str">
        <f>VLOOKUP(A31,'116目標底稿SUMMARY'!A:D,4,0)</f>
        <v>預估實績*103%</v>
      </c>
      <c r="Q31" s="273">
        <f>ROUND(IF(A31 = "TYPE_1", I31*'116目標底稿SUMMARY'!$F$3*'116目標底稿SUMMARY'!$G$3, IF(A31 = "TYPE_2", G31*'116目標底稿SUMMARY'!$F$4, IF(A31 = "TYPE_3", G31*'116目標底稿SUMMARY'!$F$5, '116目標底稿ver1'!I31*'116目標底稿SUMMARY'!$F$6*'116目標底稿SUMMARY'!$G$6))), -4)</f>
        <v>43540000</v>
      </c>
      <c r="R31" s="452">
        <f t="shared" si="7"/>
        <v>-1720000</v>
      </c>
      <c r="S31" s="274">
        <f>VLOOKUP(D31,'116指標1_前2年手收20%'!A:M,13,0)</f>
        <v>335674</v>
      </c>
      <c r="T31" s="274">
        <f>VLOOKUP(D31,'116指標2_存款25%'!A:F,6,0)</f>
        <v>584658</v>
      </c>
      <c r="U31" s="274">
        <f>VLOOKUP(D31,'116指標6_理財AUM25%'!A:F,6,0)</f>
        <v>419474</v>
      </c>
      <c r="V31" s="274">
        <f>VLOOKUP(D31,'116指標4_114分行人數25%'!A:Q,17,0)</f>
        <v>577276</v>
      </c>
      <c r="W31" s="274">
        <f>VLOOKUP(F31,'115分組'!D:F,3,0)</f>
        <v>130000</v>
      </c>
      <c r="X31" s="274"/>
      <c r="Y31" s="275">
        <f t="shared" si="1"/>
        <v>2050000</v>
      </c>
      <c r="Z31" s="451">
        <f t="shared" si="8"/>
        <v>45590000</v>
      </c>
      <c r="AA31" s="276">
        <f t="shared" si="9"/>
        <v>5.7560349081672735E-2</v>
      </c>
      <c r="AB31" s="276">
        <f t="shared" si="10"/>
        <v>7.245354034344853E-2</v>
      </c>
      <c r="AC31" s="277">
        <f t="shared" si="11"/>
        <v>25074500.000000004</v>
      </c>
    </row>
    <row r="32" spans="1:29" s="279" customFormat="1" ht="24.95" customHeight="1">
      <c r="A32" s="279" t="str">
        <f>IF(J32&gt;='116目標底稿SUMMARY'!$E$3,"TYPE_1",IF(J32&gt;='116目標底稿SUMMARY'!$E$4,"TYPE_2",IF(J32&gt;='116目標底稿SUMMARY'!$E$5,"TYPE_3","TYPE_4")))</f>
        <v>TYPE_4</v>
      </c>
      <c r="B32" s="272">
        <v>25</v>
      </c>
      <c r="C32" s="271" t="s">
        <v>0</v>
      </c>
      <c r="D32" s="272">
        <v>125</v>
      </c>
      <c r="E32" s="273" t="s">
        <v>144</v>
      </c>
      <c r="F32" s="272">
        <f>IF(ISERROR(VLOOKUP(D32,'115分組'!A:D,4,0)), "未分", VLOOKUP(D32,'115分組'!A:D,4,0))</f>
        <v>2</v>
      </c>
      <c r="G32" s="273">
        <f>ROUND(VLOOKUP(D32,'115_分行業績'!A:J,8,0), 0)</f>
        <v>63203960</v>
      </c>
      <c r="H32" s="274">
        <f>(VLOOKUP(D32, '底稿_前2年手收20%'!A:G,7,0)+VLOOKUP(D32, '底稿_前2年手收20%'!O:U,7,0))/2</f>
        <v>43280966.890000001</v>
      </c>
      <c r="I32" s="273">
        <f>VLOOKUP(D32,'115_分行業績'!A:I,9,0)</f>
        <v>84440000</v>
      </c>
      <c r="J32" s="456">
        <f t="shared" si="2"/>
        <v>0.75</v>
      </c>
      <c r="K32" s="456">
        <f t="shared" si="3"/>
        <v>0.75</v>
      </c>
      <c r="L32" s="273" t="str">
        <f t="shared" si="4"/>
        <v>75%以上、未達90%</v>
      </c>
      <c r="M32" s="273" t="str">
        <f t="shared" si="5"/>
        <v>分行目標110%</v>
      </c>
      <c r="N32" s="273">
        <f t="shared" si="6"/>
        <v>92880000</v>
      </c>
      <c r="O32" s="273" t="str">
        <f>VLOOKUP(A32,'116目標底稿SUMMARY'!A:B,2,0)</f>
        <v>未達80%</v>
      </c>
      <c r="P32" s="273" t="str">
        <f>VLOOKUP(A32,'116目標底稿SUMMARY'!A:D,4,0)</f>
        <v>分行目標*80%*120%</v>
      </c>
      <c r="Q32" s="273">
        <f>ROUND(IF(A32 = "TYPE_1", I32*'116目標底稿SUMMARY'!$F$3*'116目標底稿SUMMARY'!$G$3, IF(A32 = "TYPE_2", G32*'116目標底稿SUMMARY'!$F$4, IF(A32 = "TYPE_3", G32*'116目標底稿SUMMARY'!$F$5, '116目標底稿ver1'!I32*'116目標底稿SUMMARY'!$F$6*'116目標底稿SUMMARY'!$G$6))), -4)</f>
        <v>81060000</v>
      </c>
      <c r="R32" s="452">
        <f t="shared" si="7"/>
        <v>-11820000</v>
      </c>
      <c r="S32" s="274">
        <f>VLOOKUP(D32,'116指標1_前2年手收20%'!A:M,13,0)</f>
        <v>514751</v>
      </c>
      <c r="T32" s="274">
        <f>VLOOKUP(D32,'116指標2_存款25%'!A:F,6,0)</f>
        <v>672573</v>
      </c>
      <c r="U32" s="274">
        <f>VLOOKUP(D32,'116指標6_理財AUM25%'!A:F,6,0)</f>
        <v>682037</v>
      </c>
      <c r="V32" s="274">
        <f>VLOOKUP(D32,'116指標4_114分行人數25%'!A:Q,17,0)</f>
        <v>676806</v>
      </c>
      <c r="W32" s="274">
        <f>VLOOKUP(F32,'115分組'!D:F,3,0)</f>
        <v>170000</v>
      </c>
      <c r="X32" s="274"/>
      <c r="Y32" s="275">
        <f t="shared" si="1"/>
        <v>2720000</v>
      </c>
      <c r="Z32" s="451">
        <f t="shared" si="8"/>
        <v>83780000</v>
      </c>
      <c r="AA32" s="276">
        <f t="shared" si="9"/>
        <v>0.3255498547875797</v>
      </c>
      <c r="AB32" s="276">
        <f t="shared" si="10"/>
        <v>-7.8162008526764248E-3</v>
      </c>
      <c r="AC32" s="277">
        <f t="shared" si="11"/>
        <v>46079000</v>
      </c>
    </row>
    <row r="33" spans="1:29" s="279" customFormat="1" ht="24.95" customHeight="1">
      <c r="A33" s="279" t="str">
        <f>IF(J33&gt;='116目標底稿SUMMARY'!$E$3,"TYPE_1",IF(J33&gt;='116目標底稿SUMMARY'!$E$4,"TYPE_2",IF(J33&gt;='116目標底稿SUMMARY'!$E$5,"TYPE_3","TYPE_4")))</f>
        <v>TYPE_1</v>
      </c>
      <c r="B33" s="272">
        <v>26</v>
      </c>
      <c r="C33" s="271" t="s">
        <v>0</v>
      </c>
      <c r="D33" s="272">
        <v>126</v>
      </c>
      <c r="E33" s="273" t="s">
        <v>145</v>
      </c>
      <c r="F33" s="272">
        <f>IF(ISERROR(VLOOKUP(D33,'115分組'!A:D,4,0)), "未分", VLOOKUP(D33,'115分組'!A:D,4,0))</f>
        <v>1</v>
      </c>
      <c r="G33" s="273">
        <f>ROUND(VLOOKUP(D33,'115_分行業績'!A:J,8,0), 0)</f>
        <v>109982593</v>
      </c>
      <c r="H33" s="274">
        <f>(VLOOKUP(D33, '底稿_前2年手收20%'!A:G,7,0)+VLOOKUP(D33, '底稿_前2年手收20%'!O:U,7,0))/2</f>
        <v>68636956.805000007</v>
      </c>
      <c r="I33" s="273">
        <f>VLOOKUP(D33,'115_分行業績'!A:I,9,0)</f>
        <v>89400000</v>
      </c>
      <c r="J33" s="456">
        <f t="shared" si="2"/>
        <v>1.23</v>
      </c>
      <c r="K33" s="456">
        <f t="shared" si="3"/>
        <v>0.98</v>
      </c>
      <c r="L33" s="273" t="str">
        <f t="shared" si="4"/>
        <v>120%以上、未達130%</v>
      </c>
      <c r="M33" s="273" t="str">
        <f t="shared" si="5"/>
        <v>預估實績*101%</v>
      </c>
      <c r="N33" s="273">
        <f t="shared" si="6"/>
        <v>111080000</v>
      </c>
      <c r="O33" s="273" t="str">
        <f>VLOOKUP(A33,'116目標底稿SUMMARY'!A:B,2,0)</f>
        <v>120%以上</v>
      </c>
      <c r="P33" s="273" t="str">
        <f>VLOOKUP(A33,'116目標底稿SUMMARY'!A:D,4,0)</f>
        <v>分行目標*120%*101%</v>
      </c>
      <c r="Q33" s="273">
        <f>ROUND(IF(A33 = "TYPE_1", I33*'116目標底稿SUMMARY'!$F$3*'116目標底稿SUMMARY'!$G$3, IF(A33 = "TYPE_2", G33*'116目標底稿SUMMARY'!$F$4, IF(A33 = "TYPE_3", G33*'116目標底稿SUMMARY'!$F$5, '116目標底稿ver1'!I33*'116目標底稿SUMMARY'!$F$6*'116目標底稿SUMMARY'!$G$6))), -4)</f>
        <v>108350000</v>
      </c>
      <c r="R33" s="452">
        <f t="shared" si="7"/>
        <v>-2730000</v>
      </c>
      <c r="S33" s="274">
        <f>VLOOKUP(D33,'116指標1_前2年手收20%'!A:M,13,0)</f>
        <v>750226</v>
      </c>
      <c r="T33" s="274">
        <f>VLOOKUP(D33,'116指標2_存款25%'!A:F,6,0)</f>
        <v>958062</v>
      </c>
      <c r="U33" s="274">
        <f>VLOOKUP(D33,'116指標6_理財AUM25%'!A:F,6,0)</f>
        <v>516368</v>
      </c>
      <c r="V33" s="274">
        <f>VLOOKUP(D33,'116指標4_114分行人數25%'!A:Q,17,0)</f>
        <v>1055021</v>
      </c>
      <c r="W33" s="274">
        <f>VLOOKUP(F33,'115分組'!D:F,3,0)</f>
        <v>190000</v>
      </c>
      <c r="X33" s="274"/>
      <c r="Y33" s="275">
        <f t="shared" si="1"/>
        <v>3470000</v>
      </c>
      <c r="Z33" s="451">
        <f t="shared" si="8"/>
        <v>111820000</v>
      </c>
      <c r="AA33" s="276">
        <f t="shared" si="9"/>
        <v>1.6706343702953097E-2</v>
      </c>
      <c r="AB33" s="276">
        <f t="shared" si="10"/>
        <v>0.2507829977628635</v>
      </c>
      <c r="AC33" s="277">
        <f t="shared" si="11"/>
        <v>61501000.000000007</v>
      </c>
    </row>
    <row r="34" spans="1:29" s="279" customFormat="1" ht="24.95" customHeight="1">
      <c r="A34" s="279" t="str">
        <f>IF(J34&gt;='116目標底稿SUMMARY'!$E$3,"TYPE_1",IF(J34&gt;='116目標底稿SUMMARY'!$E$4,"TYPE_2",IF(J34&gt;='116目標底稿SUMMARY'!$E$5,"TYPE_3","TYPE_4")))</f>
        <v>TYPE_3</v>
      </c>
      <c r="B34" s="272">
        <v>27</v>
      </c>
      <c r="C34" s="271" t="s">
        <v>0</v>
      </c>
      <c r="D34" s="272">
        <v>127</v>
      </c>
      <c r="E34" s="273" t="s">
        <v>146</v>
      </c>
      <c r="F34" s="272">
        <f>IF(ISERROR(VLOOKUP(D34,'115分組'!A:D,4,0)), "未分", VLOOKUP(D34,'115分組'!A:D,4,0))</f>
        <v>1</v>
      </c>
      <c r="G34" s="273">
        <f>ROUND(VLOOKUP(D34,'115_分行業績'!A:J,8,0), 0)</f>
        <v>67142368</v>
      </c>
      <c r="H34" s="274">
        <f>(VLOOKUP(D34, '底稿_前2年手收20%'!A:G,7,0)+VLOOKUP(D34, '底稿_前2年手收20%'!O:U,7,0))/2</f>
        <v>48333315.305</v>
      </c>
      <c r="I34" s="273">
        <f>VLOOKUP(D34,'115_分行業績'!A:I,9,0)</f>
        <v>68820000</v>
      </c>
      <c r="J34" s="456">
        <f t="shared" si="2"/>
        <v>0.98</v>
      </c>
      <c r="K34" s="456">
        <f t="shared" si="3"/>
        <v>0.93</v>
      </c>
      <c r="L34" s="273" t="str">
        <f t="shared" si="4"/>
        <v>90%以上、未達100%</v>
      </c>
      <c r="M34" s="273" t="str">
        <f t="shared" si="5"/>
        <v>分行目標105%</v>
      </c>
      <c r="N34" s="273">
        <f t="shared" si="6"/>
        <v>72260000</v>
      </c>
      <c r="O34" s="273" t="str">
        <f>VLOOKUP(A34,'116目標底稿SUMMARY'!A:B,2,0)</f>
        <v>80%以上，未達100%</v>
      </c>
      <c r="P34" s="273" t="str">
        <f>VLOOKUP(A34,'116目標底稿SUMMARY'!A:D,4,0)</f>
        <v>預估實績*105%</v>
      </c>
      <c r="Q34" s="273">
        <f>ROUND(IF(A34 = "TYPE_1", I34*'116目標底稿SUMMARY'!$F$3*'116目標底稿SUMMARY'!$G$3, IF(A34 = "TYPE_2", G34*'116目標底稿SUMMARY'!$F$4, IF(A34 = "TYPE_3", G34*'116目標底稿SUMMARY'!$F$5, '116目標底稿ver1'!I34*'116目標底稿SUMMARY'!$F$6*'116目標底稿SUMMARY'!$G$6))), -4)</f>
        <v>69160000</v>
      </c>
      <c r="R34" s="452">
        <f t="shared" si="7"/>
        <v>-3100000</v>
      </c>
      <c r="S34" s="274">
        <f>VLOOKUP(D34,'116指標1_前2年手收20%'!A:M,13,0)</f>
        <v>554578</v>
      </c>
      <c r="T34" s="274">
        <f>VLOOKUP(D34,'116指標2_存款25%'!A:F,6,0)</f>
        <v>680401</v>
      </c>
      <c r="U34" s="274">
        <f>VLOOKUP(D34,'116指標6_理財AUM25%'!A:F,6,0)</f>
        <v>550299</v>
      </c>
      <c r="V34" s="274">
        <f>VLOOKUP(D34,'116指標4_114分行人數25%'!A:Q,17,0)</f>
        <v>756430</v>
      </c>
      <c r="W34" s="274">
        <f>VLOOKUP(F34,'115分組'!D:F,3,0)</f>
        <v>190000</v>
      </c>
      <c r="X34" s="274"/>
      <c r="Y34" s="275">
        <f t="shared" si="1"/>
        <v>2730000</v>
      </c>
      <c r="Z34" s="451">
        <f t="shared" si="8"/>
        <v>71890000</v>
      </c>
      <c r="AA34" s="276">
        <f t="shared" si="9"/>
        <v>7.0709927895304503E-2</v>
      </c>
      <c r="AB34" s="276">
        <f t="shared" si="10"/>
        <v>4.4609125254286619E-2</v>
      </c>
      <c r="AC34" s="277">
        <f t="shared" si="11"/>
        <v>39539500</v>
      </c>
    </row>
    <row r="35" spans="1:29" s="279" customFormat="1" ht="24.95" customHeight="1">
      <c r="A35" s="279" t="str">
        <f>IF(J35&gt;='116目標底稿SUMMARY'!$E$3,"TYPE_1",IF(J35&gt;='116目標底稿SUMMARY'!$E$4,"TYPE_2",IF(J35&gt;='116目標底稿SUMMARY'!$E$5,"TYPE_3","TYPE_4")))</f>
        <v>TYPE_3</v>
      </c>
      <c r="B35" s="272">
        <v>28</v>
      </c>
      <c r="C35" s="271" t="s">
        <v>0</v>
      </c>
      <c r="D35" s="272">
        <v>128</v>
      </c>
      <c r="E35" s="273" t="s">
        <v>78</v>
      </c>
      <c r="F35" s="272">
        <f>IF(ISERROR(VLOOKUP(D35,'115分組'!A:D,4,0)), "未分", VLOOKUP(D35,'115分組'!A:D,4,0))</f>
        <v>5</v>
      </c>
      <c r="G35" s="273">
        <f>ROUND(VLOOKUP(D35,'115_分行業績'!A:J,8,0), 0)</f>
        <v>40121914</v>
      </c>
      <c r="H35" s="274">
        <f>(VLOOKUP(D35, '底稿_前2年手收20%'!A:G,7,0)+VLOOKUP(D35, '底稿_前2年手收20%'!O:U,7,0))/2</f>
        <v>33549318.455000002</v>
      </c>
      <c r="I35" s="273">
        <f>VLOOKUP(D35,'115_分行業績'!A:I,9,0)</f>
        <v>47250000</v>
      </c>
      <c r="J35" s="456">
        <f t="shared" si="2"/>
        <v>0.85</v>
      </c>
      <c r="K35" s="456">
        <f t="shared" si="3"/>
        <v>0.93</v>
      </c>
      <c r="L35" s="273" t="str">
        <f t="shared" si="4"/>
        <v>75%以上、未達90%</v>
      </c>
      <c r="M35" s="273" t="str">
        <f t="shared" si="5"/>
        <v>分行目標110%</v>
      </c>
      <c r="N35" s="273">
        <f t="shared" si="6"/>
        <v>51980000</v>
      </c>
      <c r="O35" s="273" t="str">
        <f>VLOOKUP(A35,'116目標底稿SUMMARY'!A:B,2,0)</f>
        <v>80%以上，未達100%</v>
      </c>
      <c r="P35" s="273" t="str">
        <f>VLOOKUP(A35,'116目標底稿SUMMARY'!A:D,4,0)</f>
        <v>預估實績*105%</v>
      </c>
      <c r="Q35" s="273">
        <f>ROUND(IF(A35 = "TYPE_1", I35*'116目標底稿SUMMARY'!$F$3*'116目標底稿SUMMARY'!$G$3, IF(A35 = "TYPE_2", G35*'116目標底稿SUMMARY'!$F$4, IF(A35 = "TYPE_3", G35*'116目標底稿SUMMARY'!$F$5, '116目標底稿ver1'!I35*'116目標底稿SUMMARY'!$F$6*'116目標底稿SUMMARY'!$G$6))), -4)</f>
        <v>41330000</v>
      </c>
      <c r="R35" s="452">
        <f t="shared" si="7"/>
        <v>-10650000</v>
      </c>
      <c r="S35" s="274">
        <f>VLOOKUP(D35,'116指標1_前2年手收20%'!A:M,13,0)</f>
        <v>393718</v>
      </c>
      <c r="T35" s="274">
        <f>VLOOKUP(D35,'116指標2_存款25%'!A:F,6,0)</f>
        <v>458902</v>
      </c>
      <c r="U35" s="274">
        <f>VLOOKUP(D35,'116指標6_理財AUM25%'!A:F,6,0)</f>
        <v>441002</v>
      </c>
      <c r="V35" s="274">
        <f>VLOOKUP(D35,'116指標4_114分行人數25%'!A:Q,17,0)</f>
        <v>557370</v>
      </c>
      <c r="W35" s="274">
        <f>VLOOKUP(F35,'115分組'!D:F,3,0)</f>
        <v>100000</v>
      </c>
      <c r="X35" s="274"/>
      <c r="Y35" s="275">
        <f t="shared" si="1"/>
        <v>1950000</v>
      </c>
      <c r="Z35" s="451">
        <f t="shared" si="8"/>
        <v>43280000</v>
      </c>
      <c r="AA35" s="276">
        <f t="shared" si="9"/>
        <v>7.8712246878351877E-2</v>
      </c>
      <c r="AB35" s="276">
        <f t="shared" si="10"/>
        <v>-8.4021164021163997E-2</v>
      </c>
      <c r="AC35" s="277">
        <f t="shared" si="11"/>
        <v>23804000.000000004</v>
      </c>
    </row>
    <row r="36" spans="1:29" s="279" customFormat="1" ht="24.95" customHeight="1">
      <c r="A36" s="279" t="str">
        <f>IF(J36&gt;='116目標底稿SUMMARY'!$E$3,"TYPE_1",IF(J36&gt;='116目標底稿SUMMARY'!$E$4,"TYPE_2",IF(J36&gt;='116目標底稿SUMMARY'!$E$5,"TYPE_3","TYPE_4")))</f>
        <v>TYPE_3</v>
      </c>
      <c r="B36" s="272">
        <v>29</v>
      </c>
      <c r="C36" s="271" t="s">
        <v>0</v>
      </c>
      <c r="D36" s="272">
        <v>129</v>
      </c>
      <c r="E36" s="273" t="s">
        <v>79</v>
      </c>
      <c r="F36" s="272">
        <f>IF(ISERROR(VLOOKUP(D36,'115分組'!A:D,4,0)), "未分", VLOOKUP(D36,'115分組'!A:D,4,0))</f>
        <v>6</v>
      </c>
      <c r="G36" s="273">
        <f>ROUND(VLOOKUP(D36,'115_分行業績'!A:J,8,0), 0)</f>
        <v>52270476</v>
      </c>
      <c r="H36" s="274">
        <f>(VLOOKUP(D36, '底稿_前2年手收20%'!A:G,7,0)+VLOOKUP(D36, '底稿_前2年手收20%'!O:U,7,0))/2</f>
        <v>43999040.909999996</v>
      </c>
      <c r="I36" s="273">
        <f>VLOOKUP(D36,'115_分行業績'!A:I,9,0)</f>
        <v>59980000</v>
      </c>
      <c r="J36" s="456">
        <f t="shared" si="2"/>
        <v>0.87</v>
      </c>
      <c r="K36" s="456">
        <f t="shared" si="3"/>
        <v>0.93</v>
      </c>
      <c r="L36" s="273" t="str">
        <f t="shared" si="4"/>
        <v>75%以上、未達90%</v>
      </c>
      <c r="M36" s="273" t="str">
        <f t="shared" si="5"/>
        <v>分行目標110%</v>
      </c>
      <c r="N36" s="273">
        <f t="shared" si="6"/>
        <v>65980000</v>
      </c>
      <c r="O36" s="273" t="str">
        <f>VLOOKUP(A36,'116目標底稿SUMMARY'!A:B,2,0)</f>
        <v>80%以上，未達100%</v>
      </c>
      <c r="P36" s="273" t="str">
        <f>VLOOKUP(A36,'116目標底稿SUMMARY'!A:D,4,0)</f>
        <v>預估實績*105%</v>
      </c>
      <c r="Q36" s="273">
        <f>ROUND(IF(A36 = "TYPE_1", I36*'116目標底稿SUMMARY'!$F$3*'116目標底稿SUMMARY'!$G$3, IF(A36 = "TYPE_2", G36*'116目標底稿SUMMARY'!$F$4, IF(A36 = "TYPE_3", G36*'116目標底稿SUMMARY'!$F$5, '116目標底稿ver1'!I36*'116目標底稿SUMMARY'!$F$6*'116目標底稿SUMMARY'!$G$6))), -4)</f>
        <v>53840000</v>
      </c>
      <c r="R36" s="452">
        <f t="shared" si="7"/>
        <v>-12140000</v>
      </c>
      <c r="S36" s="274">
        <f>VLOOKUP(D36,'116指標1_前2年手收20%'!A:M,13,0)</f>
        <v>487634</v>
      </c>
      <c r="T36" s="274">
        <f>VLOOKUP(D36,'116指標2_存款25%'!A:F,6,0)</f>
        <v>551313</v>
      </c>
      <c r="U36" s="274">
        <f>VLOOKUP(D36,'116指標6_理財AUM25%'!A:F,6,0)</f>
        <v>528410</v>
      </c>
      <c r="V36" s="274">
        <f>VLOOKUP(D36,'116指標4_114分行人數25%'!A:Q,17,0)</f>
        <v>557370</v>
      </c>
      <c r="W36" s="274">
        <f>VLOOKUP(F36,'115分組'!D:F,3,0)</f>
        <v>80000</v>
      </c>
      <c r="X36" s="274"/>
      <c r="Y36" s="275">
        <f t="shared" si="1"/>
        <v>2200000</v>
      </c>
      <c r="Z36" s="451">
        <f t="shared" si="8"/>
        <v>56040000</v>
      </c>
      <c r="AA36" s="276">
        <f t="shared" si="9"/>
        <v>7.2115738911579852E-2</v>
      </c>
      <c r="AB36" s="276">
        <f t="shared" si="10"/>
        <v>-6.5688562854284815E-2</v>
      </c>
      <c r="AC36" s="277">
        <f t="shared" si="11"/>
        <v>30822000.000000004</v>
      </c>
    </row>
    <row r="37" spans="1:29" s="279" customFormat="1" ht="24.95" customHeight="1">
      <c r="A37" s="279" t="str">
        <f>IF(J37&gt;='116目標底稿SUMMARY'!$E$3,"TYPE_1",IF(J37&gt;='116目標底稿SUMMARY'!$E$4,"TYPE_2",IF(J37&gt;='116目標底稿SUMMARY'!$E$5,"TYPE_3","TYPE_4")))</f>
        <v>TYPE_4</v>
      </c>
      <c r="B37" s="272">
        <v>30</v>
      </c>
      <c r="C37" s="271" t="s">
        <v>0</v>
      </c>
      <c r="D37" s="272">
        <v>130</v>
      </c>
      <c r="E37" s="273" t="s">
        <v>147</v>
      </c>
      <c r="F37" s="272">
        <f>IF(ISERROR(VLOOKUP(D37,'115分組'!A:D,4,0)), "未分", VLOOKUP(D37,'115分組'!A:D,4,0))</f>
        <v>1</v>
      </c>
      <c r="G37" s="273">
        <f>ROUND(VLOOKUP(D37,'115_分行業績'!A:J,8,0), 0)</f>
        <v>35284802</v>
      </c>
      <c r="H37" s="274">
        <f>(VLOOKUP(D37, '底稿_前2年手收20%'!A:G,7,0)+VLOOKUP(D37, '底稿_前2年手收20%'!O:U,7,0))/2</f>
        <v>23660677.690000001</v>
      </c>
      <c r="I37" s="273">
        <f>VLOOKUP(D37,'115_分行業績'!A:I,9,0)</f>
        <v>47410000</v>
      </c>
      <c r="J37" s="456">
        <f t="shared" si="2"/>
        <v>0.74</v>
      </c>
      <c r="K37" s="456">
        <f t="shared" si="3"/>
        <v>0.74</v>
      </c>
      <c r="L37" s="273" t="str">
        <f t="shared" si="4"/>
        <v>未達75%</v>
      </c>
      <c r="M37" s="273" t="str">
        <f t="shared" si="5"/>
        <v>分行目標115%</v>
      </c>
      <c r="N37" s="273">
        <f t="shared" si="6"/>
        <v>54520000</v>
      </c>
      <c r="O37" s="273" t="str">
        <f>VLOOKUP(A37,'116目標底稿SUMMARY'!A:B,2,0)</f>
        <v>未達80%</v>
      </c>
      <c r="P37" s="273" t="str">
        <f>VLOOKUP(A37,'116目標底稿SUMMARY'!A:D,4,0)</f>
        <v>分行目標*80%*120%</v>
      </c>
      <c r="Q37" s="273">
        <f>ROUND(IF(A37 = "TYPE_1", I37*'116目標底稿SUMMARY'!$F$3*'116目標底稿SUMMARY'!$G$3, IF(A37 = "TYPE_2", G37*'116目標底稿SUMMARY'!$F$4, IF(A37 = "TYPE_3", G37*'116目標底稿SUMMARY'!$F$5, '116目標底稿ver1'!I37*'116目標底稿SUMMARY'!$F$6*'116目標底稿SUMMARY'!$G$6))), -4)</f>
        <v>45510000</v>
      </c>
      <c r="R37" s="452">
        <f t="shared" si="7"/>
        <v>-9010000</v>
      </c>
      <c r="S37" s="274">
        <f>VLOOKUP(D37,'116指標1_前2年手收20%'!A:M,13,0)</f>
        <v>281402</v>
      </c>
      <c r="T37" s="274">
        <f>VLOOKUP(D37,'116指標2_存款25%'!A:F,6,0)</f>
        <v>549509</v>
      </c>
      <c r="U37" s="274">
        <f>VLOOKUP(D37,'116指標6_理財AUM25%'!A:F,6,0)</f>
        <v>313636</v>
      </c>
      <c r="V37" s="274">
        <f>VLOOKUP(D37,'116指標4_114分行人數25%'!A:Q,17,0)</f>
        <v>855960</v>
      </c>
      <c r="W37" s="274">
        <f>VLOOKUP(F37,'115分組'!D:F,3,0)</f>
        <v>190000</v>
      </c>
      <c r="X37" s="274"/>
      <c r="Y37" s="275">
        <f t="shared" si="1"/>
        <v>2190000</v>
      </c>
      <c r="Z37" s="451">
        <f t="shared" si="8"/>
        <v>47700000</v>
      </c>
      <c r="AA37" s="276">
        <f t="shared" si="9"/>
        <v>0.35185681359356935</v>
      </c>
      <c r="AB37" s="276">
        <f t="shared" si="10"/>
        <v>6.1168529846022945E-3</v>
      </c>
      <c r="AC37" s="277">
        <f t="shared" si="11"/>
        <v>26235000.000000004</v>
      </c>
    </row>
    <row r="38" spans="1:29" s="279" customFormat="1" ht="24.95" customHeight="1">
      <c r="A38" s="279" t="str">
        <f>IF(J38&gt;='116目標底稿SUMMARY'!$E$3,"TYPE_1",IF(J38&gt;='116目標底稿SUMMARY'!$E$4,"TYPE_2",IF(J38&gt;='116目標底稿SUMMARY'!$E$5,"TYPE_3","TYPE_4")))</f>
        <v>TYPE_3</v>
      </c>
      <c r="B38" s="272">
        <v>31</v>
      </c>
      <c r="C38" s="271" t="s">
        <v>0</v>
      </c>
      <c r="D38" s="272">
        <v>132</v>
      </c>
      <c r="E38" s="273" t="s">
        <v>6</v>
      </c>
      <c r="F38" s="272">
        <f>IF(ISERROR(VLOOKUP(D38,'115分組'!A:D,4,0)), "未分", VLOOKUP(D38,'115分組'!A:D,4,0))</f>
        <v>8</v>
      </c>
      <c r="G38" s="273">
        <f>ROUND(VLOOKUP(D38,'115_分行業績'!A:J,8,0), 0)</f>
        <v>24377025</v>
      </c>
      <c r="H38" s="274">
        <f>(VLOOKUP(D38, '底稿_前2年手收20%'!A:G,7,0)+VLOOKUP(D38, '底稿_前2年手收20%'!O:U,7,0))/2</f>
        <v>17979455.43</v>
      </c>
      <c r="I38" s="273">
        <f>VLOOKUP(D38,'115_分行業績'!A:I,9,0)</f>
        <v>24640000</v>
      </c>
      <c r="J38" s="456">
        <f t="shared" si="2"/>
        <v>0.99</v>
      </c>
      <c r="K38" s="456">
        <f t="shared" si="3"/>
        <v>0.93</v>
      </c>
      <c r="L38" s="273" t="str">
        <f t="shared" si="4"/>
        <v>90%以上、未達100%</v>
      </c>
      <c r="M38" s="273" t="str">
        <f t="shared" si="5"/>
        <v>分行目標105%</v>
      </c>
      <c r="N38" s="273">
        <f t="shared" si="6"/>
        <v>25870000</v>
      </c>
      <c r="O38" s="273" t="str">
        <f>VLOOKUP(A38,'116目標底稿SUMMARY'!A:B,2,0)</f>
        <v>80%以上，未達100%</v>
      </c>
      <c r="P38" s="273" t="str">
        <f>VLOOKUP(A38,'116目標底稿SUMMARY'!A:D,4,0)</f>
        <v>預估實績*105%</v>
      </c>
      <c r="Q38" s="273">
        <f>ROUND(IF(A38 = "TYPE_1", I38*'116目標底稿SUMMARY'!$F$3*'116目標底稿SUMMARY'!$G$3, IF(A38 = "TYPE_2", G38*'116目標底稿SUMMARY'!$F$4, IF(A38 = "TYPE_3", G38*'116目標底稿SUMMARY'!$F$5, '116目標底稿ver1'!I38*'116目標底稿SUMMARY'!$F$6*'116目標底稿SUMMARY'!$G$6))), -4)</f>
        <v>25110000</v>
      </c>
      <c r="R38" s="452">
        <f t="shared" si="7"/>
        <v>-760000</v>
      </c>
      <c r="S38" s="274">
        <f>VLOOKUP(D38,'116指標1_前2年手收20%'!A:M,13,0)</f>
        <v>211190</v>
      </c>
      <c r="T38" s="274">
        <f>VLOOKUP(D38,'116指標2_存款25%'!A:F,6,0)</f>
        <v>226994</v>
      </c>
      <c r="U38" s="274">
        <f>VLOOKUP(D38,'116指標6_理財AUM25%'!A:F,6,0)</f>
        <v>276384</v>
      </c>
      <c r="V38" s="274">
        <f>VLOOKUP(D38,'116指標4_114分行人數25%'!A:Q,17,0)</f>
        <v>378215</v>
      </c>
      <c r="W38" s="274">
        <f>VLOOKUP(F38,'115分組'!D:F,3,0)</f>
        <v>40000</v>
      </c>
      <c r="X38" s="274"/>
      <c r="Y38" s="275">
        <f t="shared" si="1"/>
        <v>1130000</v>
      </c>
      <c r="Z38" s="451">
        <f t="shared" si="8"/>
        <v>26240000</v>
      </c>
      <c r="AA38" s="276">
        <f t="shared" si="9"/>
        <v>7.6423394569271608E-2</v>
      </c>
      <c r="AB38" s="276">
        <f t="shared" si="10"/>
        <v>6.4935064935064846E-2</v>
      </c>
      <c r="AC38" s="277">
        <f t="shared" si="11"/>
        <v>14432000.000000002</v>
      </c>
    </row>
    <row r="39" spans="1:29" s="279" customFormat="1" ht="24.95" customHeight="1">
      <c r="A39" s="279" t="str">
        <f>IF(J39&gt;='116目標底稿SUMMARY'!$E$3,"TYPE_1",IF(J39&gt;='116目標底稿SUMMARY'!$E$4,"TYPE_2",IF(J39&gt;='116目標底稿SUMMARY'!$E$5,"TYPE_3","TYPE_4")))</f>
        <v>TYPE_4</v>
      </c>
      <c r="B39" s="272">
        <v>32</v>
      </c>
      <c r="C39" s="271" t="s">
        <v>0</v>
      </c>
      <c r="D39" s="272">
        <v>133</v>
      </c>
      <c r="E39" s="273" t="s">
        <v>148</v>
      </c>
      <c r="F39" s="272">
        <f>IF(ISERROR(VLOOKUP(D39,'115分組'!A:D,4,0)), "未分", VLOOKUP(D39,'115分組'!A:D,4,0))</f>
        <v>1</v>
      </c>
      <c r="G39" s="273">
        <f>ROUND(VLOOKUP(D39,'115_分行業績'!A:J,8,0), 0)</f>
        <v>36160101</v>
      </c>
      <c r="H39" s="274">
        <f>(VLOOKUP(D39, '底稿_前2年手收20%'!A:G,7,0)+VLOOKUP(D39, '底稿_前2年手收20%'!O:U,7,0))/2</f>
        <v>25681366.494999997</v>
      </c>
      <c r="I39" s="273">
        <f>VLOOKUP(D39,'115_分行業績'!A:I,9,0)</f>
        <v>50840000</v>
      </c>
      <c r="J39" s="456">
        <f t="shared" si="2"/>
        <v>0.71</v>
      </c>
      <c r="K39" s="456">
        <f t="shared" si="3"/>
        <v>0.71</v>
      </c>
      <c r="L39" s="273" t="str">
        <f t="shared" si="4"/>
        <v>未達75%</v>
      </c>
      <c r="M39" s="273" t="str">
        <f t="shared" si="5"/>
        <v>分行目標115%</v>
      </c>
      <c r="N39" s="273">
        <f t="shared" si="6"/>
        <v>58470000</v>
      </c>
      <c r="O39" s="273" t="str">
        <f>VLOOKUP(A39,'116目標底稿SUMMARY'!A:B,2,0)</f>
        <v>未達80%</v>
      </c>
      <c r="P39" s="273" t="str">
        <f>VLOOKUP(A39,'116目標底稿SUMMARY'!A:D,4,0)</f>
        <v>分行目標*80%*120%</v>
      </c>
      <c r="Q39" s="273">
        <f>ROUND(IF(A39 = "TYPE_1", I39*'116目標底稿SUMMARY'!$F$3*'116目標底稿SUMMARY'!$G$3, IF(A39 = "TYPE_2", G39*'116目標底稿SUMMARY'!$F$4, IF(A39 = "TYPE_3", G39*'116目標底稿SUMMARY'!$F$5, '116目標底稿ver1'!I39*'116目標底稿SUMMARY'!$F$6*'116目標底稿SUMMARY'!$G$6))), -4)</f>
        <v>48810000</v>
      </c>
      <c r="R39" s="452">
        <f t="shared" si="7"/>
        <v>-9660000</v>
      </c>
      <c r="S39" s="274">
        <f>VLOOKUP(D39,'116指標1_前2年手收20%'!A:M,13,0)</f>
        <v>282319</v>
      </c>
      <c r="T39" s="274">
        <f>VLOOKUP(D39,'116指標2_存款25%'!A:F,6,0)</f>
        <v>416347</v>
      </c>
      <c r="U39" s="274">
        <f>VLOOKUP(D39,'116指標6_理財AUM25%'!A:F,6,0)</f>
        <v>370306</v>
      </c>
      <c r="V39" s="274">
        <f>VLOOKUP(D39,'116指標4_114分行人數25%'!A:Q,17,0)</f>
        <v>597182</v>
      </c>
      <c r="W39" s="274">
        <f>VLOOKUP(F39,'115分組'!D:F,3,0)</f>
        <v>190000</v>
      </c>
      <c r="X39" s="274"/>
      <c r="Y39" s="275">
        <f t="shared" si="1"/>
        <v>1860000</v>
      </c>
      <c r="Z39" s="451">
        <f t="shared" si="8"/>
        <v>50670000</v>
      </c>
      <c r="AA39" s="276">
        <f t="shared" si="9"/>
        <v>0.40126820995328516</v>
      </c>
      <c r="AB39" s="276">
        <f t="shared" si="10"/>
        <v>-3.3438237608182098E-3</v>
      </c>
      <c r="AC39" s="277">
        <f t="shared" si="11"/>
        <v>27868500.000000004</v>
      </c>
    </row>
    <row r="40" spans="1:29" s="279" customFormat="1" ht="24.95" customHeight="1">
      <c r="A40" s="279" t="str">
        <f>IF(J40&gt;='116目標底稿SUMMARY'!$E$3,"TYPE_1",IF(J40&gt;='116目標底稿SUMMARY'!$E$4,"TYPE_2",IF(J40&gt;='116目標底稿SUMMARY'!$E$5,"TYPE_3","TYPE_4")))</f>
        <v>TYPE_3</v>
      </c>
      <c r="B40" s="272">
        <v>33</v>
      </c>
      <c r="C40" s="271" t="s">
        <v>7</v>
      </c>
      <c r="D40" s="272">
        <v>134</v>
      </c>
      <c r="E40" s="273" t="s">
        <v>149</v>
      </c>
      <c r="F40" s="272">
        <f>IF(ISERROR(VLOOKUP(D40,'115分組'!A:D,4,0)), "未分", VLOOKUP(D40,'115分組'!A:D,4,0))</f>
        <v>4</v>
      </c>
      <c r="G40" s="273">
        <f>ROUND(VLOOKUP(D40,'115_分行業績'!A:J,8,0), 0)</f>
        <v>61784257</v>
      </c>
      <c r="H40" s="274">
        <f>(VLOOKUP(D40, '底稿_前2年手收20%'!A:G,7,0)+VLOOKUP(D40, '底稿_前2年手收20%'!O:U,7,0))/2</f>
        <v>38304987.5</v>
      </c>
      <c r="I40" s="273">
        <f>VLOOKUP(D40,'115_分行業績'!A:I,9,0)</f>
        <v>75830000</v>
      </c>
      <c r="J40" s="456">
        <f t="shared" si="2"/>
        <v>0.81</v>
      </c>
      <c r="K40" s="456">
        <f t="shared" si="3"/>
        <v>0.93</v>
      </c>
      <c r="L40" s="273" t="str">
        <f t="shared" si="4"/>
        <v>75%以上、未達90%</v>
      </c>
      <c r="M40" s="273" t="str">
        <f t="shared" si="5"/>
        <v>分行目標110%</v>
      </c>
      <c r="N40" s="273">
        <f t="shared" si="6"/>
        <v>83410000</v>
      </c>
      <c r="O40" s="273" t="str">
        <f>VLOOKUP(A40,'116目標底稿SUMMARY'!A:B,2,0)</f>
        <v>80%以上，未達100%</v>
      </c>
      <c r="P40" s="273" t="str">
        <f>VLOOKUP(A40,'116目標底稿SUMMARY'!A:D,4,0)</f>
        <v>預估實績*105%</v>
      </c>
      <c r="Q40" s="273">
        <f>ROUND(IF(A40 = "TYPE_1", I40*'116目標底稿SUMMARY'!$F$3*'116目標底稿SUMMARY'!$G$3, IF(A40 = "TYPE_2", G40*'116目標底稿SUMMARY'!$F$4, IF(A40 = "TYPE_3", G40*'116目標底稿SUMMARY'!$F$5, '116目標底稿ver1'!I40*'116目標底稿SUMMARY'!$F$6*'116目標底稿SUMMARY'!$G$6))), -4)</f>
        <v>63640000</v>
      </c>
      <c r="R40" s="452">
        <f t="shared" si="7"/>
        <v>-19770000</v>
      </c>
      <c r="S40" s="274">
        <f>VLOOKUP(D40,'116指標1_前2年手收20%'!A:M,13,0)</f>
        <v>455571</v>
      </c>
      <c r="T40" s="274">
        <f>VLOOKUP(D40,'116指標2_存款25%'!A:F,6,0)</f>
        <v>794156</v>
      </c>
      <c r="U40" s="274">
        <f>VLOOKUP(D40,'116指標6_理財AUM25%'!A:F,6,0)</f>
        <v>665784</v>
      </c>
      <c r="V40" s="274">
        <f>VLOOKUP(D40,'116指標4_114分行人數25%'!A:Q,17,0)</f>
        <v>577276</v>
      </c>
      <c r="W40" s="274">
        <f>VLOOKUP(F40,'115分組'!D:F,3,0)</f>
        <v>130000</v>
      </c>
      <c r="X40" s="274"/>
      <c r="Y40" s="275">
        <f t="shared" si="1"/>
        <v>2620000</v>
      </c>
      <c r="Z40" s="451">
        <f t="shared" si="8"/>
        <v>66260000</v>
      </c>
      <c r="AA40" s="276">
        <f t="shared" si="9"/>
        <v>7.2441479712218593E-2</v>
      </c>
      <c r="AB40" s="276">
        <f t="shared" si="10"/>
        <v>-0.12620334959778456</v>
      </c>
      <c r="AC40" s="277">
        <f t="shared" si="11"/>
        <v>36443000</v>
      </c>
    </row>
    <row r="41" spans="1:29" s="279" customFormat="1" ht="24.95" customHeight="1">
      <c r="A41" s="279" t="str">
        <f>IF(J41&gt;='116目標底稿SUMMARY'!$E$3,"TYPE_1",IF(J41&gt;='116目標底稿SUMMARY'!$E$4,"TYPE_2",IF(J41&gt;='116目標底稿SUMMARY'!$E$5,"TYPE_3","TYPE_4")))</f>
        <v>TYPE_1</v>
      </c>
      <c r="B41" s="272">
        <v>34</v>
      </c>
      <c r="C41" s="271" t="s">
        <v>0</v>
      </c>
      <c r="D41" s="272">
        <v>136</v>
      </c>
      <c r="E41" s="273" t="s">
        <v>150</v>
      </c>
      <c r="F41" s="272">
        <f>IF(ISERROR(VLOOKUP(D41,'115分組'!A:D,4,0)), "未分", VLOOKUP(D41,'115分組'!A:D,4,0))</f>
        <v>7</v>
      </c>
      <c r="G41" s="273">
        <f>ROUND(VLOOKUP(D41,'115_分行業績'!A:J,8,0), 0)</f>
        <v>49654913</v>
      </c>
      <c r="H41" s="274">
        <f>(VLOOKUP(D41, '底稿_前2年手收20%'!A:G,7,0)+VLOOKUP(D41, '底稿_前2年手收20%'!O:U,7,0))/2</f>
        <v>26879718</v>
      </c>
      <c r="I41" s="273">
        <f>VLOOKUP(D41,'115_分行業績'!A:I,9,0)</f>
        <v>34730000</v>
      </c>
      <c r="J41" s="456">
        <f t="shared" si="2"/>
        <v>1.43</v>
      </c>
      <c r="K41" s="456">
        <f t="shared" si="3"/>
        <v>1.1499999999999999</v>
      </c>
      <c r="L41" s="273" t="str">
        <f t="shared" si="4"/>
        <v>130%以上、未達150%</v>
      </c>
      <c r="M41" s="273" t="str">
        <f t="shared" si="5"/>
        <v>預估實績*90%</v>
      </c>
      <c r="N41" s="273">
        <f t="shared" si="6"/>
        <v>44690000</v>
      </c>
      <c r="O41" s="273" t="str">
        <f>VLOOKUP(A41,'116目標底稿SUMMARY'!A:B,2,0)</f>
        <v>120%以上</v>
      </c>
      <c r="P41" s="273" t="str">
        <f>VLOOKUP(A41,'116目標底稿SUMMARY'!A:D,4,0)</f>
        <v>分行目標*120%*101%</v>
      </c>
      <c r="Q41" s="273">
        <f>ROUND(IF(A41 = "TYPE_1", I41*'116目標底稿SUMMARY'!$F$3*'116目標底稿SUMMARY'!$G$3, IF(A41 = "TYPE_2", G41*'116目標底稿SUMMARY'!$F$4, IF(A41 = "TYPE_3", G41*'116目標底稿SUMMARY'!$F$5, '116目標底稿ver1'!I41*'116目標底稿SUMMARY'!$F$6*'116目標底稿SUMMARY'!$G$6))), -4)</f>
        <v>42090000</v>
      </c>
      <c r="R41" s="452">
        <f t="shared" si="7"/>
        <v>-2600000</v>
      </c>
      <c r="S41" s="274">
        <f>VLOOKUP(D41,'116指標1_前2年手收20%'!A:M,13,0)</f>
        <v>233583</v>
      </c>
      <c r="T41" s="274">
        <f>VLOOKUP(D41,'116指標2_存款25%'!A:F,6,0)</f>
        <v>227175</v>
      </c>
      <c r="U41" s="274">
        <f>VLOOKUP(D41,'116指標6_理財AUM25%'!A:F,6,0)</f>
        <v>192599</v>
      </c>
      <c r="V41" s="274">
        <f>VLOOKUP(D41,'116指標4_114分行人數25%'!A:Q,17,0)</f>
        <v>477745</v>
      </c>
      <c r="W41" s="274">
        <f>VLOOKUP(F41,'115分組'!D:F,3,0)</f>
        <v>60000</v>
      </c>
      <c r="X41" s="274"/>
      <c r="Y41" s="275">
        <f t="shared" si="1"/>
        <v>1190000</v>
      </c>
      <c r="Z41" s="451">
        <f t="shared" si="8"/>
        <v>43280000</v>
      </c>
      <c r="AA41" s="276">
        <f t="shared" si="9"/>
        <v>-0.12838433530232951</v>
      </c>
      <c r="AB41" s="276">
        <f t="shared" si="10"/>
        <v>0.24618485459257133</v>
      </c>
      <c r="AC41" s="277">
        <f t="shared" si="11"/>
        <v>23804000.000000004</v>
      </c>
    </row>
    <row r="42" spans="1:29" s="279" customFormat="1" ht="24.95" customHeight="1">
      <c r="A42" s="279" t="str">
        <f>IF(J42&gt;='116目標底稿SUMMARY'!$E$3,"TYPE_1",IF(J42&gt;='116目標底稿SUMMARY'!$E$4,"TYPE_2",IF(J42&gt;='116目標底稿SUMMARY'!$E$5,"TYPE_3","TYPE_4")))</f>
        <v>TYPE_1</v>
      </c>
      <c r="B42" s="272">
        <v>35</v>
      </c>
      <c r="C42" s="271" t="s">
        <v>7</v>
      </c>
      <c r="D42" s="272">
        <v>137</v>
      </c>
      <c r="E42" s="273" t="s">
        <v>151</v>
      </c>
      <c r="F42" s="272">
        <f>IF(ISERROR(VLOOKUP(D42,'115分組'!A:D,4,0)), "未分", VLOOKUP(D42,'115分組'!A:D,4,0))</f>
        <v>3</v>
      </c>
      <c r="G42" s="273">
        <f>ROUND(VLOOKUP(D42,'115_分行業績'!A:J,8,0), 0)</f>
        <v>61003844</v>
      </c>
      <c r="H42" s="274">
        <f>(VLOOKUP(D42, '底稿_前2年手收20%'!A:G,7,0)+VLOOKUP(D42, '底稿_前2年手收20%'!O:U,7,0))/2</f>
        <v>31727557.84</v>
      </c>
      <c r="I42" s="273">
        <f>VLOOKUP(D42,'115_分行業績'!A:I,9,0)</f>
        <v>47080000</v>
      </c>
      <c r="J42" s="456">
        <f t="shared" si="2"/>
        <v>1.3</v>
      </c>
      <c r="K42" s="456">
        <f t="shared" si="3"/>
        <v>1.04</v>
      </c>
      <c r="L42" s="273" t="str">
        <f t="shared" si="4"/>
        <v>130%以上、未達150%</v>
      </c>
      <c r="M42" s="273" t="str">
        <f t="shared" si="5"/>
        <v>預估實績*90%</v>
      </c>
      <c r="N42" s="273">
        <f t="shared" si="6"/>
        <v>54900000</v>
      </c>
      <c r="O42" s="273" t="str">
        <f>VLOOKUP(A42,'116目標底稿SUMMARY'!A:B,2,0)</f>
        <v>120%以上</v>
      </c>
      <c r="P42" s="273" t="str">
        <f>VLOOKUP(A42,'116目標底稿SUMMARY'!A:D,4,0)</f>
        <v>分行目標*120%*101%</v>
      </c>
      <c r="Q42" s="273">
        <f>ROUND(IF(A42 = "TYPE_1", I42*'116目標底稿SUMMARY'!$F$3*'116目標底稿SUMMARY'!$G$3, IF(A42 = "TYPE_2", G42*'116目標底稿SUMMARY'!$F$4, IF(A42 = "TYPE_3", G42*'116目標底稿SUMMARY'!$F$5, '116目標底稿ver1'!I42*'116目標底稿SUMMARY'!$F$6*'116目標底稿SUMMARY'!$G$6))), -4)</f>
        <v>57060000</v>
      </c>
      <c r="R42" s="452">
        <f t="shared" si="7"/>
        <v>2160000</v>
      </c>
      <c r="S42" s="274">
        <f>VLOOKUP(D42,'116指標1_前2年手收20%'!A:M,13,0)</f>
        <v>355250</v>
      </c>
      <c r="T42" s="274">
        <f>VLOOKUP(D42,'116指標2_存款25%'!A:F,6,0)</f>
        <v>333215</v>
      </c>
      <c r="U42" s="274">
        <f>VLOOKUP(D42,'116指標6_理財AUM25%'!A:F,6,0)</f>
        <v>408319</v>
      </c>
      <c r="V42" s="274">
        <f>VLOOKUP(D42,'116指標4_114分行人數25%'!A:Q,17,0)</f>
        <v>537464</v>
      </c>
      <c r="W42" s="274">
        <f>VLOOKUP(F42,'115分組'!D:F,3,0)</f>
        <v>150000</v>
      </c>
      <c r="X42" s="274"/>
      <c r="Y42" s="275">
        <f t="shared" si="1"/>
        <v>1780000</v>
      </c>
      <c r="Z42" s="451">
        <f t="shared" si="8"/>
        <v>58840000</v>
      </c>
      <c r="AA42" s="276">
        <f t="shared" si="9"/>
        <v>-3.5470617228645418E-2</v>
      </c>
      <c r="AB42" s="276">
        <f t="shared" si="10"/>
        <v>0.24978759558198815</v>
      </c>
      <c r="AC42" s="277">
        <f t="shared" si="11"/>
        <v>32362000.000000004</v>
      </c>
    </row>
    <row r="43" spans="1:29" s="279" customFormat="1" ht="24.95" customHeight="1">
      <c r="A43" s="279" t="str">
        <f>IF(J43&gt;='116目標底稿SUMMARY'!$E$3,"TYPE_1",IF(J43&gt;='116目標底稿SUMMARY'!$E$4,"TYPE_2",IF(J43&gt;='116目標底稿SUMMARY'!$E$5,"TYPE_3","TYPE_4")))</f>
        <v>TYPE_2</v>
      </c>
      <c r="B43" s="272">
        <v>36</v>
      </c>
      <c r="C43" s="271" t="s">
        <v>7</v>
      </c>
      <c r="D43" s="272">
        <v>143</v>
      </c>
      <c r="E43" s="273" t="s">
        <v>80</v>
      </c>
      <c r="F43" s="272">
        <f>IF(ISERROR(VLOOKUP(D43,'115分組'!A:D,4,0)), "未分", VLOOKUP(D43,'115分組'!A:D,4,0))</f>
        <v>5</v>
      </c>
      <c r="G43" s="273">
        <f>ROUND(VLOOKUP(D43,'115_分行業績'!A:J,8,0), 0)</f>
        <v>44219159</v>
      </c>
      <c r="H43" s="274">
        <f>(VLOOKUP(D43, '底稿_前2年手收20%'!A:G,7,0)+VLOOKUP(D43, '底稿_前2年手收20%'!O:U,7,0))/2</f>
        <v>39382063.394999996</v>
      </c>
      <c r="I43" s="273">
        <f>VLOOKUP(D43,'115_分行業績'!A:I,9,0)</f>
        <v>41160000</v>
      </c>
      <c r="J43" s="456">
        <f t="shared" si="2"/>
        <v>1.07</v>
      </c>
      <c r="K43" s="456">
        <f t="shared" si="3"/>
        <v>0.96</v>
      </c>
      <c r="L43" s="273" t="str">
        <f t="shared" si="4"/>
        <v>100%以上、未達110%</v>
      </c>
      <c r="M43" s="273" t="str">
        <f t="shared" si="5"/>
        <v>預估實績105%</v>
      </c>
      <c r="N43" s="273">
        <f t="shared" si="6"/>
        <v>46430000</v>
      </c>
      <c r="O43" s="273" t="str">
        <f>VLOOKUP(A43,'116目標底稿SUMMARY'!A:B,2,0)</f>
        <v>100%以上，未達120%</v>
      </c>
      <c r="P43" s="273" t="str">
        <f>VLOOKUP(A43,'116目標底稿SUMMARY'!A:D,4,0)</f>
        <v>預估實績*103%</v>
      </c>
      <c r="Q43" s="273">
        <f>ROUND(IF(A43 = "TYPE_1", I43*'116目標底稿SUMMARY'!$F$3*'116目標底稿SUMMARY'!$G$3, IF(A43 = "TYPE_2", G43*'116目標底稿SUMMARY'!$F$4, IF(A43 = "TYPE_3", G43*'116目標底稿SUMMARY'!$F$5, '116目標底稿ver1'!I43*'116目標底稿SUMMARY'!$F$6*'116目標底稿SUMMARY'!$G$6))), -4)</f>
        <v>44660000</v>
      </c>
      <c r="R43" s="452">
        <f t="shared" si="7"/>
        <v>-1770000</v>
      </c>
      <c r="S43" s="274">
        <f>VLOOKUP(D43,'116指標1_前2年手收20%'!A:M,13,0)</f>
        <v>334914</v>
      </c>
      <c r="T43" s="274">
        <f>VLOOKUP(D43,'116指標2_存款25%'!A:F,6,0)</f>
        <v>290205</v>
      </c>
      <c r="U43" s="274">
        <f>VLOOKUP(D43,'116指標6_理財AUM25%'!A:F,6,0)</f>
        <v>297799</v>
      </c>
      <c r="V43" s="274">
        <f>VLOOKUP(D43,'116指標4_114分行人數25%'!A:Q,17,0)</f>
        <v>477745</v>
      </c>
      <c r="W43" s="274">
        <f>VLOOKUP(F43,'115分組'!D:F,3,0)</f>
        <v>100000</v>
      </c>
      <c r="X43" s="274"/>
      <c r="Y43" s="275">
        <f t="shared" si="1"/>
        <v>1500000</v>
      </c>
      <c r="Z43" s="451">
        <f t="shared" si="8"/>
        <v>46160000</v>
      </c>
      <c r="AA43" s="276">
        <f t="shared" si="9"/>
        <v>4.3891404628477959E-2</v>
      </c>
      <c r="AB43" s="276">
        <f t="shared" si="10"/>
        <v>0.12147716229348893</v>
      </c>
      <c r="AC43" s="277">
        <f t="shared" si="11"/>
        <v>25388000.000000004</v>
      </c>
    </row>
    <row r="44" spans="1:29" s="279" customFormat="1" ht="24.95" customHeight="1">
      <c r="A44" s="279" t="str">
        <f>IF(J44&gt;='116目標底稿SUMMARY'!$E$3,"TYPE_1",IF(J44&gt;='116目標底稿SUMMARY'!$E$4,"TYPE_2",IF(J44&gt;='116目標底稿SUMMARY'!$E$5,"TYPE_3","TYPE_4")))</f>
        <v>TYPE_1</v>
      </c>
      <c r="B44" s="272">
        <v>37</v>
      </c>
      <c r="C44" s="271" t="s">
        <v>0</v>
      </c>
      <c r="D44" s="272">
        <v>145</v>
      </c>
      <c r="E44" s="273" t="s">
        <v>81</v>
      </c>
      <c r="F44" s="272">
        <f>IF(ISERROR(VLOOKUP(D44,'115分組'!A:D,4,0)), "未分", VLOOKUP(D44,'115分組'!A:D,4,0))</f>
        <v>6</v>
      </c>
      <c r="G44" s="273">
        <f>ROUND(VLOOKUP(D44,'115_分行業績'!A:J,8,0), 0)</f>
        <v>43235636</v>
      </c>
      <c r="H44" s="274">
        <f>(VLOOKUP(D44, '底稿_前2年手收20%'!A:G,7,0)+VLOOKUP(D44, '底稿_前2年手收20%'!O:U,7,0))/2</f>
        <v>16928328.380000003</v>
      </c>
      <c r="I44" s="273">
        <f>VLOOKUP(D44,'115_分行業績'!A:I,9,0)</f>
        <v>31970000</v>
      </c>
      <c r="J44" s="456">
        <f t="shared" si="2"/>
        <v>1.35</v>
      </c>
      <c r="K44" s="456">
        <f t="shared" si="3"/>
        <v>1.08</v>
      </c>
      <c r="L44" s="273" t="str">
        <f t="shared" si="4"/>
        <v>130%以上、未達150%</v>
      </c>
      <c r="M44" s="273" t="str">
        <f t="shared" si="5"/>
        <v>預估實績*90%</v>
      </c>
      <c r="N44" s="273">
        <f t="shared" si="6"/>
        <v>38910000</v>
      </c>
      <c r="O44" s="273" t="str">
        <f>VLOOKUP(A44,'116目標底稿SUMMARY'!A:B,2,0)</f>
        <v>120%以上</v>
      </c>
      <c r="P44" s="273" t="str">
        <f>VLOOKUP(A44,'116目標底稿SUMMARY'!A:D,4,0)</f>
        <v>分行目標*120%*101%</v>
      </c>
      <c r="Q44" s="273">
        <f>ROUND(IF(A44 = "TYPE_1", I44*'116目標底稿SUMMARY'!$F$3*'116目標底稿SUMMARY'!$G$3, IF(A44 = "TYPE_2", G44*'116目標底稿SUMMARY'!$F$4, IF(A44 = "TYPE_3", G44*'116目標底稿SUMMARY'!$F$5, '116目標底稿ver1'!I44*'116目標底稿SUMMARY'!$F$6*'116目標底稿SUMMARY'!$G$6))), -4)</f>
        <v>38750000</v>
      </c>
      <c r="R44" s="452">
        <f t="shared" si="7"/>
        <v>-160000</v>
      </c>
      <c r="S44" s="274">
        <f>VLOOKUP(D44,'116指標1_前2年手收20%'!A:M,13,0)</f>
        <v>201333</v>
      </c>
      <c r="T44" s="274">
        <f>VLOOKUP(D44,'116指標2_存款25%'!A:F,6,0)</f>
        <v>267206</v>
      </c>
      <c r="U44" s="274">
        <f>VLOOKUP(D44,'116指標6_理財AUM25%'!A:F,6,0)</f>
        <v>362416</v>
      </c>
      <c r="V44" s="274">
        <f>VLOOKUP(D44,'116指標4_114分行人數25%'!A:Q,17,0)</f>
        <v>517557</v>
      </c>
      <c r="W44" s="274">
        <f>VLOOKUP(F44,'115分組'!D:F,3,0)</f>
        <v>80000</v>
      </c>
      <c r="X44" s="274"/>
      <c r="Y44" s="275">
        <f t="shared" si="1"/>
        <v>1430000</v>
      </c>
      <c r="Z44" s="451">
        <f t="shared" si="8"/>
        <v>40180000</v>
      </c>
      <c r="AA44" s="276">
        <f t="shared" si="9"/>
        <v>-7.0674015296085857E-2</v>
      </c>
      <c r="AB44" s="276">
        <f t="shared" si="10"/>
        <v>0.25680325304973417</v>
      </c>
      <c r="AC44" s="277">
        <f t="shared" si="11"/>
        <v>22099000</v>
      </c>
    </row>
    <row r="45" spans="1:29" s="279" customFormat="1" ht="24.95" customHeight="1">
      <c r="A45" s="279" t="str">
        <f>IF(J45&gt;='116目標底稿SUMMARY'!$E$3,"TYPE_1",IF(J45&gt;='116目標底稿SUMMARY'!$E$4,"TYPE_2",IF(J45&gt;='116目標底稿SUMMARY'!$E$5,"TYPE_3","TYPE_4")))</f>
        <v>TYPE_2</v>
      </c>
      <c r="B45" s="272">
        <v>38</v>
      </c>
      <c r="C45" s="271" t="s">
        <v>0</v>
      </c>
      <c r="D45" s="272">
        <v>147</v>
      </c>
      <c r="E45" s="273" t="s">
        <v>152</v>
      </c>
      <c r="F45" s="272">
        <f>IF(ISERROR(VLOOKUP(D45,'115分組'!A:D,4,0)), "未分", VLOOKUP(D45,'115分組'!A:D,4,0))</f>
        <v>2</v>
      </c>
      <c r="G45" s="273">
        <f>ROUND(VLOOKUP(D45,'115_分行業績'!A:J,8,0), 0)</f>
        <v>77955723</v>
      </c>
      <c r="H45" s="274">
        <f>(VLOOKUP(D45, '底稿_前2年手收20%'!A:G,7,0)+VLOOKUP(D45, '底稿_前2年手收20%'!O:U,7,0))/2</f>
        <v>40220526.100000001</v>
      </c>
      <c r="I45" s="273">
        <f>VLOOKUP(D45,'115_分行業績'!A:I,9,0)</f>
        <v>66300000</v>
      </c>
      <c r="J45" s="456">
        <f t="shared" si="2"/>
        <v>1.18</v>
      </c>
      <c r="K45" s="456">
        <f t="shared" si="3"/>
        <v>0.96</v>
      </c>
      <c r="L45" s="273" t="str">
        <f t="shared" si="4"/>
        <v>110%以上、未達120%</v>
      </c>
      <c r="M45" s="273" t="str">
        <f t="shared" si="5"/>
        <v>預估實績*103%</v>
      </c>
      <c r="N45" s="273">
        <f t="shared" si="6"/>
        <v>80290000</v>
      </c>
      <c r="O45" s="273" t="str">
        <f>VLOOKUP(A45,'116目標底稿SUMMARY'!A:B,2,0)</f>
        <v>100%以上，未達120%</v>
      </c>
      <c r="P45" s="273" t="str">
        <f>VLOOKUP(A45,'116目標底稿SUMMARY'!A:D,4,0)</f>
        <v>預估實績*103%</v>
      </c>
      <c r="Q45" s="273">
        <f>ROUND(IF(A45 = "TYPE_1", I45*'116目標底稿SUMMARY'!$F$3*'116目標底稿SUMMARY'!$G$3, IF(A45 = "TYPE_2", G45*'116目標底稿SUMMARY'!$F$4, IF(A45 = "TYPE_3", G45*'116目標底稿SUMMARY'!$F$5, '116目標底稿ver1'!I45*'116目標底稿SUMMARY'!$F$6*'116目標底稿SUMMARY'!$G$6))), -4)</f>
        <v>78740000</v>
      </c>
      <c r="R45" s="452">
        <f t="shared" si="7"/>
        <v>-1550000</v>
      </c>
      <c r="S45" s="274">
        <f>VLOOKUP(D45,'116指標1_前2年手收20%'!A:M,13,0)</f>
        <v>478353</v>
      </c>
      <c r="T45" s="274">
        <f>VLOOKUP(D45,'116指標2_存款25%'!A:F,6,0)</f>
        <v>922104</v>
      </c>
      <c r="U45" s="274">
        <f>VLOOKUP(D45,'116指標6_理財AUM25%'!A:F,6,0)</f>
        <v>509923</v>
      </c>
      <c r="V45" s="274">
        <f>VLOOKUP(D45,'116指標4_114分行人數25%'!A:Q,17,0)</f>
        <v>617088</v>
      </c>
      <c r="W45" s="274">
        <f>VLOOKUP(F45,'115分組'!D:F,3,0)</f>
        <v>170000</v>
      </c>
      <c r="X45" s="274"/>
      <c r="Y45" s="275">
        <f t="shared" si="1"/>
        <v>2700000</v>
      </c>
      <c r="Z45" s="451">
        <f t="shared" si="8"/>
        <v>81440000</v>
      </c>
      <c r="AA45" s="276">
        <f t="shared" si="9"/>
        <v>4.4695589572044669E-2</v>
      </c>
      <c r="AB45" s="276">
        <f t="shared" si="10"/>
        <v>0.22835595776772255</v>
      </c>
      <c r="AC45" s="277">
        <f t="shared" si="11"/>
        <v>44792000</v>
      </c>
    </row>
    <row r="46" spans="1:29" s="279" customFormat="1" ht="24.95" customHeight="1">
      <c r="A46" s="279" t="str">
        <f>IF(J46&gt;='116目標底稿SUMMARY'!$E$3,"TYPE_1",IF(J46&gt;='116目標底稿SUMMARY'!$E$4,"TYPE_2",IF(J46&gt;='116目標底稿SUMMARY'!$E$5,"TYPE_3","TYPE_4")))</f>
        <v>TYPE_3</v>
      </c>
      <c r="B46" s="272">
        <v>39</v>
      </c>
      <c r="C46" s="271" t="s">
        <v>0</v>
      </c>
      <c r="D46" s="272">
        <v>148</v>
      </c>
      <c r="E46" s="273" t="s">
        <v>82</v>
      </c>
      <c r="F46" s="272">
        <f>IF(ISERROR(VLOOKUP(D46,'115分組'!A:D,4,0)), "未分", VLOOKUP(D46,'115分組'!A:D,4,0))</f>
        <v>6</v>
      </c>
      <c r="G46" s="273">
        <f>ROUND(VLOOKUP(D46,'115_分行業績'!A:J,8,0), 0)</f>
        <v>37388217</v>
      </c>
      <c r="H46" s="274">
        <f>(VLOOKUP(D46, '底稿_前2年手收20%'!A:G,7,0)+VLOOKUP(D46, '底稿_前2年手收20%'!O:U,7,0))/2</f>
        <v>26707870.899999999</v>
      </c>
      <c r="I46" s="273">
        <f>VLOOKUP(D46,'115_分行業績'!A:I,9,0)</f>
        <v>44260000</v>
      </c>
      <c r="J46" s="456">
        <f t="shared" si="2"/>
        <v>0.84</v>
      </c>
      <c r="K46" s="456">
        <f t="shared" si="3"/>
        <v>0.93</v>
      </c>
      <c r="L46" s="273" t="str">
        <f t="shared" si="4"/>
        <v>75%以上、未達90%</v>
      </c>
      <c r="M46" s="273" t="str">
        <f t="shared" si="5"/>
        <v>分行目標110%</v>
      </c>
      <c r="N46" s="273">
        <f t="shared" si="6"/>
        <v>48690000</v>
      </c>
      <c r="O46" s="273" t="str">
        <f>VLOOKUP(A46,'116目標底稿SUMMARY'!A:B,2,0)</f>
        <v>80%以上，未達100%</v>
      </c>
      <c r="P46" s="273" t="str">
        <f>VLOOKUP(A46,'116目標底稿SUMMARY'!A:D,4,0)</f>
        <v>預估實績*105%</v>
      </c>
      <c r="Q46" s="273">
        <f>ROUND(IF(A46 = "TYPE_1", I46*'116目標底稿SUMMARY'!$F$3*'116目標底稿SUMMARY'!$G$3, IF(A46 = "TYPE_2", G46*'116目標底稿SUMMARY'!$F$4, IF(A46 = "TYPE_3", G46*'116目標底稿SUMMARY'!$F$5, '116目標底稿ver1'!I46*'116目標底稿SUMMARY'!$F$6*'116目標底稿SUMMARY'!$G$6))), -4)</f>
        <v>38510000</v>
      </c>
      <c r="R46" s="452">
        <f t="shared" si="7"/>
        <v>-10180000</v>
      </c>
      <c r="S46" s="274">
        <f>VLOOKUP(D46,'116指標1_前2年手收20%'!A:M,13,0)</f>
        <v>317643</v>
      </c>
      <c r="T46" s="274">
        <f>VLOOKUP(D46,'116指標2_存款25%'!A:F,6,0)</f>
        <v>399578</v>
      </c>
      <c r="U46" s="274">
        <f>VLOOKUP(D46,'116指標6_理財AUM25%'!A:F,6,0)</f>
        <v>341620</v>
      </c>
      <c r="V46" s="274">
        <f>VLOOKUP(D46,'116指標4_114分行人數25%'!A:Q,17,0)</f>
        <v>477745</v>
      </c>
      <c r="W46" s="274">
        <f>VLOOKUP(F46,'115分組'!D:F,3,0)</f>
        <v>80000</v>
      </c>
      <c r="X46" s="274"/>
      <c r="Y46" s="275">
        <f t="shared" si="1"/>
        <v>1620000</v>
      </c>
      <c r="Z46" s="451">
        <f t="shared" si="8"/>
        <v>40130000</v>
      </c>
      <c r="AA46" s="276">
        <f t="shared" si="9"/>
        <v>7.3332809638929852E-2</v>
      </c>
      <c r="AB46" s="276">
        <f t="shared" si="10"/>
        <v>-9.3312245820153628E-2</v>
      </c>
      <c r="AC46" s="277">
        <f t="shared" si="11"/>
        <v>22071500</v>
      </c>
    </row>
    <row r="47" spans="1:29" s="279" customFormat="1" ht="24.95" customHeight="1">
      <c r="A47" s="279" t="str">
        <f>IF(J47&gt;='116目標底稿SUMMARY'!$E$3,"TYPE_1",IF(J47&gt;='116目標底稿SUMMARY'!$E$4,"TYPE_2",IF(J47&gt;='116目標底稿SUMMARY'!$E$5,"TYPE_3","TYPE_4")))</f>
        <v>TYPE_2</v>
      </c>
      <c r="B47" s="272">
        <v>40</v>
      </c>
      <c r="C47" s="271" t="s">
        <v>0</v>
      </c>
      <c r="D47" s="272">
        <v>149</v>
      </c>
      <c r="E47" s="273" t="s">
        <v>153</v>
      </c>
      <c r="F47" s="272">
        <f>IF(ISERROR(VLOOKUP(D47,'115分組'!A:D,4,0)), "未分", VLOOKUP(D47,'115分組'!A:D,4,0))</f>
        <v>2</v>
      </c>
      <c r="G47" s="273">
        <f>ROUND(VLOOKUP(D47,'115_分行業績'!A:J,8,0), 0)</f>
        <v>62694255</v>
      </c>
      <c r="H47" s="274">
        <f>(VLOOKUP(D47, '底稿_前2年手收20%'!A:G,7,0)+VLOOKUP(D47, '底稿_前2年手收20%'!O:U,7,0))/2</f>
        <v>34290859.170000002</v>
      </c>
      <c r="I47" s="273">
        <f>VLOOKUP(D47,'115_分行業績'!A:I,9,0)</f>
        <v>61940000</v>
      </c>
      <c r="J47" s="456">
        <f t="shared" si="2"/>
        <v>1.01</v>
      </c>
      <c r="K47" s="456">
        <f t="shared" si="3"/>
        <v>0.96</v>
      </c>
      <c r="L47" s="273" t="str">
        <f t="shared" si="4"/>
        <v>100%以上、未達110%</v>
      </c>
      <c r="M47" s="273" t="str">
        <f t="shared" si="5"/>
        <v>預估實績105%</v>
      </c>
      <c r="N47" s="273">
        <f t="shared" si="6"/>
        <v>65830000</v>
      </c>
      <c r="O47" s="273" t="str">
        <f>VLOOKUP(A47,'116目標底稿SUMMARY'!A:B,2,0)</f>
        <v>100%以上，未達120%</v>
      </c>
      <c r="P47" s="273" t="str">
        <f>VLOOKUP(A47,'116目標底稿SUMMARY'!A:D,4,0)</f>
        <v>預估實績*103%</v>
      </c>
      <c r="Q47" s="273">
        <f>ROUND(IF(A47 = "TYPE_1", I47*'116目標底稿SUMMARY'!$F$3*'116目標底稿SUMMARY'!$G$3, IF(A47 = "TYPE_2", G47*'116目標底稿SUMMARY'!$F$4, IF(A47 = "TYPE_3", G47*'116目標底稿SUMMARY'!$F$5, '116目標底稿ver1'!I47*'116目標底稿SUMMARY'!$F$6*'116目標底稿SUMMARY'!$G$6))), -4)</f>
        <v>63320000</v>
      </c>
      <c r="R47" s="452">
        <f t="shared" si="7"/>
        <v>-2510000</v>
      </c>
      <c r="S47" s="274">
        <f>VLOOKUP(D47,'116指標1_前2年手收20%'!A:M,13,0)</f>
        <v>407830</v>
      </c>
      <c r="T47" s="274">
        <f>VLOOKUP(D47,'116指標2_存款25%'!A:F,6,0)</f>
        <v>597309</v>
      </c>
      <c r="U47" s="274">
        <f>VLOOKUP(D47,'116指標6_理財AUM25%'!A:F,6,0)</f>
        <v>365596</v>
      </c>
      <c r="V47" s="274">
        <f>VLOOKUP(D47,'116指標4_114分行人數25%'!A:Q,17,0)</f>
        <v>696712</v>
      </c>
      <c r="W47" s="274">
        <f>VLOOKUP(F47,'115分組'!D:F,3,0)</f>
        <v>170000</v>
      </c>
      <c r="X47" s="274"/>
      <c r="Y47" s="275">
        <f t="shared" si="1"/>
        <v>2240000</v>
      </c>
      <c r="Z47" s="451">
        <f t="shared" si="8"/>
        <v>65560000</v>
      </c>
      <c r="AA47" s="276">
        <f t="shared" si="9"/>
        <v>4.5709850129010965E-2</v>
      </c>
      <c r="AB47" s="276">
        <f t="shared" si="10"/>
        <v>5.8443655150145268E-2</v>
      </c>
      <c r="AC47" s="277">
        <f t="shared" si="11"/>
        <v>36058000</v>
      </c>
    </row>
    <row r="48" spans="1:29" s="279" customFormat="1" ht="24.95" customHeight="1">
      <c r="A48" s="279" t="str">
        <f>IF(J48&gt;='116目標底稿SUMMARY'!$E$3,"TYPE_1",IF(J48&gt;='116目標底稿SUMMARY'!$E$4,"TYPE_2",IF(J48&gt;='116目標底稿SUMMARY'!$E$5,"TYPE_3","TYPE_4")))</f>
        <v>TYPE_2</v>
      </c>
      <c r="B48" s="272">
        <v>41</v>
      </c>
      <c r="C48" s="271" t="s">
        <v>7</v>
      </c>
      <c r="D48" s="272">
        <v>151</v>
      </c>
      <c r="E48" s="273" t="s">
        <v>154</v>
      </c>
      <c r="F48" s="272">
        <f>IF(ISERROR(VLOOKUP(D48,'115分組'!A:D,4,0)), "未分", VLOOKUP(D48,'115分組'!A:D,4,0))</f>
        <v>3</v>
      </c>
      <c r="G48" s="273">
        <f>ROUND(VLOOKUP(D48,'115_分行業績'!A:J,8,0), 0)</f>
        <v>94209278</v>
      </c>
      <c r="H48" s="274">
        <f>(VLOOKUP(D48, '底稿_前2年手收20%'!A:G,7,0)+VLOOKUP(D48, '底稿_前2年手收20%'!O:U,7,0))/2</f>
        <v>58853113.950000003</v>
      </c>
      <c r="I48" s="273">
        <f>VLOOKUP(D48,'115_分行業績'!A:I,9,0)</f>
        <v>82620000</v>
      </c>
      <c r="J48" s="456">
        <f t="shared" si="2"/>
        <v>1.1399999999999999</v>
      </c>
      <c r="K48" s="456">
        <f t="shared" si="3"/>
        <v>0.96</v>
      </c>
      <c r="L48" s="273" t="str">
        <f t="shared" si="4"/>
        <v>110%以上、未達120%</v>
      </c>
      <c r="M48" s="273" t="str">
        <f t="shared" si="5"/>
        <v>預估實績*103%</v>
      </c>
      <c r="N48" s="273">
        <f t="shared" si="6"/>
        <v>97040000</v>
      </c>
      <c r="O48" s="273" t="str">
        <f>VLOOKUP(A48,'116目標底稿SUMMARY'!A:B,2,0)</f>
        <v>100%以上，未達120%</v>
      </c>
      <c r="P48" s="273" t="str">
        <f>VLOOKUP(A48,'116目標底稿SUMMARY'!A:D,4,0)</f>
        <v>預估實績*103%</v>
      </c>
      <c r="Q48" s="273">
        <f>ROUND(IF(A48 = "TYPE_1", I48*'116目標底稿SUMMARY'!$F$3*'116目標底稿SUMMARY'!$G$3, IF(A48 = "TYPE_2", G48*'116目標底稿SUMMARY'!$F$4, IF(A48 = "TYPE_3", G48*'116目標底稿SUMMARY'!$F$5, '116目標底稿ver1'!I48*'116目標底稿SUMMARY'!$F$6*'116目標底稿SUMMARY'!$G$6))), -4)</f>
        <v>95150000</v>
      </c>
      <c r="R48" s="452">
        <f t="shared" si="7"/>
        <v>-1890000</v>
      </c>
      <c r="S48" s="274">
        <f>VLOOKUP(D48,'116指標1_前2年手收20%'!A:M,13,0)</f>
        <v>593850</v>
      </c>
      <c r="T48" s="274">
        <f>VLOOKUP(D48,'116指標2_存款25%'!A:F,6,0)</f>
        <v>741206</v>
      </c>
      <c r="U48" s="274">
        <f>VLOOKUP(D48,'116指標6_理財AUM25%'!A:F,6,0)</f>
        <v>743385</v>
      </c>
      <c r="V48" s="274">
        <f>VLOOKUP(D48,'116指標4_114分行人數25%'!A:Q,17,0)</f>
        <v>617088</v>
      </c>
      <c r="W48" s="274">
        <f>VLOOKUP(F48,'115分組'!D:F,3,0)</f>
        <v>150000</v>
      </c>
      <c r="X48" s="274"/>
      <c r="Y48" s="275">
        <f t="shared" si="1"/>
        <v>2850000</v>
      </c>
      <c r="Z48" s="451">
        <f t="shared" si="8"/>
        <v>98000000</v>
      </c>
      <c r="AA48" s="276">
        <f t="shared" si="9"/>
        <v>4.0237247121244213E-2</v>
      </c>
      <c r="AB48" s="276">
        <f t="shared" si="10"/>
        <v>0.1861534737351731</v>
      </c>
      <c r="AC48" s="277">
        <f t="shared" si="11"/>
        <v>53900000.000000007</v>
      </c>
    </row>
    <row r="49" spans="1:29" s="279" customFormat="1" ht="24" customHeight="1">
      <c r="A49" s="279" t="str">
        <f>IF(J49&gt;='116目標底稿SUMMARY'!$E$3,"TYPE_1",IF(J49&gt;='116目標底稿SUMMARY'!$E$4,"TYPE_2",IF(J49&gt;='116目標底稿SUMMARY'!$E$5,"TYPE_3","TYPE_4")))</f>
        <v>TYPE_3</v>
      </c>
      <c r="B49" s="272">
        <v>42</v>
      </c>
      <c r="C49" s="271" t="s">
        <v>0</v>
      </c>
      <c r="D49" s="272">
        <v>152</v>
      </c>
      <c r="E49" s="273" t="s">
        <v>155</v>
      </c>
      <c r="F49" s="272">
        <f>IF(ISERROR(VLOOKUP(D49,'115分組'!A:D,4,0)), "未分", VLOOKUP(D49,'115分組'!A:D,4,0))</f>
        <v>4</v>
      </c>
      <c r="G49" s="273">
        <f>ROUND(VLOOKUP(D49,'115_分行業績'!A:J,8,0), 0)</f>
        <v>61112664</v>
      </c>
      <c r="H49" s="274">
        <f>(VLOOKUP(D49, '底稿_前2年手收20%'!A:G,7,0)+VLOOKUP(D49, '底稿_前2年手收20%'!O:U,7,0))/2</f>
        <v>46374430.799999997</v>
      </c>
      <c r="I49" s="273">
        <f>VLOOKUP(D49,'115_分行業績'!A:I,9,0)</f>
        <v>76730000</v>
      </c>
      <c r="J49" s="456">
        <f t="shared" si="2"/>
        <v>0.8</v>
      </c>
      <c r="K49" s="456">
        <f t="shared" si="3"/>
        <v>0.93</v>
      </c>
      <c r="L49" s="273" t="str">
        <f t="shared" si="4"/>
        <v>75%以上、未達90%</v>
      </c>
      <c r="M49" s="273" t="str">
        <f t="shared" si="5"/>
        <v>分行目標110%</v>
      </c>
      <c r="N49" s="273">
        <f t="shared" si="6"/>
        <v>84400000</v>
      </c>
      <c r="O49" s="273" t="str">
        <f>VLOOKUP(A49,'116目標底稿SUMMARY'!A:B,2,0)</f>
        <v>80%以上，未達100%</v>
      </c>
      <c r="P49" s="273" t="str">
        <f>VLOOKUP(A49,'116目標底稿SUMMARY'!A:D,4,0)</f>
        <v>預估實績*105%</v>
      </c>
      <c r="Q49" s="273">
        <f>ROUND(IF(A49 = "TYPE_1", I49*'116目標底稿SUMMARY'!$F$3*'116目標底稿SUMMARY'!$G$3, IF(A49 = "TYPE_2", G49*'116目標底稿SUMMARY'!$F$4, IF(A49 = "TYPE_3", G49*'116目標底稿SUMMARY'!$F$5, '116目標底稿ver1'!I49*'116目標底稿SUMMARY'!$F$6*'116目標底稿SUMMARY'!$G$6))), -4)</f>
        <v>62950000</v>
      </c>
      <c r="R49" s="452">
        <f t="shared" si="7"/>
        <v>-21450000</v>
      </c>
      <c r="S49" s="274">
        <f>VLOOKUP(D49,'116指標1_前2年手收20%'!A:M,13,0)</f>
        <v>551543</v>
      </c>
      <c r="T49" s="274">
        <f>VLOOKUP(D49,'116指標2_存款25%'!A:F,6,0)</f>
        <v>938618</v>
      </c>
      <c r="U49" s="274">
        <f>VLOOKUP(D49,'116指標6_理財AUM25%'!A:F,6,0)</f>
        <v>702144</v>
      </c>
      <c r="V49" s="274">
        <f>VLOOKUP(D49,'116指標4_114分行人數25%'!A:Q,17,0)</f>
        <v>597182</v>
      </c>
      <c r="W49" s="274">
        <f>VLOOKUP(F49,'115分組'!D:F,3,0)</f>
        <v>130000</v>
      </c>
      <c r="X49" s="274"/>
      <c r="Y49" s="275">
        <f t="shared" si="1"/>
        <v>2920000</v>
      </c>
      <c r="Z49" s="451">
        <f t="shared" si="8"/>
        <v>65870000</v>
      </c>
      <c r="AA49" s="276">
        <f t="shared" si="9"/>
        <v>7.7845338242823026E-2</v>
      </c>
      <c r="AB49" s="276">
        <f t="shared" si="10"/>
        <v>-0.14153525348625051</v>
      </c>
      <c r="AC49" s="277">
        <f t="shared" si="11"/>
        <v>36228500</v>
      </c>
    </row>
    <row r="50" spans="1:29" s="279" customFormat="1" ht="24.95" customHeight="1">
      <c r="A50" s="279" t="str">
        <f>IF(J50&gt;='116目標底稿SUMMARY'!$E$3,"TYPE_1",IF(J50&gt;='116目標底稿SUMMARY'!$E$4,"TYPE_2",IF(J50&gt;='116目標底稿SUMMARY'!$E$5,"TYPE_3","TYPE_4")))</f>
        <v>TYPE_1</v>
      </c>
      <c r="B50" s="272">
        <v>43</v>
      </c>
      <c r="C50" s="271" t="s">
        <v>0</v>
      </c>
      <c r="D50" s="272">
        <v>153</v>
      </c>
      <c r="E50" s="273" t="s">
        <v>156</v>
      </c>
      <c r="F50" s="272">
        <f>IF(ISERROR(VLOOKUP(D50,'115分組'!A:D,4,0)), "未分", VLOOKUP(D50,'115分組'!A:D,4,0))</f>
        <v>3</v>
      </c>
      <c r="G50" s="273">
        <f>ROUND(VLOOKUP(D50,'115_分行業績'!A:J,8,0), 0)</f>
        <v>91287215</v>
      </c>
      <c r="H50" s="274">
        <f>(VLOOKUP(D50, '底稿_前2年手收20%'!A:G,7,0)+VLOOKUP(D50, '底稿_前2年手收20%'!O:U,7,0))/2</f>
        <v>50648899.149999999</v>
      </c>
      <c r="I50" s="273">
        <f>VLOOKUP(D50,'115_分行業績'!A:I,9,0)</f>
        <v>70340000</v>
      </c>
      <c r="J50" s="456">
        <f t="shared" si="2"/>
        <v>1.3</v>
      </c>
      <c r="K50" s="456">
        <f t="shared" si="3"/>
        <v>1.04</v>
      </c>
      <c r="L50" s="273" t="str">
        <f t="shared" si="4"/>
        <v>130%以上、未達150%</v>
      </c>
      <c r="M50" s="273" t="str">
        <f t="shared" si="5"/>
        <v>預估實績*90%</v>
      </c>
      <c r="N50" s="273">
        <f t="shared" si="6"/>
        <v>82160000</v>
      </c>
      <c r="O50" s="273" t="str">
        <f>VLOOKUP(A50,'116目標底稿SUMMARY'!A:B,2,0)</f>
        <v>120%以上</v>
      </c>
      <c r="P50" s="273" t="str">
        <f>VLOOKUP(A50,'116目標底稿SUMMARY'!A:D,4,0)</f>
        <v>分行目標*120%*101%</v>
      </c>
      <c r="Q50" s="273">
        <f>ROUND(IF(A50 = "TYPE_1", I50*'116目標底稿SUMMARY'!$F$3*'116目標底稿SUMMARY'!$G$3, IF(A50 = "TYPE_2", G50*'116目標底稿SUMMARY'!$F$4, IF(A50 = "TYPE_3", G50*'116目標底稿SUMMARY'!$F$5, '116目標底稿ver1'!I50*'116目標底稿SUMMARY'!$F$6*'116目標底稿SUMMARY'!$G$6))), -4)</f>
        <v>85250000</v>
      </c>
      <c r="R50" s="452">
        <f t="shared" si="7"/>
        <v>3090000</v>
      </c>
      <c r="S50" s="274">
        <f>VLOOKUP(D50,'116指標1_前2年手收20%'!A:M,13,0)</f>
        <v>569487</v>
      </c>
      <c r="T50" s="274">
        <f>VLOOKUP(D50,'116指標2_存款25%'!A:F,6,0)</f>
        <v>627362</v>
      </c>
      <c r="U50" s="274">
        <f>VLOOKUP(D50,'116指標6_理財AUM25%'!A:F,6,0)</f>
        <v>601929</v>
      </c>
      <c r="V50" s="274">
        <f>VLOOKUP(D50,'116指標4_114分行人數25%'!A:Q,17,0)</f>
        <v>577276</v>
      </c>
      <c r="W50" s="274">
        <f>VLOOKUP(F50,'115分組'!D:F,3,0)</f>
        <v>150000</v>
      </c>
      <c r="X50" s="274"/>
      <c r="Y50" s="275">
        <f t="shared" si="1"/>
        <v>2530000</v>
      </c>
      <c r="Z50" s="451">
        <f t="shared" si="8"/>
        <v>87780000</v>
      </c>
      <c r="AA50" s="276">
        <f t="shared" si="9"/>
        <v>-3.8419564010140905E-2</v>
      </c>
      <c r="AB50" s="276">
        <f t="shared" si="10"/>
        <v>0.24793858402047197</v>
      </c>
      <c r="AC50" s="277">
        <f t="shared" si="11"/>
        <v>48279000.000000007</v>
      </c>
    </row>
    <row r="51" spans="1:29" s="279" customFormat="1" ht="24.95" customHeight="1">
      <c r="A51" s="279" t="str">
        <f>IF(J51&gt;='116目標底稿SUMMARY'!$E$3,"TYPE_1",IF(J51&gt;='116目標底稿SUMMARY'!$E$4,"TYPE_2",IF(J51&gt;='116目標底稿SUMMARY'!$E$5,"TYPE_3","TYPE_4")))</f>
        <v>TYPE_1</v>
      </c>
      <c r="B51" s="272">
        <v>44</v>
      </c>
      <c r="C51" s="271" t="s">
        <v>0</v>
      </c>
      <c r="D51" s="272">
        <v>154</v>
      </c>
      <c r="E51" s="273" t="s">
        <v>8</v>
      </c>
      <c r="F51" s="272">
        <f>IF(ISERROR(VLOOKUP(D51,'115分組'!A:D,4,0)), "未分", VLOOKUP(D51,'115分組'!A:D,4,0))</f>
        <v>7</v>
      </c>
      <c r="G51" s="273">
        <f>ROUND(VLOOKUP(D51,'115_分行業績'!A:J,8,0), 0)</f>
        <v>49686844</v>
      </c>
      <c r="H51" s="274">
        <f>(VLOOKUP(D51, '底稿_前2年手收20%'!A:G,7,0)+VLOOKUP(D51, '底稿_前2年手收20%'!O:U,7,0))/2</f>
        <v>23360917.98</v>
      </c>
      <c r="I51" s="273">
        <f>VLOOKUP(D51,'115_分行業績'!A:I,9,0)</f>
        <v>38300000</v>
      </c>
      <c r="J51" s="456">
        <f t="shared" si="2"/>
        <v>1.3</v>
      </c>
      <c r="K51" s="456">
        <f t="shared" si="3"/>
        <v>1.03</v>
      </c>
      <c r="L51" s="273" t="str">
        <f t="shared" si="4"/>
        <v>130%以上、未達150%</v>
      </c>
      <c r="M51" s="273" t="str">
        <f t="shared" si="5"/>
        <v>預估實績*90%</v>
      </c>
      <c r="N51" s="273">
        <f t="shared" si="6"/>
        <v>44720000</v>
      </c>
      <c r="O51" s="273" t="str">
        <f>VLOOKUP(A51,'116目標底稿SUMMARY'!A:B,2,0)</f>
        <v>120%以上</v>
      </c>
      <c r="P51" s="273" t="str">
        <f>VLOOKUP(A51,'116目標底稿SUMMARY'!A:D,4,0)</f>
        <v>分行目標*120%*101%</v>
      </c>
      <c r="Q51" s="273">
        <f>ROUND(IF(A51 = "TYPE_1", I51*'116目標底稿SUMMARY'!$F$3*'116目標底稿SUMMARY'!$G$3, IF(A51 = "TYPE_2", G51*'116目標底稿SUMMARY'!$F$4, IF(A51 = "TYPE_3", G51*'116目標底稿SUMMARY'!$F$5, '116目標底稿ver1'!I51*'116目標底稿SUMMARY'!$F$6*'116目標底稿SUMMARY'!$G$6))), -4)</f>
        <v>46420000</v>
      </c>
      <c r="R51" s="452">
        <f t="shared" si="7"/>
        <v>1700000</v>
      </c>
      <c r="S51" s="274">
        <f>VLOOKUP(D51,'116指標1_前2年手收20%'!A:M,13,0)</f>
        <v>245284</v>
      </c>
      <c r="T51" s="274">
        <f>VLOOKUP(D51,'116指標2_存款25%'!A:F,6,0)</f>
        <v>603351</v>
      </c>
      <c r="U51" s="274">
        <f>VLOOKUP(D51,'116指標6_理財AUM25%'!A:F,6,0)</f>
        <v>342925</v>
      </c>
      <c r="V51" s="274">
        <f>VLOOKUP(D51,'116指標4_114分行人數25%'!A:Q,17,0)</f>
        <v>338403</v>
      </c>
      <c r="W51" s="274">
        <f>VLOOKUP(F51,'115分組'!D:F,3,0)</f>
        <v>60000</v>
      </c>
      <c r="X51" s="274"/>
      <c r="Y51" s="275">
        <f t="shared" si="1"/>
        <v>1590000</v>
      </c>
      <c r="Z51" s="451">
        <f t="shared" si="8"/>
        <v>48010000</v>
      </c>
      <c r="AA51" s="276">
        <f t="shared" si="9"/>
        <v>-3.3748249335377345E-2</v>
      </c>
      <c r="AB51" s="276">
        <f t="shared" si="10"/>
        <v>0.25352480417754575</v>
      </c>
      <c r="AC51" s="277">
        <f t="shared" si="11"/>
        <v>26405500.000000004</v>
      </c>
    </row>
    <row r="52" spans="1:29" s="279" customFormat="1" ht="24.95" customHeight="1">
      <c r="A52" s="279" t="str">
        <f>IF(J52&gt;='116目標底稿SUMMARY'!$E$3,"TYPE_1",IF(J52&gt;='116目標底稿SUMMARY'!$E$4,"TYPE_2",IF(J52&gt;='116目標底稿SUMMARY'!$E$5,"TYPE_3","TYPE_4")))</f>
        <v>TYPE_3</v>
      </c>
      <c r="B52" s="272">
        <v>45</v>
      </c>
      <c r="C52" s="271" t="s">
        <v>0</v>
      </c>
      <c r="D52" s="272">
        <v>156</v>
      </c>
      <c r="E52" s="273" t="s">
        <v>157</v>
      </c>
      <c r="F52" s="272">
        <f>IF(ISERROR(VLOOKUP(D52,'115分組'!A:D,4,0)), "未分", VLOOKUP(D52,'115分組'!A:D,4,0))</f>
        <v>3</v>
      </c>
      <c r="G52" s="273">
        <f>ROUND(VLOOKUP(D52,'115_分行業績'!A:J,8,0), 0)</f>
        <v>48887128</v>
      </c>
      <c r="H52" s="274">
        <f>(VLOOKUP(D52, '底稿_前2年手收20%'!A:G,7,0)+VLOOKUP(D52, '底稿_前2年手收20%'!O:U,7,0))/2</f>
        <v>30241809.82</v>
      </c>
      <c r="I52" s="273">
        <f>VLOOKUP(D52,'115_分行業績'!A:I,9,0)</f>
        <v>50930000</v>
      </c>
      <c r="J52" s="456">
        <f t="shared" si="2"/>
        <v>0.96</v>
      </c>
      <c r="K52" s="456">
        <f t="shared" si="3"/>
        <v>0.93</v>
      </c>
      <c r="L52" s="273" t="str">
        <f t="shared" si="4"/>
        <v>90%以上、未達100%</v>
      </c>
      <c r="M52" s="273" t="str">
        <f t="shared" si="5"/>
        <v>分行目標105%</v>
      </c>
      <c r="N52" s="273">
        <f t="shared" si="6"/>
        <v>53480000</v>
      </c>
      <c r="O52" s="273" t="str">
        <f>VLOOKUP(A52,'116目標底稿SUMMARY'!A:B,2,0)</f>
        <v>80%以上，未達100%</v>
      </c>
      <c r="P52" s="273" t="str">
        <f>VLOOKUP(A52,'116目標底稿SUMMARY'!A:D,4,0)</f>
        <v>預估實績*105%</v>
      </c>
      <c r="Q52" s="273">
        <f>ROUND(IF(A52 = "TYPE_1", I52*'116目標底稿SUMMARY'!$F$3*'116目標底稿SUMMARY'!$G$3, IF(A52 = "TYPE_2", G52*'116目標底稿SUMMARY'!$F$4, IF(A52 = "TYPE_3", G52*'116目標底稿SUMMARY'!$F$5, '116目標底稿ver1'!I52*'116目標底稿SUMMARY'!$F$6*'116目標底稿SUMMARY'!$G$6))), -4)</f>
        <v>50350000</v>
      </c>
      <c r="R52" s="452">
        <f t="shared" si="7"/>
        <v>-3130000</v>
      </c>
      <c r="S52" s="274">
        <f>VLOOKUP(D52,'116指標1_前2年手收20%'!A:M,13,0)</f>
        <v>359673</v>
      </c>
      <c r="T52" s="274">
        <f>VLOOKUP(D52,'116指標2_存款25%'!A:F,6,0)</f>
        <v>420864</v>
      </c>
      <c r="U52" s="274">
        <f>VLOOKUP(D52,'116指標6_理財AUM25%'!A:F,6,0)</f>
        <v>436838</v>
      </c>
      <c r="V52" s="274">
        <f>VLOOKUP(D52,'116指標4_114分行人數25%'!A:Q,17,0)</f>
        <v>617088</v>
      </c>
      <c r="W52" s="274">
        <f>VLOOKUP(F52,'115分組'!D:F,3,0)</f>
        <v>150000</v>
      </c>
      <c r="X52" s="274"/>
      <c r="Y52" s="275">
        <f t="shared" si="1"/>
        <v>1980000</v>
      </c>
      <c r="Z52" s="451">
        <f t="shared" si="8"/>
        <v>52330000</v>
      </c>
      <c r="AA52" s="276">
        <f t="shared" si="9"/>
        <v>7.0424918395697089E-2</v>
      </c>
      <c r="AB52" s="276">
        <f t="shared" si="10"/>
        <v>2.7488709994109461E-2</v>
      </c>
      <c r="AC52" s="277">
        <f t="shared" si="11"/>
        <v>28781500.000000004</v>
      </c>
    </row>
    <row r="53" spans="1:29" s="279" customFormat="1" ht="24.95" customHeight="1">
      <c r="A53" s="279" t="str">
        <f>IF(J53&gt;='116目標底稿SUMMARY'!$E$3,"TYPE_1",IF(J53&gt;='116目標底稿SUMMARY'!$E$4,"TYPE_2",IF(J53&gt;='116目標底稿SUMMARY'!$E$5,"TYPE_3","TYPE_4")))</f>
        <v>TYPE_2</v>
      </c>
      <c r="B53" s="272">
        <v>46</v>
      </c>
      <c r="C53" s="271" t="s">
        <v>0</v>
      </c>
      <c r="D53" s="272">
        <v>157</v>
      </c>
      <c r="E53" s="273" t="s">
        <v>158</v>
      </c>
      <c r="F53" s="272">
        <f>IF(ISERROR(VLOOKUP(D53,'115分組'!A:D,4,0)), "未分", VLOOKUP(D53,'115分組'!A:D,4,0))</f>
        <v>6</v>
      </c>
      <c r="G53" s="273">
        <f>ROUND(VLOOKUP(D53,'115_分行業績'!A:J,8,0), 0)</f>
        <v>37642448</v>
      </c>
      <c r="H53" s="274">
        <f>(VLOOKUP(D53, '底稿_前2年手收20%'!A:G,7,0)+VLOOKUP(D53, '底稿_前2年手收20%'!O:U,7,0))/2</f>
        <v>22675891.210000001</v>
      </c>
      <c r="I53" s="273">
        <f>VLOOKUP(D53,'115_分行業績'!A:I,9,0)</f>
        <v>37520000</v>
      </c>
      <c r="J53" s="456">
        <f t="shared" si="2"/>
        <v>1</v>
      </c>
      <c r="K53" s="456">
        <f t="shared" si="3"/>
        <v>0.94</v>
      </c>
      <c r="L53" s="273" t="str">
        <f t="shared" si="4"/>
        <v>100%以上、未達110%</v>
      </c>
      <c r="M53" s="273" t="str">
        <f t="shared" si="5"/>
        <v>預估實績105%</v>
      </c>
      <c r="N53" s="273">
        <f t="shared" si="6"/>
        <v>39520000</v>
      </c>
      <c r="O53" s="273" t="str">
        <f>VLOOKUP(A53,'116目標底稿SUMMARY'!A:B,2,0)</f>
        <v>100%以上，未達120%</v>
      </c>
      <c r="P53" s="273" t="str">
        <f>VLOOKUP(A53,'116目標底稿SUMMARY'!A:D,4,0)</f>
        <v>預估實績*103%</v>
      </c>
      <c r="Q53" s="273">
        <f>ROUND(IF(A53 = "TYPE_1", I53*'116目標底稿SUMMARY'!$F$3*'116目標底稿SUMMARY'!$G$3, IF(A53 = "TYPE_2", G53*'116目標底稿SUMMARY'!$F$4, IF(A53 = "TYPE_3", G53*'116目標底稿SUMMARY'!$F$5, '116目標底稿ver1'!I53*'116目標底稿SUMMARY'!$F$6*'116目標底稿SUMMARY'!$G$6))), -4)</f>
        <v>38020000</v>
      </c>
      <c r="R53" s="452">
        <f t="shared" si="7"/>
        <v>-1500000</v>
      </c>
      <c r="S53" s="274">
        <f>VLOOKUP(D53,'116指標1_前2年手收20%'!A:M,13,0)</f>
        <v>269690</v>
      </c>
      <c r="T53" s="274">
        <f>VLOOKUP(D53,'116指標2_存款25%'!A:F,6,0)</f>
        <v>415778</v>
      </c>
      <c r="U53" s="274">
        <f>VLOOKUP(D53,'116指標6_理財AUM25%'!A:F,6,0)</f>
        <v>477827</v>
      </c>
      <c r="V53" s="274">
        <f>VLOOKUP(D53,'116指標4_114分行人數25%'!A:Q,17,0)</f>
        <v>597182</v>
      </c>
      <c r="W53" s="274">
        <f>VLOOKUP(F53,'115分組'!D:F,3,0)</f>
        <v>80000</v>
      </c>
      <c r="X53" s="274"/>
      <c r="Y53" s="275">
        <f t="shared" si="1"/>
        <v>1840000</v>
      </c>
      <c r="Z53" s="451">
        <f t="shared" si="8"/>
        <v>39860000</v>
      </c>
      <c r="AA53" s="276">
        <f t="shared" si="9"/>
        <v>5.8910940117390842E-2</v>
      </c>
      <c r="AB53" s="276">
        <f t="shared" si="10"/>
        <v>6.2366737739872002E-2</v>
      </c>
      <c r="AC53" s="277">
        <f t="shared" si="11"/>
        <v>21923000</v>
      </c>
    </row>
    <row r="54" spans="1:29" s="279" customFormat="1" ht="24.95" customHeight="1">
      <c r="A54" s="279" t="str">
        <f>IF(J54&gt;='116目標底稿SUMMARY'!$E$3,"TYPE_1",IF(J54&gt;='116目標底稿SUMMARY'!$E$4,"TYPE_2",IF(J54&gt;='116目標底稿SUMMARY'!$E$5,"TYPE_3","TYPE_4")))</f>
        <v>TYPE_2</v>
      </c>
      <c r="B54" s="272">
        <v>47</v>
      </c>
      <c r="C54" s="271" t="s">
        <v>7</v>
      </c>
      <c r="D54" s="272">
        <v>158</v>
      </c>
      <c r="E54" s="273" t="s">
        <v>159</v>
      </c>
      <c r="F54" s="272">
        <f>IF(ISERROR(VLOOKUP(D54,'115分組'!A:D,4,0)), "未分", VLOOKUP(D54,'115分組'!A:D,4,0))</f>
        <v>2</v>
      </c>
      <c r="G54" s="273">
        <f>ROUND(VLOOKUP(D54,'115_分行業績'!A:J,8,0), 0)</f>
        <v>76700670</v>
      </c>
      <c r="H54" s="274">
        <f>(VLOOKUP(D54, '底稿_前2年手收20%'!A:G,7,0)+VLOOKUP(D54, '底稿_前2年手收20%'!O:U,7,0))/2</f>
        <v>56212341.299999997</v>
      </c>
      <c r="I54" s="273">
        <f>VLOOKUP(D54,'115_分行業績'!A:I,9,0)</f>
        <v>66080000</v>
      </c>
      <c r="J54" s="456">
        <f t="shared" si="2"/>
        <v>1.1599999999999999</v>
      </c>
      <c r="K54" s="456">
        <f t="shared" si="3"/>
        <v>0.96</v>
      </c>
      <c r="L54" s="273" t="str">
        <f t="shared" si="4"/>
        <v>110%以上、未達120%</v>
      </c>
      <c r="M54" s="273" t="str">
        <f t="shared" si="5"/>
        <v>預估實績*103%</v>
      </c>
      <c r="N54" s="273">
        <f t="shared" si="6"/>
        <v>79000000</v>
      </c>
      <c r="O54" s="273" t="str">
        <f>VLOOKUP(A54,'116目標底稿SUMMARY'!A:B,2,0)</f>
        <v>100%以上，未達120%</v>
      </c>
      <c r="P54" s="273" t="str">
        <f>VLOOKUP(A54,'116目標底稿SUMMARY'!A:D,4,0)</f>
        <v>預估實績*103%</v>
      </c>
      <c r="Q54" s="273">
        <f>ROUND(IF(A54 = "TYPE_1", I54*'116目標底稿SUMMARY'!$F$3*'116目標底稿SUMMARY'!$G$3, IF(A54 = "TYPE_2", G54*'116目標底稿SUMMARY'!$F$4, IF(A54 = "TYPE_3", G54*'116目標底稿SUMMARY'!$F$5, '116目標底稿ver1'!I54*'116目標底稿SUMMARY'!$F$6*'116目標底稿SUMMARY'!$G$6))), -4)</f>
        <v>77470000</v>
      </c>
      <c r="R54" s="452">
        <f t="shared" si="7"/>
        <v>-1530000</v>
      </c>
      <c r="S54" s="274">
        <f>VLOOKUP(D54,'116指標1_前2年手收20%'!A:M,13,0)</f>
        <v>557940</v>
      </c>
      <c r="T54" s="274">
        <f>VLOOKUP(D54,'116指標2_存款25%'!A:F,6,0)</f>
        <v>579451</v>
      </c>
      <c r="U54" s="274">
        <f>VLOOKUP(D54,'116指標6_理財AUM25%'!A:F,6,0)</f>
        <v>664119</v>
      </c>
      <c r="V54" s="274">
        <f>VLOOKUP(D54,'116指標4_114分行人數25%'!A:Q,17,0)</f>
        <v>597182</v>
      </c>
      <c r="W54" s="274">
        <f>VLOOKUP(F54,'115分組'!D:F,3,0)</f>
        <v>170000</v>
      </c>
      <c r="X54" s="274"/>
      <c r="Y54" s="275">
        <f t="shared" si="1"/>
        <v>2570000</v>
      </c>
      <c r="Z54" s="451">
        <f t="shared" si="8"/>
        <v>80040000</v>
      </c>
      <c r="AA54" s="276">
        <f t="shared" si="9"/>
        <v>4.3537168580144003E-2</v>
      </c>
      <c r="AB54" s="276">
        <f t="shared" si="10"/>
        <v>0.21125907990314774</v>
      </c>
      <c r="AC54" s="277">
        <f t="shared" si="11"/>
        <v>44022000</v>
      </c>
    </row>
    <row r="55" spans="1:29" s="279" customFormat="1" ht="24.95" customHeight="1">
      <c r="A55" s="279" t="str">
        <f>IF(J55&gt;='116目標底稿SUMMARY'!$E$3,"TYPE_1",IF(J55&gt;='116目標底稿SUMMARY'!$E$4,"TYPE_2",IF(J55&gt;='116目標底稿SUMMARY'!$E$5,"TYPE_3","TYPE_4")))</f>
        <v>TYPE_1</v>
      </c>
      <c r="B55" s="272">
        <v>48</v>
      </c>
      <c r="C55" s="271" t="s">
        <v>7</v>
      </c>
      <c r="D55" s="272">
        <v>159</v>
      </c>
      <c r="E55" s="273" t="s">
        <v>83</v>
      </c>
      <c r="F55" s="272">
        <f>IF(ISERROR(VLOOKUP(D55,'115分組'!A:D,4,0)), "未分", VLOOKUP(D55,'115分組'!A:D,4,0))</f>
        <v>1</v>
      </c>
      <c r="G55" s="273">
        <f>ROUND(VLOOKUP(D55,'115_分行業績'!A:J,8,0), 0)</f>
        <v>145784243</v>
      </c>
      <c r="H55" s="274">
        <f>(VLOOKUP(D55, '底稿_前2年手收20%'!A:G,7,0)+VLOOKUP(D55, '底稿_前2年手收20%'!O:U,7,0))/2</f>
        <v>105747669.64500001</v>
      </c>
      <c r="I55" s="273">
        <f>VLOOKUP(D55,'115_分行業績'!A:I,9,0)</f>
        <v>118930000</v>
      </c>
      <c r="J55" s="456">
        <f t="shared" si="2"/>
        <v>1.23</v>
      </c>
      <c r="K55" s="456">
        <f t="shared" si="3"/>
        <v>0.98</v>
      </c>
      <c r="L55" s="273" t="str">
        <f t="shared" si="4"/>
        <v>120%以上、未達130%</v>
      </c>
      <c r="M55" s="273" t="str">
        <f t="shared" si="5"/>
        <v>預估實績*101%</v>
      </c>
      <c r="N55" s="273">
        <f t="shared" si="6"/>
        <v>147240000</v>
      </c>
      <c r="O55" s="273" t="str">
        <f>VLOOKUP(A55,'116目標底稿SUMMARY'!A:B,2,0)</f>
        <v>120%以上</v>
      </c>
      <c r="P55" s="273" t="str">
        <f>VLOOKUP(A55,'116目標底稿SUMMARY'!A:D,4,0)</f>
        <v>分行目標*120%*101%</v>
      </c>
      <c r="Q55" s="273">
        <f>ROUND(IF(A55 = "TYPE_1", I55*'116目標底稿SUMMARY'!$F$3*'116目標底稿SUMMARY'!$G$3, IF(A55 = "TYPE_2", G55*'116目標底稿SUMMARY'!$F$4, IF(A55 = "TYPE_3", G55*'116目標底稿SUMMARY'!$F$5, '116目標底稿ver1'!I55*'116目標底稿SUMMARY'!$F$6*'116目標底稿SUMMARY'!$G$6))), -4)</f>
        <v>144140000</v>
      </c>
      <c r="R55" s="452">
        <f t="shared" si="7"/>
        <v>-3100000</v>
      </c>
      <c r="S55" s="274">
        <f>VLOOKUP(D55,'116指標1_前2年手收20%'!A:M,13,0)</f>
        <v>879208</v>
      </c>
      <c r="T55" s="274">
        <f>VLOOKUP(D55,'116指標2_存款25%'!A:F,6,0)</f>
        <v>1300192</v>
      </c>
      <c r="U55" s="274">
        <f>VLOOKUP(D55,'116指標6_理財AUM25%'!A:F,6,0)</f>
        <v>904113</v>
      </c>
      <c r="V55" s="274">
        <f>VLOOKUP(D55,'116指標4_114分行人數25%'!A:Q,17,0)</f>
        <v>756430</v>
      </c>
      <c r="W55" s="274">
        <f>VLOOKUP(F55,'115分組'!D:F,3,0)</f>
        <v>190000</v>
      </c>
      <c r="X55" s="274"/>
      <c r="Y55" s="275">
        <f t="shared" si="1"/>
        <v>4030000</v>
      </c>
      <c r="Z55" s="451">
        <f t="shared" si="8"/>
        <v>148170000</v>
      </c>
      <c r="AA55" s="276">
        <f t="shared" si="9"/>
        <v>1.636498534344355E-2</v>
      </c>
      <c r="AB55" s="276">
        <f t="shared" si="10"/>
        <v>0.24585890860169846</v>
      </c>
      <c r="AC55" s="277">
        <f t="shared" si="11"/>
        <v>81493500</v>
      </c>
    </row>
    <row r="56" spans="1:29" s="279" customFormat="1" ht="24.95" customHeight="1">
      <c r="A56" s="279" t="str">
        <f>IF(J56&gt;='116目標底稿SUMMARY'!$E$3,"TYPE_1",IF(J56&gt;='116目標底稿SUMMARY'!$E$4,"TYPE_2",IF(J56&gt;='116目標底稿SUMMARY'!$E$5,"TYPE_3","TYPE_4")))</f>
        <v>TYPE_1</v>
      </c>
      <c r="B56" s="272">
        <v>49</v>
      </c>
      <c r="C56" s="271" t="s">
        <v>7</v>
      </c>
      <c r="D56" s="272">
        <v>160</v>
      </c>
      <c r="E56" s="273" t="s">
        <v>9</v>
      </c>
      <c r="F56" s="272">
        <f>IF(ISERROR(VLOOKUP(D56,'115分組'!A:D,4,0)), "未分", VLOOKUP(D56,'115分組'!A:D,4,0))</f>
        <v>2</v>
      </c>
      <c r="G56" s="273">
        <f>ROUND(VLOOKUP(D56,'115_分行業績'!A:J,8,0), 0)</f>
        <v>104246307</v>
      </c>
      <c r="H56" s="274">
        <f>(VLOOKUP(D56, '底稿_前2年手收20%'!A:G,7,0)+VLOOKUP(D56, '底稿_前2年手收20%'!O:U,7,0))/2</f>
        <v>54912149.664999999</v>
      </c>
      <c r="I56" s="273">
        <f>VLOOKUP(D56,'115_分行業績'!A:I,9,0)</f>
        <v>79980000</v>
      </c>
      <c r="J56" s="456">
        <f t="shared" si="2"/>
        <v>1.3</v>
      </c>
      <c r="K56" s="456">
        <f t="shared" si="3"/>
        <v>1.05</v>
      </c>
      <c r="L56" s="273" t="str">
        <f t="shared" si="4"/>
        <v>130%以上、未達150%</v>
      </c>
      <c r="M56" s="273" t="str">
        <f t="shared" si="5"/>
        <v>預估實績*90%</v>
      </c>
      <c r="N56" s="273">
        <f t="shared" si="6"/>
        <v>93820000</v>
      </c>
      <c r="O56" s="273" t="str">
        <f>VLOOKUP(A56,'116目標底稿SUMMARY'!A:B,2,0)</f>
        <v>120%以上</v>
      </c>
      <c r="P56" s="273" t="str">
        <f>VLOOKUP(A56,'116目標底稿SUMMARY'!A:D,4,0)</f>
        <v>分行目標*120%*101%</v>
      </c>
      <c r="Q56" s="273">
        <f>ROUND(IF(A56 = "TYPE_1", I56*'116目標底稿SUMMARY'!$F$3*'116目標底稿SUMMARY'!$G$3, IF(A56 = "TYPE_2", G56*'116目標底稿SUMMARY'!$F$4, IF(A56 = "TYPE_3", G56*'116目標底稿SUMMARY'!$F$5, '116目標底稿ver1'!I56*'116目標底稿SUMMARY'!$F$6*'116目標底稿SUMMARY'!$G$6))), -4)</f>
        <v>96940000</v>
      </c>
      <c r="R56" s="452">
        <f t="shared" si="7"/>
        <v>3120000</v>
      </c>
      <c r="S56" s="274">
        <f>VLOOKUP(D56,'116指標1_前2年手收20%'!A:M,13,0)</f>
        <v>572363</v>
      </c>
      <c r="T56" s="274">
        <f>VLOOKUP(D56,'116指標2_存款25%'!A:F,6,0)</f>
        <v>757823</v>
      </c>
      <c r="U56" s="274">
        <f>VLOOKUP(D56,'116指標6_理財AUM25%'!A:F,6,0)</f>
        <v>576767</v>
      </c>
      <c r="V56" s="274">
        <f>VLOOKUP(D56,'116指標4_114分行人數25%'!A:Q,17,0)</f>
        <v>577276</v>
      </c>
      <c r="W56" s="274">
        <f>VLOOKUP(F56,'115分組'!D:F,3,0)</f>
        <v>170000</v>
      </c>
      <c r="X56" s="274"/>
      <c r="Y56" s="275">
        <f t="shared" si="1"/>
        <v>2650000</v>
      </c>
      <c r="Z56" s="451">
        <f t="shared" si="8"/>
        <v>99590000</v>
      </c>
      <c r="AA56" s="276">
        <f t="shared" si="9"/>
        <v>-4.4666397630757304E-2</v>
      </c>
      <c r="AB56" s="276">
        <f t="shared" si="10"/>
        <v>0.24518629657414359</v>
      </c>
      <c r="AC56" s="277">
        <f t="shared" si="11"/>
        <v>54774500.000000007</v>
      </c>
    </row>
    <row r="57" spans="1:29" s="279" customFormat="1" ht="24.95" customHeight="1">
      <c r="A57" s="279" t="str">
        <f>IF(J57&gt;='116目標底稿SUMMARY'!$E$3,"TYPE_1",IF(J57&gt;='116目標底稿SUMMARY'!$E$4,"TYPE_2",IF(J57&gt;='116目標底稿SUMMARY'!$E$5,"TYPE_3","TYPE_4")))</f>
        <v>TYPE_3</v>
      </c>
      <c r="B57" s="272">
        <v>50</v>
      </c>
      <c r="C57" s="271" t="s">
        <v>7</v>
      </c>
      <c r="D57" s="272">
        <v>161</v>
      </c>
      <c r="E57" s="273" t="s">
        <v>160</v>
      </c>
      <c r="F57" s="272">
        <f>IF(ISERROR(VLOOKUP(D57,'115分組'!A:D,4,0)), "未分", VLOOKUP(D57,'115分組'!A:D,4,0))</f>
        <v>8</v>
      </c>
      <c r="G57" s="273">
        <f>ROUND(VLOOKUP(D57,'115_分行業績'!A:J,8,0), 0)</f>
        <v>42318931</v>
      </c>
      <c r="H57" s="274">
        <f>(VLOOKUP(D57, '底稿_前2年手收20%'!A:G,7,0)+VLOOKUP(D57, '底稿_前2年手收20%'!O:U,7,0))/2</f>
        <v>35184971.030000001</v>
      </c>
      <c r="I57" s="273">
        <f>VLOOKUP(D57,'115_分行業績'!A:I,9,0)</f>
        <v>51780000</v>
      </c>
      <c r="J57" s="456">
        <f t="shared" si="2"/>
        <v>0.82</v>
      </c>
      <c r="K57" s="456">
        <f t="shared" si="3"/>
        <v>0.93</v>
      </c>
      <c r="L57" s="273" t="str">
        <f t="shared" si="4"/>
        <v>75%以上、未達90%</v>
      </c>
      <c r="M57" s="273" t="str">
        <f t="shared" si="5"/>
        <v>分行目標110%</v>
      </c>
      <c r="N57" s="273">
        <f t="shared" si="6"/>
        <v>56960000</v>
      </c>
      <c r="O57" s="273" t="str">
        <f>VLOOKUP(A57,'116目標底稿SUMMARY'!A:B,2,0)</f>
        <v>80%以上，未達100%</v>
      </c>
      <c r="P57" s="273" t="str">
        <f>VLOOKUP(A57,'116目標底稿SUMMARY'!A:D,4,0)</f>
        <v>預估實績*105%</v>
      </c>
      <c r="Q57" s="273">
        <f>ROUND(IF(A57 = "TYPE_1", I57*'116目標底稿SUMMARY'!$F$3*'116目標底稿SUMMARY'!$G$3, IF(A57 = "TYPE_2", G57*'116目標底稿SUMMARY'!$F$4, IF(A57 = "TYPE_3", G57*'116目標底稿SUMMARY'!$F$5, '116目標底稿ver1'!I57*'116目標底稿SUMMARY'!$F$6*'116目標底稿SUMMARY'!$G$6))), -4)</f>
        <v>43590000</v>
      </c>
      <c r="R57" s="452">
        <f t="shared" si="7"/>
        <v>-13370000</v>
      </c>
      <c r="S57" s="274">
        <f>VLOOKUP(D57,'116指標1_前2年手收20%'!A:M,13,0)</f>
        <v>403769</v>
      </c>
      <c r="T57" s="274">
        <f>VLOOKUP(D57,'116指標2_存款25%'!A:F,6,0)</f>
        <v>465821</v>
      </c>
      <c r="U57" s="274">
        <f>VLOOKUP(D57,'116指標6_理財AUM25%'!A:F,6,0)</f>
        <v>460792</v>
      </c>
      <c r="V57" s="274">
        <f>VLOOKUP(D57,'116指標4_114分行人數25%'!A:Q,17,0)</f>
        <v>497651</v>
      </c>
      <c r="W57" s="274">
        <f>VLOOKUP(F57,'115分組'!D:F,3,0)</f>
        <v>40000</v>
      </c>
      <c r="X57" s="274"/>
      <c r="Y57" s="275">
        <f t="shared" si="1"/>
        <v>1870000</v>
      </c>
      <c r="Z57" s="451">
        <f t="shared" si="8"/>
        <v>45460000</v>
      </c>
      <c r="AA57" s="276">
        <f t="shared" si="9"/>
        <v>7.4223732163744893E-2</v>
      </c>
      <c r="AB57" s="276">
        <f t="shared" si="10"/>
        <v>-0.12205484743144068</v>
      </c>
      <c r="AC57" s="277">
        <f t="shared" si="11"/>
        <v>25003000.000000004</v>
      </c>
    </row>
    <row r="58" spans="1:29" s="279" customFormat="1" ht="24.95" customHeight="1">
      <c r="A58" s="279" t="str">
        <f>IF(J58&gt;='116目標底稿SUMMARY'!$E$3,"TYPE_1",IF(J58&gt;='116目標底稿SUMMARY'!$E$4,"TYPE_2",IF(J58&gt;='116目標底稿SUMMARY'!$E$5,"TYPE_3","TYPE_4")))</f>
        <v>TYPE_1</v>
      </c>
      <c r="B58" s="272">
        <v>51</v>
      </c>
      <c r="C58" s="271" t="s">
        <v>7</v>
      </c>
      <c r="D58" s="272">
        <v>162</v>
      </c>
      <c r="E58" s="273" t="s">
        <v>10</v>
      </c>
      <c r="F58" s="272">
        <f>IF(ISERROR(VLOOKUP(D58,'115分組'!A:D,4,0)), "未分", VLOOKUP(D58,'115分組'!A:D,4,0))</f>
        <v>1</v>
      </c>
      <c r="G58" s="273">
        <f>ROUND(VLOOKUP(D58,'115_分行業績'!A:J,8,0), 0)</f>
        <v>178110527</v>
      </c>
      <c r="H58" s="274">
        <f>(VLOOKUP(D58, '底稿_前2年手收20%'!A:G,7,0)+VLOOKUP(D58, '底稿_前2年手收20%'!O:U,7,0))/2</f>
        <v>112686689.935</v>
      </c>
      <c r="I58" s="273">
        <f>VLOOKUP(D58,'115_分行業績'!A:I,9,0)</f>
        <v>111250000</v>
      </c>
      <c r="J58" s="456">
        <f t="shared" si="2"/>
        <v>1.6</v>
      </c>
      <c r="K58" s="456">
        <f t="shared" si="3"/>
        <v>1.28</v>
      </c>
      <c r="L58" s="273" t="str">
        <f t="shared" si="4"/>
        <v>150%以上、未達200%</v>
      </c>
      <c r="M58" s="273" t="str">
        <f t="shared" si="5"/>
        <v>預估實績*80%</v>
      </c>
      <c r="N58" s="273">
        <f t="shared" si="6"/>
        <v>142490000</v>
      </c>
      <c r="O58" s="273" t="str">
        <f>VLOOKUP(A58,'116目標底稿SUMMARY'!A:B,2,0)</f>
        <v>120%以上</v>
      </c>
      <c r="P58" s="273" t="str">
        <f>VLOOKUP(A58,'116目標底稿SUMMARY'!A:D,4,0)</f>
        <v>分行目標*120%*101%</v>
      </c>
      <c r="Q58" s="273">
        <f>ROUND(IF(A58 = "TYPE_1", I58*'116目標底稿SUMMARY'!$F$3*'116目標底稿SUMMARY'!$G$3, IF(A58 = "TYPE_2", G58*'116目標底稿SUMMARY'!$F$4, IF(A58 = "TYPE_3", G58*'116目標底稿SUMMARY'!$F$5, '116目標底稿ver1'!I58*'116目標底稿SUMMARY'!$F$6*'116目標底稿SUMMARY'!$G$6))), -4)</f>
        <v>134840000</v>
      </c>
      <c r="R58" s="452">
        <f t="shared" si="7"/>
        <v>-7650000</v>
      </c>
      <c r="S58" s="274">
        <f>VLOOKUP(D58,'116指標1_前2年手收20%'!A:M,13,0)</f>
        <v>907039</v>
      </c>
      <c r="T58" s="274">
        <f>VLOOKUP(D58,'116指標2_存款25%'!A:F,6,0)</f>
        <v>967037</v>
      </c>
      <c r="U58" s="274">
        <f>VLOOKUP(D58,'116指標6_理財AUM25%'!A:F,6,0)</f>
        <v>1016714</v>
      </c>
      <c r="V58" s="274">
        <f>VLOOKUP(D58,'116指標4_114分行人數25%'!A:Q,17,0)</f>
        <v>736524</v>
      </c>
      <c r="W58" s="274">
        <f>VLOOKUP(F58,'115分組'!D:F,3,0)</f>
        <v>190000</v>
      </c>
      <c r="X58" s="274"/>
      <c r="Y58" s="275">
        <f t="shared" si="1"/>
        <v>3820000</v>
      </c>
      <c r="Z58" s="451">
        <f t="shared" si="8"/>
        <v>138660000</v>
      </c>
      <c r="AA58" s="276">
        <f t="shared" si="9"/>
        <v>-0.2214946396739369</v>
      </c>
      <c r="AB58" s="276">
        <f t="shared" si="10"/>
        <v>0.24638202247191021</v>
      </c>
      <c r="AC58" s="277">
        <f t="shared" si="11"/>
        <v>76263000</v>
      </c>
    </row>
    <row r="59" spans="1:29" s="279" customFormat="1" ht="24.95" customHeight="1">
      <c r="A59" s="279" t="str">
        <f>IF(J59&gt;='116目標底稿SUMMARY'!$E$3,"TYPE_1",IF(J59&gt;='116目標底稿SUMMARY'!$E$4,"TYPE_2",IF(J59&gt;='116目標底稿SUMMARY'!$E$5,"TYPE_3","TYPE_4")))</f>
        <v>TYPE_3</v>
      </c>
      <c r="B59" s="272">
        <v>52</v>
      </c>
      <c r="C59" s="271" t="s">
        <v>11</v>
      </c>
      <c r="D59" s="272">
        <v>163</v>
      </c>
      <c r="E59" s="273" t="s">
        <v>12</v>
      </c>
      <c r="F59" s="272">
        <f>IF(ISERROR(VLOOKUP(D59,'115分組'!A:D,4,0)), "未分", VLOOKUP(D59,'115分組'!A:D,4,0))</f>
        <v>5</v>
      </c>
      <c r="G59" s="273">
        <f>ROUND(VLOOKUP(D59,'115_分行業績'!A:J,8,0), 0)</f>
        <v>47384123</v>
      </c>
      <c r="H59" s="274">
        <f>(VLOOKUP(D59, '底稿_前2年手收20%'!A:G,7,0)+VLOOKUP(D59, '底稿_前2年手收20%'!O:U,7,0))/2</f>
        <v>27888864.055</v>
      </c>
      <c r="I59" s="273">
        <f>VLOOKUP(D59,'115_分行業績'!A:I,9,0)</f>
        <v>57760000</v>
      </c>
      <c r="J59" s="456">
        <f t="shared" si="2"/>
        <v>0.82</v>
      </c>
      <c r="K59" s="456">
        <f t="shared" si="3"/>
        <v>0.93</v>
      </c>
      <c r="L59" s="273" t="str">
        <f t="shared" si="4"/>
        <v>75%以上、未達90%</v>
      </c>
      <c r="M59" s="273" t="str">
        <f t="shared" si="5"/>
        <v>分行目標110%</v>
      </c>
      <c r="N59" s="273">
        <f t="shared" si="6"/>
        <v>63540000</v>
      </c>
      <c r="O59" s="273" t="str">
        <f>VLOOKUP(A59,'116目標底稿SUMMARY'!A:B,2,0)</f>
        <v>80%以上，未達100%</v>
      </c>
      <c r="P59" s="273" t="str">
        <f>VLOOKUP(A59,'116目標底稿SUMMARY'!A:D,4,0)</f>
        <v>預估實績*105%</v>
      </c>
      <c r="Q59" s="273">
        <f>ROUND(IF(A59 = "TYPE_1", I59*'116目標底稿SUMMARY'!$F$3*'116目標底稿SUMMARY'!$G$3, IF(A59 = "TYPE_2", G59*'116目標底稿SUMMARY'!$F$4, IF(A59 = "TYPE_3", G59*'116目標底稿SUMMARY'!$F$5, '116目標底稿ver1'!I59*'116目標底稿SUMMARY'!$F$6*'116目標底稿SUMMARY'!$G$6))), -4)</f>
        <v>48810000</v>
      </c>
      <c r="R59" s="452">
        <f t="shared" si="7"/>
        <v>-14730000</v>
      </c>
      <c r="S59" s="274">
        <f>VLOOKUP(D59,'116指標1_前2年手收20%'!A:M,13,0)</f>
        <v>331689</v>
      </c>
      <c r="T59" s="274">
        <f>VLOOKUP(D59,'116指標2_存款25%'!A:F,6,0)</f>
        <v>667233</v>
      </c>
      <c r="U59" s="274">
        <f>VLOOKUP(D59,'116指標6_理財AUM25%'!A:F,6,0)</f>
        <v>479119</v>
      </c>
      <c r="V59" s="274">
        <f>VLOOKUP(D59,'116指標4_114分行人數25%'!A:Q,17,0)</f>
        <v>617088</v>
      </c>
      <c r="W59" s="274">
        <f>VLOOKUP(F59,'115分組'!D:F,3,0)</f>
        <v>100000</v>
      </c>
      <c r="X59" s="274"/>
      <c r="Y59" s="275">
        <f t="shared" si="1"/>
        <v>2200000</v>
      </c>
      <c r="Z59" s="451">
        <f t="shared" si="8"/>
        <v>51010000</v>
      </c>
      <c r="AA59" s="276">
        <f t="shared" si="9"/>
        <v>7.6520926640343268E-2</v>
      </c>
      <c r="AB59" s="276">
        <f t="shared" si="10"/>
        <v>-0.1168628808864266</v>
      </c>
      <c r="AC59" s="277">
        <f t="shared" si="11"/>
        <v>28055500.000000004</v>
      </c>
    </row>
    <row r="60" spans="1:29" s="279" customFormat="1" ht="24.95" customHeight="1">
      <c r="A60" s="279" t="str">
        <f>IF(J60&gt;='116目標底稿SUMMARY'!$E$3,"TYPE_1",IF(J60&gt;='116目標底稿SUMMARY'!$E$4,"TYPE_2",IF(J60&gt;='116目標底稿SUMMARY'!$E$5,"TYPE_3","TYPE_4")))</f>
        <v>TYPE_4</v>
      </c>
      <c r="B60" s="272">
        <v>53</v>
      </c>
      <c r="C60" s="271" t="s">
        <v>7</v>
      </c>
      <c r="D60" s="272">
        <v>164</v>
      </c>
      <c r="E60" s="273" t="s">
        <v>161</v>
      </c>
      <c r="F60" s="272">
        <f>IF(ISERROR(VLOOKUP(D60,'115分組'!A:D,4,0)), "未分", VLOOKUP(D60,'115分組'!A:D,4,0))</f>
        <v>4</v>
      </c>
      <c r="G60" s="273">
        <f>ROUND(VLOOKUP(D60,'115_分行業績'!A:J,8,0), 0)</f>
        <v>54719513</v>
      </c>
      <c r="H60" s="274">
        <f>(VLOOKUP(D60, '底稿_前2年手收20%'!A:G,7,0)+VLOOKUP(D60, '底稿_前2年手收20%'!O:U,7,0))/2</f>
        <v>40997842.019999996</v>
      </c>
      <c r="I60" s="273">
        <f>VLOOKUP(D60,'115_分行業績'!A:I,9,0)</f>
        <v>71460000</v>
      </c>
      <c r="J60" s="456">
        <f t="shared" si="2"/>
        <v>0.77</v>
      </c>
      <c r="K60" s="456">
        <f t="shared" si="3"/>
        <v>0.77</v>
      </c>
      <c r="L60" s="273" t="str">
        <f t="shared" si="4"/>
        <v>75%以上、未達90%</v>
      </c>
      <c r="M60" s="273" t="str">
        <f t="shared" si="5"/>
        <v>分行目標110%</v>
      </c>
      <c r="N60" s="273">
        <f t="shared" si="6"/>
        <v>78610000</v>
      </c>
      <c r="O60" s="273" t="str">
        <f>VLOOKUP(A60,'116目標底稿SUMMARY'!A:B,2,0)</f>
        <v>未達80%</v>
      </c>
      <c r="P60" s="273" t="str">
        <f>VLOOKUP(A60,'116目標底稿SUMMARY'!A:D,4,0)</f>
        <v>分行目標*80%*120%</v>
      </c>
      <c r="Q60" s="273">
        <f>ROUND(IF(A60 = "TYPE_1", I60*'116目標底稿SUMMARY'!$F$3*'116目標底稿SUMMARY'!$G$3, IF(A60 = "TYPE_2", G60*'116目標底稿SUMMARY'!$F$4, IF(A60 = "TYPE_3", G60*'116目標底稿SUMMARY'!$F$5, '116目標底稿ver1'!I60*'116目標底稿SUMMARY'!$F$6*'116目標底稿SUMMARY'!$G$6))), -4)</f>
        <v>68600000</v>
      </c>
      <c r="R60" s="452">
        <f t="shared" si="7"/>
        <v>-10010000</v>
      </c>
      <c r="S60" s="274">
        <f>VLOOKUP(D60,'116指標1_前2年手收20%'!A:M,13,0)</f>
        <v>487598</v>
      </c>
      <c r="T60" s="274">
        <f>VLOOKUP(D60,'116指標2_存款25%'!A:F,6,0)</f>
        <v>743804</v>
      </c>
      <c r="U60" s="274">
        <f>VLOOKUP(D60,'116指標6_理財AUM25%'!A:F,6,0)</f>
        <v>532638</v>
      </c>
      <c r="V60" s="274">
        <f>VLOOKUP(D60,'116指標4_114分行人數25%'!A:Q,17,0)</f>
        <v>597182</v>
      </c>
      <c r="W60" s="274">
        <f>VLOOKUP(F60,'115分組'!D:F,3,0)</f>
        <v>130000</v>
      </c>
      <c r="X60" s="274"/>
      <c r="Y60" s="275">
        <f t="shared" si="1"/>
        <v>2490000</v>
      </c>
      <c r="Z60" s="451">
        <f t="shared" si="8"/>
        <v>71090000</v>
      </c>
      <c r="AA60" s="276">
        <f t="shared" si="9"/>
        <v>0.29917091915638938</v>
      </c>
      <c r="AB60" s="276">
        <f t="shared" si="10"/>
        <v>-5.1777218024069427E-3</v>
      </c>
      <c r="AC60" s="277">
        <f t="shared" si="11"/>
        <v>39099500</v>
      </c>
    </row>
    <row r="61" spans="1:29" s="279" customFormat="1" ht="24.95" customHeight="1">
      <c r="A61" s="279" t="str">
        <f>IF(J61&gt;='116目標底稿SUMMARY'!$E$3,"TYPE_1",IF(J61&gt;='116目標底稿SUMMARY'!$E$4,"TYPE_2",IF(J61&gt;='116目標底稿SUMMARY'!$E$5,"TYPE_3","TYPE_4")))</f>
        <v>TYPE_1</v>
      </c>
      <c r="B61" s="272">
        <v>54</v>
      </c>
      <c r="C61" s="271" t="s">
        <v>7</v>
      </c>
      <c r="D61" s="272">
        <v>165</v>
      </c>
      <c r="E61" s="273" t="s">
        <v>13</v>
      </c>
      <c r="F61" s="272">
        <f>IF(ISERROR(VLOOKUP(D61,'115分組'!A:D,4,0)), "未分", VLOOKUP(D61,'115分組'!A:D,4,0))</f>
        <v>3</v>
      </c>
      <c r="G61" s="273">
        <f>ROUND(VLOOKUP(D61,'115_分行業績'!A:J,8,0), 0)</f>
        <v>132567789</v>
      </c>
      <c r="H61" s="274">
        <f>(VLOOKUP(D61, '底稿_前2年手收20%'!A:G,7,0)+VLOOKUP(D61, '底稿_前2年手收20%'!O:U,7,0))/2</f>
        <v>60001985.505000003</v>
      </c>
      <c r="I61" s="273">
        <f>VLOOKUP(D61,'115_分行業績'!A:I,9,0)</f>
        <v>85530000</v>
      </c>
      <c r="J61" s="456">
        <f t="shared" si="2"/>
        <v>1.55</v>
      </c>
      <c r="K61" s="456">
        <f t="shared" si="3"/>
        <v>1.24</v>
      </c>
      <c r="L61" s="273" t="str">
        <f t="shared" si="4"/>
        <v>150%以上、未達200%</v>
      </c>
      <c r="M61" s="273" t="str">
        <f t="shared" si="5"/>
        <v>預估實績*80%</v>
      </c>
      <c r="N61" s="273">
        <f t="shared" si="6"/>
        <v>106050000</v>
      </c>
      <c r="O61" s="273" t="str">
        <f>VLOOKUP(A61,'116目標底稿SUMMARY'!A:B,2,0)</f>
        <v>120%以上</v>
      </c>
      <c r="P61" s="273" t="str">
        <f>VLOOKUP(A61,'116目標底稿SUMMARY'!A:D,4,0)</f>
        <v>分行目標*120%*101%</v>
      </c>
      <c r="Q61" s="273">
        <f>ROUND(IF(A61 = "TYPE_1", I61*'116目標底稿SUMMARY'!$F$3*'116目標底稿SUMMARY'!$G$3, IF(A61 = "TYPE_2", G61*'116目標底稿SUMMARY'!$F$4, IF(A61 = "TYPE_3", G61*'116目標底稿SUMMARY'!$F$5, '116目標底稿ver1'!I61*'116目標底稿SUMMARY'!$F$6*'116目標底稿SUMMARY'!$G$6))), -4)</f>
        <v>103660000</v>
      </c>
      <c r="R61" s="452">
        <f t="shared" si="7"/>
        <v>-2390000</v>
      </c>
      <c r="S61" s="274">
        <f>VLOOKUP(D61,'116指標1_前2年手收20%'!A:M,13,0)</f>
        <v>694655</v>
      </c>
      <c r="T61" s="274">
        <f>VLOOKUP(D61,'116指標2_存款25%'!A:F,6,0)</f>
        <v>727586</v>
      </c>
      <c r="U61" s="274">
        <f>VLOOKUP(D61,'116指標6_理財AUM25%'!A:F,6,0)</f>
        <v>817254</v>
      </c>
      <c r="V61" s="274">
        <f>VLOOKUP(D61,'116指標4_114分行人數25%'!A:Q,17,0)</f>
        <v>676806</v>
      </c>
      <c r="W61" s="274">
        <f>VLOOKUP(F61,'115分組'!D:F,3,0)</f>
        <v>150000</v>
      </c>
      <c r="X61" s="274"/>
      <c r="Y61" s="275">
        <f t="shared" si="1"/>
        <v>3070000</v>
      </c>
      <c r="Z61" s="451">
        <f t="shared" si="8"/>
        <v>106730000</v>
      </c>
      <c r="AA61" s="276">
        <f t="shared" si="9"/>
        <v>-0.19490246608850059</v>
      </c>
      <c r="AB61" s="276">
        <f t="shared" si="10"/>
        <v>0.24786624576172112</v>
      </c>
      <c r="AC61" s="277">
        <f t="shared" si="11"/>
        <v>58701500.000000007</v>
      </c>
    </row>
    <row r="62" spans="1:29" s="279" customFormat="1" ht="24.95" customHeight="1">
      <c r="A62" s="279" t="str">
        <f>IF(J62&gt;='116目標底稿SUMMARY'!$E$3,"TYPE_1",IF(J62&gt;='116目標底稿SUMMARY'!$E$4,"TYPE_2",IF(J62&gt;='116目標底稿SUMMARY'!$E$5,"TYPE_3","TYPE_4")))</f>
        <v>TYPE_3</v>
      </c>
      <c r="B62" s="272">
        <v>55</v>
      </c>
      <c r="C62" s="271" t="s">
        <v>7</v>
      </c>
      <c r="D62" s="272">
        <v>166</v>
      </c>
      <c r="E62" s="273" t="s">
        <v>84</v>
      </c>
      <c r="F62" s="272">
        <f>IF(ISERROR(VLOOKUP(D62,'115分組'!A:D,4,0)), "未分", VLOOKUP(D62,'115分組'!A:D,4,0))</f>
        <v>3</v>
      </c>
      <c r="G62" s="273">
        <f>ROUND(VLOOKUP(D62,'115_分行業績'!A:J,8,0), 0)</f>
        <v>58273963</v>
      </c>
      <c r="H62" s="274">
        <f>(VLOOKUP(D62, '底稿_前2年手收20%'!A:G,7,0)+VLOOKUP(D62, '底稿_前2年手收20%'!O:U,7,0))/2</f>
        <v>32099615.780000001</v>
      </c>
      <c r="I62" s="273">
        <f>VLOOKUP(D62,'115_分行業績'!A:I,9,0)</f>
        <v>64930000</v>
      </c>
      <c r="J62" s="456">
        <f t="shared" si="2"/>
        <v>0.9</v>
      </c>
      <c r="K62" s="456">
        <f t="shared" si="3"/>
        <v>0.93</v>
      </c>
      <c r="L62" s="273" t="str">
        <f t="shared" si="4"/>
        <v>90%以上、未達100%</v>
      </c>
      <c r="M62" s="273" t="str">
        <f t="shared" si="5"/>
        <v>分行目標105%</v>
      </c>
      <c r="N62" s="273">
        <f t="shared" si="6"/>
        <v>68180000</v>
      </c>
      <c r="O62" s="273" t="str">
        <f>VLOOKUP(A62,'116目標底稿SUMMARY'!A:B,2,0)</f>
        <v>80%以上，未達100%</v>
      </c>
      <c r="P62" s="273" t="str">
        <f>VLOOKUP(A62,'116目標底稿SUMMARY'!A:D,4,0)</f>
        <v>預估實績*105%</v>
      </c>
      <c r="Q62" s="273">
        <f>ROUND(IF(A62 = "TYPE_1", I62*'116目標底稿SUMMARY'!$F$3*'116目標底稿SUMMARY'!$G$3, IF(A62 = "TYPE_2", G62*'116目標底稿SUMMARY'!$F$4, IF(A62 = "TYPE_3", G62*'116目標底稿SUMMARY'!$F$5, '116目標底稿ver1'!I62*'116目標底稿SUMMARY'!$F$6*'116目標底稿SUMMARY'!$G$6))), -4)</f>
        <v>60020000</v>
      </c>
      <c r="R62" s="452">
        <f t="shared" si="7"/>
        <v>-8160000</v>
      </c>
      <c r="S62" s="274">
        <f>VLOOKUP(D62,'116指標1_前2年手收20%'!A:M,13,0)</f>
        <v>381769</v>
      </c>
      <c r="T62" s="274">
        <f>VLOOKUP(D62,'116指標2_存款25%'!A:F,6,0)</f>
        <v>881016</v>
      </c>
      <c r="U62" s="274">
        <f>VLOOKUP(D62,'116指標6_理財AUM25%'!A:F,6,0)</f>
        <v>708909</v>
      </c>
      <c r="V62" s="274">
        <f>VLOOKUP(D62,'116指標4_114分行人數25%'!A:Q,17,0)</f>
        <v>636994</v>
      </c>
      <c r="W62" s="274">
        <f>VLOOKUP(F62,'115分組'!D:F,3,0)</f>
        <v>150000</v>
      </c>
      <c r="X62" s="274"/>
      <c r="Y62" s="275">
        <f t="shared" si="1"/>
        <v>2760000</v>
      </c>
      <c r="Z62" s="451">
        <f t="shared" si="8"/>
        <v>62780000</v>
      </c>
      <c r="AA62" s="276">
        <f t="shared" si="9"/>
        <v>7.7325048238095606E-2</v>
      </c>
      <c r="AB62" s="276">
        <f t="shared" si="10"/>
        <v>-3.3112582781456901E-2</v>
      </c>
      <c r="AC62" s="277">
        <f t="shared" si="11"/>
        <v>34529000</v>
      </c>
    </row>
    <row r="63" spans="1:29" s="279" customFormat="1" ht="24.95" customHeight="1">
      <c r="A63" s="279" t="str">
        <f>IF(J63&gt;='116目標底稿SUMMARY'!$E$3,"TYPE_1",IF(J63&gt;='116目標底稿SUMMARY'!$E$4,"TYPE_2",IF(J63&gt;='116目標底稿SUMMARY'!$E$5,"TYPE_3","TYPE_4")))</f>
        <v>TYPE_3</v>
      </c>
      <c r="B63" s="272">
        <v>56</v>
      </c>
      <c r="C63" s="271" t="s">
        <v>7</v>
      </c>
      <c r="D63" s="272">
        <v>167</v>
      </c>
      <c r="E63" s="273" t="s">
        <v>162</v>
      </c>
      <c r="F63" s="272">
        <f>IF(ISERROR(VLOOKUP(D63,'115分組'!A:D,4,0)), "未分", VLOOKUP(D63,'115分組'!A:D,4,0))</f>
        <v>2</v>
      </c>
      <c r="G63" s="273">
        <f>ROUND(VLOOKUP(D63,'115_分行業績'!A:J,8,0), 0)</f>
        <v>87988931</v>
      </c>
      <c r="H63" s="274">
        <f>(VLOOKUP(D63, '底稿_前2年手收20%'!A:G,7,0)+VLOOKUP(D63, '底稿_前2年手收20%'!O:U,7,0))/2</f>
        <v>55604626.469999999</v>
      </c>
      <c r="I63" s="273">
        <f>VLOOKUP(D63,'115_分行業績'!A:I,9,0)</f>
        <v>100880000</v>
      </c>
      <c r="J63" s="456">
        <f t="shared" si="2"/>
        <v>0.87</v>
      </c>
      <c r="K63" s="456">
        <f t="shared" si="3"/>
        <v>0.94</v>
      </c>
      <c r="L63" s="273" t="str">
        <f t="shared" si="4"/>
        <v>75%以上、未達90%</v>
      </c>
      <c r="M63" s="273" t="str">
        <f t="shared" si="5"/>
        <v>分行目標110%</v>
      </c>
      <c r="N63" s="273">
        <f t="shared" si="6"/>
        <v>110970000</v>
      </c>
      <c r="O63" s="273" t="str">
        <f>VLOOKUP(A63,'116目標底稿SUMMARY'!A:B,2,0)</f>
        <v>80%以上，未達100%</v>
      </c>
      <c r="P63" s="273" t="str">
        <f>VLOOKUP(A63,'116目標底稿SUMMARY'!A:D,4,0)</f>
        <v>預估實績*105%</v>
      </c>
      <c r="Q63" s="273">
        <f>ROUND(IF(A63 = "TYPE_1", I63*'116目標底稿SUMMARY'!$F$3*'116目標底稿SUMMARY'!$G$3, IF(A63 = "TYPE_2", G63*'116目標底稿SUMMARY'!$F$4, IF(A63 = "TYPE_3", G63*'116目標底稿SUMMARY'!$F$5, '116目標底稿ver1'!I63*'116目標底稿SUMMARY'!$F$6*'116目標底稿SUMMARY'!$G$6))), -4)</f>
        <v>90630000</v>
      </c>
      <c r="R63" s="452">
        <f t="shared" si="7"/>
        <v>-20340000</v>
      </c>
      <c r="S63" s="274">
        <f>VLOOKUP(D63,'116指標1_前2年手收20%'!A:M,13,0)</f>
        <v>635527</v>
      </c>
      <c r="T63" s="274">
        <f>VLOOKUP(D63,'116指標2_存款25%'!A:F,6,0)</f>
        <v>1188284</v>
      </c>
      <c r="U63" s="274">
        <f>VLOOKUP(D63,'116指標6_理財AUM25%'!A:F,6,0)</f>
        <v>741542</v>
      </c>
      <c r="V63" s="274">
        <f>VLOOKUP(D63,'116指標4_114分行人數25%'!A:Q,17,0)</f>
        <v>696712</v>
      </c>
      <c r="W63" s="274">
        <f>VLOOKUP(F63,'115分組'!D:F,3,0)</f>
        <v>170000</v>
      </c>
      <c r="X63" s="274"/>
      <c r="Y63" s="275">
        <f t="shared" si="1"/>
        <v>3430000</v>
      </c>
      <c r="Z63" s="451">
        <f t="shared" si="8"/>
        <v>94060000</v>
      </c>
      <c r="AA63" s="276">
        <f t="shared" si="9"/>
        <v>6.8998099317742589E-2</v>
      </c>
      <c r="AB63" s="276">
        <f t="shared" si="10"/>
        <v>-6.7605075337034082E-2</v>
      </c>
      <c r="AC63" s="277">
        <f t="shared" si="11"/>
        <v>51733000.000000007</v>
      </c>
    </row>
    <row r="64" spans="1:29" s="279" customFormat="1" ht="24.95" customHeight="1">
      <c r="A64" s="279" t="str">
        <f>IF(J64&gt;='116目標底稿SUMMARY'!$E$3,"TYPE_1",IF(J64&gt;='116目標底稿SUMMARY'!$E$4,"TYPE_2",IF(J64&gt;='116目標底稿SUMMARY'!$E$5,"TYPE_3","TYPE_4")))</f>
        <v>TYPE_2</v>
      </c>
      <c r="B64" s="272">
        <v>57</v>
      </c>
      <c r="C64" s="271" t="s">
        <v>7</v>
      </c>
      <c r="D64" s="272">
        <v>168</v>
      </c>
      <c r="E64" s="273" t="s">
        <v>163</v>
      </c>
      <c r="F64" s="272">
        <f>IF(ISERROR(VLOOKUP(D64,'115分組'!A:D,4,0)), "未分", VLOOKUP(D64,'115分組'!A:D,4,0))</f>
        <v>3</v>
      </c>
      <c r="G64" s="273">
        <f>ROUND(VLOOKUP(D64,'115_分行業績'!A:J,8,0), 0)</f>
        <v>99414533</v>
      </c>
      <c r="H64" s="274">
        <f>(VLOOKUP(D64, '底稿_前2年手收20%'!A:G,7,0)+VLOOKUP(D64, '底稿_前2年手收20%'!O:U,7,0))/2</f>
        <v>57681683.359999999</v>
      </c>
      <c r="I64" s="273">
        <f>VLOOKUP(D64,'115_分行業績'!A:I,9,0)</f>
        <v>93940000</v>
      </c>
      <c r="J64" s="456">
        <f t="shared" si="2"/>
        <v>1.06</v>
      </c>
      <c r="K64" s="456">
        <f t="shared" si="3"/>
        <v>0.96</v>
      </c>
      <c r="L64" s="273" t="str">
        <f t="shared" si="4"/>
        <v>100%以上、未達110%</v>
      </c>
      <c r="M64" s="273" t="str">
        <f t="shared" si="5"/>
        <v>預估實績105%</v>
      </c>
      <c r="N64" s="273">
        <f t="shared" si="6"/>
        <v>104390000</v>
      </c>
      <c r="O64" s="273" t="str">
        <f>VLOOKUP(A64,'116目標底稿SUMMARY'!A:B,2,0)</f>
        <v>100%以上，未達120%</v>
      </c>
      <c r="P64" s="273" t="str">
        <f>VLOOKUP(A64,'116目標底稿SUMMARY'!A:D,4,0)</f>
        <v>預估實績*103%</v>
      </c>
      <c r="Q64" s="273">
        <f>ROUND(IF(A64 = "TYPE_1", I64*'116目標底稿SUMMARY'!$F$3*'116目標底稿SUMMARY'!$G$3, IF(A64 = "TYPE_2", G64*'116目標底稿SUMMARY'!$F$4, IF(A64 = "TYPE_3", G64*'116目標底稿SUMMARY'!$F$5, '116目標底稿ver1'!I64*'116目標底稿SUMMARY'!$F$6*'116目標底稿SUMMARY'!$G$6))), -4)</f>
        <v>100410000</v>
      </c>
      <c r="R64" s="452">
        <f t="shared" si="7"/>
        <v>-3980000</v>
      </c>
      <c r="S64" s="274">
        <f>VLOOKUP(D64,'116指標1_前2年手收20%'!A:M,13,0)</f>
        <v>652579</v>
      </c>
      <c r="T64" s="274">
        <f>VLOOKUP(D64,'116指標2_存款25%'!A:F,6,0)</f>
        <v>899394</v>
      </c>
      <c r="U64" s="274">
        <f>VLOOKUP(D64,'116指標6_理財AUM25%'!A:F,6,0)</f>
        <v>849264</v>
      </c>
      <c r="V64" s="274">
        <f>VLOOKUP(D64,'116指標4_114分行人數25%'!A:Q,17,0)</f>
        <v>676806</v>
      </c>
      <c r="W64" s="274">
        <f>VLOOKUP(F64,'115分組'!D:F,3,0)</f>
        <v>150000</v>
      </c>
      <c r="X64" s="274"/>
      <c r="Y64" s="275">
        <f t="shared" si="1"/>
        <v>3230000</v>
      </c>
      <c r="Z64" s="451">
        <f t="shared" si="8"/>
        <v>103640000</v>
      </c>
      <c r="AA64" s="276">
        <f t="shared" si="9"/>
        <v>4.2503514048594981E-2</v>
      </c>
      <c r="AB64" s="276">
        <f t="shared" si="10"/>
        <v>0.10325739833936565</v>
      </c>
      <c r="AC64" s="277">
        <f t="shared" si="11"/>
        <v>57002000.000000007</v>
      </c>
    </row>
    <row r="65" spans="1:29" s="279" customFormat="1" ht="24.95" customHeight="1">
      <c r="A65" s="279" t="str">
        <f>IF(J65&gt;='116目標底稿SUMMARY'!$E$3,"TYPE_1",IF(J65&gt;='116目標底稿SUMMARY'!$E$4,"TYPE_2",IF(J65&gt;='116目標底稿SUMMARY'!$E$5,"TYPE_3","TYPE_4")))</f>
        <v>TYPE_3</v>
      </c>
      <c r="B65" s="272">
        <v>58</v>
      </c>
      <c r="C65" s="271" t="s">
        <v>7</v>
      </c>
      <c r="D65" s="272">
        <v>169</v>
      </c>
      <c r="E65" s="273" t="s">
        <v>85</v>
      </c>
      <c r="F65" s="272">
        <f>IF(ISERROR(VLOOKUP(D65,'115分組'!A:D,4,0)), "未分", VLOOKUP(D65,'115分組'!A:D,4,0))</f>
        <v>4</v>
      </c>
      <c r="G65" s="273">
        <f>ROUND(VLOOKUP(D65,'115_分行業績'!A:J,8,0), 0)</f>
        <v>71520993</v>
      </c>
      <c r="H65" s="274">
        <f>(VLOOKUP(D65, '底稿_前2年手收20%'!A:G,7,0)+VLOOKUP(D65, '底稿_前2年手收20%'!O:U,7,0))/2</f>
        <v>42936707.210000001</v>
      </c>
      <c r="I65" s="273">
        <f>VLOOKUP(D65,'115_分行業績'!A:I,9,0)</f>
        <v>75130000</v>
      </c>
      <c r="J65" s="456">
        <f t="shared" si="2"/>
        <v>0.95</v>
      </c>
      <c r="K65" s="456">
        <f t="shared" si="3"/>
        <v>0.94</v>
      </c>
      <c r="L65" s="273" t="str">
        <f t="shared" si="4"/>
        <v>90%以上、未達100%</v>
      </c>
      <c r="M65" s="273" t="str">
        <f t="shared" si="5"/>
        <v>分行目標105%</v>
      </c>
      <c r="N65" s="273">
        <f t="shared" si="6"/>
        <v>78890000</v>
      </c>
      <c r="O65" s="273" t="str">
        <f>VLOOKUP(A65,'116目標底稿SUMMARY'!A:B,2,0)</f>
        <v>80%以上，未達100%</v>
      </c>
      <c r="P65" s="273" t="str">
        <f>VLOOKUP(A65,'116目標底稿SUMMARY'!A:D,4,0)</f>
        <v>預估實績*105%</v>
      </c>
      <c r="Q65" s="273">
        <f>ROUND(IF(A65 = "TYPE_1", I65*'116目標底稿SUMMARY'!$F$3*'116目標底稿SUMMARY'!$G$3, IF(A65 = "TYPE_2", G65*'116目標底稿SUMMARY'!$F$4, IF(A65 = "TYPE_3", G65*'116目標底稿SUMMARY'!$F$5, '116目標底稿ver1'!I65*'116目標底稿SUMMARY'!$F$6*'116目標底稿SUMMARY'!$G$6))), -4)</f>
        <v>73670000</v>
      </c>
      <c r="R65" s="452">
        <f t="shared" si="7"/>
        <v>-5220000</v>
      </c>
      <c r="S65" s="274">
        <f>VLOOKUP(D65,'116指標1_前2年手收20%'!A:M,13,0)</f>
        <v>510657</v>
      </c>
      <c r="T65" s="274">
        <f>VLOOKUP(D65,'116指標2_存款25%'!A:F,6,0)</f>
        <v>826132</v>
      </c>
      <c r="U65" s="274">
        <f>VLOOKUP(D65,'116指標6_理財AUM25%'!A:F,6,0)</f>
        <v>643930</v>
      </c>
      <c r="V65" s="274">
        <f>VLOOKUP(D65,'116指標4_114分行人數25%'!A:Q,17,0)</f>
        <v>577276</v>
      </c>
      <c r="W65" s="274">
        <f>VLOOKUP(F65,'115分組'!D:F,3,0)</f>
        <v>130000</v>
      </c>
      <c r="X65" s="274"/>
      <c r="Y65" s="275">
        <f t="shared" si="1"/>
        <v>2690000</v>
      </c>
      <c r="Z65" s="451">
        <f t="shared" si="8"/>
        <v>76360000</v>
      </c>
      <c r="AA65" s="276">
        <f t="shared" si="9"/>
        <v>6.7658554461065723E-2</v>
      </c>
      <c r="AB65" s="276">
        <f t="shared" si="10"/>
        <v>1.637162252096358E-2</v>
      </c>
      <c r="AC65" s="277">
        <f t="shared" si="11"/>
        <v>41998000</v>
      </c>
    </row>
    <row r="66" spans="1:29" s="279" customFormat="1" ht="24.95" customHeight="1">
      <c r="A66" s="279" t="str">
        <f>IF(J66&gt;='116目標底稿SUMMARY'!$E$3,"TYPE_1",IF(J66&gt;='116目標底稿SUMMARY'!$E$4,"TYPE_2",IF(J66&gt;='116目標底稿SUMMARY'!$E$5,"TYPE_3","TYPE_4")))</f>
        <v>TYPE_1</v>
      </c>
      <c r="B66" s="272">
        <v>59</v>
      </c>
      <c r="C66" s="271" t="s">
        <v>7</v>
      </c>
      <c r="D66" s="272">
        <v>170</v>
      </c>
      <c r="E66" s="273" t="s">
        <v>164</v>
      </c>
      <c r="F66" s="272">
        <f>IF(ISERROR(VLOOKUP(D66,'115分組'!A:D,4,0)), "未分", VLOOKUP(D66,'115分組'!A:D,4,0))</f>
        <v>3</v>
      </c>
      <c r="G66" s="273">
        <f>ROUND(VLOOKUP(D66,'115_分行業績'!A:J,8,0), 0)</f>
        <v>76868205</v>
      </c>
      <c r="H66" s="274">
        <f>(VLOOKUP(D66, '底稿_前2年手收20%'!A:G,7,0)+VLOOKUP(D66, '底稿_前2年手收20%'!O:U,7,0))/2</f>
        <v>38899779.174999997</v>
      </c>
      <c r="I66" s="273">
        <f>VLOOKUP(D66,'115_分行業績'!A:I,9,0)</f>
        <v>64280000</v>
      </c>
      <c r="J66" s="456">
        <f t="shared" si="2"/>
        <v>1.2</v>
      </c>
      <c r="K66" s="456">
        <f t="shared" si="3"/>
        <v>0.96</v>
      </c>
      <c r="L66" s="273" t="str">
        <f t="shared" si="4"/>
        <v>120%以上、未達130%</v>
      </c>
      <c r="M66" s="273" t="str">
        <f t="shared" si="5"/>
        <v>預估實績*101%</v>
      </c>
      <c r="N66" s="273">
        <f t="shared" si="6"/>
        <v>77640000</v>
      </c>
      <c r="O66" s="273" t="str">
        <f>VLOOKUP(A66,'116目標底稿SUMMARY'!A:B,2,0)</f>
        <v>120%以上</v>
      </c>
      <c r="P66" s="273" t="str">
        <f>VLOOKUP(A66,'116目標底稿SUMMARY'!A:D,4,0)</f>
        <v>分行目標*120%*101%</v>
      </c>
      <c r="Q66" s="273">
        <f>ROUND(IF(A66 = "TYPE_1", I66*'116目標底稿SUMMARY'!$F$3*'116目標底稿SUMMARY'!$G$3, IF(A66 = "TYPE_2", G66*'116目標底稿SUMMARY'!$F$4, IF(A66 = "TYPE_3", G66*'116目標底稿SUMMARY'!$F$5, '116目標底稿ver1'!I66*'116目標底稿SUMMARY'!$F$6*'116目標底稿SUMMARY'!$G$6))), -4)</f>
        <v>77910000</v>
      </c>
      <c r="R66" s="452">
        <f t="shared" si="7"/>
        <v>270000</v>
      </c>
      <c r="S66" s="274">
        <f>VLOOKUP(D66,'116指標1_前2年手收20%'!A:M,13,0)</f>
        <v>462645</v>
      </c>
      <c r="T66" s="274">
        <f>VLOOKUP(D66,'116指標2_存款25%'!A:F,6,0)</f>
        <v>707823</v>
      </c>
      <c r="U66" s="274">
        <f>VLOOKUP(D66,'116指標6_理財AUM25%'!A:F,6,0)</f>
        <v>571733</v>
      </c>
      <c r="V66" s="274">
        <f>VLOOKUP(D66,'116指標4_114分行人數25%'!A:Q,17,0)</f>
        <v>537464</v>
      </c>
      <c r="W66" s="274">
        <f>VLOOKUP(F66,'115分組'!D:F,3,0)</f>
        <v>150000</v>
      </c>
      <c r="X66" s="274"/>
      <c r="Y66" s="275">
        <f t="shared" si="1"/>
        <v>2430000</v>
      </c>
      <c r="Z66" s="451">
        <f t="shared" si="8"/>
        <v>80340000</v>
      </c>
      <c r="AA66" s="276">
        <f t="shared" si="9"/>
        <v>4.5165553169870476E-2</v>
      </c>
      <c r="AB66" s="276">
        <f t="shared" si="10"/>
        <v>0.24984443061605477</v>
      </c>
      <c r="AC66" s="277">
        <f t="shared" si="11"/>
        <v>44187000</v>
      </c>
    </row>
    <row r="67" spans="1:29" s="279" customFormat="1" ht="24.95" customHeight="1">
      <c r="A67" s="279" t="str">
        <f>IF(J67&gt;='116目標底稿SUMMARY'!$E$3,"TYPE_1",IF(J67&gt;='116目標底稿SUMMARY'!$E$4,"TYPE_2",IF(J67&gt;='116目標底稿SUMMARY'!$E$5,"TYPE_3","TYPE_4")))</f>
        <v>TYPE_1</v>
      </c>
      <c r="B67" s="272">
        <v>60</v>
      </c>
      <c r="C67" s="271" t="s">
        <v>7</v>
      </c>
      <c r="D67" s="272">
        <v>171</v>
      </c>
      <c r="E67" s="273" t="s">
        <v>86</v>
      </c>
      <c r="F67" s="272">
        <f>IF(ISERROR(VLOOKUP(D67,'115分組'!A:D,4,0)), "未分", VLOOKUP(D67,'115分組'!A:D,4,0))</f>
        <v>6</v>
      </c>
      <c r="G67" s="273">
        <f>ROUND(VLOOKUP(D67,'115_分行業績'!A:J,8,0), 0)</f>
        <v>89702081</v>
      </c>
      <c r="H67" s="274">
        <f>(VLOOKUP(D67, '底稿_前2年手收20%'!A:G,7,0)+VLOOKUP(D67, '底稿_前2年手收20%'!O:U,7,0))/2</f>
        <v>45396757.150000006</v>
      </c>
      <c r="I67" s="273">
        <f>VLOOKUP(D67,'115_分行業績'!A:I,9,0)</f>
        <v>61230000</v>
      </c>
      <c r="J67" s="456">
        <f t="shared" si="2"/>
        <v>1.47</v>
      </c>
      <c r="K67" s="456">
        <f t="shared" si="3"/>
        <v>1.17</v>
      </c>
      <c r="L67" s="273" t="str">
        <f t="shared" si="4"/>
        <v>130%以上、未達150%</v>
      </c>
      <c r="M67" s="273" t="str">
        <f t="shared" si="5"/>
        <v>預估實績*90%</v>
      </c>
      <c r="N67" s="273">
        <f t="shared" si="6"/>
        <v>80730000</v>
      </c>
      <c r="O67" s="273" t="str">
        <f>VLOOKUP(A67,'116目標底稿SUMMARY'!A:B,2,0)</f>
        <v>120%以上</v>
      </c>
      <c r="P67" s="273" t="str">
        <f>VLOOKUP(A67,'116目標底稿SUMMARY'!A:D,4,0)</f>
        <v>分行目標*120%*101%</v>
      </c>
      <c r="Q67" s="273">
        <f>ROUND(IF(A67 = "TYPE_1", I67*'116目標底稿SUMMARY'!$F$3*'116目標底稿SUMMARY'!$G$3, IF(A67 = "TYPE_2", G67*'116目標底稿SUMMARY'!$F$4, IF(A67 = "TYPE_3", G67*'116目標底稿SUMMARY'!$F$5, '116目標底稿ver1'!I67*'116目標底稿SUMMARY'!$F$6*'116目標底稿SUMMARY'!$G$6))), -4)</f>
        <v>74210000</v>
      </c>
      <c r="R67" s="452">
        <f t="shared" si="7"/>
        <v>-6520000</v>
      </c>
      <c r="S67" s="274">
        <f>VLOOKUP(D67,'116指標1_前2年手收20%'!A:M,13,0)</f>
        <v>502073</v>
      </c>
      <c r="T67" s="274">
        <f>VLOOKUP(D67,'116指標2_存款25%'!A:F,6,0)</f>
        <v>544214</v>
      </c>
      <c r="U67" s="274">
        <f>VLOOKUP(D67,'116指標6_理財AUM25%'!A:F,6,0)</f>
        <v>662089</v>
      </c>
      <c r="V67" s="274">
        <f>VLOOKUP(D67,'116指標4_114分行人數25%'!A:Q,17,0)</f>
        <v>517557</v>
      </c>
      <c r="W67" s="274">
        <f>VLOOKUP(F67,'115分組'!D:F,3,0)</f>
        <v>80000</v>
      </c>
      <c r="X67" s="274"/>
      <c r="Y67" s="275">
        <f t="shared" si="1"/>
        <v>2310000</v>
      </c>
      <c r="Z67" s="451">
        <f t="shared" si="8"/>
        <v>76520000</v>
      </c>
      <c r="AA67" s="276">
        <f t="shared" si="9"/>
        <v>-0.14695401548153608</v>
      </c>
      <c r="AB67" s="276">
        <f t="shared" si="10"/>
        <v>0.24971419238935155</v>
      </c>
      <c r="AC67" s="277">
        <f t="shared" si="11"/>
        <v>42086000</v>
      </c>
    </row>
    <row r="68" spans="1:29" s="279" customFormat="1" ht="24.95" customHeight="1">
      <c r="A68" s="279" t="str">
        <f>IF(J68&gt;='116目標底稿SUMMARY'!$E$3,"TYPE_1",IF(J68&gt;='116目標底稿SUMMARY'!$E$4,"TYPE_2",IF(J68&gt;='116目標底稿SUMMARY'!$E$5,"TYPE_3","TYPE_4")))</f>
        <v>TYPE_1</v>
      </c>
      <c r="B68" s="272">
        <v>61</v>
      </c>
      <c r="C68" s="271" t="s">
        <v>7</v>
      </c>
      <c r="D68" s="272">
        <v>172</v>
      </c>
      <c r="E68" s="273" t="s">
        <v>14</v>
      </c>
      <c r="F68" s="272">
        <f>IF(ISERROR(VLOOKUP(D68,'115分組'!A:D,4,0)), "未分", VLOOKUP(D68,'115分組'!A:D,4,0))</f>
        <v>8</v>
      </c>
      <c r="G68" s="273">
        <f>ROUND(VLOOKUP(D68,'115_分行業績'!A:J,8,0), 0)</f>
        <v>52796873</v>
      </c>
      <c r="H68" s="274">
        <f>(VLOOKUP(D68, '底稿_前2年手收20%'!A:G,7,0)+VLOOKUP(D68, '底稿_前2年手收20%'!O:U,7,0))/2</f>
        <v>21958266.784999996</v>
      </c>
      <c r="I68" s="273">
        <f>VLOOKUP(D68,'115_分行業績'!A:I,9,0)</f>
        <v>38160000</v>
      </c>
      <c r="J68" s="456">
        <f t="shared" si="2"/>
        <v>1.38</v>
      </c>
      <c r="K68" s="456">
        <f t="shared" si="3"/>
        <v>1.1000000000000001</v>
      </c>
      <c r="L68" s="273" t="str">
        <f t="shared" si="4"/>
        <v>130%以上、未達150%</v>
      </c>
      <c r="M68" s="273" t="str">
        <f t="shared" si="5"/>
        <v>預估實績*90%</v>
      </c>
      <c r="N68" s="273">
        <f t="shared" si="6"/>
        <v>47520000</v>
      </c>
      <c r="O68" s="273" t="str">
        <f>VLOOKUP(A68,'116目標底稿SUMMARY'!A:B,2,0)</f>
        <v>120%以上</v>
      </c>
      <c r="P68" s="273" t="str">
        <f>VLOOKUP(A68,'116目標底稿SUMMARY'!A:D,4,0)</f>
        <v>分行目標*120%*101%</v>
      </c>
      <c r="Q68" s="273">
        <f>ROUND(IF(A68 = "TYPE_1", I68*'116目標底稿SUMMARY'!$F$3*'116目標底稿SUMMARY'!$G$3, IF(A68 = "TYPE_2", G68*'116目標底稿SUMMARY'!$F$4, IF(A68 = "TYPE_3", G68*'116目標底稿SUMMARY'!$F$5, '116目標底稿ver1'!I68*'116目標底稿SUMMARY'!$F$6*'116目標底稿SUMMARY'!$G$6))), -4)</f>
        <v>46250000</v>
      </c>
      <c r="R68" s="452">
        <f t="shared" si="7"/>
        <v>-1270000</v>
      </c>
      <c r="S68" s="274">
        <f>VLOOKUP(D68,'116指標1_前2年手收20%'!A:M,13,0)</f>
        <v>261155</v>
      </c>
      <c r="T68" s="274">
        <f>VLOOKUP(D68,'116指標2_存款25%'!A:F,6,0)</f>
        <v>608128</v>
      </c>
      <c r="U68" s="274">
        <f>VLOOKUP(D68,'116指標6_理財AUM25%'!A:F,6,0)</f>
        <v>436348</v>
      </c>
      <c r="V68" s="274">
        <f>VLOOKUP(D68,'116指標4_114分行人數25%'!A:Q,17,0)</f>
        <v>477745</v>
      </c>
      <c r="W68" s="274">
        <f>VLOOKUP(F68,'115分組'!D:F,3,0)</f>
        <v>40000</v>
      </c>
      <c r="X68" s="274"/>
      <c r="Y68" s="275">
        <f t="shared" si="1"/>
        <v>1820000</v>
      </c>
      <c r="Z68" s="451">
        <f t="shared" si="8"/>
        <v>48070000</v>
      </c>
      <c r="AA68" s="276">
        <f t="shared" si="9"/>
        <v>-8.9529412092265392E-2</v>
      </c>
      <c r="AB68" s="276">
        <f t="shared" si="10"/>
        <v>0.25969601677148857</v>
      </c>
      <c r="AC68" s="277">
        <f t="shared" si="11"/>
        <v>26438500.000000004</v>
      </c>
    </row>
    <row r="69" spans="1:29" s="279" customFormat="1" ht="24.95" customHeight="1">
      <c r="A69" s="279" t="str">
        <f>IF(J69&gt;='116目標底稿SUMMARY'!$E$3,"TYPE_1",IF(J69&gt;='116目標底稿SUMMARY'!$E$4,"TYPE_2",IF(J69&gt;='116目標底稿SUMMARY'!$E$5,"TYPE_3","TYPE_4")))</f>
        <v>TYPE_4</v>
      </c>
      <c r="B69" s="272">
        <v>62</v>
      </c>
      <c r="C69" s="271" t="s">
        <v>11</v>
      </c>
      <c r="D69" s="272">
        <v>173</v>
      </c>
      <c r="E69" s="273" t="s">
        <v>15</v>
      </c>
      <c r="F69" s="272">
        <f>IF(ISERROR(VLOOKUP(D69,'115分組'!A:D,4,0)), "未分", VLOOKUP(D69,'115分組'!A:D,4,0))</f>
        <v>5</v>
      </c>
      <c r="G69" s="273">
        <f>ROUND(VLOOKUP(D69,'115_分行業績'!A:J,8,0), 0)</f>
        <v>36336774</v>
      </c>
      <c r="H69" s="274">
        <f>(VLOOKUP(D69, '底稿_前2年手收20%'!A:G,7,0)+VLOOKUP(D69, '底稿_前2年手收20%'!O:U,7,0))/2</f>
        <v>27310033.32</v>
      </c>
      <c r="I69" s="273">
        <f>VLOOKUP(D69,'115_分行業績'!A:I,9,0)</f>
        <v>51200000</v>
      </c>
      <c r="J69" s="456">
        <f t="shared" si="2"/>
        <v>0.71</v>
      </c>
      <c r="K69" s="456">
        <f t="shared" si="3"/>
        <v>0.71</v>
      </c>
      <c r="L69" s="273" t="str">
        <f t="shared" si="4"/>
        <v>未達75%</v>
      </c>
      <c r="M69" s="273" t="str">
        <f t="shared" si="5"/>
        <v>分行目標115%</v>
      </c>
      <c r="N69" s="273">
        <f t="shared" si="6"/>
        <v>58880000</v>
      </c>
      <c r="O69" s="273" t="str">
        <f>VLOOKUP(A69,'116目標底稿SUMMARY'!A:B,2,0)</f>
        <v>未達80%</v>
      </c>
      <c r="P69" s="273" t="str">
        <f>VLOOKUP(A69,'116目標底稿SUMMARY'!A:D,4,0)</f>
        <v>分行目標*80%*120%</v>
      </c>
      <c r="Q69" s="273">
        <f>ROUND(IF(A69 = "TYPE_1", I69*'116目標底稿SUMMARY'!$F$3*'116目標底稿SUMMARY'!$G$3, IF(A69 = "TYPE_2", G69*'116目標底稿SUMMARY'!$F$4, IF(A69 = "TYPE_3", G69*'116目標底稿SUMMARY'!$F$5, '116目標底稿ver1'!I69*'116目標底稿SUMMARY'!$F$6*'116目標底稿SUMMARY'!$G$6))), -4)</f>
        <v>49150000</v>
      </c>
      <c r="R69" s="452">
        <f t="shared" si="7"/>
        <v>-9730000</v>
      </c>
      <c r="S69" s="274">
        <f>VLOOKUP(D69,'116指標1_前2年手收20%'!A:M,13,0)</f>
        <v>324805</v>
      </c>
      <c r="T69" s="274">
        <f>VLOOKUP(D69,'116指標2_存款25%'!A:F,6,0)</f>
        <v>498851</v>
      </c>
      <c r="U69" s="274">
        <f>VLOOKUP(D69,'116指標6_理財AUM25%'!A:F,6,0)</f>
        <v>467154</v>
      </c>
      <c r="V69" s="274">
        <f>VLOOKUP(D69,'116指標4_114分行人數25%'!A:Q,17,0)</f>
        <v>577276</v>
      </c>
      <c r="W69" s="274">
        <f>VLOOKUP(F69,'115分組'!D:F,3,0)</f>
        <v>100000</v>
      </c>
      <c r="X69" s="274"/>
      <c r="Y69" s="275">
        <f t="shared" si="1"/>
        <v>1970000</v>
      </c>
      <c r="Z69" s="451">
        <f t="shared" si="8"/>
        <v>51120000</v>
      </c>
      <c r="AA69" s="276">
        <f t="shared" si="9"/>
        <v>0.4068392532589713</v>
      </c>
      <c r="AB69" s="276">
        <f t="shared" si="10"/>
        <v>-1.5625000000000222E-3</v>
      </c>
      <c r="AC69" s="277">
        <f t="shared" si="11"/>
        <v>28116000.000000004</v>
      </c>
    </row>
    <row r="70" spans="1:29" s="279" customFormat="1" ht="24.95" customHeight="1">
      <c r="A70" s="279" t="str">
        <f>IF(J70&gt;='116目標底稿SUMMARY'!$E$3,"TYPE_1",IF(J70&gt;='116目標底稿SUMMARY'!$E$4,"TYPE_2",IF(J70&gt;='116目標底稿SUMMARY'!$E$5,"TYPE_3","TYPE_4")))</f>
        <v>TYPE_2</v>
      </c>
      <c r="B70" s="272">
        <v>63</v>
      </c>
      <c r="C70" s="271" t="s">
        <v>7</v>
      </c>
      <c r="D70" s="272">
        <v>174</v>
      </c>
      <c r="E70" s="273" t="s">
        <v>16</v>
      </c>
      <c r="F70" s="272">
        <f>IF(ISERROR(VLOOKUP(D70,'115分組'!A:D,4,0)), "未分", VLOOKUP(D70,'115分組'!A:D,4,0))</f>
        <v>1</v>
      </c>
      <c r="G70" s="273">
        <f>ROUND(VLOOKUP(D70,'115_分行業績'!A:J,8,0), 0)</f>
        <v>124307550</v>
      </c>
      <c r="H70" s="274">
        <f>(VLOOKUP(D70, '底稿_前2年手收20%'!A:G,7,0)+VLOOKUP(D70, '底稿_前2年手收20%'!O:U,7,0))/2</f>
        <v>90409861.969999999</v>
      </c>
      <c r="I70" s="273">
        <f>VLOOKUP(D70,'115_分行業績'!A:I,9,0)</f>
        <v>104860000</v>
      </c>
      <c r="J70" s="456">
        <f t="shared" si="2"/>
        <v>1.19</v>
      </c>
      <c r="K70" s="456">
        <f t="shared" si="3"/>
        <v>0.96</v>
      </c>
      <c r="L70" s="273" t="str">
        <f t="shared" si="4"/>
        <v>110%以上、未達120%</v>
      </c>
      <c r="M70" s="273" t="str">
        <f t="shared" si="5"/>
        <v>預估實績*103%</v>
      </c>
      <c r="N70" s="273">
        <f t="shared" si="6"/>
        <v>128040000</v>
      </c>
      <c r="O70" s="273" t="str">
        <f>VLOOKUP(A70,'116目標底稿SUMMARY'!A:B,2,0)</f>
        <v>100%以上，未達120%</v>
      </c>
      <c r="P70" s="273" t="str">
        <f>VLOOKUP(A70,'116目標底稿SUMMARY'!A:D,4,0)</f>
        <v>預估實績*103%</v>
      </c>
      <c r="Q70" s="273">
        <f>ROUND(IF(A70 = "TYPE_1", I70*'116目標底稿SUMMARY'!$F$3*'116目標底稿SUMMARY'!$G$3, IF(A70 = "TYPE_2", G70*'116目標底稿SUMMARY'!$F$4, IF(A70 = "TYPE_3", G70*'116目標底稿SUMMARY'!$F$5, '116目標底稿ver1'!I70*'116目標底稿SUMMARY'!$F$6*'116目標底稿SUMMARY'!$G$6))), -4)</f>
        <v>125550000</v>
      </c>
      <c r="R70" s="452">
        <f t="shared" si="7"/>
        <v>-2490000</v>
      </c>
      <c r="S70" s="274">
        <f>VLOOKUP(D70,'116指標1_前2年手收20%'!A:M,13,0)</f>
        <v>813795</v>
      </c>
      <c r="T70" s="274">
        <f>VLOOKUP(D70,'116指標2_存款25%'!A:F,6,0)</f>
        <v>937369</v>
      </c>
      <c r="U70" s="274">
        <f>VLOOKUP(D70,'116指標6_理財AUM25%'!A:F,6,0)</f>
        <v>1037809</v>
      </c>
      <c r="V70" s="274">
        <f>VLOOKUP(D70,'116指標4_114分行人數25%'!A:Q,17,0)</f>
        <v>716618</v>
      </c>
      <c r="W70" s="274">
        <f>VLOOKUP(F70,'115分組'!D:F,3,0)</f>
        <v>190000</v>
      </c>
      <c r="X70" s="274"/>
      <c r="Y70" s="275">
        <f t="shared" si="1"/>
        <v>3700000</v>
      </c>
      <c r="Z70" s="451">
        <f t="shared" si="8"/>
        <v>129250000</v>
      </c>
      <c r="AA70" s="276">
        <f t="shared" si="9"/>
        <v>3.9759853685475965E-2</v>
      </c>
      <c r="AB70" s="276">
        <f t="shared" si="10"/>
        <v>0.23259584207514772</v>
      </c>
      <c r="AC70" s="277">
        <f t="shared" si="11"/>
        <v>71087500</v>
      </c>
    </row>
    <row r="71" spans="1:29" s="279" customFormat="1" ht="24.95" customHeight="1">
      <c r="A71" s="279" t="str">
        <f>IF(J71&gt;='116目標底稿SUMMARY'!$E$3,"TYPE_1",IF(J71&gt;='116目標底稿SUMMARY'!$E$4,"TYPE_2",IF(J71&gt;='116目標底稿SUMMARY'!$E$5,"TYPE_3","TYPE_4")))</f>
        <v>TYPE_3</v>
      </c>
      <c r="B71" s="272">
        <v>64</v>
      </c>
      <c r="C71" s="271" t="s">
        <v>7</v>
      </c>
      <c r="D71" s="272">
        <v>175</v>
      </c>
      <c r="E71" s="273" t="s">
        <v>165</v>
      </c>
      <c r="F71" s="272">
        <f>IF(ISERROR(VLOOKUP(D71,'115分組'!A:D,4,0)), "未分", VLOOKUP(D71,'115分組'!A:D,4,0))</f>
        <v>2</v>
      </c>
      <c r="G71" s="273">
        <f>ROUND(VLOOKUP(D71,'115_分行業績'!A:J,8,0), 0)</f>
        <v>63605529</v>
      </c>
      <c r="H71" s="274">
        <f>(VLOOKUP(D71, '底稿_前2年手收20%'!A:G,7,0)+VLOOKUP(D71, '底稿_前2年手收20%'!O:U,7,0))/2</f>
        <v>45397325.625</v>
      </c>
      <c r="I71" s="273">
        <f>VLOOKUP(D71,'115_分行業績'!A:I,9,0)</f>
        <v>71300000</v>
      </c>
      <c r="J71" s="456">
        <f t="shared" si="2"/>
        <v>0.89</v>
      </c>
      <c r="K71" s="456">
        <f t="shared" si="3"/>
        <v>0.93</v>
      </c>
      <c r="L71" s="273" t="str">
        <f t="shared" si="4"/>
        <v>75%以上、未達90%</v>
      </c>
      <c r="M71" s="273" t="str">
        <f t="shared" si="5"/>
        <v>分行目標110%</v>
      </c>
      <c r="N71" s="273">
        <f t="shared" si="6"/>
        <v>78430000</v>
      </c>
      <c r="O71" s="273" t="str">
        <f>VLOOKUP(A71,'116目標底稿SUMMARY'!A:B,2,0)</f>
        <v>80%以上，未達100%</v>
      </c>
      <c r="P71" s="273" t="str">
        <f>VLOOKUP(A71,'116目標底稿SUMMARY'!A:D,4,0)</f>
        <v>預估實績*105%</v>
      </c>
      <c r="Q71" s="273">
        <f>ROUND(IF(A71 = "TYPE_1", I71*'116目標底稿SUMMARY'!$F$3*'116目標底稿SUMMARY'!$G$3, IF(A71 = "TYPE_2", G71*'116目標底稿SUMMARY'!$F$4, IF(A71 = "TYPE_3", G71*'116目標底稿SUMMARY'!$F$5, '116目標底稿ver1'!I71*'116目標底稿SUMMARY'!$F$6*'116目標底稿SUMMARY'!$G$6))), -4)</f>
        <v>65510000</v>
      </c>
      <c r="R71" s="452">
        <f t="shared" si="7"/>
        <v>-12920000</v>
      </c>
      <c r="S71" s="274">
        <f>VLOOKUP(D71,'116指標1_前2年手收20%'!A:M,13,0)</f>
        <v>517030</v>
      </c>
      <c r="T71" s="274">
        <f>VLOOKUP(D71,'116指標2_存款25%'!A:F,6,0)</f>
        <v>688817</v>
      </c>
      <c r="U71" s="274">
        <f>VLOOKUP(D71,'116指標6_理財AUM25%'!A:F,6,0)</f>
        <v>577039</v>
      </c>
      <c r="V71" s="274">
        <f>VLOOKUP(D71,'116指標4_114分行人數25%'!A:Q,17,0)</f>
        <v>636994</v>
      </c>
      <c r="W71" s="274">
        <f>VLOOKUP(F71,'115分組'!D:F,3,0)</f>
        <v>170000</v>
      </c>
      <c r="X71" s="274"/>
      <c r="Y71" s="275">
        <f t="shared" si="1"/>
        <v>2590000</v>
      </c>
      <c r="Z71" s="451">
        <f t="shared" si="8"/>
        <v>68100000</v>
      </c>
      <c r="AA71" s="276">
        <f t="shared" si="9"/>
        <v>7.0661640122511971E-2</v>
      </c>
      <c r="AB71" s="276">
        <f t="shared" si="10"/>
        <v>-4.4880785413744739E-2</v>
      </c>
      <c r="AC71" s="277">
        <f t="shared" si="11"/>
        <v>37455000</v>
      </c>
    </row>
    <row r="72" spans="1:29" s="279" customFormat="1" ht="24.95" customHeight="1">
      <c r="A72" s="279" t="str">
        <f>IF(J72&gt;='116目標底稿SUMMARY'!$E$3,"TYPE_1",IF(J72&gt;='116目標底稿SUMMARY'!$E$4,"TYPE_2",IF(J72&gt;='116目標底稿SUMMARY'!$E$5,"TYPE_3","TYPE_4")))</f>
        <v>TYPE_3</v>
      </c>
      <c r="B72" s="272">
        <v>65</v>
      </c>
      <c r="C72" s="271" t="s">
        <v>11</v>
      </c>
      <c r="D72" s="272">
        <v>176</v>
      </c>
      <c r="E72" s="273" t="s">
        <v>166</v>
      </c>
      <c r="F72" s="272">
        <f>IF(ISERROR(VLOOKUP(D72,'115分組'!A:D,4,0)), "未分", VLOOKUP(D72,'115分組'!A:D,4,0))</f>
        <v>5</v>
      </c>
      <c r="G72" s="273">
        <f>ROUND(VLOOKUP(D72,'115_分行業績'!A:J,8,0), 0)</f>
        <v>37796451</v>
      </c>
      <c r="H72" s="274">
        <f>(VLOOKUP(D72, '底稿_前2年手收20%'!A:G,7,0)+VLOOKUP(D72, '底稿_前2年手收20%'!O:U,7,0))/2</f>
        <v>31030771.669999998</v>
      </c>
      <c r="I72" s="273">
        <f>VLOOKUP(D72,'115_分行業績'!A:I,9,0)</f>
        <v>42340000</v>
      </c>
      <c r="J72" s="456">
        <f t="shared" si="2"/>
        <v>0.89</v>
      </c>
      <c r="K72" s="456">
        <f t="shared" si="3"/>
        <v>0.93</v>
      </c>
      <c r="L72" s="273" t="str">
        <f t="shared" si="4"/>
        <v>75%以上、未達90%</v>
      </c>
      <c r="M72" s="273" t="str">
        <f t="shared" si="5"/>
        <v>分行目標110%</v>
      </c>
      <c r="N72" s="273">
        <f t="shared" si="6"/>
        <v>46570000</v>
      </c>
      <c r="O72" s="273" t="str">
        <f>VLOOKUP(A72,'116目標底稿SUMMARY'!A:B,2,0)</f>
        <v>80%以上，未達100%</v>
      </c>
      <c r="P72" s="273" t="str">
        <f>VLOOKUP(A72,'116目標底稿SUMMARY'!A:D,4,0)</f>
        <v>預估實績*105%</v>
      </c>
      <c r="Q72" s="273">
        <f>ROUND(IF(A72 = "TYPE_1", I72*'116目標底稿SUMMARY'!$F$3*'116目標底稿SUMMARY'!$G$3, IF(A72 = "TYPE_2", G72*'116目標底稿SUMMARY'!$F$4, IF(A72 = "TYPE_3", G72*'116目標底稿SUMMARY'!$F$5, '116目標底稿ver1'!I72*'116目標底稿SUMMARY'!$F$6*'116目標底稿SUMMARY'!$G$6))), -4)</f>
        <v>38930000</v>
      </c>
      <c r="R72" s="452">
        <f t="shared" si="7"/>
        <v>-7640000</v>
      </c>
      <c r="S72" s="274">
        <f>VLOOKUP(D72,'116指標1_前2年手收20%'!A:M,13,0)</f>
        <v>352729</v>
      </c>
      <c r="T72" s="274">
        <f>VLOOKUP(D72,'116指標2_存款25%'!A:F,6,0)</f>
        <v>463558</v>
      </c>
      <c r="U72" s="274">
        <f>VLOOKUP(D72,'116指標6_理財AUM25%'!A:F,6,0)</f>
        <v>351852</v>
      </c>
      <c r="V72" s="274">
        <f>VLOOKUP(D72,'116指標4_114分行人數25%'!A:Q,17,0)</f>
        <v>557370</v>
      </c>
      <c r="W72" s="274">
        <f>VLOOKUP(F72,'115分組'!D:F,3,0)</f>
        <v>100000</v>
      </c>
      <c r="X72" s="274"/>
      <c r="Y72" s="275">
        <f t="shared" ref="Y72:Y135" si="12">ROUND(SUM(S72:W72), -4)+X72</f>
        <v>1830000</v>
      </c>
      <c r="Z72" s="451">
        <f t="shared" si="8"/>
        <v>40760000</v>
      </c>
      <c r="AA72" s="276">
        <f t="shared" si="9"/>
        <v>7.8408128847864633E-2</v>
      </c>
      <c r="AB72" s="276">
        <f t="shared" si="10"/>
        <v>-3.7316957959376507E-2</v>
      </c>
      <c r="AC72" s="277">
        <f t="shared" si="11"/>
        <v>22418000</v>
      </c>
    </row>
    <row r="73" spans="1:29" s="279" customFormat="1" ht="24.95" customHeight="1">
      <c r="A73" s="279" t="str">
        <f>IF(J73&gt;='116目標底稿SUMMARY'!$E$3,"TYPE_1",IF(J73&gt;='116目標底稿SUMMARY'!$E$4,"TYPE_2",IF(J73&gt;='116目標底稿SUMMARY'!$E$5,"TYPE_3","TYPE_4")))</f>
        <v>TYPE_3</v>
      </c>
      <c r="B73" s="272">
        <v>66</v>
      </c>
      <c r="C73" s="271" t="s">
        <v>400</v>
      </c>
      <c r="D73" s="272">
        <v>177</v>
      </c>
      <c r="E73" s="273" t="s">
        <v>648</v>
      </c>
      <c r="F73" s="272">
        <f>IF(ISERROR(VLOOKUP(D73,'115分組'!A:D,4,0)), "未分", VLOOKUP(D73,'115分組'!A:D,4,0))</f>
        <v>8</v>
      </c>
      <c r="G73" s="273">
        <f>ROUND(VLOOKUP(D73,'115_分行業績'!A:J,8,0), 0)</f>
        <v>13618622</v>
      </c>
      <c r="H73" s="274">
        <f>(VLOOKUP(D73, '底稿_前2年手收20%'!A:G,7,0)+VLOOKUP(D73, '底稿_前2年手收20%'!O:U,7,0))/2</f>
        <v>10851340.370000001</v>
      </c>
      <c r="I73" s="273">
        <f>VLOOKUP(D73,'115_分行業績'!A:I,9,0)</f>
        <v>15750000</v>
      </c>
      <c r="J73" s="456">
        <f t="shared" ref="J73:J135" si="13">ROUND(G73/I73, 2)</f>
        <v>0.86</v>
      </c>
      <c r="K73" s="456">
        <f t="shared" ref="K73:K136" si="14">ROUND(G73/Z73, 2)</f>
        <v>0.93</v>
      </c>
      <c r="L73" s="273" t="str">
        <f t="shared" ref="L73:L136" si="15">IF(J73&gt;= 2, "200%以上", IF(J73&gt;= 1.5, "150%以上、未達200%", IF(J73&gt;= 1.3, "130%以上、未達150%", IF(J73&gt;= 1.2, "120%以上、未達130%", IF(J73&gt;= 1.1, "110%以上、未達120%", IF(J73&gt;= 1, "100%以上、未達110%",  IF(J73&gt;= 0.9, "90%以上、未達100%", IF(J73&gt;= 0.75, "75%以上、未達90%", "未達75%"))))))))</f>
        <v>75%以上、未達90%</v>
      </c>
      <c r="M73" s="273" t="str">
        <f t="shared" ref="M73:M136" si="16">IF(J73&gt;= 2, "預估實績*70%", IF(J73&gt;= 1.5, "預估實績*80%", IF(J73&gt;= 1.3, "預估實績*90%", IF(J73&gt;= 1.2, "預估實績*101%", IF(J73&gt;= 1.1, "預估實績*103%", IF(J73&gt;= 1, "預估實績105%",  IF(J73&gt;= 0.9, "分行目標105%", IF(J73&gt;= 0.75, "分行目標110%", "分行目標115%"))))))))</f>
        <v>分行目標110%</v>
      </c>
      <c r="N73" s="273">
        <f t="shared" ref="N73:N136" si="17">IF(J73&gt;= 2, ROUND(G73*0.7, -4), IF(J73&gt;= 1.5,  ROUND(G73*0.8, -4), IF(J73&gt;= 1.3,  ROUND(G73*0.9, -4), IF(J73&gt;= 1.2,  ROUND(G73*1.01, -4), IF(J73&gt;= 1.1,  ROUND(G73*1.03, -4), IF(J73&gt;= 1,  ROUND(G73*1.05, -4),  IF(J73&gt;= 0.9,  ROUND(I73*1.05, -4), IF(J73&gt;= 0.75, ROUND(I73*1.1, -4), ROUND(I73*1.15, -4)))))))))</f>
        <v>17330000</v>
      </c>
      <c r="O73" s="273" t="str">
        <f>VLOOKUP(A73,'116目標底稿SUMMARY'!A:B,2,0)</f>
        <v>80%以上，未達100%</v>
      </c>
      <c r="P73" s="273" t="str">
        <f>VLOOKUP(A73,'116目標底稿SUMMARY'!A:D,4,0)</f>
        <v>預估實績*105%</v>
      </c>
      <c r="Q73" s="273">
        <f>ROUND(IF(A73 = "TYPE_1", I73*'116目標底稿SUMMARY'!$F$3*'116目標底稿SUMMARY'!$G$3, IF(A73 = "TYPE_2", G73*'116目標底稿SUMMARY'!$F$4, IF(A73 = "TYPE_3", G73*'116目標底稿SUMMARY'!$F$5, '116目標底稿ver1'!I73*'116目標底稿SUMMARY'!$F$6*'116目標底稿SUMMARY'!$G$6))), -4)</f>
        <v>14030000</v>
      </c>
      <c r="R73" s="452">
        <f t="shared" ref="R73:R136" si="18">Q73-N73</f>
        <v>-3300000</v>
      </c>
      <c r="S73" s="274">
        <f>VLOOKUP(D73,'116指標1_前2年手收20%'!A:M,13,0)</f>
        <v>72073</v>
      </c>
      <c r="T73" s="274">
        <f>VLOOKUP(D73,'116指標2_存款25%'!A:F,6,0)</f>
        <v>43149</v>
      </c>
      <c r="U73" s="274">
        <f>VLOOKUP(D73,'116指標6_理財AUM25%'!A:F,6,0)</f>
        <v>81883</v>
      </c>
      <c r="V73" s="274">
        <f>VLOOKUP(D73,'116指標4_114分行人數25%'!A:Q,17,0)</f>
        <v>338403</v>
      </c>
      <c r="W73" s="274">
        <f>VLOOKUP(F73,'115分組'!D:F,3,0)</f>
        <v>40000</v>
      </c>
      <c r="X73" s="278"/>
      <c r="Y73" s="275">
        <f t="shared" si="12"/>
        <v>580000</v>
      </c>
      <c r="Z73" s="451">
        <f t="shared" ref="Z73:Z136" si="19">Q73+Y73</f>
        <v>14610000</v>
      </c>
      <c r="AA73" s="276">
        <f t="shared" ref="AA73:AA136" si="20">Z73/G73 -1</f>
        <v>7.2795764505395599E-2</v>
      </c>
      <c r="AB73" s="276">
        <f t="shared" ref="AB73:AB136" si="21">Z73/I73 -1</f>
        <v>-7.2380952380952435E-2</v>
      </c>
      <c r="AC73" s="277">
        <f t="shared" ref="AC73:AC135" si="22">Z73*0.55</f>
        <v>8035500.0000000009</v>
      </c>
    </row>
    <row r="74" spans="1:29" s="279" customFormat="1" ht="24.95" customHeight="1">
      <c r="A74" s="279" t="str">
        <f>IF(J74&gt;='116目標底稿SUMMARY'!$E$3,"TYPE_1",IF(J74&gt;='116目標底稿SUMMARY'!$E$4,"TYPE_2",IF(J74&gt;='116目標底稿SUMMARY'!$E$5,"TYPE_3","TYPE_4")))</f>
        <v>TYPE_1</v>
      </c>
      <c r="B74" s="272">
        <v>67</v>
      </c>
      <c r="C74" s="271" t="s">
        <v>0</v>
      </c>
      <c r="D74" s="272">
        <v>178</v>
      </c>
      <c r="E74" s="273" t="s">
        <v>17</v>
      </c>
      <c r="F74" s="272">
        <f>IF(ISERROR(VLOOKUP(D74,'115分組'!A:D,4,0)), "未分", VLOOKUP(D74,'115分組'!A:D,4,0))</f>
        <v>4</v>
      </c>
      <c r="G74" s="273">
        <f>ROUND(VLOOKUP(D74,'115_分行業績'!A:J,8,0), 0)</f>
        <v>131519728</v>
      </c>
      <c r="H74" s="274">
        <f>(VLOOKUP(D74, '底稿_前2年手收20%'!A:G,7,0)+VLOOKUP(D74, '底稿_前2年手收20%'!O:U,7,0))/2</f>
        <v>56778983.924999997</v>
      </c>
      <c r="I74" s="273">
        <f>VLOOKUP(D74,'115_分行業績'!A:I,9,0)</f>
        <v>68840000</v>
      </c>
      <c r="J74" s="456">
        <f t="shared" si="13"/>
        <v>1.91</v>
      </c>
      <c r="K74" s="456">
        <f t="shared" si="14"/>
        <v>1.53</v>
      </c>
      <c r="L74" s="273" t="str">
        <f t="shared" si="15"/>
        <v>150%以上、未達200%</v>
      </c>
      <c r="M74" s="273" t="str">
        <f t="shared" si="16"/>
        <v>預估實績*80%</v>
      </c>
      <c r="N74" s="273">
        <f t="shared" si="17"/>
        <v>105220000</v>
      </c>
      <c r="O74" s="273" t="str">
        <f>VLOOKUP(A74,'116目標底稿SUMMARY'!A:B,2,0)</f>
        <v>120%以上</v>
      </c>
      <c r="P74" s="273" t="str">
        <f>VLOOKUP(A74,'116目標底稿SUMMARY'!A:D,4,0)</f>
        <v>分行目標*120%*101%</v>
      </c>
      <c r="Q74" s="273">
        <f>ROUND(IF(A74 = "TYPE_1", I74*'116目標底稿SUMMARY'!$F$3*'116目標底稿SUMMARY'!$G$3, IF(A74 = "TYPE_2", G74*'116目標底稿SUMMARY'!$F$4, IF(A74 = "TYPE_3", G74*'116目標底稿SUMMARY'!$F$5, '116目標底稿ver1'!I74*'116目標底稿SUMMARY'!$F$6*'116目標底稿SUMMARY'!$G$6))), -4)</f>
        <v>83430000</v>
      </c>
      <c r="R74" s="452">
        <f t="shared" si="18"/>
        <v>-21790000</v>
      </c>
      <c r="S74" s="274">
        <f>VLOOKUP(D74,'116指標1_前2年手收20%'!A:M,13,0)</f>
        <v>504987</v>
      </c>
      <c r="T74" s="274">
        <f>VLOOKUP(D74,'116指標2_存款25%'!A:F,6,0)</f>
        <v>789298</v>
      </c>
      <c r="U74" s="274">
        <f>VLOOKUP(D74,'116指標6_理財AUM25%'!A:F,6,0)</f>
        <v>818017</v>
      </c>
      <c r="V74" s="274">
        <f>VLOOKUP(D74,'116指標4_114分行人數25%'!A:Q,17,0)</f>
        <v>557370</v>
      </c>
      <c r="W74" s="274">
        <f>VLOOKUP(F74,'115分組'!D:F,3,0)</f>
        <v>130000</v>
      </c>
      <c r="X74" s="274"/>
      <c r="Y74" s="275">
        <f t="shared" si="12"/>
        <v>2800000</v>
      </c>
      <c r="Z74" s="451">
        <f t="shared" si="19"/>
        <v>86230000</v>
      </c>
      <c r="AA74" s="276">
        <f t="shared" si="20"/>
        <v>-0.34435691655323375</v>
      </c>
      <c r="AB74" s="276">
        <f t="shared" si="21"/>
        <v>0.25261475886112716</v>
      </c>
      <c r="AC74" s="277">
        <f t="shared" si="22"/>
        <v>47426500.000000007</v>
      </c>
    </row>
    <row r="75" spans="1:29" s="279" customFormat="1" ht="24.95" customHeight="1">
      <c r="A75" s="279" t="str">
        <f>IF(J75&gt;='116目標底稿SUMMARY'!$E$3,"TYPE_1",IF(J75&gt;='116目標底稿SUMMARY'!$E$4,"TYPE_2",IF(J75&gt;='116目標底稿SUMMARY'!$E$5,"TYPE_3","TYPE_4")))</f>
        <v>TYPE_3</v>
      </c>
      <c r="B75" s="272">
        <v>68</v>
      </c>
      <c r="C75" s="271" t="s">
        <v>7</v>
      </c>
      <c r="D75" s="272">
        <v>179</v>
      </c>
      <c r="E75" s="273" t="s">
        <v>167</v>
      </c>
      <c r="F75" s="272">
        <f>IF(ISERROR(VLOOKUP(D75,'115分組'!A:D,4,0)), "未分", VLOOKUP(D75,'115分組'!A:D,4,0))</f>
        <v>2</v>
      </c>
      <c r="G75" s="273">
        <f>ROUND(VLOOKUP(D75,'115_分行業績'!A:J,8,0), 0)</f>
        <v>75456428</v>
      </c>
      <c r="H75" s="274">
        <f>(VLOOKUP(D75, '底稿_前2年手收20%'!A:G,7,0)+VLOOKUP(D75, '底稿_前2年手收20%'!O:U,7,0))/2</f>
        <v>42422593.305</v>
      </c>
      <c r="I75" s="273">
        <f>VLOOKUP(D75,'115_分行業績'!A:I,9,0)</f>
        <v>77460000</v>
      </c>
      <c r="J75" s="456">
        <f t="shared" si="13"/>
        <v>0.97</v>
      </c>
      <c r="K75" s="456">
        <f t="shared" si="14"/>
        <v>0.94</v>
      </c>
      <c r="L75" s="273" t="str">
        <f t="shared" si="15"/>
        <v>90%以上、未達100%</v>
      </c>
      <c r="M75" s="273" t="str">
        <f t="shared" si="16"/>
        <v>分行目標105%</v>
      </c>
      <c r="N75" s="273">
        <f t="shared" si="17"/>
        <v>81330000</v>
      </c>
      <c r="O75" s="273" t="str">
        <f>VLOOKUP(A75,'116目標底稿SUMMARY'!A:B,2,0)</f>
        <v>80%以上，未達100%</v>
      </c>
      <c r="P75" s="273" t="str">
        <f>VLOOKUP(A75,'116目標底稿SUMMARY'!A:D,4,0)</f>
        <v>預估實績*105%</v>
      </c>
      <c r="Q75" s="273">
        <f>ROUND(IF(A75 = "TYPE_1", I75*'116目標底稿SUMMARY'!$F$3*'116目標底稿SUMMARY'!$G$3, IF(A75 = "TYPE_2", G75*'116目標底稿SUMMARY'!$F$4, IF(A75 = "TYPE_3", G75*'116目標底稿SUMMARY'!$F$5, '116目標底稿ver1'!I75*'116目標底稿SUMMARY'!$F$6*'116目標底稿SUMMARY'!$G$6))), -4)</f>
        <v>77720000</v>
      </c>
      <c r="R75" s="452">
        <f t="shared" si="18"/>
        <v>-3610000</v>
      </c>
      <c r="S75" s="274">
        <f>VLOOKUP(D75,'116指標1_前2年手收20%'!A:M,13,0)</f>
        <v>489451</v>
      </c>
      <c r="T75" s="274">
        <f>VLOOKUP(D75,'116指標2_存款25%'!A:F,6,0)</f>
        <v>632052</v>
      </c>
      <c r="U75" s="274">
        <f>VLOOKUP(D75,'116指標6_理財AUM25%'!A:F,6,0)</f>
        <v>797987</v>
      </c>
      <c r="V75" s="274">
        <f>VLOOKUP(D75,'116指標4_114分行人數25%'!A:Q,17,0)</f>
        <v>696712</v>
      </c>
      <c r="W75" s="274">
        <f>VLOOKUP(F75,'115分組'!D:F,3,0)</f>
        <v>170000</v>
      </c>
      <c r="X75" s="274"/>
      <c r="Y75" s="275">
        <f t="shared" si="12"/>
        <v>2790000</v>
      </c>
      <c r="Z75" s="451">
        <f t="shared" si="19"/>
        <v>80510000</v>
      </c>
      <c r="AA75" s="276">
        <f t="shared" si="20"/>
        <v>6.6973379656932508E-2</v>
      </c>
      <c r="AB75" s="276">
        <f t="shared" si="21"/>
        <v>3.9375161373612189E-2</v>
      </c>
      <c r="AC75" s="277">
        <f t="shared" si="22"/>
        <v>44280500</v>
      </c>
    </row>
    <row r="76" spans="1:29" s="279" customFormat="1" ht="24.95" customHeight="1">
      <c r="A76" s="279" t="str">
        <f>IF(J76&gt;='116目標底稿SUMMARY'!$E$3,"TYPE_1",IF(J76&gt;='116目標底稿SUMMARY'!$E$4,"TYPE_2",IF(J76&gt;='116目標底稿SUMMARY'!$E$5,"TYPE_3","TYPE_4")))</f>
        <v>TYPE_1</v>
      </c>
      <c r="B76" s="272">
        <v>69</v>
      </c>
      <c r="C76" s="271" t="s">
        <v>7</v>
      </c>
      <c r="D76" s="272">
        <v>180</v>
      </c>
      <c r="E76" s="273" t="s">
        <v>168</v>
      </c>
      <c r="F76" s="272">
        <f>IF(ISERROR(VLOOKUP(D76,'115分組'!A:D,4,0)), "未分", VLOOKUP(D76,'115分組'!A:D,4,0))</f>
        <v>3</v>
      </c>
      <c r="G76" s="273">
        <f>ROUND(VLOOKUP(D76,'115_分行業績'!A:J,8,0), 0)</f>
        <v>104611803</v>
      </c>
      <c r="H76" s="274">
        <f>(VLOOKUP(D76, '底稿_前2年手收20%'!A:G,7,0)+VLOOKUP(D76, '底稿_前2年手收20%'!O:U,7,0))/2</f>
        <v>50556221.190000005</v>
      </c>
      <c r="I76" s="273">
        <f>VLOOKUP(D76,'115_分行業績'!A:I,9,0)</f>
        <v>82960000</v>
      </c>
      <c r="J76" s="456">
        <f t="shared" si="13"/>
        <v>1.26</v>
      </c>
      <c r="K76" s="456">
        <f t="shared" si="14"/>
        <v>1.01</v>
      </c>
      <c r="L76" s="273" t="str">
        <f t="shared" si="15"/>
        <v>120%以上、未達130%</v>
      </c>
      <c r="M76" s="273" t="str">
        <f t="shared" si="16"/>
        <v>預估實績*101%</v>
      </c>
      <c r="N76" s="273">
        <f t="shared" si="17"/>
        <v>105660000</v>
      </c>
      <c r="O76" s="273" t="str">
        <f>VLOOKUP(A76,'116目標底稿SUMMARY'!A:B,2,0)</f>
        <v>120%以上</v>
      </c>
      <c r="P76" s="273" t="str">
        <f>VLOOKUP(A76,'116目標底稿SUMMARY'!A:D,4,0)</f>
        <v>分行目標*120%*101%</v>
      </c>
      <c r="Q76" s="273">
        <f>ROUND(IF(A76 = "TYPE_1", I76*'116目標底稿SUMMARY'!$F$3*'116目標底稿SUMMARY'!$G$3, IF(A76 = "TYPE_2", G76*'116目標底稿SUMMARY'!$F$4, IF(A76 = "TYPE_3", G76*'116目標底稿SUMMARY'!$F$5, '116目標底稿ver1'!I76*'116目標底稿SUMMARY'!$F$6*'116目標底稿SUMMARY'!$G$6))), -4)</f>
        <v>100550000</v>
      </c>
      <c r="R76" s="452">
        <f t="shared" si="18"/>
        <v>-5110000</v>
      </c>
      <c r="S76" s="274">
        <f>VLOOKUP(D76,'116指標1_前2年手收20%'!A:M,13,0)</f>
        <v>569454</v>
      </c>
      <c r="T76" s="274">
        <f>VLOOKUP(D76,'116指標2_存款25%'!A:F,6,0)</f>
        <v>791106</v>
      </c>
      <c r="U76" s="274">
        <f>VLOOKUP(D76,'116指標6_理財AUM25%'!A:F,6,0)</f>
        <v>784043</v>
      </c>
      <c r="V76" s="274">
        <f>VLOOKUP(D76,'116指標4_114分行人數25%'!A:Q,17,0)</f>
        <v>597182</v>
      </c>
      <c r="W76" s="274">
        <f>VLOOKUP(F76,'115分組'!D:F,3,0)</f>
        <v>150000</v>
      </c>
      <c r="X76" s="274"/>
      <c r="Y76" s="275">
        <f t="shared" si="12"/>
        <v>2890000</v>
      </c>
      <c r="Z76" s="451">
        <f t="shared" si="19"/>
        <v>103440000</v>
      </c>
      <c r="AA76" s="276">
        <f t="shared" si="20"/>
        <v>-1.1201441581118687E-2</v>
      </c>
      <c r="AB76" s="276">
        <f t="shared" si="21"/>
        <v>0.24686595949855361</v>
      </c>
      <c r="AC76" s="277">
        <f t="shared" si="22"/>
        <v>56892000.000000007</v>
      </c>
    </row>
    <row r="77" spans="1:29" s="279" customFormat="1" ht="24.95" customHeight="1">
      <c r="A77" s="279" t="str">
        <f>IF(J77&gt;='116目標底稿SUMMARY'!$E$3,"TYPE_1",IF(J77&gt;='116目標底稿SUMMARY'!$E$4,"TYPE_2",IF(J77&gt;='116目標底稿SUMMARY'!$E$5,"TYPE_3","TYPE_4")))</f>
        <v>TYPE_2</v>
      </c>
      <c r="B77" s="272">
        <v>70</v>
      </c>
      <c r="C77" s="271" t="s">
        <v>7</v>
      </c>
      <c r="D77" s="272">
        <v>182</v>
      </c>
      <c r="E77" s="273" t="s">
        <v>169</v>
      </c>
      <c r="F77" s="272">
        <f>IF(ISERROR(VLOOKUP(D77,'115分組'!A:D,4,0)), "未分", VLOOKUP(D77,'115分組'!A:D,4,0))</f>
        <v>8</v>
      </c>
      <c r="G77" s="273">
        <f>ROUND(VLOOKUP(D77,'115_分行業績'!A:J,8,0), 0)</f>
        <v>49976757</v>
      </c>
      <c r="H77" s="274">
        <f>(VLOOKUP(D77, '底稿_前2年手收20%'!A:G,7,0)+VLOOKUP(D77, '底稿_前2年手收20%'!O:U,7,0))/2</f>
        <v>21477356.305</v>
      </c>
      <c r="I77" s="273">
        <f>VLOOKUP(D77,'115_分行業績'!A:I,9,0)</f>
        <v>43610000</v>
      </c>
      <c r="J77" s="456">
        <f t="shared" si="13"/>
        <v>1.1499999999999999</v>
      </c>
      <c r="K77" s="456">
        <f t="shared" si="14"/>
        <v>0.96</v>
      </c>
      <c r="L77" s="273" t="str">
        <f t="shared" si="15"/>
        <v>110%以上、未達120%</v>
      </c>
      <c r="M77" s="273" t="str">
        <f t="shared" si="16"/>
        <v>預估實績*103%</v>
      </c>
      <c r="N77" s="273">
        <f t="shared" si="17"/>
        <v>51480000</v>
      </c>
      <c r="O77" s="273" t="str">
        <f>VLOOKUP(A77,'116目標底稿SUMMARY'!A:B,2,0)</f>
        <v>100%以上，未達120%</v>
      </c>
      <c r="P77" s="273" t="str">
        <f>VLOOKUP(A77,'116目標底稿SUMMARY'!A:D,4,0)</f>
        <v>預估實績*103%</v>
      </c>
      <c r="Q77" s="273">
        <f>ROUND(IF(A77 = "TYPE_1", I77*'116目標底稿SUMMARY'!$F$3*'116目標底稿SUMMARY'!$G$3, IF(A77 = "TYPE_2", G77*'116目標底稿SUMMARY'!$F$4, IF(A77 = "TYPE_3", G77*'116目標底稿SUMMARY'!$F$5, '116目標底稿ver1'!I77*'116目標底稿SUMMARY'!$F$6*'116目標底稿SUMMARY'!$G$6))), -4)</f>
        <v>50480000</v>
      </c>
      <c r="R77" s="452">
        <f t="shared" si="18"/>
        <v>-1000000</v>
      </c>
      <c r="S77" s="274">
        <f>VLOOKUP(D77,'116指標1_前2年手收20%'!A:M,13,0)</f>
        <v>255436</v>
      </c>
      <c r="T77" s="274">
        <f>VLOOKUP(D77,'116指標2_存款25%'!A:F,6,0)</f>
        <v>472422</v>
      </c>
      <c r="U77" s="274">
        <f>VLOOKUP(D77,'116指標6_理財AUM25%'!A:F,6,0)</f>
        <v>353604</v>
      </c>
      <c r="V77" s="274">
        <f>VLOOKUP(D77,'116指標4_114分行人數25%'!A:Q,17,0)</f>
        <v>437933</v>
      </c>
      <c r="W77" s="274">
        <f>VLOOKUP(F77,'115分組'!D:F,3,0)</f>
        <v>40000</v>
      </c>
      <c r="X77" s="274"/>
      <c r="Y77" s="275">
        <f t="shared" si="12"/>
        <v>1560000</v>
      </c>
      <c r="Z77" s="451">
        <f t="shared" si="19"/>
        <v>52040000</v>
      </c>
      <c r="AA77" s="276">
        <f t="shared" si="20"/>
        <v>4.1284051304089298E-2</v>
      </c>
      <c r="AB77" s="276">
        <f t="shared" si="21"/>
        <v>0.19330428800733768</v>
      </c>
      <c r="AC77" s="277">
        <f t="shared" si="22"/>
        <v>28622000.000000004</v>
      </c>
    </row>
    <row r="78" spans="1:29" s="279" customFormat="1" ht="24.95" customHeight="1">
      <c r="A78" s="279" t="str">
        <f>IF(J78&gt;='116目標底稿SUMMARY'!$E$3,"TYPE_1",IF(J78&gt;='116目標底稿SUMMARY'!$E$4,"TYPE_2",IF(J78&gt;='116目標底稿SUMMARY'!$E$5,"TYPE_3","TYPE_4")))</f>
        <v>TYPE_3</v>
      </c>
      <c r="B78" s="272">
        <v>71</v>
      </c>
      <c r="C78" s="271" t="s">
        <v>7</v>
      </c>
      <c r="D78" s="272">
        <v>183</v>
      </c>
      <c r="E78" s="273" t="s">
        <v>18</v>
      </c>
      <c r="F78" s="272">
        <f>IF(ISERROR(VLOOKUP(D78,'115分組'!A:D,4,0)), "未分", VLOOKUP(D78,'115分組'!A:D,4,0))</f>
        <v>8</v>
      </c>
      <c r="G78" s="273">
        <f>ROUND(VLOOKUP(D78,'115_分行業績'!A:J,8,0), 0)</f>
        <v>31648331</v>
      </c>
      <c r="H78" s="274">
        <f>(VLOOKUP(D78, '底稿_前2年手收20%'!A:G,7,0)+VLOOKUP(D78, '底稿_前2年手收20%'!O:U,7,0))/2</f>
        <v>22469698.265000001</v>
      </c>
      <c r="I78" s="273">
        <f>VLOOKUP(D78,'115_分行業績'!A:I,9,0)</f>
        <v>38790000</v>
      </c>
      <c r="J78" s="456">
        <f t="shared" si="13"/>
        <v>0.82</v>
      </c>
      <c r="K78" s="456">
        <f t="shared" si="14"/>
        <v>0.92</v>
      </c>
      <c r="L78" s="273" t="str">
        <f t="shared" si="15"/>
        <v>75%以上、未達90%</v>
      </c>
      <c r="M78" s="273" t="str">
        <f t="shared" si="16"/>
        <v>分行目標110%</v>
      </c>
      <c r="N78" s="273">
        <f t="shared" si="17"/>
        <v>42670000</v>
      </c>
      <c r="O78" s="273" t="str">
        <f>VLOOKUP(A78,'116目標底稿SUMMARY'!A:B,2,0)</f>
        <v>80%以上，未達100%</v>
      </c>
      <c r="P78" s="273" t="str">
        <f>VLOOKUP(A78,'116目標底稿SUMMARY'!A:D,4,0)</f>
        <v>預估實績*105%</v>
      </c>
      <c r="Q78" s="273">
        <f>ROUND(IF(A78 = "TYPE_1", I78*'116目標底稿SUMMARY'!$F$3*'116目標底稿SUMMARY'!$G$3, IF(A78 = "TYPE_2", G78*'116目標底稿SUMMARY'!$F$4, IF(A78 = "TYPE_3", G78*'116目標底稿SUMMARY'!$F$5, '116目標底稿ver1'!I78*'116目標底稿SUMMARY'!$F$6*'116目標底稿SUMMARY'!$G$6))), -4)</f>
        <v>32600000</v>
      </c>
      <c r="R78" s="452">
        <f t="shared" si="18"/>
        <v>-10070000</v>
      </c>
      <c r="S78" s="274">
        <f>VLOOKUP(D78,'116指標1_前2年手收20%'!A:M,13,0)</f>
        <v>267238</v>
      </c>
      <c r="T78" s="274">
        <f>VLOOKUP(D78,'116指標2_存款25%'!A:F,6,0)</f>
        <v>582264</v>
      </c>
      <c r="U78" s="274">
        <f>VLOOKUP(D78,'116指標6_理財AUM25%'!A:F,6,0)</f>
        <v>320378</v>
      </c>
      <c r="V78" s="274">
        <f>VLOOKUP(D78,'116指標4_114分行人數25%'!A:Q,17,0)</f>
        <v>477745</v>
      </c>
      <c r="W78" s="274">
        <f>VLOOKUP(F78,'115分組'!D:F,3,0)</f>
        <v>40000</v>
      </c>
      <c r="X78" s="274"/>
      <c r="Y78" s="275">
        <f t="shared" si="12"/>
        <v>1690000</v>
      </c>
      <c r="Z78" s="451">
        <f t="shared" si="19"/>
        <v>34290000</v>
      </c>
      <c r="AA78" s="276">
        <f t="shared" si="20"/>
        <v>8.3469456888579652E-2</v>
      </c>
      <c r="AB78" s="276">
        <f t="shared" si="21"/>
        <v>-0.11600928074245942</v>
      </c>
      <c r="AC78" s="277">
        <f t="shared" si="22"/>
        <v>18859500</v>
      </c>
    </row>
    <row r="79" spans="1:29" s="279" customFormat="1" ht="24.95" customHeight="1">
      <c r="A79" s="279" t="str">
        <f>IF(J79&gt;='116目標底稿SUMMARY'!$E$3,"TYPE_1",IF(J79&gt;='116目標底稿SUMMARY'!$E$4,"TYPE_2",IF(J79&gt;='116目標底稿SUMMARY'!$E$5,"TYPE_3","TYPE_4")))</f>
        <v>TYPE_2</v>
      </c>
      <c r="B79" s="272">
        <v>72</v>
      </c>
      <c r="C79" s="271" t="s">
        <v>7</v>
      </c>
      <c r="D79" s="272">
        <v>184</v>
      </c>
      <c r="E79" s="273" t="s">
        <v>19</v>
      </c>
      <c r="F79" s="272">
        <f>IF(ISERROR(VLOOKUP(D79,'115分組'!A:D,4,0)), "未分", VLOOKUP(D79,'115分組'!A:D,4,0))</f>
        <v>7</v>
      </c>
      <c r="G79" s="273">
        <f>ROUND(VLOOKUP(D79,'115_分行業績'!A:J,8,0), 0)</f>
        <v>64996126</v>
      </c>
      <c r="H79" s="274">
        <f>(VLOOKUP(D79, '底稿_前2年手收20%'!A:G,7,0)+VLOOKUP(D79, '底稿_前2年手收20%'!O:U,7,0))/2</f>
        <v>45537135.914999999</v>
      </c>
      <c r="I79" s="273">
        <f>VLOOKUP(D79,'115_分行業績'!A:I,9,0)</f>
        <v>57280000</v>
      </c>
      <c r="J79" s="456">
        <f t="shared" si="13"/>
        <v>1.1299999999999999</v>
      </c>
      <c r="K79" s="456">
        <f t="shared" si="14"/>
        <v>0.96</v>
      </c>
      <c r="L79" s="273" t="str">
        <f t="shared" si="15"/>
        <v>110%以上、未達120%</v>
      </c>
      <c r="M79" s="273" t="str">
        <f t="shared" si="16"/>
        <v>預估實績*103%</v>
      </c>
      <c r="N79" s="273">
        <f t="shared" si="17"/>
        <v>66950000</v>
      </c>
      <c r="O79" s="273" t="str">
        <f>VLOOKUP(A79,'116目標底稿SUMMARY'!A:B,2,0)</f>
        <v>100%以上，未達120%</v>
      </c>
      <c r="P79" s="273" t="str">
        <f>VLOOKUP(A79,'116目標底稿SUMMARY'!A:D,4,0)</f>
        <v>預估實績*103%</v>
      </c>
      <c r="Q79" s="273">
        <f>ROUND(IF(A79 = "TYPE_1", I79*'116目標底稿SUMMARY'!$F$3*'116目標底稿SUMMARY'!$G$3, IF(A79 = "TYPE_2", G79*'116目標底稿SUMMARY'!$F$4, IF(A79 = "TYPE_3", G79*'116目標底稿SUMMARY'!$F$5, '116目標底稿ver1'!I79*'116目標底稿SUMMARY'!$F$6*'116目標底稿SUMMARY'!$G$6))), -4)</f>
        <v>65650000</v>
      </c>
      <c r="R79" s="452">
        <f t="shared" si="18"/>
        <v>-1300000</v>
      </c>
      <c r="S79" s="274">
        <f>VLOOKUP(D79,'116指標1_前2年手收20%'!A:M,13,0)</f>
        <v>435412</v>
      </c>
      <c r="T79" s="274">
        <f>VLOOKUP(D79,'116指標2_存款25%'!A:F,6,0)</f>
        <v>448371</v>
      </c>
      <c r="U79" s="274">
        <f>VLOOKUP(D79,'116指標6_理財AUM25%'!A:F,6,0)</f>
        <v>587626</v>
      </c>
      <c r="V79" s="274">
        <f>VLOOKUP(D79,'116指標4_114分行人數25%'!A:Q,17,0)</f>
        <v>437933</v>
      </c>
      <c r="W79" s="274">
        <f>VLOOKUP(F79,'115分組'!D:F,3,0)</f>
        <v>60000</v>
      </c>
      <c r="X79" s="274"/>
      <c r="Y79" s="275">
        <f t="shared" si="12"/>
        <v>1970000</v>
      </c>
      <c r="Z79" s="451">
        <f t="shared" si="19"/>
        <v>67620000</v>
      </c>
      <c r="AA79" s="276">
        <f t="shared" si="20"/>
        <v>4.0369698341713445E-2</v>
      </c>
      <c r="AB79" s="276">
        <f t="shared" si="21"/>
        <v>0.18051675977653625</v>
      </c>
      <c r="AC79" s="277">
        <f t="shared" si="22"/>
        <v>37191000</v>
      </c>
    </row>
    <row r="80" spans="1:29" s="279" customFormat="1" ht="24.95" customHeight="1">
      <c r="A80" s="279" t="str">
        <f>IF(J80&gt;='116目標底稿SUMMARY'!$E$3,"TYPE_1",IF(J80&gt;='116目標底稿SUMMARY'!$E$4,"TYPE_2",IF(J80&gt;='116目標底稿SUMMARY'!$E$5,"TYPE_3","TYPE_4")))</f>
        <v>TYPE_3</v>
      </c>
      <c r="B80" s="272">
        <v>73</v>
      </c>
      <c r="C80" s="271" t="s">
        <v>7</v>
      </c>
      <c r="D80" s="272">
        <v>185</v>
      </c>
      <c r="E80" s="273" t="s">
        <v>170</v>
      </c>
      <c r="F80" s="272">
        <f>IF(ISERROR(VLOOKUP(D80,'115分組'!A:D,4,0)), "未分", VLOOKUP(D80,'115分組'!A:D,4,0))</f>
        <v>5</v>
      </c>
      <c r="G80" s="273">
        <f>ROUND(VLOOKUP(D80,'115_分行業績'!A:J,8,0), 0)</f>
        <v>80510390</v>
      </c>
      <c r="H80" s="274">
        <f>(VLOOKUP(D80, '底稿_前2年手收20%'!A:G,7,0)+VLOOKUP(D80, '底稿_前2年手收20%'!O:U,7,0))/2</f>
        <v>58230722.449999996</v>
      </c>
      <c r="I80" s="273">
        <f>VLOOKUP(D80,'115_分行業績'!A:I,9,0)</f>
        <v>82120000</v>
      </c>
      <c r="J80" s="456">
        <f t="shared" si="13"/>
        <v>0.98</v>
      </c>
      <c r="K80" s="456">
        <f t="shared" si="14"/>
        <v>0.94</v>
      </c>
      <c r="L80" s="273" t="str">
        <f t="shared" si="15"/>
        <v>90%以上、未達100%</v>
      </c>
      <c r="M80" s="273" t="str">
        <f t="shared" si="16"/>
        <v>分行目標105%</v>
      </c>
      <c r="N80" s="273">
        <f t="shared" si="17"/>
        <v>86230000</v>
      </c>
      <c r="O80" s="273" t="str">
        <f>VLOOKUP(A80,'116目標底稿SUMMARY'!A:B,2,0)</f>
        <v>80%以上，未達100%</v>
      </c>
      <c r="P80" s="273" t="str">
        <f>VLOOKUP(A80,'116目標底稿SUMMARY'!A:D,4,0)</f>
        <v>預估實績*105%</v>
      </c>
      <c r="Q80" s="273">
        <f>ROUND(IF(A80 = "TYPE_1", I80*'116目標底稿SUMMARY'!$F$3*'116目標底稿SUMMARY'!$G$3, IF(A80 = "TYPE_2", G80*'116目標底稿SUMMARY'!$F$4, IF(A80 = "TYPE_3", G80*'116目標底稿SUMMARY'!$F$5, '116目標底稿ver1'!I80*'116目標底稿SUMMARY'!$F$6*'116目標底稿SUMMARY'!$G$6))), -4)</f>
        <v>82930000</v>
      </c>
      <c r="R80" s="452">
        <f t="shared" si="18"/>
        <v>-3300000</v>
      </c>
      <c r="S80" s="274">
        <f>VLOOKUP(D80,'116指標1_前2年手收20%'!A:M,13,0)</f>
        <v>662097</v>
      </c>
      <c r="T80" s="274">
        <f>VLOOKUP(D80,'116指標2_存款25%'!A:F,6,0)</f>
        <v>661922</v>
      </c>
      <c r="U80" s="274">
        <f>VLOOKUP(D80,'116指標6_理財AUM25%'!A:F,6,0)</f>
        <v>927224</v>
      </c>
      <c r="V80" s="274">
        <f>VLOOKUP(D80,'116指標4_114分行人數25%'!A:Q,17,0)</f>
        <v>597182</v>
      </c>
      <c r="W80" s="274">
        <f>VLOOKUP(F80,'115分組'!D:F,3,0)</f>
        <v>100000</v>
      </c>
      <c r="X80" s="274"/>
      <c r="Y80" s="275">
        <f t="shared" si="12"/>
        <v>2950000</v>
      </c>
      <c r="Z80" s="451">
        <f t="shared" si="19"/>
        <v>85880000</v>
      </c>
      <c r="AA80" s="276">
        <f t="shared" si="20"/>
        <v>6.6694621650696284E-2</v>
      </c>
      <c r="AB80" s="276">
        <f t="shared" si="21"/>
        <v>4.5786653677545086E-2</v>
      </c>
      <c r="AC80" s="277">
        <f t="shared" si="22"/>
        <v>47234000.000000007</v>
      </c>
    </row>
    <row r="81" spans="1:29" s="279" customFormat="1" ht="24.95" customHeight="1">
      <c r="A81" s="279" t="str">
        <f>IF(J81&gt;='116目標底稿SUMMARY'!$E$3,"TYPE_1",IF(J81&gt;='116目標底稿SUMMARY'!$E$4,"TYPE_2",IF(J81&gt;='116目標底稿SUMMARY'!$E$5,"TYPE_3","TYPE_4")))</f>
        <v>TYPE_4</v>
      </c>
      <c r="B81" s="272">
        <v>74</v>
      </c>
      <c r="C81" s="271" t="s">
        <v>11</v>
      </c>
      <c r="D81" s="272">
        <v>186</v>
      </c>
      <c r="E81" s="273" t="s">
        <v>87</v>
      </c>
      <c r="F81" s="272">
        <f>IF(ISERROR(VLOOKUP(D81,'115分組'!A:D,4,0)), "未分", VLOOKUP(D81,'115分組'!A:D,4,0))</f>
        <v>5</v>
      </c>
      <c r="G81" s="273">
        <f>ROUND(VLOOKUP(D81,'115_分行業績'!A:J,8,0), 0)</f>
        <v>50585750</v>
      </c>
      <c r="H81" s="274">
        <f>(VLOOKUP(D81, '底稿_前2年手收20%'!A:G,7,0)+VLOOKUP(D81, '底稿_前2年手收20%'!O:U,7,0))/2</f>
        <v>32187903.215000004</v>
      </c>
      <c r="I81" s="273">
        <f>VLOOKUP(D81,'115_分行業績'!A:I,9,0)</f>
        <v>77150000</v>
      </c>
      <c r="J81" s="456">
        <f t="shared" si="13"/>
        <v>0.66</v>
      </c>
      <c r="K81" s="456">
        <f t="shared" si="14"/>
        <v>0.66</v>
      </c>
      <c r="L81" s="273" t="str">
        <f t="shared" si="15"/>
        <v>未達75%</v>
      </c>
      <c r="M81" s="273" t="str">
        <f t="shared" si="16"/>
        <v>分行目標115%</v>
      </c>
      <c r="N81" s="273">
        <f t="shared" si="17"/>
        <v>88720000</v>
      </c>
      <c r="O81" s="273" t="str">
        <f>VLOOKUP(A81,'116目標底稿SUMMARY'!A:B,2,0)</f>
        <v>未達80%</v>
      </c>
      <c r="P81" s="273" t="str">
        <f>VLOOKUP(A81,'116目標底稿SUMMARY'!A:D,4,0)</f>
        <v>分行目標*80%*120%</v>
      </c>
      <c r="Q81" s="273">
        <f>ROUND(IF(A81 = "TYPE_1", I81*'116目標底稿SUMMARY'!$F$3*'116目標底稿SUMMARY'!$G$3, IF(A81 = "TYPE_2", G81*'116目標底稿SUMMARY'!$F$4, IF(A81 = "TYPE_3", G81*'116目標底稿SUMMARY'!$F$5, '116目標底稿ver1'!I81*'116目標底稿SUMMARY'!$F$6*'116目標底稿SUMMARY'!$G$6))), -4)</f>
        <v>74060000</v>
      </c>
      <c r="R81" s="452">
        <f t="shared" si="18"/>
        <v>-14660000</v>
      </c>
      <c r="S81" s="274">
        <f>VLOOKUP(D81,'116指標1_前2年手收20%'!A:M,13,0)</f>
        <v>382378</v>
      </c>
      <c r="T81" s="274">
        <f>VLOOKUP(D81,'116指標2_存款25%'!A:F,6,0)</f>
        <v>934344</v>
      </c>
      <c r="U81" s="274">
        <f>VLOOKUP(D81,'116指標6_理財AUM25%'!A:F,6,0)</f>
        <v>596119</v>
      </c>
      <c r="V81" s="274">
        <f>VLOOKUP(D81,'116指標4_114分行人數25%'!A:Q,17,0)</f>
        <v>656900</v>
      </c>
      <c r="W81" s="274">
        <f>VLOOKUP(F81,'115分組'!D:F,3,0)</f>
        <v>100000</v>
      </c>
      <c r="X81" s="274"/>
      <c r="Y81" s="275">
        <f t="shared" si="12"/>
        <v>2670000</v>
      </c>
      <c r="Z81" s="451">
        <f t="shared" si="19"/>
        <v>76730000</v>
      </c>
      <c r="AA81" s="276">
        <f t="shared" si="20"/>
        <v>0.5168303326529704</v>
      </c>
      <c r="AB81" s="276">
        <f t="shared" si="21"/>
        <v>-5.443940375891132E-3</v>
      </c>
      <c r="AC81" s="277">
        <f t="shared" si="22"/>
        <v>42201500</v>
      </c>
    </row>
    <row r="82" spans="1:29" s="279" customFormat="1" ht="24.95" customHeight="1">
      <c r="A82" s="279" t="str">
        <f>IF(J82&gt;='116目標底稿SUMMARY'!$E$3,"TYPE_1",IF(J82&gt;='116目標底稿SUMMARY'!$E$4,"TYPE_2",IF(J82&gt;='116目標底稿SUMMARY'!$E$5,"TYPE_3","TYPE_4")))</f>
        <v>TYPE_1</v>
      </c>
      <c r="B82" s="272">
        <v>75</v>
      </c>
      <c r="C82" s="271" t="s">
        <v>7</v>
      </c>
      <c r="D82" s="272">
        <v>187</v>
      </c>
      <c r="E82" s="273" t="s">
        <v>171</v>
      </c>
      <c r="F82" s="272">
        <f>IF(ISERROR(VLOOKUP(D82,'115分組'!A:D,4,0)), "未分", VLOOKUP(D82,'115分組'!A:D,4,0))</f>
        <v>4</v>
      </c>
      <c r="G82" s="273">
        <f>ROUND(VLOOKUP(D82,'115_分行業績'!A:J,8,0), 0)</f>
        <v>76406208</v>
      </c>
      <c r="H82" s="274">
        <f>(VLOOKUP(D82, '底稿_前2年手收20%'!A:G,7,0)+VLOOKUP(D82, '底稿_前2年手收20%'!O:U,7,0))/2</f>
        <v>43476684.460000001</v>
      </c>
      <c r="I82" s="273">
        <f>VLOOKUP(D82,'115_分行業績'!A:I,9,0)</f>
        <v>57290000</v>
      </c>
      <c r="J82" s="456">
        <f t="shared" si="13"/>
        <v>1.33</v>
      </c>
      <c r="K82" s="456">
        <f t="shared" si="14"/>
        <v>1.07</v>
      </c>
      <c r="L82" s="273" t="str">
        <f t="shared" si="15"/>
        <v>130%以上、未達150%</v>
      </c>
      <c r="M82" s="273" t="str">
        <f t="shared" si="16"/>
        <v>預估實績*90%</v>
      </c>
      <c r="N82" s="273">
        <f t="shared" si="17"/>
        <v>68770000</v>
      </c>
      <c r="O82" s="273" t="str">
        <f>VLOOKUP(A82,'116目標底稿SUMMARY'!A:B,2,0)</f>
        <v>120%以上</v>
      </c>
      <c r="P82" s="273" t="str">
        <f>VLOOKUP(A82,'116目標底稿SUMMARY'!A:D,4,0)</f>
        <v>分行目標*120%*101%</v>
      </c>
      <c r="Q82" s="273">
        <f>ROUND(IF(A82 = "TYPE_1", I82*'116目標底稿SUMMARY'!$F$3*'116目標底稿SUMMARY'!$G$3, IF(A82 = "TYPE_2", G82*'116目標底稿SUMMARY'!$F$4, IF(A82 = "TYPE_3", G82*'116目標底稿SUMMARY'!$F$5, '116目標底稿ver1'!I82*'116目標底稿SUMMARY'!$F$6*'116目標底稿SUMMARY'!$G$6))), -4)</f>
        <v>69440000</v>
      </c>
      <c r="R82" s="452">
        <f t="shared" si="18"/>
        <v>670000</v>
      </c>
      <c r="S82" s="274">
        <f>VLOOKUP(D82,'116指標1_前2年手收20%'!A:M,13,0)</f>
        <v>449149</v>
      </c>
      <c r="T82" s="274">
        <f>VLOOKUP(D82,'116指標2_存款25%'!A:F,6,0)</f>
        <v>497583</v>
      </c>
      <c r="U82" s="274">
        <f>VLOOKUP(D82,'116指標6_理財AUM25%'!A:F,6,0)</f>
        <v>454911</v>
      </c>
      <c r="V82" s="274">
        <f>VLOOKUP(D82,'116指標4_114分行人數25%'!A:Q,17,0)</f>
        <v>537464</v>
      </c>
      <c r="W82" s="274">
        <f>VLOOKUP(F82,'115分組'!D:F,3,0)</f>
        <v>130000</v>
      </c>
      <c r="X82" s="274"/>
      <c r="Y82" s="275">
        <f t="shared" si="12"/>
        <v>2070000</v>
      </c>
      <c r="Z82" s="451">
        <f t="shared" si="19"/>
        <v>71510000</v>
      </c>
      <c r="AA82" s="276">
        <f t="shared" si="20"/>
        <v>-6.4081285122800535E-2</v>
      </c>
      <c r="AB82" s="276">
        <f t="shared" si="21"/>
        <v>0.24821085704311407</v>
      </c>
      <c r="AC82" s="277">
        <f t="shared" si="22"/>
        <v>39330500</v>
      </c>
    </row>
    <row r="83" spans="1:29" s="279" customFormat="1" ht="24.95" customHeight="1">
      <c r="A83" s="279" t="str">
        <f>IF(J83&gt;='116目標底稿SUMMARY'!$E$3,"TYPE_1",IF(J83&gt;='116目標底稿SUMMARY'!$E$4,"TYPE_2",IF(J83&gt;='116目標底稿SUMMARY'!$E$5,"TYPE_3","TYPE_4")))</f>
        <v>TYPE_2</v>
      </c>
      <c r="B83" s="272">
        <v>76</v>
      </c>
      <c r="C83" s="271" t="s">
        <v>0</v>
      </c>
      <c r="D83" s="272">
        <v>189</v>
      </c>
      <c r="E83" s="273" t="s">
        <v>172</v>
      </c>
      <c r="F83" s="272">
        <f>IF(ISERROR(VLOOKUP(D83,'115分組'!A:D,4,0)), "未分", VLOOKUP(D83,'115分組'!A:D,4,0))</f>
        <v>3</v>
      </c>
      <c r="G83" s="273">
        <f>ROUND(VLOOKUP(D83,'115_分行業績'!A:J,8,0), 0)</f>
        <v>90735057</v>
      </c>
      <c r="H83" s="274">
        <f>(VLOOKUP(D83, '底稿_前2年手收20%'!A:G,7,0)+VLOOKUP(D83, '底稿_前2年手收20%'!O:U,7,0))/2</f>
        <v>64347112.890000001</v>
      </c>
      <c r="I83" s="273">
        <f>VLOOKUP(D83,'115_分行業績'!A:I,9,0)</f>
        <v>80500000</v>
      </c>
      <c r="J83" s="456">
        <f t="shared" si="13"/>
        <v>1.1299999999999999</v>
      </c>
      <c r="K83" s="456">
        <f t="shared" si="14"/>
        <v>0.96</v>
      </c>
      <c r="L83" s="273" t="str">
        <f t="shared" si="15"/>
        <v>110%以上、未達120%</v>
      </c>
      <c r="M83" s="273" t="str">
        <f t="shared" si="16"/>
        <v>預估實績*103%</v>
      </c>
      <c r="N83" s="273">
        <f t="shared" si="17"/>
        <v>93460000</v>
      </c>
      <c r="O83" s="273" t="str">
        <f>VLOOKUP(A83,'116目標底稿SUMMARY'!A:B,2,0)</f>
        <v>100%以上，未達120%</v>
      </c>
      <c r="P83" s="273" t="str">
        <f>VLOOKUP(A83,'116目標底稿SUMMARY'!A:D,4,0)</f>
        <v>預估實績*103%</v>
      </c>
      <c r="Q83" s="273">
        <f>ROUND(IF(A83 = "TYPE_1", I83*'116目標底稿SUMMARY'!$F$3*'116目標底稿SUMMARY'!$G$3, IF(A83 = "TYPE_2", G83*'116目標底稿SUMMARY'!$F$4, IF(A83 = "TYPE_3", G83*'116目標底稿SUMMARY'!$F$5, '116目標底稿ver1'!I83*'116目標底稿SUMMARY'!$F$6*'116目標底稿SUMMARY'!$G$6))), -4)</f>
        <v>91640000</v>
      </c>
      <c r="R83" s="452">
        <f t="shared" si="18"/>
        <v>-1820000</v>
      </c>
      <c r="S83" s="274">
        <f>VLOOKUP(D83,'116指標1_前2年手收20%'!A:M,13,0)</f>
        <v>595911</v>
      </c>
      <c r="T83" s="274">
        <f>VLOOKUP(D83,'116指標2_存款25%'!A:F,6,0)</f>
        <v>638082</v>
      </c>
      <c r="U83" s="274">
        <f>VLOOKUP(D83,'116指標6_理財AUM25%'!A:F,6,0)</f>
        <v>680970</v>
      </c>
      <c r="V83" s="274">
        <f>VLOOKUP(D83,'116指標4_114分行人數25%'!A:Q,17,0)</f>
        <v>656900</v>
      </c>
      <c r="W83" s="274">
        <f>VLOOKUP(F83,'115分組'!D:F,3,0)</f>
        <v>150000</v>
      </c>
      <c r="X83" s="274"/>
      <c r="Y83" s="275">
        <f t="shared" si="12"/>
        <v>2720000</v>
      </c>
      <c r="Z83" s="451">
        <f t="shared" si="19"/>
        <v>94360000</v>
      </c>
      <c r="AA83" s="276">
        <f t="shared" si="20"/>
        <v>3.9950853835910349E-2</v>
      </c>
      <c r="AB83" s="276">
        <f t="shared" si="21"/>
        <v>0.17217391304347829</v>
      </c>
      <c r="AC83" s="277">
        <f t="shared" si="22"/>
        <v>51898000.000000007</v>
      </c>
    </row>
    <row r="84" spans="1:29" s="279" customFormat="1" ht="24.95" customHeight="1">
      <c r="A84" s="279" t="str">
        <f>IF(J84&gt;='116目標底稿SUMMARY'!$E$3,"TYPE_1",IF(J84&gt;='116目標底稿SUMMARY'!$E$4,"TYPE_2",IF(J84&gt;='116目標底稿SUMMARY'!$E$5,"TYPE_3","TYPE_4")))</f>
        <v>TYPE_1</v>
      </c>
      <c r="B84" s="272">
        <v>77</v>
      </c>
      <c r="C84" s="271" t="s">
        <v>7</v>
      </c>
      <c r="D84" s="272">
        <v>190</v>
      </c>
      <c r="E84" s="273" t="s">
        <v>173</v>
      </c>
      <c r="F84" s="272">
        <f>IF(ISERROR(VLOOKUP(D84,'115分組'!A:D,4,0)), "未分", VLOOKUP(D84,'115分組'!A:D,4,0))</f>
        <v>4</v>
      </c>
      <c r="G84" s="273">
        <f>ROUND(VLOOKUP(D84,'115_分行業績'!A:J,8,0), 0)</f>
        <v>81004243</v>
      </c>
      <c r="H84" s="274">
        <f>(VLOOKUP(D84, '底稿_前2年手收20%'!A:G,7,0)+VLOOKUP(D84, '底稿_前2年手收20%'!O:U,7,0))/2</f>
        <v>39060881.799999997</v>
      </c>
      <c r="I84" s="273">
        <f>VLOOKUP(D84,'115_分行業績'!A:I,9,0)</f>
        <v>59460000</v>
      </c>
      <c r="J84" s="456">
        <f t="shared" si="13"/>
        <v>1.36</v>
      </c>
      <c r="K84" s="456">
        <f t="shared" si="14"/>
        <v>1.0900000000000001</v>
      </c>
      <c r="L84" s="273" t="str">
        <f t="shared" si="15"/>
        <v>130%以上、未達150%</v>
      </c>
      <c r="M84" s="273" t="str">
        <f t="shared" si="16"/>
        <v>預估實績*90%</v>
      </c>
      <c r="N84" s="273">
        <f t="shared" si="17"/>
        <v>72900000</v>
      </c>
      <c r="O84" s="273" t="str">
        <f>VLOOKUP(A84,'116目標底稿SUMMARY'!A:B,2,0)</f>
        <v>120%以上</v>
      </c>
      <c r="P84" s="273" t="str">
        <f>VLOOKUP(A84,'116目標底稿SUMMARY'!A:D,4,0)</f>
        <v>分行目標*120%*101%</v>
      </c>
      <c r="Q84" s="273">
        <f>ROUND(IF(A84 = "TYPE_1", I84*'116目標底稿SUMMARY'!$F$3*'116目標底稿SUMMARY'!$G$3, IF(A84 = "TYPE_2", G84*'116目標底稿SUMMARY'!$F$4, IF(A84 = "TYPE_3", G84*'116目標底稿SUMMARY'!$F$5, '116目標底稿ver1'!I84*'116目標底稿SUMMARY'!$F$6*'116目標底稿SUMMARY'!$G$6))), -4)</f>
        <v>72070000</v>
      </c>
      <c r="R84" s="452">
        <f t="shared" si="18"/>
        <v>-830000</v>
      </c>
      <c r="S84" s="274">
        <f>VLOOKUP(D84,'116指標1_前2年手收20%'!A:M,13,0)</f>
        <v>464561</v>
      </c>
      <c r="T84" s="274">
        <f>VLOOKUP(D84,'116指標2_存款25%'!A:F,6,0)</f>
        <v>618009</v>
      </c>
      <c r="U84" s="274">
        <f>VLOOKUP(D84,'116指標6_理財AUM25%'!A:F,6,0)</f>
        <v>478563</v>
      </c>
      <c r="V84" s="274">
        <f>VLOOKUP(D84,'116指標4_114分行人數25%'!A:Q,17,0)</f>
        <v>577276</v>
      </c>
      <c r="W84" s="274">
        <f>VLOOKUP(F84,'115分組'!D:F,3,0)</f>
        <v>130000</v>
      </c>
      <c r="X84" s="274"/>
      <c r="Y84" s="275">
        <f t="shared" si="12"/>
        <v>2270000</v>
      </c>
      <c r="Z84" s="451">
        <f t="shared" si="19"/>
        <v>74340000</v>
      </c>
      <c r="AA84" s="276">
        <f t="shared" si="20"/>
        <v>-8.2270295396748572E-2</v>
      </c>
      <c r="AB84" s="276">
        <f t="shared" si="21"/>
        <v>0.25025227043390519</v>
      </c>
      <c r="AC84" s="277">
        <f t="shared" si="22"/>
        <v>40887000</v>
      </c>
    </row>
    <row r="85" spans="1:29" s="279" customFormat="1" ht="24.95" customHeight="1">
      <c r="A85" s="279" t="str">
        <f>IF(J85&gt;='116目標底稿SUMMARY'!$E$3,"TYPE_1",IF(J85&gt;='116目標底稿SUMMARY'!$E$4,"TYPE_2",IF(J85&gt;='116目標底稿SUMMARY'!$E$5,"TYPE_3","TYPE_4")))</f>
        <v>TYPE_2</v>
      </c>
      <c r="B85" s="272">
        <v>78</v>
      </c>
      <c r="C85" s="271" t="s">
        <v>11</v>
      </c>
      <c r="D85" s="272">
        <v>191</v>
      </c>
      <c r="E85" s="273" t="s">
        <v>20</v>
      </c>
      <c r="F85" s="272">
        <f>IF(ISERROR(VLOOKUP(D85,'115分組'!A:D,4,0)), "未分", VLOOKUP(D85,'115分組'!A:D,4,0))</f>
        <v>4</v>
      </c>
      <c r="G85" s="273">
        <f>ROUND(VLOOKUP(D85,'115_分行業績'!A:J,8,0), 0)</f>
        <v>82833914</v>
      </c>
      <c r="H85" s="274">
        <f>(VLOOKUP(D85, '底稿_前2年手收20%'!A:G,7,0)+VLOOKUP(D85, '底稿_前2年手收20%'!O:U,7,0))/2</f>
        <v>61639614.055</v>
      </c>
      <c r="I85" s="273">
        <f>VLOOKUP(D85,'115_分行業績'!A:I,9,0)</f>
        <v>75690000</v>
      </c>
      <c r="J85" s="456">
        <f t="shared" si="13"/>
        <v>1.0900000000000001</v>
      </c>
      <c r="K85" s="456">
        <f t="shared" si="14"/>
        <v>0.96</v>
      </c>
      <c r="L85" s="273" t="str">
        <f t="shared" si="15"/>
        <v>100%以上、未達110%</v>
      </c>
      <c r="M85" s="273" t="str">
        <f t="shared" si="16"/>
        <v>預估實績105%</v>
      </c>
      <c r="N85" s="273">
        <f t="shared" si="17"/>
        <v>86980000</v>
      </c>
      <c r="O85" s="273" t="str">
        <f>VLOOKUP(A85,'116目標底稿SUMMARY'!A:B,2,0)</f>
        <v>100%以上，未達120%</v>
      </c>
      <c r="P85" s="273" t="str">
        <f>VLOOKUP(A85,'116目標底稿SUMMARY'!A:D,4,0)</f>
        <v>預估實績*103%</v>
      </c>
      <c r="Q85" s="273">
        <f>ROUND(IF(A85 = "TYPE_1", I85*'116目標底稿SUMMARY'!$F$3*'116目標底稿SUMMARY'!$G$3, IF(A85 = "TYPE_2", G85*'116目標底稿SUMMARY'!$F$4, IF(A85 = "TYPE_3", G85*'116目標底稿SUMMARY'!$F$5, '116目標底稿ver1'!I85*'116目標底稿SUMMARY'!$F$6*'116目標底稿SUMMARY'!$G$6))), -4)</f>
        <v>83660000</v>
      </c>
      <c r="R85" s="452">
        <f t="shared" si="18"/>
        <v>-3320000</v>
      </c>
      <c r="S85" s="274">
        <f>VLOOKUP(D85,'116指標1_前2年手收20%'!A:M,13,0)</f>
        <v>633156</v>
      </c>
      <c r="T85" s="274">
        <f>VLOOKUP(D85,'116指標2_存款25%'!A:F,6,0)</f>
        <v>682225</v>
      </c>
      <c r="U85" s="274">
        <f>VLOOKUP(D85,'116指標6_理財AUM25%'!A:F,6,0)</f>
        <v>724395</v>
      </c>
      <c r="V85" s="274">
        <f>VLOOKUP(D85,'116指標4_114分行人數25%'!A:Q,17,0)</f>
        <v>617088</v>
      </c>
      <c r="W85" s="274">
        <f>VLOOKUP(F85,'115分組'!D:F,3,0)</f>
        <v>130000</v>
      </c>
      <c r="X85" s="274"/>
      <c r="Y85" s="275">
        <f t="shared" si="12"/>
        <v>2790000</v>
      </c>
      <c r="Z85" s="451">
        <f t="shared" si="19"/>
        <v>86450000</v>
      </c>
      <c r="AA85" s="276">
        <f t="shared" si="20"/>
        <v>4.3654655748851745E-2</v>
      </c>
      <c r="AB85" s="276">
        <f t="shared" si="21"/>
        <v>0.14215880565464389</v>
      </c>
      <c r="AC85" s="277">
        <f t="shared" si="22"/>
        <v>47547500.000000007</v>
      </c>
    </row>
    <row r="86" spans="1:29" s="279" customFormat="1" ht="24.95" customHeight="1">
      <c r="A86" s="279" t="str">
        <f>IF(J86&gt;='116目標底稿SUMMARY'!$E$3,"TYPE_1",IF(J86&gt;='116目標底稿SUMMARY'!$E$4,"TYPE_2",IF(J86&gt;='116目標底稿SUMMARY'!$E$5,"TYPE_3","TYPE_4")))</f>
        <v>TYPE_1</v>
      </c>
      <c r="B86" s="272">
        <v>79</v>
      </c>
      <c r="C86" s="271" t="s">
        <v>7</v>
      </c>
      <c r="D86" s="272">
        <v>192</v>
      </c>
      <c r="E86" s="273" t="s">
        <v>174</v>
      </c>
      <c r="F86" s="272">
        <f>IF(ISERROR(VLOOKUP(D86,'115分組'!A:D,4,0)), "未分", VLOOKUP(D86,'115分組'!A:D,4,0))</f>
        <v>2</v>
      </c>
      <c r="G86" s="273">
        <f>ROUND(VLOOKUP(D86,'115_分行業績'!A:J,8,0), 0)</f>
        <v>95382733</v>
      </c>
      <c r="H86" s="274">
        <f>(VLOOKUP(D86, '底稿_前2年手收20%'!A:G,7,0)+VLOOKUP(D86, '底稿_前2年手收20%'!O:U,7,0))/2</f>
        <v>46999118.489999995</v>
      </c>
      <c r="I86" s="273">
        <f>VLOOKUP(D86,'115_分行業績'!A:I,9,0)</f>
        <v>77470000</v>
      </c>
      <c r="J86" s="456">
        <f t="shared" si="13"/>
        <v>1.23</v>
      </c>
      <c r="K86" s="456">
        <f t="shared" si="14"/>
        <v>0.99</v>
      </c>
      <c r="L86" s="273" t="str">
        <f t="shared" si="15"/>
        <v>120%以上、未達130%</v>
      </c>
      <c r="M86" s="273" t="str">
        <f t="shared" si="16"/>
        <v>預估實績*101%</v>
      </c>
      <c r="N86" s="273">
        <f t="shared" si="17"/>
        <v>96340000</v>
      </c>
      <c r="O86" s="273" t="str">
        <f>VLOOKUP(A86,'116目標底稿SUMMARY'!A:B,2,0)</f>
        <v>120%以上</v>
      </c>
      <c r="P86" s="273" t="str">
        <f>VLOOKUP(A86,'116目標底稿SUMMARY'!A:D,4,0)</f>
        <v>分行目標*120%*101%</v>
      </c>
      <c r="Q86" s="273">
        <f>ROUND(IF(A86 = "TYPE_1", I86*'116目標底稿SUMMARY'!$F$3*'116目標底稿SUMMARY'!$G$3, IF(A86 = "TYPE_2", G86*'116目標底稿SUMMARY'!$F$4, IF(A86 = "TYPE_3", G86*'116目標底稿SUMMARY'!$F$5, '116目標底稿ver1'!I86*'116目標底稿SUMMARY'!$F$6*'116目標底稿SUMMARY'!$G$6))), -4)</f>
        <v>93890000</v>
      </c>
      <c r="R86" s="452">
        <f t="shared" si="18"/>
        <v>-2450000</v>
      </c>
      <c r="S86" s="274">
        <f>VLOOKUP(D86,'116指標1_前2年手收20%'!A:M,13,0)</f>
        <v>558972</v>
      </c>
      <c r="T86" s="274">
        <f>VLOOKUP(D86,'116指標2_存款25%'!A:F,6,0)</f>
        <v>693238</v>
      </c>
      <c r="U86" s="274">
        <f>VLOOKUP(D86,'116指標6_理財AUM25%'!A:F,6,0)</f>
        <v>585859</v>
      </c>
      <c r="V86" s="274">
        <f>VLOOKUP(D86,'116指標4_114分行人數25%'!A:Q,17,0)</f>
        <v>676806</v>
      </c>
      <c r="W86" s="274">
        <f>VLOOKUP(F86,'115分組'!D:F,3,0)</f>
        <v>170000</v>
      </c>
      <c r="X86" s="274"/>
      <c r="Y86" s="275">
        <f t="shared" si="12"/>
        <v>2680000</v>
      </c>
      <c r="Z86" s="451">
        <f t="shared" si="19"/>
        <v>96570000</v>
      </c>
      <c r="AA86" s="276">
        <f t="shared" si="20"/>
        <v>1.2447399677675497E-2</v>
      </c>
      <c r="AB86" s="276">
        <f t="shared" si="21"/>
        <v>0.24654705047115022</v>
      </c>
      <c r="AC86" s="277">
        <f t="shared" si="22"/>
        <v>53113500.000000007</v>
      </c>
    </row>
    <row r="87" spans="1:29" s="279" customFormat="1" ht="24.95" customHeight="1">
      <c r="A87" s="279" t="str">
        <f>IF(J87&gt;='116目標底稿SUMMARY'!$E$3,"TYPE_1",IF(J87&gt;='116目標底稿SUMMARY'!$E$4,"TYPE_2",IF(J87&gt;='116目標底稿SUMMARY'!$E$5,"TYPE_3","TYPE_4")))</f>
        <v>TYPE_4</v>
      </c>
      <c r="B87" s="272">
        <v>80</v>
      </c>
      <c r="C87" s="271" t="s">
        <v>11</v>
      </c>
      <c r="D87" s="272">
        <v>193</v>
      </c>
      <c r="E87" s="273" t="s">
        <v>21</v>
      </c>
      <c r="F87" s="272">
        <f>IF(ISERROR(VLOOKUP(D87,'115分組'!A:D,4,0)), "未分", VLOOKUP(D87,'115分組'!A:D,4,0))</f>
        <v>4</v>
      </c>
      <c r="G87" s="273">
        <f>ROUND(VLOOKUP(D87,'115_分行業績'!A:J,8,0), 0)</f>
        <v>40700836</v>
      </c>
      <c r="H87" s="274">
        <f>(VLOOKUP(D87, '底稿_前2年手收20%'!A:G,7,0)+VLOOKUP(D87, '底稿_前2年手收20%'!O:U,7,0))/2</f>
        <v>34848415.869999997</v>
      </c>
      <c r="I87" s="273">
        <f>VLOOKUP(D87,'115_分行業績'!A:I,9,0)</f>
        <v>56200000</v>
      </c>
      <c r="J87" s="456">
        <f t="shared" si="13"/>
        <v>0.72</v>
      </c>
      <c r="K87" s="456">
        <f t="shared" si="14"/>
        <v>0.72</v>
      </c>
      <c r="L87" s="273" t="str">
        <f t="shared" si="15"/>
        <v>未達75%</v>
      </c>
      <c r="M87" s="273" t="str">
        <f t="shared" si="16"/>
        <v>分行目標115%</v>
      </c>
      <c r="N87" s="273">
        <f t="shared" si="17"/>
        <v>64630000</v>
      </c>
      <c r="O87" s="273" t="str">
        <f>VLOOKUP(A87,'116目標底稿SUMMARY'!A:B,2,0)</f>
        <v>未達80%</v>
      </c>
      <c r="P87" s="273" t="str">
        <f>VLOOKUP(A87,'116目標底稿SUMMARY'!A:D,4,0)</f>
        <v>分行目標*80%*120%</v>
      </c>
      <c r="Q87" s="273">
        <f>ROUND(IF(A87 = "TYPE_1", I87*'116目標底稿SUMMARY'!$F$3*'116目標底稿SUMMARY'!$G$3, IF(A87 = "TYPE_2", G87*'116目標底稿SUMMARY'!$F$4, IF(A87 = "TYPE_3", G87*'116目標底稿SUMMARY'!$F$5, '116目標底稿ver1'!I87*'116目標底稿SUMMARY'!$F$6*'116目標底稿SUMMARY'!$G$6))), -4)</f>
        <v>53950000</v>
      </c>
      <c r="R87" s="452">
        <f t="shared" si="18"/>
        <v>-10680000</v>
      </c>
      <c r="S87" s="274">
        <f>VLOOKUP(D87,'116指標1_前2年手收20%'!A:M,13,0)</f>
        <v>414461</v>
      </c>
      <c r="T87" s="274">
        <f>VLOOKUP(D87,'116指標2_存款25%'!A:F,6,0)</f>
        <v>779163</v>
      </c>
      <c r="U87" s="274">
        <f>VLOOKUP(D87,'116指標6_理財AUM25%'!A:F,6,0)</f>
        <v>612135</v>
      </c>
      <c r="V87" s="274">
        <f>VLOOKUP(D87,'116指標4_114分行人數25%'!A:Q,17,0)</f>
        <v>617088</v>
      </c>
      <c r="W87" s="274">
        <f>VLOOKUP(F87,'115分組'!D:F,3,0)</f>
        <v>130000</v>
      </c>
      <c r="X87" s="274"/>
      <c r="Y87" s="275">
        <f t="shared" si="12"/>
        <v>2550000</v>
      </c>
      <c r="Z87" s="451">
        <f t="shared" si="19"/>
        <v>56500000</v>
      </c>
      <c r="AA87" s="276">
        <f t="shared" si="20"/>
        <v>0.38817787428248396</v>
      </c>
      <c r="AB87" s="276">
        <f t="shared" si="21"/>
        <v>5.3380782918148739E-3</v>
      </c>
      <c r="AC87" s="277">
        <f t="shared" si="22"/>
        <v>31075000.000000004</v>
      </c>
    </row>
    <row r="88" spans="1:29" s="279" customFormat="1" ht="24.95" customHeight="1">
      <c r="A88" s="279" t="str">
        <f>IF(J88&gt;='116目標底稿SUMMARY'!$E$3,"TYPE_1",IF(J88&gt;='116目標底稿SUMMARY'!$E$4,"TYPE_2",IF(J88&gt;='116目標底稿SUMMARY'!$E$5,"TYPE_3","TYPE_4")))</f>
        <v>TYPE_4</v>
      </c>
      <c r="B88" s="272">
        <v>81</v>
      </c>
      <c r="C88" s="271" t="s">
        <v>11</v>
      </c>
      <c r="D88" s="272">
        <v>194</v>
      </c>
      <c r="E88" s="273" t="s">
        <v>175</v>
      </c>
      <c r="F88" s="272">
        <f>IF(ISERROR(VLOOKUP(D88,'115分組'!A:D,4,0)), "未分", VLOOKUP(D88,'115分組'!A:D,4,0))</f>
        <v>6</v>
      </c>
      <c r="G88" s="273">
        <f>ROUND(VLOOKUP(D88,'115_分行業績'!A:J,8,0), 0)</f>
        <v>36561726</v>
      </c>
      <c r="H88" s="274">
        <f>(VLOOKUP(D88, '底稿_前2年手收20%'!A:G,7,0)+VLOOKUP(D88, '底稿_前2年手收20%'!O:U,7,0))/2</f>
        <v>25499020.899999999</v>
      </c>
      <c r="I88" s="273">
        <f>VLOOKUP(D88,'115_分行業績'!A:I,9,0)</f>
        <v>49050000</v>
      </c>
      <c r="J88" s="456">
        <f t="shared" si="13"/>
        <v>0.75</v>
      </c>
      <c r="K88" s="456">
        <f t="shared" si="14"/>
        <v>0.74</v>
      </c>
      <c r="L88" s="273" t="str">
        <f t="shared" si="15"/>
        <v>75%以上、未達90%</v>
      </c>
      <c r="M88" s="273" t="str">
        <f t="shared" si="16"/>
        <v>分行目標110%</v>
      </c>
      <c r="N88" s="273">
        <f t="shared" si="17"/>
        <v>53960000</v>
      </c>
      <c r="O88" s="273" t="str">
        <f>VLOOKUP(A88,'116目標底稿SUMMARY'!A:B,2,0)</f>
        <v>未達80%</v>
      </c>
      <c r="P88" s="273" t="str">
        <f>VLOOKUP(A88,'116目標底稿SUMMARY'!A:D,4,0)</f>
        <v>分行目標*80%*120%</v>
      </c>
      <c r="Q88" s="273">
        <f>ROUND(IF(A88 = "TYPE_1", I88*'116目標底稿SUMMARY'!$F$3*'116目標底稿SUMMARY'!$G$3, IF(A88 = "TYPE_2", G88*'116目標底稿SUMMARY'!$F$4, IF(A88 = "TYPE_3", G88*'116目標底稿SUMMARY'!$F$5, '116目標底稿ver1'!I88*'116目標底稿SUMMARY'!$F$6*'116目標底稿SUMMARY'!$G$6))), -4)</f>
        <v>47090000</v>
      </c>
      <c r="R88" s="452">
        <f t="shared" si="18"/>
        <v>-6870000</v>
      </c>
      <c r="S88" s="274">
        <f>VLOOKUP(D88,'116指標1_前2年手收20%'!A:M,13,0)</f>
        <v>303266</v>
      </c>
      <c r="T88" s="274">
        <f>VLOOKUP(D88,'116指標2_存款25%'!A:F,6,0)</f>
        <v>737636</v>
      </c>
      <c r="U88" s="274">
        <f>VLOOKUP(D88,'116指標6_理財AUM25%'!A:F,6,0)</f>
        <v>476229</v>
      </c>
      <c r="V88" s="274">
        <f>VLOOKUP(D88,'116指標4_114分行人數25%'!A:Q,17,0)</f>
        <v>497651</v>
      </c>
      <c r="W88" s="274">
        <f>VLOOKUP(F88,'115分組'!D:F,3,0)</f>
        <v>80000</v>
      </c>
      <c r="X88" s="274"/>
      <c r="Y88" s="275">
        <f t="shared" si="12"/>
        <v>2090000</v>
      </c>
      <c r="Z88" s="451">
        <f t="shared" si="19"/>
        <v>49180000</v>
      </c>
      <c r="AA88" s="276">
        <f t="shared" si="20"/>
        <v>0.34512249230246961</v>
      </c>
      <c r="AB88" s="276">
        <f t="shared" si="21"/>
        <v>2.6503567787972138E-3</v>
      </c>
      <c r="AC88" s="277">
        <f t="shared" si="22"/>
        <v>27049000.000000004</v>
      </c>
    </row>
    <row r="89" spans="1:29" s="279" customFormat="1" ht="24.95" customHeight="1">
      <c r="A89" s="279" t="str">
        <f>IF(J89&gt;='116目標底稿SUMMARY'!$E$3,"TYPE_1",IF(J89&gt;='116目標底稿SUMMARY'!$E$4,"TYPE_2",IF(J89&gt;='116目標底稿SUMMARY'!$E$5,"TYPE_3","TYPE_4")))</f>
        <v>TYPE_3</v>
      </c>
      <c r="B89" s="272">
        <v>82</v>
      </c>
      <c r="C89" s="271" t="s">
        <v>7</v>
      </c>
      <c r="D89" s="272">
        <v>195</v>
      </c>
      <c r="E89" s="273" t="s">
        <v>22</v>
      </c>
      <c r="F89" s="272">
        <f>IF(ISERROR(VLOOKUP(D89,'115分組'!A:D,4,0)), "未分", VLOOKUP(D89,'115分組'!A:D,4,0))</f>
        <v>8</v>
      </c>
      <c r="G89" s="273">
        <f>ROUND(VLOOKUP(D89,'115_分行業績'!A:J,8,0), 0)</f>
        <v>44181883</v>
      </c>
      <c r="H89" s="274">
        <f>(VLOOKUP(D89, '底稿_前2年手收20%'!A:G,7,0)+VLOOKUP(D89, '底稿_前2年手收20%'!O:U,7,0))/2</f>
        <v>27754888.18</v>
      </c>
      <c r="I89" s="273">
        <f>VLOOKUP(D89,'115_分行業績'!A:I,9,0)</f>
        <v>47320000</v>
      </c>
      <c r="J89" s="456">
        <f t="shared" si="13"/>
        <v>0.93</v>
      </c>
      <c r="K89" s="456">
        <f t="shared" si="14"/>
        <v>0.94</v>
      </c>
      <c r="L89" s="273" t="str">
        <f t="shared" si="15"/>
        <v>90%以上、未達100%</v>
      </c>
      <c r="M89" s="273" t="str">
        <f t="shared" si="16"/>
        <v>分行目標105%</v>
      </c>
      <c r="N89" s="273">
        <f t="shared" si="17"/>
        <v>49690000</v>
      </c>
      <c r="O89" s="273" t="str">
        <f>VLOOKUP(A89,'116目標底稿SUMMARY'!A:B,2,0)</f>
        <v>80%以上，未達100%</v>
      </c>
      <c r="P89" s="273" t="str">
        <f>VLOOKUP(A89,'116目標底稿SUMMARY'!A:D,4,0)</f>
        <v>預估實績*105%</v>
      </c>
      <c r="Q89" s="273">
        <f>ROUND(IF(A89 = "TYPE_1", I89*'116目標底稿SUMMARY'!$F$3*'116目標底稿SUMMARY'!$G$3, IF(A89 = "TYPE_2", G89*'116目標底稿SUMMARY'!$F$4, IF(A89 = "TYPE_3", G89*'116目標底稿SUMMARY'!$F$5, '116目標底稿ver1'!I89*'116目標底稿SUMMARY'!$F$6*'116目標底稿SUMMARY'!$G$6))), -4)</f>
        <v>45510000</v>
      </c>
      <c r="R89" s="452">
        <f t="shared" si="18"/>
        <v>-4180000</v>
      </c>
      <c r="S89" s="274">
        <f>VLOOKUP(D89,'116指標1_前2年手收20%'!A:M,13,0)</f>
        <v>330096</v>
      </c>
      <c r="T89" s="274">
        <f>VLOOKUP(D89,'116指標2_存款25%'!A:F,6,0)</f>
        <v>403165</v>
      </c>
      <c r="U89" s="274">
        <f>VLOOKUP(D89,'116指標6_理財AUM25%'!A:F,6,0)</f>
        <v>410260</v>
      </c>
      <c r="V89" s="274">
        <f>VLOOKUP(D89,'116指標4_114分行人數25%'!A:Q,17,0)</f>
        <v>457839</v>
      </c>
      <c r="W89" s="274">
        <f>VLOOKUP(F89,'115分組'!D:F,3,0)</f>
        <v>40000</v>
      </c>
      <c r="X89" s="274"/>
      <c r="Y89" s="275">
        <f t="shared" si="12"/>
        <v>1640000</v>
      </c>
      <c r="Z89" s="451">
        <f t="shared" si="19"/>
        <v>47150000</v>
      </c>
      <c r="AA89" s="276">
        <f t="shared" si="20"/>
        <v>6.7179504323072958E-2</v>
      </c>
      <c r="AB89" s="276">
        <f t="shared" si="21"/>
        <v>-3.5925612848689559E-3</v>
      </c>
      <c r="AC89" s="277">
        <f t="shared" si="22"/>
        <v>25932500.000000004</v>
      </c>
    </row>
    <row r="90" spans="1:29" s="279" customFormat="1" ht="24.95" customHeight="1">
      <c r="A90" s="279" t="str">
        <f>IF(J90&gt;='116目標底稿SUMMARY'!$E$3,"TYPE_1",IF(J90&gt;='116目標底稿SUMMARY'!$E$4,"TYPE_2",IF(J90&gt;='116目標底稿SUMMARY'!$E$5,"TYPE_3","TYPE_4")))</f>
        <v>TYPE_3</v>
      </c>
      <c r="B90" s="272">
        <v>83</v>
      </c>
      <c r="C90" s="271" t="s">
        <v>11</v>
      </c>
      <c r="D90" s="272">
        <v>196</v>
      </c>
      <c r="E90" s="273" t="s">
        <v>88</v>
      </c>
      <c r="F90" s="272">
        <f>IF(ISERROR(VLOOKUP(D90,'115分組'!A:D,4,0)), "未分", VLOOKUP(D90,'115分組'!A:D,4,0))</f>
        <v>5</v>
      </c>
      <c r="G90" s="273">
        <f>ROUND(VLOOKUP(D90,'115_分行業績'!A:J,8,0), 0)</f>
        <v>52883916</v>
      </c>
      <c r="H90" s="274">
        <f>(VLOOKUP(D90, '底稿_前2年手收20%'!A:G,7,0)+VLOOKUP(D90, '底稿_前2年手收20%'!O:U,7,0))/2</f>
        <v>27360297.575000003</v>
      </c>
      <c r="I90" s="273">
        <f>VLOOKUP(D90,'115_分行業績'!A:I,9,0)</f>
        <v>53910000</v>
      </c>
      <c r="J90" s="456">
        <f t="shared" si="13"/>
        <v>0.98</v>
      </c>
      <c r="K90" s="456">
        <f t="shared" si="14"/>
        <v>0.94</v>
      </c>
      <c r="L90" s="273" t="str">
        <f t="shared" si="15"/>
        <v>90%以上、未達100%</v>
      </c>
      <c r="M90" s="273" t="str">
        <f t="shared" si="16"/>
        <v>分行目標105%</v>
      </c>
      <c r="N90" s="273">
        <f t="shared" si="17"/>
        <v>56610000</v>
      </c>
      <c r="O90" s="273" t="str">
        <f>VLOOKUP(A90,'116目標底稿SUMMARY'!A:B,2,0)</f>
        <v>80%以上，未達100%</v>
      </c>
      <c r="P90" s="273" t="str">
        <f>VLOOKUP(A90,'116目標底稿SUMMARY'!A:D,4,0)</f>
        <v>預估實績*105%</v>
      </c>
      <c r="Q90" s="273">
        <f>ROUND(IF(A90 = "TYPE_1", I90*'116目標底稿SUMMARY'!$F$3*'116目標底稿SUMMARY'!$G$3, IF(A90 = "TYPE_2", G90*'116目標底稿SUMMARY'!$F$4, IF(A90 = "TYPE_3", G90*'116目標底稿SUMMARY'!$F$5, '116目標底稿ver1'!I90*'116目標底稿SUMMARY'!$F$6*'116目標底稿SUMMARY'!$G$6))), -4)</f>
        <v>54470000</v>
      </c>
      <c r="R90" s="452">
        <f t="shared" si="18"/>
        <v>-2140000</v>
      </c>
      <c r="S90" s="274">
        <f>VLOOKUP(D90,'116指標1_前2年手收20%'!A:M,13,0)</f>
        <v>325403</v>
      </c>
      <c r="T90" s="274">
        <f>VLOOKUP(D90,'116指標2_存款25%'!A:F,6,0)</f>
        <v>602099</v>
      </c>
      <c r="U90" s="274">
        <f>VLOOKUP(D90,'116指標6_理財AUM25%'!A:F,6,0)</f>
        <v>526057</v>
      </c>
      <c r="V90" s="274">
        <f>VLOOKUP(D90,'116指標4_114分行人數25%'!A:Q,17,0)</f>
        <v>477745</v>
      </c>
      <c r="W90" s="274">
        <f>VLOOKUP(F90,'115分組'!D:F,3,0)</f>
        <v>100000</v>
      </c>
      <c r="X90" s="274"/>
      <c r="Y90" s="275">
        <f t="shared" si="12"/>
        <v>2030000</v>
      </c>
      <c r="Z90" s="451">
        <f t="shared" si="19"/>
        <v>56500000</v>
      </c>
      <c r="AA90" s="276">
        <f t="shared" si="20"/>
        <v>6.837776536820761E-2</v>
      </c>
      <c r="AB90" s="276">
        <f t="shared" si="21"/>
        <v>4.8043034687442088E-2</v>
      </c>
      <c r="AC90" s="277">
        <f t="shared" si="22"/>
        <v>31075000.000000004</v>
      </c>
    </row>
    <row r="91" spans="1:29" s="279" customFormat="1" ht="24.95" customHeight="1">
      <c r="A91" s="279" t="str">
        <f>IF(J91&gt;='116目標底稿SUMMARY'!$E$3,"TYPE_1",IF(J91&gt;='116目標底稿SUMMARY'!$E$4,"TYPE_2",IF(J91&gt;='116目標底稿SUMMARY'!$E$5,"TYPE_3","TYPE_4")))</f>
        <v>TYPE_3</v>
      </c>
      <c r="B91" s="272">
        <v>84</v>
      </c>
      <c r="C91" s="271" t="s">
        <v>11</v>
      </c>
      <c r="D91" s="272">
        <v>197</v>
      </c>
      <c r="E91" s="273" t="s">
        <v>23</v>
      </c>
      <c r="F91" s="272">
        <f>IF(ISERROR(VLOOKUP(D91,'115分組'!A:D,4,0)), "未分", VLOOKUP(D91,'115分組'!A:D,4,0))</f>
        <v>8</v>
      </c>
      <c r="G91" s="273">
        <f>ROUND(VLOOKUP(D91,'115_分行業績'!A:J,8,0), 0)</f>
        <v>27985794</v>
      </c>
      <c r="H91" s="274">
        <f>(VLOOKUP(D91, '底稿_前2年手收20%'!A:G,7,0)+VLOOKUP(D91, '底稿_前2年手收20%'!O:U,7,0))/2</f>
        <v>23895945.18</v>
      </c>
      <c r="I91" s="273">
        <f>VLOOKUP(D91,'115_分行業績'!A:I,9,0)</f>
        <v>33530000</v>
      </c>
      <c r="J91" s="456">
        <f t="shared" si="13"/>
        <v>0.83</v>
      </c>
      <c r="K91" s="456">
        <f t="shared" si="14"/>
        <v>0.93</v>
      </c>
      <c r="L91" s="273" t="str">
        <f t="shared" si="15"/>
        <v>75%以上、未達90%</v>
      </c>
      <c r="M91" s="273" t="str">
        <f t="shared" si="16"/>
        <v>分行目標110%</v>
      </c>
      <c r="N91" s="273">
        <f t="shared" si="17"/>
        <v>36880000</v>
      </c>
      <c r="O91" s="273" t="str">
        <f>VLOOKUP(A91,'116目標底稿SUMMARY'!A:B,2,0)</f>
        <v>80%以上，未達100%</v>
      </c>
      <c r="P91" s="273" t="str">
        <f>VLOOKUP(A91,'116目標底稿SUMMARY'!A:D,4,0)</f>
        <v>預估實績*105%</v>
      </c>
      <c r="Q91" s="273">
        <f>ROUND(IF(A91 = "TYPE_1", I91*'116目標底稿SUMMARY'!$F$3*'116目標底稿SUMMARY'!$G$3, IF(A91 = "TYPE_2", G91*'116目標底稿SUMMARY'!$F$4, IF(A91 = "TYPE_3", G91*'116目標底稿SUMMARY'!$F$5, '116目標底稿ver1'!I91*'116目標底稿SUMMARY'!$F$6*'116目標底稿SUMMARY'!$G$6))), -4)</f>
        <v>28830000</v>
      </c>
      <c r="R91" s="452">
        <f t="shared" si="18"/>
        <v>-8050000</v>
      </c>
      <c r="S91" s="274">
        <f>VLOOKUP(D91,'116指標1_前2年手收20%'!A:M,13,0)</f>
        <v>227042</v>
      </c>
      <c r="T91" s="274">
        <f>VLOOKUP(D91,'116指標2_存款25%'!A:F,6,0)</f>
        <v>246594</v>
      </c>
      <c r="U91" s="274">
        <f>VLOOKUP(D91,'116指標6_理財AUM25%'!A:F,6,0)</f>
        <v>307198</v>
      </c>
      <c r="V91" s="274">
        <f>VLOOKUP(D91,'116指標4_114分行人數25%'!A:Q,17,0)</f>
        <v>437933</v>
      </c>
      <c r="W91" s="274">
        <f>VLOOKUP(F91,'115分組'!D:F,3,0)</f>
        <v>40000</v>
      </c>
      <c r="X91" s="274"/>
      <c r="Y91" s="275">
        <f t="shared" si="12"/>
        <v>1260000</v>
      </c>
      <c r="Z91" s="451">
        <f t="shared" si="19"/>
        <v>30090000</v>
      </c>
      <c r="AA91" s="276">
        <f t="shared" si="20"/>
        <v>7.5188361638051093E-2</v>
      </c>
      <c r="AB91" s="276">
        <f t="shared" si="21"/>
        <v>-0.10259469132120491</v>
      </c>
      <c r="AC91" s="277">
        <f t="shared" si="22"/>
        <v>16549500.000000002</v>
      </c>
    </row>
    <row r="92" spans="1:29" s="279" customFormat="1" ht="24.95" customHeight="1">
      <c r="A92" s="279" t="str">
        <f>IF(J92&gt;='116目標底稿SUMMARY'!$E$3,"TYPE_1",IF(J92&gt;='116目標底稿SUMMARY'!$E$4,"TYPE_2",IF(J92&gt;='116目標底稿SUMMARY'!$E$5,"TYPE_3","TYPE_4")))</f>
        <v>TYPE_1</v>
      </c>
      <c r="B92" s="272">
        <v>85</v>
      </c>
      <c r="C92" s="271" t="s">
        <v>11</v>
      </c>
      <c r="D92" s="272">
        <v>199</v>
      </c>
      <c r="E92" s="273" t="s">
        <v>24</v>
      </c>
      <c r="F92" s="272">
        <f>IF(ISERROR(VLOOKUP(D92,'115分組'!A:D,4,0)), "未分", VLOOKUP(D92,'115分組'!A:D,4,0))</f>
        <v>6</v>
      </c>
      <c r="G92" s="273">
        <f>ROUND(VLOOKUP(D92,'115_分行業績'!A:J,8,0), 0)</f>
        <v>58292427</v>
      </c>
      <c r="H92" s="274">
        <f>(VLOOKUP(D92, '底稿_前2年手收20%'!A:G,7,0)+VLOOKUP(D92, '底稿_前2年手收20%'!O:U,7,0))/2</f>
        <v>29737860.619999997</v>
      </c>
      <c r="I92" s="273">
        <f>VLOOKUP(D92,'115_分行業績'!A:I,9,0)</f>
        <v>42110000</v>
      </c>
      <c r="J92" s="456">
        <f t="shared" si="13"/>
        <v>1.38</v>
      </c>
      <c r="K92" s="456">
        <f t="shared" si="14"/>
        <v>1.1100000000000001</v>
      </c>
      <c r="L92" s="273" t="str">
        <f t="shared" si="15"/>
        <v>130%以上、未達150%</v>
      </c>
      <c r="M92" s="273" t="str">
        <f t="shared" si="16"/>
        <v>預估實績*90%</v>
      </c>
      <c r="N92" s="273">
        <f t="shared" si="17"/>
        <v>52460000</v>
      </c>
      <c r="O92" s="273" t="str">
        <f>VLOOKUP(A92,'116目標底稿SUMMARY'!A:B,2,0)</f>
        <v>120%以上</v>
      </c>
      <c r="P92" s="273" t="str">
        <f>VLOOKUP(A92,'116目標底稿SUMMARY'!A:D,4,0)</f>
        <v>分行目標*120%*101%</v>
      </c>
      <c r="Q92" s="273">
        <f>ROUND(IF(A92 = "TYPE_1", I92*'116目標底稿SUMMARY'!$F$3*'116目標底稿SUMMARY'!$G$3, IF(A92 = "TYPE_2", G92*'116目標底稿SUMMARY'!$F$4, IF(A92 = "TYPE_3", G92*'116目標底稿SUMMARY'!$F$5, '116目標底稿ver1'!I92*'116目標底稿SUMMARY'!$F$6*'116目標底稿SUMMARY'!$G$6))), -4)</f>
        <v>51040000</v>
      </c>
      <c r="R92" s="452">
        <f t="shared" si="18"/>
        <v>-1420000</v>
      </c>
      <c r="S92" s="274">
        <f>VLOOKUP(D92,'116指標1_前2年手收20%'!A:M,13,0)</f>
        <v>318025</v>
      </c>
      <c r="T92" s="274">
        <f>VLOOKUP(D92,'116指標2_存款25%'!A:F,6,0)</f>
        <v>374703</v>
      </c>
      <c r="U92" s="274">
        <f>VLOOKUP(D92,'116指標6_理財AUM25%'!A:F,6,0)</f>
        <v>356860</v>
      </c>
      <c r="V92" s="274">
        <f>VLOOKUP(D92,'116指標4_114分行人數25%'!A:Q,17,0)</f>
        <v>537464</v>
      </c>
      <c r="W92" s="274">
        <f>VLOOKUP(F92,'115分組'!D:F,3,0)</f>
        <v>80000</v>
      </c>
      <c r="X92" s="274"/>
      <c r="Y92" s="275">
        <f t="shared" si="12"/>
        <v>1670000</v>
      </c>
      <c r="Z92" s="451">
        <f t="shared" si="19"/>
        <v>52710000</v>
      </c>
      <c r="AA92" s="276">
        <f t="shared" si="20"/>
        <v>-9.576590454880185E-2</v>
      </c>
      <c r="AB92" s="276">
        <f t="shared" si="21"/>
        <v>0.25172168131085249</v>
      </c>
      <c r="AC92" s="277">
        <f t="shared" si="22"/>
        <v>28990500.000000004</v>
      </c>
    </row>
    <row r="93" spans="1:29" s="279" customFormat="1" ht="24.95" customHeight="1">
      <c r="A93" s="279" t="str">
        <f>IF(J93&gt;='116目標底稿SUMMARY'!$E$3,"TYPE_1",IF(J93&gt;='116目標底稿SUMMARY'!$E$4,"TYPE_2",IF(J93&gt;='116目標底稿SUMMARY'!$E$5,"TYPE_3","TYPE_4")))</f>
        <v>TYPE_3</v>
      </c>
      <c r="B93" s="272">
        <v>86</v>
      </c>
      <c r="C93" s="271" t="s">
        <v>7</v>
      </c>
      <c r="D93" s="272">
        <v>200</v>
      </c>
      <c r="E93" s="273" t="s">
        <v>89</v>
      </c>
      <c r="F93" s="272">
        <f>IF(ISERROR(VLOOKUP(D93,'115分組'!A:D,4,0)), "未分", VLOOKUP(D93,'115分組'!A:D,4,0))</f>
        <v>6</v>
      </c>
      <c r="G93" s="273">
        <f>ROUND(VLOOKUP(D93,'115_分行業績'!A:J,8,0), 0)</f>
        <v>38909027</v>
      </c>
      <c r="H93" s="274">
        <f>(VLOOKUP(D93, '底稿_前2年手收20%'!A:G,7,0)+VLOOKUP(D93, '底稿_前2年手收20%'!O:U,7,0))/2</f>
        <v>25528606.634999998</v>
      </c>
      <c r="I93" s="273">
        <f>VLOOKUP(D93,'115_分行業績'!A:I,9,0)</f>
        <v>46120000</v>
      </c>
      <c r="J93" s="456">
        <f t="shared" si="13"/>
        <v>0.84</v>
      </c>
      <c r="K93" s="456">
        <f t="shared" si="14"/>
        <v>0.93</v>
      </c>
      <c r="L93" s="273" t="str">
        <f t="shared" si="15"/>
        <v>75%以上、未達90%</v>
      </c>
      <c r="M93" s="273" t="str">
        <f t="shared" si="16"/>
        <v>分行目標110%</v>
      </c>
      <c r="N93" s="273">
        <f t="shared" si="17"/>
        <v>50730000</v>
      </c>
      <c r="O93" s="273" t="str">
        <f>VLOOKUP(A93,'116目標底稿SUMMARY'!A:B,2,0)</f>
        <v>80%以上，未達100%</v>
      </c>
      <c r="P93" s="273" t="str">
        <f>VLOOKUP(A93,'116目標底稿SUMMARY'!A:D,4,0)</f>
        <v>預估實績*105%</v>
      </c>
      <c r="Q93" s="273">
        <f>ROUND(IF(A93 = "TYPE_1", I93*'116目標底稿SUMMARY'!$F$3*'116目標底稿SUMMARY'!$G$3, IF(A93 = "TYPE_2", G93*'116目標底稿SUMMARY'!$F$4, IF(A93 = "TYPE_3", G93*'116目標底稿SUMMARY'!$F$5, '116目標底稿ver1'!I93*'116目標底稿SUMMARY'!$F$6*'116目標底稿SUMMARY'!$G$6))), -4)</f>
        <v>40080000</v>
      </c>
      <c r="R93" s="452">
        <f t="shared" si="18"/>
        <v>-10650000</v>
      </c>
      <c r="S93" s="274">
        <f>VLOOKUP(D93,'116指標1_前2年手收20%'!A:M,13,0)</f>
        <v>303618</v>
      </c>
      <c r="T93" s="274">
        <f>VLOOKUP(D93,'116指標2_存款25%'!A:F,6,0)</f>
        <v>475238</v>
      </c>
      <c r="U93" s="274">
        <f>VLOOKUP(D93,'116指標6_理財AUM25%'!A:F,6,0)</f>
        <v>418811</v>
      </c>
      <c r="V93" s="274">
        <f>VLOOKUP(D93,'116指標4_114分行人數25%'!A:Q,17,0)</f>
        <v>477745</v>
      </c>
      <c r="W93" s="274">
        <f>VLOOKUP(F93,'115分組'!D:F,3,0)</f>
        <v>80000</v>
      </c>
      <c r="X93" s="274"/>
      <c r="Y93" s="275">
        <f t="shared" si="12"/>
        <v>1760000</v>
      </c>
      <c r="Z93" s="451">
        <f t="shared" si="19"/>
        <v>41840000</v>
      </c>
      <c r="AA93" s="276">
        <f t="shared" si="20"/>
        <v>7.5328869056530356E-2</v>
      </c>
      <c r="AB93" s="276">
        <f t="shared" si="21"/>
        <v>-9.2801387684301795E-2</v>
      </c>
      <c r="AC93" s="277">
        <f t="shared" si="22"/>
        <v>23012000</v>
      </c>
    </row>
    <row r="94" spans="1:29" s="279" customFormat="1" ht="24.95" customHeight="1">
      <c r="A94" s="279" t="str">
        <f>IF(J94&gt;='116目標底稿SUMMARY'!$E$3,"TYPE_1",IF(J94&gt;='116目標底稿SUMMARY'!$E$4,"TYPE_2",IF(J94&gt;='116目標底稿SUMMARY'!$E$5,"TYPE_3","TYPE_4")))</f>
        <v>TYPE_3</v>
      </c>
      <c r="B94" s="272">
        <v>87</v>
      </c>
      <c r="C94" s="271" t="s">
        <v>7</v>
      </c>
      <c r="D94" s="272">
        <v>201</v>
      </c>
      <c r="E94" s="273" t="s">
        <v>90</v>
      </c>
      <c r="F94" s="272">
        <f>IF(ISERROR(VLOOKUP(D94,'115分組'!A:D,4,0)), "未分", VLOOKUP(D94,'115分組'!A:D,4,0))</f>
        <v>6</v>
      </c>
      <c r="G94" s="273">
        <f>ROUND(VLOOKUP(D94,'115_分行業績'!A:J,8,0), 0)</f>
        <v>50826486</v>
      </c>
      <c r="H94" s="274">
        <f>(VLOOKUP(D94, '底稿_前2年手收20%'!A:G,7,0)+VLOOKUP(D94, '底稿_前2年手收20%'!O:U,7,0))/2</f>
        <v>33737569.060000002</v>
      </c>
      <c r="I94" s="273">
        <f>VLOOKUP(D94,'115_分行業績'!A:I,9,0)</f>
        <v>51890000</v>
      </c>
      <c r="J94" s="456">
        <f t="shared" si="13"/>
        <v>0.98</v>
      </c>
      <c r="K94" s="456">
        <f t="shared" si="14"/>
        <v>0.94</v>
      </c>
      <c r="L94" s="273" t="str">
        <f t="shared" si="15"/>
        <v>90%以上、未達100%</v>
      </c>
      <c r="M94" s="273" t="str">
        <f t="shared" si="16"/>
        <v>分行目標105%</v>
      </c>
      <c r="N94" s="273">
        <f t="shared" si="17"/>
        <v>54480000</v>
      </c>
      <c r="O94" s="273" t="str">
        <f>VLOOKUP(A94,'116目標底稿SUMMARY'!A:B,2,0)</f>
        <v>80%以上，未達100%</v>
      </c>
      <c r="P94" s="273" t="str">
        <f>VLOOKUP(A94,'116目標底稿SUMMARY'!A:D,4,0)</f>
        <v>預估實績*105%</v>
      </c>
      <c r="Q94" s="273">
        <f>ROUND(IF(A94 = "TYPE_1", I94*'116目標底稿SUMMARY'!$F$3*'116目標底稿SUMMARY'!$G$3, IF(A94 = "TYPE_2", G94*'116目標底稿SUMMARY'!$F$4, IF(A94 = "TYPE_3", G94*'116目標底稿SUMMARY'!$F$5, '116目標底稿ver1'!I94*'116目標底稿SUMMARY'!$F$6*'116目標底稿SUMMARY'!$G$6))), -4)</f>
        <v>52350000</v>
      </c>
      <c r="R94" s="452">
        <f t="shared" si="18"/>
        <v>-2130000</v>
      </c>
      <c r="S94" s="274">
        <f>VLOOKUP(D94,'116指標1_前2年手收20%'!A:M,13,0)</f>
        <v>385977</v>
      </c>
      <c r="T94" s="274">
        <f>VLOOKUP(D94,'116指標2_存款25%'!A:F,6,0)</f>
        <v>466575</v>
      </c>
      <c r="U94" s="274">
        <f>VLOOKUP(D94,'116指標6_理財AUM25%'!A:F,6,0)</f>
        <v>448649</v>
      </c>
      <c r="V94" s="274">
        <f>VLOOKUP(D94,'116指標4_114分行人數25%'!A:Q,17,0)</f>
        <v>497651</v>
      </c>
      <c r="W94" s="274">
        <f>VLOOKUP(F94,'115分組'!D:F,3,0)</f>
        <v>80000</v>
      </c>
      <c r="X94" s="274"/>
      <c r="Y94" s="275">
        <f t="shared" si="12"/>
        <v>1880000</v>
      </c>
      <c r="Z94" s="451">
        <f t="shared" si="19"/>
        <v>54230000</v>
      </c>
      <c r="AA94" s="276">
        <f t="shared" si="20"/>
        <v>6.6963393849419406E-2</v>
      </c>
      <c r="AB94" s="276">
        <f t="shared" si="21"/>
        <v>4.5095394102909969E-2</v>
      </c>
      <c r="AC94" s="277">
        <f t="shared" si="22"/>
        <v>29826500.000000004</v>
      </c>
    </row>
    <row r="95" spans="1:29" s="279" customFormat="1" ht="24.95" customHeight="1">
      <c r="A95" s="279" t="str">
        <f>IF(J95&gt;='116目標底稿SUMMARY'!$E$3,"TYPE_1",IF(J95&gt;='116目標底稿SUMMARY'!$E$4,"TYPE_2",IF(J95&gt;='116目標底稿SUMMARY'!$E$5,"TYPE_3","TYPE_4")))</f>
        <v>TYPE_1</v>
      </c>
      <c r="B95" s="272">
        <v>88</v>
      </c>
      <c r="C95" s="271" t="s">
        <v>7</v>
      </c>
      <c r="D95" s="272">
        <v>211</v>
      </c>
      <c r="E95" s="273" t="s">
        <v>25</v>
      </c>
      <c r="F95" s="272">
        <f>IF(ISERROR(VLOOKUP(D95,'115分組'!A:D,4,0)), "未分", VLOOKUP(D95,'115分組'!A:D,4,0))</f>
        <v>6</v>
      </c>
      <c r="G95" s="273">
        <f>ROUND(VLOOKUP(D95,'115_分行業績'!A:J,8,0), 0)</f>
        <v>79114408</v>
      </c>
      <c r="H95" s="274">
        <f>(VLOOKUP(D95, '底稿_前2年手收20%'!A:G,7,0)+VLOOKUP(D95, '底稿_前2年手收20%'!O:U,7,0))/2</f>
        <v>43075835.385000005</v>
      </c>
      <c r="I95" s="273">
        <f>VLOOKUP(D95,'115_分行業績'!A:I,9,0)</f>
        <v>53780000</v>
      </c>
      <c r="J95" s="456">
        <f t="shared" si="13"/>
        <v>1.47</v>
      </c>
      <c r="K95" s="456">
        <f t="shared" si="14"/>
        <v>1.18</v>
      </c>
      <c r="L95" s="273" t="str">
        <f t="shared" si="15"/>
        <v>130%以上、未達150%</v>
      </c>
      <c r="M95" s="273" t="str">
        <f t="shared" si="16"/>
        <v>預估實績*90%</v>
      </c>
      <c r="N95" s="273">
        <f t="shared" si="17"/>
        <v>71200000</v>
      </c>
      <c r="O95" s="273" t="str">
        <f>VLOOKUP(A95,'116目標底稿SUMMARY'!A:B,2,0)</f>
        <v>120%以上</v>
      </c>
      <c r="P95" s="273" t="str">
        <f>VLOOKUP(A95,'116目標底稿SUMMARY'!A:D,4,0)</f>
        <v>分行目標*120%*101%</v>
      </c>
      <c r="Q95" s="273">
        <f>ROUND(IF(A95 = "TYPE_1", I95*'116目標底稿SUMMARY'!$F$3*'116目標底稿SUMMARY'!$G$3, IF(A95 = "TYPE_2", G95*'116目標底稿SUMMARY'!$F$4, IF(A95 = "TYPE_3", G95*'116目標底稿SUMMARY'!$F$5, '116目標底稿ver1'!I95*'116目標底稿SUMMARY'!$F$6*'116目標底稿SUMMARY'!$G$6))), -4)</f>
        <v>65180000</v>
      </c>
      <c r="R95" s="452">
        <f t="shared" si="18"/>
        <v>-6020000</v>
      </c>
      <c r="S95" s="274">
        <f>VLOOKUP(D95,'116指標1_前2年手收20%'!A:M,13,0)</f>
        <v>397413</v>
      </c>
      <c r="T95" s="274">
        <f>VLOOKUP(D95,'116指標2_存款25%'!A:F,6,0)</f>
        <v>445987</v>
      </c>
      <c r="U95" s="274">
        <f>VLOOKUP(D95,'116指標6_理財AUM25%'!A:F,6,0)</f>
        <v>529148</v>
      </c>
      <c r="V95" s="274">
        <f>VLOOKUP(D95,'116指標4_114分行人數25%'!A:Q,17,0)</f>
        <v>557370</v>
      </c>
      <c r="W95" s="274">
        <f>VLOOKUP(F95,'115分組'!D:F,3,0)</f>
        <v>80000</v>
      </c>
      <c r="X95" s="274"/>
      <c r="Y95" s="275">
        <f t="shared" si="12"/>
        <v>2010000</v>
      </c>
      <c r="Z95" s="451">
        <f t="shared" si="19"/>
        <v>67190000</v>
      </c>
      <c r="AA95" s="276">
        <f t="shared" si="20"/>
        <v>-0.15072359512568179</v>
      </c>
      <c r="AB95" s="276">
        <f t="shared" si="21"/>
        <v>0.24934920044626252</v>
      </c>
      <c r="AC95" s="277">
        <f t="shared" si="22"/>
        <v>36954500</v>
      </c>
    </row>
    <row r="96" spans="1:29" s="279" customFormat="1" ht="24.95" customHeight="1">
      <c r="A96" s="279" t="str">
        <f>IF(J96&gt;='116目標底稿SUMMARY'!$E$3,"TYPE_1",IF(J96&gt;='116目標底稿SUMMARY'!$E$4,"TYPE_2",IF(J96&gt;='116目標底稿SUMMARY'!$E$5,"TYPE_3","TYPE_4")))</f>
        <v>TYPE_1</v>
      </c>
      <c r="B96" s="272">
        <v>89</v>
      </c>
      <c r="C96" s="271" t="s">
        <v>7</v>
      </c>
      <c r="D96" s="272">
        <v>220</v>
      </c>
      <c r="E96" s="273" t="s">
        <v>26</v>
      </c>
      <c r="F96" s="272">
        <f>IF(ISERROR(VLOOKUP(D96,'115分組'!A:D,4,0)), "未分", VLOOKUP(D96,'115分組'!A:D,4,0))</f>
        <v>8</v>
      </c>
      <c r="G96" s="273">
        <f>ROUND(VLOOKUP(D96,'115_分行業績'!A:J,8,0), 0)</f>
        <v>52028367</v>
      </c>
      <c r="H96" s="274">
        <f>(VLOOKUP(D96, '底稿_前2年手收20%'!A:G,7,0)+VLOOKUP(D96, '底稿_前2年手收20%'!O:U,7,0))/2</f>
        <v>26592180.100000001</v>
      </c>
      <c r="I96" s="273">
        <f>VLOOKUP(D96,'115_分行業績'!A:I,9,0)</f>
        <v>42760000</v>
      </c>
      <c r="J96" s="456">
        <f t="shared" si="13"/>
        <v>1.22</v>
      </c>
      <c r="K96" s="456">
        <f t="shared" si="14"/>
        <v>0.97</v>
      </c>
      <c r="L96" s="273" t="str">
        <f t="shared" si="15"/>
        <v>120%以上、未達130%</v>
      </c>
      <c r="M96" s="273" t="str">
        <f t="shared" si="16"/>
        <v>預估實績*101%</v>
      </c>
      <c r="N96" s="273">
        <f t="shared" si="17"/>
        <v>52550000</v>
      </c>
      <c r="O96" s="273" t="str">
        <f>VLOOKUP(A96,'116目標底稿SUMMARY'!A:B,2,0)</f>
        <v>120%以上</v>
      </c>
      <c r="P96" s="273" t="str">
        <f>VLOOKUP(A96,'116目標底稿SUMMARY'!A:D,4,0)</f>
        <v>分行目標*120%*101%</v>
      </c>
      <c r="Q96" s="273">
        <f>ROUND(IF(A96 = "TYPE_1", I96*'116目標底稿SUMMARY'!$F$3*'116目標底稿SUMMARY'!$G$3, IF(A96 = "TYPE_2", G96*'116目標底稿SUMMARY'!$F$4, IF(A96 = "TYPE_3", G96*'116目標底稿SUMMARY'!$F$5, '116目標底稿ver1'!I96*'116目標底稿SUMMARY'!$F$6*'116目標底稿SUMMARY'!$G$6))), -4)</f>
        <v>51830000</v>
      </c>
      <c r="R96" s="452">
        <f t="shared" si="18"/>
        <v>-720000</v>
      </c>
      <c r="S96" s="274">
        <f>VLOOKUP(D96,'116指標1_前2年手收20%'!A:M,13,0)</f>
        <v>313659</v>
      </c>
      <c r="T96" s="274">
        <f>VLOOKUP(D96,'116指標2_存款25%'!A:F,6,0)</f>
        <v>443590</v>
      </c>
      <c r="U96" s="274">
        <f>VLOOKUP(D96,'116指標6_理財AUM25%'!A:F,6,0)</f>
        <v>358686</v>
      </c>
      <c r="V96" s="274">
        <f>VLOOKUP(D96,'116指標4_114分行人數25%'!A:Q,17,0)</f>
        <v>517557</v>
      </c>
      <c r="W96" s="274">
        <f>VLOOKUP(F96,'115分組'!D:F,3,0)</f>
        <v>40000</v>
      </c>
      <c r="X96" s="274"/>
      <c r="Y96" s="275">
        <f t="shared" si="12"/>
        <v>1670000</v>
      </c>
      <c r="Z96" s="451">
        <f t="shared" si="19"/>
        <v>53500000</v>
      </c>
      <c r="AA96" s="276">
        <f t="shared" si="20"/>
        <v>2.8285204492387805E-2</v>
      </c>
      <c r="AB96" s="276">
        <f t="shared" si="21"/>
        <v>0.25116931711880253</v>
      </c>
      <c r="AC96" s="277">
        <f t="shared" si="22"/>
        <v>29425000.000000004</v>
      </c>
    </row>
    <row r="97" spans="1:29" s="279" customFormat="1" ht="24.95" customHeight="1">
      <c r="A97" s="279" t="str">
        <f>IF(J97&gt;='116目標底稿SUMMARY'!$E$3,"TYPE_1",IF(J97&gt;='116目標底稿SUMMARY'!$E$4,"TYPE_2",IF(J97&gt;='116目標底稿SUMMARY'!$E$5,"TYPE_3","TYPE_4")))</f>
        <v>TYPE_2</v>
      </c>
      <c r="B97" s="272">
        <v>90</v>
      </c>
      <c r="C97" s="271" t="s">
        <v>7</v>
      </c>
      <c r="D97" s="272">
        <v>221</v>
      </c>
      <c r="E97" s="273" t="s">
        <v>27</v>
      </c>
      <c r="F97" s="272">
        <f>IF(ISERROR(VLOOKUP(D97,'115分組'!A:D,4,0)), "未分", VLOOKUP(D97,'115分組'!A:D,4,0))</f>
        <v>8</v>
      </c>
      <c r="G97" s="273">
        <f>ROUND(VLOOKUP(D97,'115_分行業績'!A:J,8,0), 0)</f>
        <v>46798736</v>
      </c>
      <c r="H97" s="274">
        <f>(VLOOKUP(D97, '底稿_前2年手收20%'!A:G,7,0)+VLOOKUP(D97, '底稿_前2年手收20%'!O:U,7,0))/2</f>
        <v>31204422.07</v>
      </c>
      <c r="I97" s="273">
        <f>VLOOKUP(D97,'115_分行業績'!A:I,9,0)</f>
        <v>42840000</v>
      </c>
      <c r="J97" s="456">
        <f t="shared" si="13"/>
        <v>1.0900000000000001</v>
      </c>
      <c r="K97" s="456">
        <f t="shared" si="14"/>
        <v>0.96</v>
      </c>
      <c r="L97" s="273" t="str">
        <f t="shared" si="15"/>
        <v>100%以上、未達110%</v>
      </c>
      <c r="M97" s="273" t="str">
        <f t="shared" si="16"/>
        <v>預估實績105%</v>
      </c>
      <c r="N97" s="273">
        <f t="shared" si="17"/>
        <v>49140000</v>
      </c>
      <c r="O97" s="273" t="str">
        <f>VLOOKUP(A97,'116目標底稿SUMMARY'!A:B,2,0)</f>
        <v>100%以上，未達120%</v>
      </c>
      <c r="P97" s="273" t="str">
        <f>VLOOKUP(A97,'116目標底稿SUMMARY'!A:D,4,0)</f>
        <v>預估實績*103%</v>
      </c>
      <c r="Q97" s="273">
        <f>ROUND(IF(A97 = "TYPE_1", I97*'116目標底稿SUMMARY'!$F$3*'116目標底稿SUMMARY'!$G$3, IF(A97 = "TYPE_2", G97*'116目標底稿SUMMARY'!$F$4, IF(A97 = "TYPE_3", G97*'116目標底稿SUMMARY'!$F$5, '116目標底稿ver1'!I97*'116目標底稿SUMMARY'!$F$6*'116目標底稿SUMMARY'!$G$6))), -4)</f>
        <v>47270000</v>
      </c>
      <c r="R97" s="452">
        <f t="shared" si="18"/>
        <v>-1870000</v>
      </c>
      <c r="S97" s="274">
        <f>VLOOKUP(D97,'116指標1_前2年手收20%'!A:M,13,0)</f>
        <v>335272</v>
      </c>
      <c r="T97" s="274">
        <f>VLOOKUP(D97,'116指標2_存款25%'!A:F,6,0)</f>
        <v>378708</v>
      </c>
      <c r="U97" s="274">
        <f>VLOOKUP(D97,'116指標6_理財AUM25%'!A:F,6,0)</f>
        <v>364343</v>
      </c>
      <c r="V97" s="274">
        <f>VLOOKUP(D97,'116指標4_114分行人數25%'!A:Q,17,0)</f>
        <v>477745</v>
      </c>
      <c r="W97" s="274">
        <f>VLOOKUP(F97,'115分組'!D:F,3,0)</f>
        <v>40000</v>
      </c>
      <c r="X97" s="274"/>
      <c r="Y97" s="275">
        <f t="shared" si="12"/>
        <v>1600000</v>
      </c>
      <c r="Z97" s="451">
        <f t="shared" si="19"/>
        <v>48870000</v>
      </c>
      <c r="AA97" s="276">
        <f t="shared" si="20"/>
        <v>4.4258973148334713E-2</v>
      </c>
      <c r="AB97" s="276">
        <f t="shared" si="21"/>
        <v>0.14075630252100835</v>
      </c>
      <c r="AC97" s="277">
        <f t="shared" si="22"/>
        <v>26878500.000000004</v>
      </c>
    </row>
    <row r="98" spans="1:29" s="279" customFormat="1" ht="24.95" customHeight="1">
      <c r="A98" s="279" t="str">
        <f>IF(J98&gt;='116目標底稿SUMMARY'!$E$3,"TYPE_1",IF(J98&gt;='116目標底稿SUMMARY'!$E$4,"TYPE_2",IF(J98&gt;='116目標底稿SUMMARY'!$E$5,"TYPE_3","TYPE_4")))</f>
        <v>TYPE_1</v>
      </c>
      <c r="B98" s="272">
        <v>91</v>
      </c>
      <c r="C98" s="271" t="s">
        <v>11</v>
      </c>
      <c r="D98" s="272">
        <v>240</v>
      </c>
      <c r="E98" s="273" t="s">
        <v>177</v>
      </c>
      <c r="F98" s="272">
        <f>IF(ISERROR(VLOOKUP(D98,'115分組'!A:D,4,0)), "未分", VLOOKUP(D98,'115分組'!A:D,4,0))</f>
        <v>2</v>
      </c>
      <c r="G98" s="273">
        <f>ROUND(VLOOKUP(D98,'115_分行業績'!A:J,8,0), 0)</f>
        <v>107901864</v>
      </c>
      <c r="H98" s="274">
        <f>(VLOOKUP(D98, '底稿_前2年手收20%'!A:G,7,0)+VLOOKUP(D98, '底稿_前2年手收20%'!O:U,7,0))/2</f>
        <v>61714416.664999999</v>
      </c>
      <c r="I98" s="273">
        <f>VLOOKUP(D98,'115_分行業績'!A:I,9,0)</f>
        <v>88890000</v>
      </c>
      <c r="J98" s="456">
        <f t="shared" si="13"/>
        <v>1.21</v>
      </c>
      <c r="K98" s="456">
        <f t="shared" si="14"/>
        <v>0.97</v>
      </c>
      <c r="L98" s="273" t="str">
        <f t="shared" si="15"/>
        <v>120%以上、未達130%</v>
      </c>
      <c r="M98" s="273" t="str">
        <f t="shared" si="16"/>
        <v>預估實績*101%</v>
      </c>
      <c r="N98" s="273">
        <f t="shared" si="17"/>
        <v>108980000</v>
      </c>
      <c r="O98" s="273" t="str">
        <f>VLOOKUP(A98,'116目標底稿SUMMARY'!A:B,2,0)</f>
        <v>120%以上</v>
      </c>
      <c r="P98" s="273" t="str">
        <f>VLOOKUP(A98,'116目標底稿SUMMARY'!A:D,4,0)</f>
        <v>分行目標*120%*101%</v>
      </c>
      <c r="Q98" s="273">
        <f>ROUND(IF(A98 = "TYPE_1", I98*'116目標底稿SUMMARY'!$F$3*'116目標底稿SUMMARY'!$G$3, IF(A98 = "TYPE_2", G98*'116目標底稿SUMMARY'!$F$4, IF(A98 = "TYPE_3", G98*'116目標底稿SUMMARY'!$F$5, '116目標底稿ver1'!I98*'116目標底稿SUMMARY'!$F$6*'116目標底稿SUMMARY'!$G$6))), -4)</f>
        <v>107730000</v>
      </c>
      <c r="R98" s="452">
        <f t="shared" si="18"/>
        <v>-1250000</v>
      </c>
      <c r="S98" s="274">
        <f>VLOOKUP(D98,'116指標1_前2年手收20%'!A:M,13,0)</f>
        <v>719712</v>
      </c>
      <c r="T98" s="274">
        <f>VLOOKUP(D98,'116指標2_存款25%'!A:F,6,0)</f>
        <v>762585</v>
      </c>
      <c r="U98" s="274">
        <f>VLOOKUP(D98,'116指標6_理財AUM25%'!A:F,6,0)</f>
        <v>821703</v>
      </c>
      <c r="V98" s="274">
        <f>VLOOKUP(D98,'116指標4_114分行人數25%'!A:Q,17,0)</f>
        <v>697165</v>
      </c>
      <c r="W98" s="274">
        <f>VLOOKUP(F98,'115分組'!D:F,3,0)</f>
        <v>170000</v>
      </c>
      <c r="X98" s="274"/>
      <c r="Y98" s="275">
        <f t="shared" si="12"/>
        <v>3170000</v>
      </c>
      <c r="Z98" s="451">
        <f t="shared" si="19"/>
        <v>110900000</v>
      </c>
      <c r="AA98" s="276">
        <f t="shared" si="20"/>
        <v>2.7785766518361621E-2</v>
      </c>
      <c r="AB98" s="276">
        <f t="shared" si="21"/>
        <v>0.24760940488243888</v>
      </c>
      <c r="AC98" s="277">
        <f t="shared" si="22"/>
        <v>60995000.000000007</v>
      </c>
    </row>
    <row r="99" spans="1:29" s="279" customFormat="1" ht="24.95" customHeight="1">
      <c r="A99" s="279" t="str">
        <f>IF(J99&gt;='116目標底稿SUMMARY'!$E$3,"TYPE_1",IF(J99&gt;='116目標底稿SUMMARY'!$E$4,"TYPE_2",IF(J99&gt;='116目標底稿SUMMARY'!$E$5,"TYPE_3","TYPE_4")))</f>
        <v>TYPE_2</v>
      </c>
      <c r="B99" s="272">
        <v>92</v>
      </c>
      <c r="C99" s="271" t="s">
        <v>11</v>
      </c>
      <c r="D99" s="272">
        <v>241</v>
      </c>
      <c r="E99" s="273" t="s">
        <v>91</v>
      </c>
      <c r="F99" s="272">
        <f>IF(ISERROR(VLOOKUP(D99,'115分組'!A:D,4,0)), "未分", VLOOKUP(D99,'115分組'!A:D,4,0))</f>
        <v>2</v>
      </c>
      <c r="G99" s="273">
        <f>ROUND(VLOOKUP(D99,'115_分行業績'!A:J,8,0), 0)</f>
        <v>106580847</v>
      </c>
      <c r="H99" s="274">
        <f>(VLOOKUP(D99, '底稿_前2年手收20%'!A:G,7,0)+VLOOKUP(D99, '底稿_前2年手收20%'!O:U,7,0))/2</f>
        <v>60535472.799999997</v>
      </c>
      <c r="I99" s="273">
        <f>VLOOKUP(D99,'115_分行業績'!A:I,9,0)</f>
        <v>95850000</v>
      </c>
      <c r="J99" s="456">
        <f t="shared" si="13"/>
        <v>1.1100000000000001</v>
      </c>
      <c r="K99" s="456">
        <f t="shared" si="14"/>
        <v>0.96</v>
      </c>
      <c r="L99" s="273" t="str">
        <f t="shared" si="15"/>
        <v>110%以上、未達120%</v>
      </c>
      <c r="M99" s="273" t="str">
        <f t="shared" si="16"/>
        <v>預估實績*103%</v>
      </c>
      <c r="N99" s="273">
        <f t="shared" si="17"/>
        <v>109780000</v>
      </c>
      <c r="O99" s="273" t="str">
        <f>VLOOKUP(A99,'116目標底稿SUMMARY'!A:B,2,0)</f>
        <v>100%以上，未達120%</v>
      </c>
      <c r="P99" s="273" t="str">
        <f>VLOOKUP(A99,'116目標底稿SUMMARY'!A:D,4,0)</f>
        <v>預估實績*103%</v>
      </c>
      <c r="Q99" s="273">
        <f>ROUND(IF(A99 = "TYPE_1", I99*'116目標底稿SUMMARY'!$F$3*'116目標底稿SUMMARY'!$G$3, IF(A99 = "TYPE_2", G99*'116目標底稿SUMMARY'!$F$4, IF(A99 = "TYPE_3", G99*'116目標底稿SUMMARY'!$F$5, '116目標底稿ver1'!I99*'116目標底稿SUMMARY'!$F$6*'116目標底稿SUMMARY'!$G$6))), -4)</f>
        <v>107650000</v>
      </c>
      <c r="R99" s="452">
        <f t="shared" si="18"/>
        <v>-2130000</v>
      </c>
      <c r="S99" s="274">
        <f>VLOOKUP(D99,'116指標1_前2年手收20%'!A:M,13,0)</f>
        <v>671945</v>
      </c>
      <c r="T99" s="274">
        <f>VLOOKUP(D99,'116指標2_存款25%'!A:F,6,0)</f>
        <v>886082</v>
      </c>
      <c r="U99" s="274">
        <f>VLOOKUP(D99,'116指標6_理財AUM25%'!A:F,6,0)</f>
        <v>875197</v>
      </c>
      <c r="V99" s="274">
        <f>VLOOKUP(D99,'116指標4_114分行人數25%'!A:Q,17,0)</f>
        <v>697165</v>
      </c>
      <c r="W99" s="274">
        <f>VLOOKUP(F99,'115分組'!D:F,3,0)</f>
        <v>170000</v>
      </c>
      <c r="X99" s="274"/>
      <c r="Y99" s="275">
        <f t="shared" si="12"/>
        <v>3300000</v>
      </c>
      <c r="Z99" s="451">
        <f t="shared" si="19"/>
        <v>110950000</v>
      </c>
      <c r="AA99" s="276">
        <f t="shared" si="20"/>
        <v>4.0993791314118511E-2</v>
      </c>
      <c r="AB99" s="276">
        <f t="shared" si="21"/>
        <v>0.1575378195096504</v>
      </c>
      <c r="AC99" s="277">
        <f t="shared" si="22"/>
        <v>61022500.000000007</v>
      </c>
    </row>
    <row r="100" spans="1:29" s="279" customFormat="1" ht="24.95" customHeight="1">
      <c r="A100" s="279" t="str">
        <f>IF(J100&gt;='116目標底稿SUMMARY'!$E$3,"TYPE_1",IF(J100&gt;='116目標底稿SUMMARY'!$E$4,"TYPE_2",IF(J100&gt;='116目標底稿SUMMARY'!$E$5,"TYPE_3","TYPE_4")))</f>
        <v>TYPE_2</v>
      </c>
      <c r="B100" s="272">
        <v>93</v>
      </c>
      <c r="C100" s="271" t="s">
        <v>11</v>
      </c>
      <c r="D100" s="272">
        <v>242</v>
      </c>
      <c r="E100" s="273" t="s">
        <v>28</v>
      </c>
      <c r="F100" s="272">
        <f>IF(ISERROR(VLOOKUP(D100,'115分組'!A:D,4,0)), "未分", VLOOKUP(D100,'115分組'!A:D,4,0))</f>
        <v>3</v>
      </c>
      <c r="G100" s="273">
        <f>ROUND(VLOOKUP(D100,'115_分行業績'!A:J,8,0), 0)</f>
        <v>91803483</v>
      </c>
      <c r="H100" s="274">
        <f>(VLOOKUP(D100, '底稿_前2年手收20%'!A:G,7,0)+VLOOKUP(D100, '底稿_前2年手收20%'!O:U,7,0))/2</f>
        <v>53198183.774999999</v>
      </c>
      <c r="I100" s="273">
        <f>VLOOKUP(D100,'115_分行業績'!A:I,9,0)</f>
        <v>90750000</v>
      </c>
      <c r="J100" s="456">
        <f t="shared" si="13"/>
        <v>1.01</v>
      </c>
      <c r="K100" s="456">
        <f t="shared" si="14"/>
        <v>0.96</v>
      </c>
      <c r="L100" s="273" t="str">
        <f t="shared" si="15"/>
        <v>100%以上、未達110%</v>
      </c>
      <c r="M100" s="273" t="str">
        <f t="shared" si="16"/>
        <v>預估實績105%</v>
      </c>
      <c r="N100" s="273">
        <f t="shared" si="17"/>
        <v>96390000</v>
      </c>
      <c r="O100" s="273" t="str">
        <f>VLOOKUP(A100,'116目標底稿SUMMARY'!A:B,2,0)</f>
        <v>100%以上，未達120%</v>
      </c>
      <c r="P100" s="273" t="str">
        <f>VLOOKUP(A100,'116目標底稿SUMMARY'!A:D,4,0)</f>
        <v>預估實績*103%</v>
      </c>
      <c r="Q100" s="273">
        <f>ROUND(IF(A100 = "TYPE_1", I100*'116目標底稿SUMMARY'!$F$3*'116目標底稿SUMMARY'!$G$3, IF(A100 = "TYPE_2", G100*'116目標底稿SUMMARY'!$F$4, IF(A100 = "TYPE_3", G100*'116目標底稿SUMMARY'!$F$5, '116目標底稿ver1'!I100*'116目標底稿SUMMARY'!$F$6*'116目標底稿SUMMARY'!$G$6))), -4)</f>
        <v>92720000</v>
      </c>
      <c r="R100" s="452">
        <f t="shared" si="18"/>
        <v>-3670000</v>
      </c>
      <c r="S100" s="274">
        <f>VLOOKUP(D100,'116指標1_前2年手收20%'!A:M,13,0)</f>
        <v>632699</v>
      </c>
      <c r="T100" s="274">
        <f>VLOOKUP(D100,'116指標2_存款25%'!A:F,6,0)</f>
        <v>778011</v>
      </c>
      <c r="U100" s="274">
        <f>VLOOKUP(D100,'116指標6_理財AUM25%'!A:F,6,0)</f>
        <v>1080279</v>
      </c>
      <c r="V100" s="274">
        <f>VLOOKUP(D100,'116指標4_114分行人數25%'!A:Q,17,0)</f>
        <v>597182</v>
      </c>
      <c r="W100" s="274">
        <f>VLOOKUP(F100,'115分組'!D:F,3,0)</f>
        <v>150000</v>
      </c>
      <c r="X100" s="274"/>
      <c r="Y100" s="275">
        <f t="shared" si="12"/>
        <v>3240000</v>
      </c>
      <c r="Z100" s="451">
        <f t="shared" si="19"/>
        <v>95960000</v>
      </c>
      <c r="AA100" s="276">
        <f t="shared" si="20"/>
        <v>4.527624512895656E-2</v>
      </c>
      <c r="AB100" s="276">
        <f t="shared" si="21"/>
        <v>5.7410468319559316E-2</v>
      </c>
      <c r="AC100" s="277">
        <f t="shared" si="22"/>
        <v>52778000.000000007</v>
      </c>
    </row>
    <row r="101" spans="1:29" s="279" customFormat="1" ht="24.95" customHeight="1">
      <c r="A101" s="279" t="str">
        <f>IF(J101&gt;='116目標底稿SUMMARY'!$E$3,"TYPE_1",IF(J101&gt;='116目標底稿SUMMARY'!$E$4,"TYPE_2",IF(J101&gt;='116目標底稿SUMMARY'!$E$5,"TYPE_3","TYPE_4")))</f>
        <v>TYPE_3</v>
      </c>
      <c r="B101" s="272">
        <v>94</v>
      </c>
      <c r="C101" s="271" t="s">
        <v>11</v>
      </c>
      <c r="D101" s="272">
        <v>243</v>
      </c>
      <c r="E101" s="273" t="s">
        <v>92</v>
      </c>
      <c r="F101" s="272">
        <f>IF(ISERROR(VLOOKUP(D101,'115分組'!A:D,4,0)), "未分", VLOOKUP(D101,'115分組'!A:D,4,0))</f>
        <v>7</v>
      </c>
      <c r="G101" s="273">
        <f>ROUND(VLOOKUP(D101,'115_分行業績'!A:J,8,0), 0)</f>
        <v>55810563</v>
      </c>
      <c r="H101" s="274">
        <f>(VLOOKUP(D101, '底稿_前2年手收20%'!A:G,7,0)+VLOOKUP(D101, '底稿_前2年手收20%'!O:U,7,0))/2</f>
        <v>44638430.730000004</v>
      </c>
      <c r="I101" s="273">
        <f>VLOOKUP(D101,'115_分行業績'!A:I,9,0)</f>
        <v>66240000</v>
      </c>
      <c r="J101" s="456">
        <f t="shared" si="13"/>
        <v>0.84</v>
      </c>
      <c r="K101" s="456">
        <f t="shared" si="14"/>
        <v>0.93</v>
      </c>
      <c r="L101" s="273" t="str">
        <f t="shared" si="15"/>
        <v>75%以上、未達90%</v>
      </c>
      <c r="M101" s="273" t="str">
        <f t="shared" si="16"/>
        <v>分行目標110%</v>
      </c>
      <c r="N101" s="273">
        <f t="shared" si="17"/>
        <v>72860000</v>
      </c>
      <c r="O101" s="273" t="str">
        <f>VLOOKUP(A101,'116目標底稿SUMMARY'!A:B,2,0)</f>
        <v>80%以上，未達100%</v>
      </c>
      <c r="P101" s="273" t="str">
        <f>VLOOKUP(A101,'116目標底稿SUMMARY'!A:D,4,0)</f>
        <v>預估實績*105%</v>
      </c>
      <c r="Q101" s="273">
        <f>ROUND(IF(A101 = "TYPE_1", I101*'116目標底稿SUMMARY'!$F$3*'116目標底稿SUMMARY'!$G$3, IF(A101 = "TYPE_2", G101*'116目標底稿SUMMARY'!$F$4, IF(A101 = "TYPE_3", G101*'116目標底稿SUMMARY'!$F$5, '116目標底稿ver1'!I101*'116目標底稿SUMMARY'!$F$6*'116目標底稿SUMMARY'!$G$6))), -4)</f>
        <v>57480000</v>
      </c>
      <c r="R101" s="452">
        <f t="shared" si="18"/>
        <v>-15380000</v>
      </c>
      <c r="S101" s="274">
        <f>VLOOKUP(D101,'116指標1_前2年手收20%'!A:M,13,0)</f>
        <v>517175</v>
      </c>
      <c r="T101" s="274">
        <f>VLOOKUP(D101,'116指標2_存款25%'!A:F,6,0)</f>
        <v>499449</v>
      </c>
      <c r="U101" s="274">
        <f>VLOOKUP(D101,'116指標6_理財AUM25%'!A:F,6,0)</f>
        <v>729503</v>
      </c>
      <c r="V101" s="274">
        <f>VLOOKUP(D101,'116指標4_114分行人數25%'!A:Q,17,0)</f>
        <v>497651</v>
      </c>
      <c r="W101" s="274">
        <f>VLOOKUP(F101,'115分組'!D:F,3,0)</f>
        <v>60000</v>
      </c>
      <c r="X101" s="274"/>
      <c r="Y101" s="275">
        <f t="shared" si="12"/>
        <v>2300000</v>
      </c>
      <c r="Z101" s="451">
        <f t="shared" si="19"/>
        <v>59780000</v>
      </c>
      <c r="AA101" s="276">
        <f t="shared" si="20"/>
        <v>7.1123400063174413E-2</v>
      </c>
      <c r="AB101" s="276">
        <f t="shared" si="21"/>
        <v>-9.7524154589372025E-2</v>
      </c>
      <c r="AC101" s="277">
        <f t="shared" si="22"/>
        <v>32879000.000000004</v>
      </c>
    </row>
    <row r="102" spans="1:29" s="279" customFormat="1" ht="24.95" customHeight="1">
      <c r="A102" s="279" t="str">
        <f>IF(J102&gt;='116目標底稿SUMMARY'!$E$3,"TYPE_1",IF(J102&gt;='116目標底稿SUMMARY'!$E$4,"TYPE_2",IF(J102&gt;='116目標底稿SUMMARY'!$E$5,"TYPE_3","TYPE_4")))</f>
        <v>TYPE_2</v>
      </c>
      <c r="B102" s="272">
        <v>95</v>
      </c>
      <c r="C102" s="271" t="s">
        <v>11</v>
      </c>
      <c r="D102" s="272">
        <v>244</v>
      </c>
      <c r="E102" s="273" t="s">
        <v>29</v>
      </c>
      <c r="F102" s="272">
        <f>IF(ISERROR(VLOOKUP(D102,'115分組'!A:D,4,0)), "未分", VLOOKUP(D102,'115分組'!A:D,4,0))</f>
        <v>4</v>
      </c>
      <c r="G102" s="273">
        <f>ROUND(VLOOKUP(D102,'115_分行業績'!A:J,8,0), 0)</f>
        <v>101727026</v>
      </c>
      <c r="H102" s="274">
        <f>(VLOOKUP(D102, '底稿_前2年手收20%'!A:G,7,0)+VLOOKUP(D102, '底稿_前2年手收20%'!O:U,7,0))/2</f>
        <v>63808957.390000001</v>
      </c>
      <c r="I102" s="273">
        <f>VLOOKUP(D102,'115_分行業績'!A:I,9,0)</f>
        <v>86720000</v>
      </c>
      <c r="J102" s="456">
        <f t="shared" si="13"/>
        <v>1.17</v>
      </c>
      <c r="K102" s="456">
        <f t="shared" si="14"/>
        <v>0.96</v>
      </c>
      <c r="L102" s="273" t="str">
        <f t="shared" si="15"/>
        <v>110%以上、未達120%</v>
      </c>
      <c r="M102" s="273" t="str">
        <f t="shared" si="16"/>
        <v>預估實績*103%</v>
      </c>
      <c r="N102" s="273">
        <f t="shared" si="17"/>
        <v>104780000</v>
      </c>
      <c r="O102" s="273" t="str">
        <f>VLOOKUP(A102,'116目標底稿SUMMARY'!A:B,2,0)</f>
        <v>100%以上，未達120%</v>
      </c>
      <c r="P102" s="273" t="str">
        <f>VLOOKUP(A102,'116目標底稿SUMMARY'!A:D,4,0)</f>
        <v>預估實績*103%</v>
      </c>
      <c r="Q102" s="273">
        <f>ROUND(IF(A102 = "TYPE_1", I102*'116目標底稿SUMMARY'!$F$3*'116目標底稿SUMMARY'!$G$3, IF(A102 = "TYPE_2", G102*'116目標底稿SUMMARY'!$F$4, IF(A102 = "TYPE_3", G102*'116目標底稿SUMMARY'!$F$5, '116目標底稿ver1'!I102*'116目標底稿SUMMARY'!$F$6*'116目標底稿SUMMARY'!$G$6))), -4)</f>
        <v>102740000</v>
      </c>
      <c r="R102" s="452">
        <f t="shared" si="18"/>
        <v>-2040000</v>
      </c>
      <c r="S102" s="274">
        <f>VLOOKUP(D102,'116指標1_前2年手收20%'!A:M,13,0)</f>
        <v>641284</v>
      </c>
      <c r="T102" s="274">
        <f>VLOOKUP(D102,'116指標2_存款25%'!A:F,6,0)</f>
        <v>691361</v>
      </c>
      <c r="U102" s="274">
        <f>VLOOKUP(D102,'116指標6_理財AUM25%'!A:F,6,0)</f>
        <v>804114</v>
      </c>
      <c r="V102" s="274">
        <f>VLOOKUP(D102,'116指標4_114分行人數25%'!A:Q,17,0)</f>
        <v>617088</v>
      </c>
      <c r="W102" s="274">
        <f>VLOOKUP(F102,'115分組'!D:F,3,0)</f>
        <v>130000</v>
      </c>
      <c r="X102" s="274"/>
      <c r="Y102" s="275">
        <f t="shared" si="12"/>
        <v>2880000</v>
      </c>
      <c r="Z102" s="451">
        <f t="shared" si="19"/>
        <v>105620000</v>
      </c>
      <c r="AA102" s="276">
        <f t="shared" si="20"/>
        <v>3.8268827400891547E-2</v>
      </c>
      <c r="AB102" s="276">
        <f t="shared" si="21"/>
        <v>0.21794280442804426</v>
      </c>
      <c r="AC102" s="277">
        <f t="shared" si="22"/>
        <v>58091000.000000007</v>
      </c>
    </row>
    <row r="103" spans="1:29" s="279" customFormat="1" ht="24.95" customHeight="1">
      <c r="A103" s="279" t="str">
        <f>IF(J103&gt;='116目標底稿SUMMARY'!$E$3,"TYPE_1",IF(J103&gt;='116目標底稿SUMMARY'!$E$4,"TYPE_2",IF(J103&gt;='116目標底稿SUMMARY'!$E$5,"TYPE_3","TYPE_4")))</f>
        <v>TYPE_1</v>
      </c>
      <c r="B103" s="272">
        <v>96</v>
      </c>
      <c r="C103" s="271" t="s">
        <v>11</v>
      </c>
      <c r="D103" s="272">
        <v>245</v>
      </c>
      <c r="E103" s="273" t="s">
        <v>93</v>
      </c>
      <c r="F103" s="272">
        <f>IF(ISERROR(VLOOKUP(D103,'115分組'!A:D,4,0)), "未分", VLOOKUP(D103,'115分組'!A:D,4,0))</f>
        <v>4</v>
      </c>
      <c r="G103" s="273">
        <f>ROUND(VLOOKUP(D103,'115_分行業績'!A:J,8,0), 0)</f>
        <v>69926506</v>
      </c>
      <c r="H103" s="274">
        <f>(VLOOKUP(D103, '底稿_前2年手收20%'!A:G,7,0)+VLOOKUP(D103, '底稿_前2年手收20%'!O:U,7,0))/2</f>
        <v>38797475.385000005</v>
      </c>
      <c r="I103" s="273">
        <f>VLOOKUP(D103,'115_分行業績'!A:I,9,0)</f>
        <v>53800000</v>
      </c>
      <c r="J103" s="456">
        <f t="shared" si="13"/>
        <v>1.3</v>
      </c>
      <c r="K103" s="456">
        <f t="shared" si="14"/>
        <v>1.04</v>
      </c>
      <c r="L103" s="273" t="str">
        <f t="shared" si="15"/>
        <v>130%以上、未達150%</v>
      </c>
      <c r="M103" s="273" t="str">
        <f t="shared" si="16"/>
        <v>預估實績*90%</v>
      </c>
      <c r="N103" s="273">
        <f t="shared" si="17"/>
        <v>62930000</v>
      </c>
      <c r="O103" s="273" t="str">
        <f>VLOOKUP(A103,'116目標底稿SUMMARY'!A:B,2,0)</f>
        <v>120%以上</v>
      </c>
      <c r="P103" s="273" t="str">
        <f>VLOOKUP(A103,'116目標底稿SUMMARY'!A:D,4,0)</f>
        <v>分行目標*120%*101%</v>
      </c>
      <c r="Q103" s="273">
        <f>ROUND(IF(A103 = "TYPE_1", I103*'116目標底稿SUMMARY'!$F$3*'116目標底稿SUMMARY'!$G$3, IF(A103 = "TYPE_2", G103*'116目標底稿SUMMARY'!$F$4, IF(A103 = "TYPE_3", G103*'116目標底稿SUMMARY'!$F$5, '116目標底稿ver1'!I103*'116目標底稿SUMMARY'!$F$6*'116目標底稿SUMMARY'!$G$6))), -4)</f>
        <v>65210000</v>
      </c>
      <c r="R103" s="452">
        <f t="shared" si="18"/>
        <v>2280000</v>
      </c>
      <c r="S103" s="274">
        <f>VLOOKUP(D103,'116指標1_前2年手收20%'!A:M,13,0)</f>
        <v>449868</v>
      </c>
      <c r="T103" s="274">
        <f>VLOOKUP(D103,'116指標2_存款25%'!A:F,6,0)</f>
        <v>545379</v>
      </c>
      <c r="U103" s="274">
        <f>VLOOKUP(D103,'116指標6_理財AUM25%'!A:F,6,0)</f>
        <v>435104</v>
      </c>
      <c r="V103" s="274">
        <f>VLOOKUP(D103,'116指標4_114分行人數25%'!A:Q,17,0)</f>
        <v>557370</v>
      </c>
      <c r="W103" s="274">
        <f>VLOOKUP(F103,'115分組'!D:F,3,0)</f>
        <v>130000</v>
      </c>
      <c r="X103" s="274"/>
      <c r="Y103" s="275">
        <f t="shared" si="12"/>
        <v>2120000</v>
      </c>
      <c r="Z103" s="451">
        <f t="shared" si="19"/>
        <v>67330000</v>
      </c>
      <c r="AA103" s="276">
        <f t="shared" si="20"/>
        <v>-3.7131928199015118E-2</v>
      </c>
      <c r="AB103" s="276">
        <f t="shared" si="21"/>
        <v>0.25148698884758369</v>
      </c>
      <c r="AC103" s="277">
        <f t="shared" si="22"/>
        <v>37031500</v>
      </c>
    </row>
    <row r="104" spans="1:29" s="279" customFormat="1" ht="24.95" customHeight="1">
      <c r="A104" s="279" t="str">
        <f>IF(J104&gt;='116目標底稿SUMMARY'!$E$3,"TYPE_1",IF(J104&gt;='116目標底稿SUMMARY'!$E$4,"TYPE_2",IF(J104&gt;='116目標底稿SUMMARY'!$E$5,"TYPE_3","TYPE_4")))</f>
        <v>TYPE_3</v>
      </c>
      <c r="B104" s="272">
        <v>97</v>
      </c>
      <c r="C104" s="271" t="s">
        <v>11</v>
      </c>
      <c r="D104" s="272">
        <v>246</v>
      </c>
      <c r="E104" s="273" t="s">
        <v>178</v>
      </c>
      <c r="F104" s="272">
        <f>IF(ISERROR(VLOOKUP(D104,'115分組'!A:D,4,0)), "未分", VLOOKUP(D104,'115分組'!A:D,4,0))</f>
        <v>5</v>
      </c>
      <c r="G104" s="273">
        <f>ROUND(VLOOKUP(D104,'115_分行業績'!A:J,8,0), 0)</f>
        <v>57385143</v>
      </c>
      <c r="H104" s="274">
        <f>(VLOOKUP(D104, '底稿_前2年手收20%'!A:G,7,0)+VLOOKUP(D104, '底稿_前2年手收20%'!O:U,7,0))/2</f>
        <v>47326484.885000005</v>
      </c>
      <c r="I104" s="273">
        <f>VLOOKUP(D104,'115_分行業績'!A:I,9,0)</f>
        <v>58750000</v>
      </c>
      <c r="J104" s="456">
        <f t="shared" si="13"/>
        <v>0.98</v>
      </c>
      <c r="K104" s="456">
        <f t="shared" si="14"/>
        <v>0.94</v>
      </c>
      <c r="L104" s="273" t="str">
        <f t="shared" si="15"/>
        <v>90%以上、未達100%</v>
      </c>
      <c r="M104" s="273" t="str">
        <f t="shared" si="16"/>
        <v>分行目標105%</v>
      </c>
      <c r="N104" s="273">
        <f t="shared" si="17"/>
        <v>61690000</v>
      </c>
      <c r="O104" s="273" t="str">
        <f>VLOOKUP(A104,'116目標底稿SUMMARY'!A:B,2,0)</f>
        <v>80%以上，未達100%</v>
      </c>
      <c r="P104" s="273" t="str">
        <f>VLOOKUP(A104,'116目標底稿SUMMARY'!A:D,4,0)</f>
        <v>預估實績*105%</v>
      </c>
      <c r="Q104" s="273">
        <f>ROUND(IF(A104 = "TYPE_1", I104*'116目標底稿SUMMARY'!$F$3*'116目標底稿SUMMARY'!$G$3, IF(A104 = "TYPE_2", G104*'116目標底稿SUMMARY'!$F$4, IF(A104 = "TYPE_3", G104*'116目標底稿SUMMARY'!$F$5, '116目標底稿ver1'!I104*'116目標底稿SUMMARY'!$F$6*'116目標底稿SUMMARY'!$G$6))), -4)</f>
        <v>59110000</v>
      </c>
      <c r="R104" s="452">
        <f t="shared" si="18"/>
        <v>-2580000</v>
      </c>
      <c r="S104" s="274">
        <f>VLOOKUP(D104,'116指標1_前2年手收20%'!A:M,13,0)</f>
        <v>463713</v>
      </c>
      <c r="T104" s="274">
        <f>VLOOKUP(D104,'116指標2_存款25%'!A:F,6,0)</f>
        <v>497391</v>
      </c>
      <c r="U104" s="274">
        <f>VLOOKUP(D104,'116指標6_理財AUM25%'!A:F,6,0)</f>
        <v>623839</v>
      </c>
      <c r="V104" s="274">
        <f>VLOOKUP(D104,'116指標4_114分行人數25%'!A:Q,17,0)</f>
        <v>517557</v>
      </c>
      <c r="W104" s="274">
        <f>VLOOKUP(F104,'115分組'!D:F,3,0)</f>
        <v>100000</v>
      </c>
      <c r="X104" s="274"/>
      <c r="Y104" s="275">
        <f t="shared" si="12"/>
        <v>2200000</v>
      </c>
      <c r="Z104" s="451">
        <f t="shared" si="19"/>
        <v>61310000</v>
      </c>
      <c r="AA104" s="276">
        <f t="shared" si="20"/>
        <v>6.8395002518334858E-2</v>
      </c>
      <c r="AB104" s="276">
        <f t="shared" si="21"/>
        <v>4.3574468085106455E-2</v>
      </c>
      <c r="AC104" s="277">
        <f t="shared" si="22"/>
        <v>33720500</v>
      </c>
    </row>
    <row r="105" spans="1:29" s="279" customFormat="1" ht="24.95" customHeight="1">
      <c r="A105" s="279" t="str">
        <f>IF(J105&gt;='116目標底稿SUMMARY'!$E$3,"TYPE_1",IF(J105&gt;='116目標底稿SUMMARY'!$E$4,"TYPE_2",IF(J105&gt;='116目標底稿SUMMARY'!$E$5,"TYPE_3","TYPE_4")))</f>
        <v>TYPE_1</v>
      </c>
      <c r="B105" s="272">
        <v>98</v>
      </c>
      <c r="C105" s="271" t="s">
        <v>11</v>
      </c>
      <c r="D105" s="272">
        <v>247</v>
      </c>
      <c r="E105" s="273" t="s">
        <v>179</v>
      </c>
      <c r="F105" s="272">
        <f>IF(ISERROR(VLOOKUP(D105,'115分組'!A:D,4,0)), "未分", VLOOKUP(D105,'115分組'!A:D,4,0))</f>
        <v>5</v>
      </c>
      <c r="G105" s="273">
        <f>ROUND(VLOOKUP(D105,'115_分行業績'!A:J,8,0), 0)</f>
        <v>81347580</v>
      </c>
      <c r="H105" s="274">
        <f>(VLOOKUP(D105, '底稿_前2年手收20%'!A:G,7,0)+VLOOKUP(D105, '底稿_前2年手收20%'!O:U,7,0))/2</f>
        <v>47571388.230000004</v>
      </c>
      <c r="I105" s="273">
        <f>VLOOKUP(D105,'115_分行業績'!A:I,9,0)</f>
        <v>59780000</v>
      </c>
      <c r="J105" s="456">
        <f t="shared" si="13"/>
        <v>1.36</v>
      </c>
      <c r="K105" s="456">
        <f t="shared" si="14"/>
        <v>1.0900000000000001</v>
      </c>
      <c r="L105" s="273" t="str">
        <f t="shared" si="15"/>
        <v>130%以上、未達150%</v>
      </c>
      <c r="M105" s="273" t="str">
        <f t="shared" si="16"/>
        <v>預估實績*90%</v>
      </c>
      <c r="N105" s="273">
        <f t="shared" si="17"/>
        <v>73210000</v>
      </c>
      <c r="O105" s="273" t="str">
        <f>VLOOKUP(A105,'116目標底稿SUMMARY'!A:B,2,0)</f>
        <v>120%以上</v>
      </c>
      <c r="P105" s="273" t="str">
        <f>VLOOKUP(A105,'116目標底稿SUMMARY'!A:D,4,0)</f>
        <v>分行目標*120%*101%</v>
      </c>
      <c r="Q105" s="273">
        <f>ROUND(IF(A105 = "TYPE_1", I105*'116目標底稿SUMMARY'!$F$3*'116目標底稿SUMMARY'!$G$3, IF(A105 = "TYPE_2", G105*'116目標底稿SUMMARY'!$F$4, IF(A105 = "TYPE_3", G105*'116目標底稿SUMMARY'!$F$5, '116目標底稿ver1'!I105*'116目標底稿SUMMARY'!$F$6*'116目標底稿SUMMARY'!$G$6))), -4)</f>
        <v>72450000</v>
      </c>
      <c r="R105" s="452">
        <f t="shared" si="18"/>
        <v>-760000</v>
      </c>
      <c r="S105" s="274">
        <f>VLOOKUP(D105,'116指標1_前2年手收20%'!A:M,13,0)</f>
        <v>505523</v>
      </c>
      <c r="T105" s="274">
        <f>VLOOKUP(D105,'116指標2_存款25%'!A:F,6,0)</f>
        <v>526352</v>
      </c>
      <c r="U105" s="274">
        <f>VLOOKUP(D105,'116指標6_理財AUM25%'!A:F,6,0)</f>
        <v>754171</v>
      </c>
      <c r="V105" s="274">
        <f>VLOOKUP(D105,'116指標4_114分行人數25%'!A:Q,17,0)</f>
        <v>517557</v>
      </c>
      <c r="W105" s="274">
        <f>VLOOKUP(F105,'115分組'!D:F,3,0)</f>
        <v>100000</v>
      </c>
      <c r="X105" s="274"/>
      <c r="Y105" s="275">
        <f t="shared" si="12"/>
        <v>2400000</v>
      </c>
      <c r="Z105" s="451">
        <f t="shared" si="19"/>
        <v>74850000</v>
      </c>
      <c r="AA105" s="276">
        <f t="shared" si="20"/>
        <v>-7.9874287594050131E-2</v>
      </c>
      <c r="AB105" s="276">
        <f t="shared" si="21"/>
        <v>0.25209100033456</v>
      </c>
      <c r="AC105" s="277">
        <f t="shared" si="22"/>
        <v>41167500</v>
      </c>
    </row>
    <row r="106" spans="1:29" s="279" customFormat="1" ht="24.95" customHeight="1">
      <c r="A106" s="279" t="str">
        <f>IF(J106&gt;='116目標底稿SUMMARY'!$E$3,"TYPE_1",IF(J106&gt;='116目標底稿SUMMARY'!$E$4,"TYPE_2",IF(J106&gt;='116目標底稿SUMMARY'!$E$5,"TYPE_3","TYPE_4")))</f>
        <v>TYPE_1</v>
      </c>
      <c r="B106" s="272">
        <v>99</v>
      </c>
      <c r="C106" s="271" t="s">
        <v>11</v>
      </c>
      <c r="D106" s="272">
        <v>248</v>
      </c>
      <c r="E106" s="273" t="s">
        <v>94</v>
      </c>
      <c r="F106" s="272">
        <f>IF(ISERROR(VLOOKUP(D106,'115分組'!A:D,4,0)), "未分", VLOOKUP(D106,'115分組'!A:D,4,0))</f>
        <v>4</v>
      </c>
      <c r="G106" s="273">
        <f>ROUND(VLOOKUP(D106,'115_分行業績'!A:J,8,0), 0)</f>
        <v>75643659</v>
      </c>
      <c r="H106" s="274">
        <f>(VLOOKUP(D106, '底稿_前2年手收20%'!A:G,7,0)+VLOOKUP(D106, '底稿_前2年手收20%'!O:U,7,0))/2</f>
        <v>43280726.129999995</v>
      </c>
      <c r="I106" s="273">
        <f>VLOOKUP(D106,'115_分行業績'!A:I,9,0)</f>
        <v>62590000</v>
      </c>
      <c r="J106" s="456">
        <f t="shared" si="13"/>
        <v>1.21</v>
      </c>
      <c r="K106" s="456">
        <f t="shared" si="14"/>
        <v>0.97</v>
      </c>
      <c r="L106" s="273" t="str">
        <f t="shared" si="15"/>
        <v>120%以上、未達130%</v>
      </c>
      <c r="M106" s="273" t="str">
        <f t="shared" si="16"/>
        <v>預估實績*101%</v>
      </c>
      <c r="N106" s="273">
        <f t="shared" si="17"/>
        <v>76400000</v>
      </c>
      <c r="O106" s="273" t="str">
        <f>VLOOKUP(A106,'116目標底稿SUMMARY'!A:B,2,0)</f>
        <v>120%以上</v>
      </c>
      <c r="P106" s="273" t="str">
        <f>VLOOKUP(A106,'116目標底稿SUMMARY'!A:D,4,0)</f>
        <v>分行目標*120%*101%</v>
      </c>
      <c r="Q106" s="273">
        <f>ROUND(IF(A106 = "TYPE_1", I106*'116目標底稿SUMMARY'!$F$3*'116目標底稿SUMMARY'!$G$3, IF(A106 = "TYPE_2", G106*'116目標底稿SUMMARY'!$F$4, IF(A106 = "TYPE_3", G106*'116目標底稿SUMMARY'!$F$5, '116目標底稿ver1'!I106*'116目標底稿SUMMARY'!$F$6*'116目標底稿SUMMARY'!$G$6))), -4)</f>
        <v>75860000</v>
      </c>
      <c r="R106" s="452">
        <f t="shared" si="18"/>
        <v>-540000</v>
      </c>
      <c r="S106" s="274">
        <f>VLOOKUP(D106,'116指標1_前2年手收20%'!A:M,13,0)</f>
        <v>443625</v>
      </c>
      <c r="T106" s="274">
        <f>VLOOKUP(D106,'116指標2_存款25%'!A:F,6,0)</f>
        <v>460413</v>
      </c>
      <c r="U106" s="274">
        <f>VLOOKUP(D106,'116指標6_理財AUM25%'!A:F,6,0)</f>
        <v>518195</v>
      </c>
      <c r="V106" s="274">
        <f>VLOOKUP(D106,'116指標4_114分行人數25%'!A:Q,17,0)</f>
        <v>716618</v>
      </c>
      <c r="W106" s="274">
        <f>VLOOKUP(F106,'115分組'!D:F,3,0)</f>
        <v>130000</v>
      </c>
      <c r="X106" s="274"/>
      <c r="Y106" s="275">
        <f t="shared" si="12"/>
        <v>2270000</v>
      </c>
      <c r="Z106" s="451">
        <f t="shared" si="19"/>
        <v>78130000</v>
      </c>
      <c r="AA106" s="276">
        <f t="shared" si="20"/>
        <v>3.2869126545028715E-2</v>
      </c>
      <c r="AB106" s="276">
        <f t="shared" si="21"/>
        <v>0.24828247323853647</v>
      </c>
      <c r="AC106" s="277">
        <f t="shared" si="22"/>
        <v>42971500</v>
      </c>
    </row>
    <row r="107" spans="1:29" s="279" customFormat="1" ht="24.95" customHeight="1">
      <c r="A107" s="279" t="str">
        <f>IF(J107&gt;='116目標底稿SUMMARY'!$E$3,"TYPE_1",IF(J107&gt;='116目標底稿SUMMARY'!$E$4,"TYPE_2",IF(J107&gt;='116目標底稿SUMMARY'!$E$5,"TYPE_3","TYPE_4")))</f>
        <v>TYPE_1</v>
      </c>
      <c r="B107" s="272">
        <v>100</v>
      </c>
      <c r="C107" s="271" t="s">
        <v>11</v>
      </c>
      <c r="D107" s="272">
        <v>249</v>
      </c>
      <c r="E107" s="273" t="s">
        <v>30</v>
      </c>
      <c r="F107" s="272">
        <f>IF(ISERROR(VLOOKUP(D107,'115分組'!A:D,4,0)), "未分", VLOOKUP(D107,'115分組'!A:D,4,0))</f>
        <v>7</v>
      </c>
      <c r="G107" s="273">
        <f>ROUND(VLOOKUP(D107,'115_分行業績'!A:J,8,0), 0)</f>
        <v>63209896</v>
      </c>
      <c r="H107" s="274">
        <f>(VLOOKUP(D107, '底稿_前2年手收20%'!A:G,7,0)+VLOOKUP(D107, '底稿_前2年手收20%'!O:U,7,0))/2</f>
        <v>42000632.370000005</v>
      </c>
      <c r="I107" s="273">
        <f>VLOOKUP(D107,'115_分行業績'!A:I,9,0)</f>
        <v>48750000</v>
      </c>
      <c r="J107" s="456">
        <f t="shared" si="13"/>
        <v>1.3</v>
      </c>
      <c r="K107" s="456">
        <f t="shared" si="14"/>
        <v>1.04</v>
      </c>
      <c r="L107" s="273" t="str">
        <f t="shared" si="15"/>
        <v>130%以上、未達150%</v>
      </c>
      <c r="M107" s="273" t="str">
        <f t="shared" si="16"/>
        <v>預估實績*90%</v>
      </c>
      <c r="N107" s="273">
        <f t="shared" si="17"/>
        <v>56890000</v>
      </c>
      <c r="O107" s="273" t="str">
        <f>VLOOKUP(A107,'116目標底稿SUMMARY'!A:B,2,0)</f>
        <v>120%以上</v>
      </c>
      <c r="P107" s="273" t="str">
        <f>VLOOKUP(A107,'116目標底稿SUMMARY'!A:D,4,0)</f>
        <v>分行目標*120%*101%</v>
      </c>
      <c r="Q107" s="273">
        <f>ROUND(IF(A107 = "TYPE_1", I107*'116目標底稿SUMMARY'!$F$3*'116目標底稿SUMMARY'!$G$3, IF(A107 = "TYPE_2", G107*'116目標底稿SUMMARY'!$F$4, IF(A107 = "TYPE_3", G107*'116目標底稿SUMMARY'!$F$5, '116目標底稿ver1'!I107*'116目標底稿SUMMARY'!$F$6*'116目標底稿SUMMARY'!$G$6))), -4)</f>
        <v>59090000</v>
      </c>
      <c r="R107" s="452">
        <f t="shared" si="18"/>
        <v>2200000</v>
      </c>
      <c r="S107" s="274">
        <f>VLOOKUP(D107,'116指標1_前2年手收20%'!A:M,13,0)</f>
        <v>345677</v>
      </c>
      <c r="T107" s="274">
        <f>VLOOKUP(D107,'116指標2_存款25%'!A:F,6,0)</f>
        <v>322555</v>
      </c>
      <c r="U107" s="274">
        <f>VLOOKUP(D107,'116指標6_理財AUM25%'!A:F,6,0)</f>
        <v>412647</v>
      </c>
      <c r="V107" s="274">
        <f>VLOOKUP(D107,'116指標4_114分行人數25%'!A:Q,17,0)</f>
        <v>477745</v>
      </c>
      <c r="W107" s="274">
        <f>VLOOKUP(F107,'115分組'!D:F,3,0)</f>
        <v>60000</v>
      </c>
      <c r="X107" s="274"/>
      <c r="Y107" s="275">
        <f t="shared" si="12"/>
        <v>1620000</v>
      </c>
      <c r="Z107" s="451">
        <f t="shared" si="19"/>
        <v>60710000</v>
      </c>
      <c r="AA107" s="276">
        <f t="shared" si="20"/>
        <v>-3.9549123763785388E-2</v>
      </c>
      <c r="AB107" s="276">
        <f t="shared" si="21"/>
        <v>0.2453333333333334</v>
      </c>
      <c r="AC107" s="277">
        <f t="shared" si="22"/>
        <v>33390500.000000004</v>
      </c>
    </row>
    <row r="108" spans="1:29" s="279" customFormat="1" ht="24.95" customHeight="1">
      <c r="A108" s="279" t="str">
        <f>IF(J108&gt;='116目標底稿SUMMARY'!$E$3,"TYPE_1",IF(J108&gt;='116目標底稿SUMMARY'!$E$4,"TYPE_2",IF(J108&gt;='116目標底稿SUMMARY'!$E$5,"TYPE_3","TYPE_4")))</f>
        <v>TYPE_1</v>
      </c>
      <c r="B108" s="272">
        <v>101</v>
      </c>
      <c r="C108" s="271" t="s">
        <v>11</v>
      </c>
      <c r="D108" s="272">
        <v>250</v>
      </c>
      <c r="E108" s="273" t="s">
        <v>180</v>
      </c>
      <c r="F108" s="272">
        <f>IF(ISERROR(VLOOKUP(D108,'115分組'!A:D,4,0)), "未分", VLOOKUP(D108,'115分組'!A:D,4,0))</f>
        <v>8</v>
      </c>
      <c r="G108" s="273">
        <f>ROUND(VLOOKUP(D108,'115_分行業績'!A:J,8,0), 0)</f>
        <v>44525345</v>
      </c>
      <c r="H108" s="274">
        <f>(VLOOKUP(D108, '底稿_前2年手收20%'!A:G,7,0)+VLOOKUP(D108, '底稿_前2年手收20%'!O:U,7,0))/2</f>
        <v>26966819.734999999</v>
      </c>
      <c r="I108" s="273">
        <f>VLOOKUP(D108,'115_分行業績'!A:I,9,0)</f>
        <v>36600000</v>
      </c>
      <c r="J108" s="456">
        <f t="shared" si="13"/>
        <v>1.22</v>
      </c>
      <c r="K108" s="456">
        <f t="shared" si="14"/>
        <v>0.97</v>
      </c>
      <c r="L108" s="273" t="str">
        <f t="shared" si="15"/>
        <v>120%以上、未達130%</v>
      </c>
      <c r="M108" s="273" t="str">
        <f t="shared" si="16"/>
        <v>預估實績*101%</v>
      </c>
      <c r="N108" s="273">
        <f t="shared" si="17"/>
        <v>44970000</v>
      </c>
      <c r="O108" s="273" t="str">
        <f>VLOOKUP(A108,'116目標底稿SUMMARY'!A:B,2,0)</f>
        <v>120%以上</v>
      </c>
      <c r="P108" s="273" t="str">
        <f>VLOOKUP(A108,'116目標底稿SUMMARY'!A:D,4,0)</f>
        <v>分行目標*120%*101%</v>
      </c>
      <c r="Q108" s="273">
        <f>ROUND(IF(A108 = "TYPE_1", I108*'116目標底稿SUMMARY'!$F$3*'116目標底稿SUMMARY'!$G$3, IF(A108 = "TYPE_2", G108*'116目標底稿SUMMARY'!$F$4, IF(A108 = "TYPE_3", G108*'116目標底稿SUMMARY'!$F$5, '116目標底稿ver1'!I108*'116目標底稿SUMMARY'!$F$6*'116目標底稿SUMMARY'!$G$6))), -4)</f>
        <v>44360000</v>
      </c>
      <c r="R108" s="452">
        <f t="shared" si="18"/>
        <v>-610000</v>
      </c>
      <c r="S108" s="274">
        <f>VLOOKUP(D108,'116指標1_前2年手收20%'!A:M,13,0)</f>
        <v>292455</v>
      </c>
      <c r="T108" s="274">
        <f>VLOOKUP(D108,'116指標2_存款25%'!A:F,6,0)</f>
        <v>332810</v>
      </c>
      <c r="U108" s="274">
        <f>VLOOKUP(D108,'116指標6_理財AUM25%'!A:F,6,0)</f>
        <v>322702</v>
      </c>
      <c r="V108" s="274">
        <f>VLOOKUP(D108,'116指標4_114分行人數25%'!A:Q,17,0)</f>
        <v>437933</v>
      </c>
      <c r="W108" s="274">
        <f>VLOOKUP(F108,'115分組'!D:F,3,0)</f>
        <v>40000</v>
      </c>
      <c r="X108" s="274"/>
      <c r="Y108" s="275">
        <f t="shared" si="12"/>
        <v>1430000</v>
      </c>
      <c r="Z108" s="451">
        <f t="shared" si="19"/>
        <v>45790000</v>
      </c>
      <c r="AA108" s="276">
        <f t="shared" si="20"/>
        <v>2.8403036517740565E-2</v>
      </c>
      <c r="AB108" s="276">
        <f t="shared" si="21"/>
        <v>0.2510928961748633</v>
      </c>
      <c r="AC108" s="277">
        <f t="shared" si="22"/>
        <v>25184500.000000004</v>
      </c>
    </row>
    <row r="109" spans="1:29" s="279" customFormat="1" ht="24.95" customHeight="1">
      <c r="A109" s="279" t="str">
        <f>IF(J109&gt;='116目標底稿SUMMARY'!$E$3,"TYPE_1",IF(J109&gt;='116目標底稿SUMMARY'!$E$4,"TYPE_2",IF(J109&gt;='116目標底稿SUMMARY'!$E$5,"TYPE_3","TYPE_4")))</f>
        <v>TYPE_2</v>
      </c>
      <c r="B109" s="272">
        <v>102</v>
      </c>
      <c r="C109" s="271" t="s">
        <v>11</v>
      </c>
      <c r="D109" s="272">
        <v>251</v>
      </c>
      <c r="E109" s="273" t="s">
        <v>181</v>
      </c>
      <c r="F109" s="272">
        <f>IF(ISERROR(VLOOKUP(D109,'115分組'!A:D,4,0)), "未分", VLOOKUP(D109,'115分組'!A:D,4,0))</f>
        <v>7</v>
      </c>
      <c r="G109" s="273">
        <f>ROUND(VLOOKUP(D109,'115_分行業績'!A:J,8,0), 0)</f>
        <v>46850859</v>
      </c>
      <c r="H109" s="274">
        <f>(VLOOKUP(D109, '底稿_前2年手收20%'!A:G,7,0)+VLOOKUP(D109, '底稿_前2年手收20%'!O:U,7,0))/2</f>
        <v>26930037.484999999</v>
      </c>
      <c r="I109" s="273">
        <f>VLOOKUP(D109,'115_分行業績'!A:I,9,0)</f>
        <v>40520000</v>
      </c>
      <c r="J109" s="456">
        <f t="shared" si="13"/>
        <v>1.1599999999999999</v>
      </c>
      <c r="K109" s="456">
        <f t="shared" si="14"/>
        <v>0.96</v>
      </c>
      <c r="L109" s="273" t="str">
        <f t="shared" si="15"/>
        <v>110%以上、未達120%</v>
      </c>
      <c r="M109" s="273" t="str">
        <f t="shared" si="16"/>
        <v>預估實績*103%</v>
      </c>
      <c r="N109" s="273">
        <f t="shared" si="17"/>
        <v>48260000</v>
      </c>
      <c r="O109" s="273" t="str">
        <f>VLOOKUP(A109,'116目標底稿SUMMARY'!A:B,2,0)</f>
        <v>100%以上，未達120%</v>
      </c>
      <c r="P109" s="273" t="str">
        <f>VLOOKUP(A109,'116目標底稿SUMMARY'!A:D,4,0)</f>
        <v>預估實績*103%</v>
      </c>
      <c r="Q109" s="273">
        <f>ROUND(IF(A109 = "TYPE_1", I109*'116目標底稿SUMMARY'!$F$3*'116目標底稿SUMMARY'!$G$3, IF(A109 = "TYPE_2", G109*'116目標底稿SUMMARY'!$F$4, IF(A109 = "TYPE_3", G109*'116目標底稿SUMMARY'!$F$5, '116目標底稿ver1'!I109*'116目標底稿SUMMARY'!$F$6*'116目標底稿SUMMARY'!$G$6))), -4)</f>
        <v>47320000</v>
      </c>
      <c r="R109" s="452">
        <f t="shared" si="18"/>
        <v>-940000</v>
      </c>
      <c r="S109" s="274">
        <f>VLOOKUP(D109,'116指標1_前2年手收20%'!A:M,13,0)</f>
        <v>308347</v>
      </c>
      <c r="T109" s="274">
        <f>VLOOKUP(D109,'116指標2_存款25%'!A:F,6,0)</f>
        <v>467855</v>
      </c>
      <c r="U109" s="274">
        <f>VLOOKUP(D109,'116指標6_理財AUM25%'!A:F,6,0)</f>
        <v>307346</v>
      </c>
      <c r="V109" s="274">
        <f>VLOOKUP(D109,'116指標4_114分行人數25%'!A:Q,17,0)</f>
        <v>537464</v>
      </c>
      <c r="W109" s="274">
        <f>VLOOKUP(F109,'115分組'!D:F,3,0)</f>
        <v>60000</v>
      </c>
      <c r="X109" s="274"/>
      <c r="Y109" s="275">
        <f t="shared" si="12"/>
        <v>1680000</v>
      </c>
      <c r="Z109" s="451">
        <f t="shared" si="19"/>
        <v>49000000</v>
      </c>
      <c r="AA109" s="276">
        <f t="shared" si="20"/>
        <v>4.5871965762676936E-2</v>
      </c>
      <c r="AB109" s="276">
        <f t="shared" si="21"/>
        <v>0.20927936821322812</v>
      </c>
      <c r="AC109" s="277">
        <f t="shared" si="22"/>
        <v>26950000.000000004</v>
      </c>
    </row>
    <row r="110" spans="1:29" s="279" customFormat="1" ht="24.95" customHeight="1">
      <c r="A110" s="279" t="str">
        <f>IF(J110&gt;='116目標底稿SUMMARY'!$E$3,"TYPE_1",IF(J110&gt;='116目標底稿SUMMARY'!$E$4,"TYPE_2",IF(J110&gt;='116目標底稿SUMMARY'!$E$5,"TYPE_3","TYPE_4")))</f>
        <v>TYPE_3</v>
      </c>
      <c r="B110" s="272">
        <v>103</v>
      </c>
      <c r="C110" s="271" t="s">
        <v>11</v>
      </c>
      <c r="D110" s="272">
        <v>252</v>
      </c>
      <c r="E110" s="273" t="s">
        <v>95</v>
      </c>
      <c r="F110" s="272">
        <f>IF(ISERROR(VLOOKUP(D110,'115分組'!A:D,4,0)), "未分", VLOOKUP(D110,'115分組'!A:D,4,0))</f>
        <v>2</v>
      </c>
      <c r="G110" s="273">
        <f>ROUND(VLOOKUP(D110,'115_分行業績'!A:J,8,0), 0)</f>
        <v>55431786</v>
      </c>
      <c r="H110" s="274">
        <f>(VLOOKUP(D110, '底稿_前2年手收20%'!A:G,7,0)+VLOOKUP(D110, '底稿_前2年手收20%'!O:U,7,0))/2</f>
        <v>32096894.82</v>
      </c>
      <c r="I110" s="273">
        <f>VLOOKUP(D110,'115_分行業績'!A:I,9,0)</f>
        <v>61310000</v>
      </c>
      <c r="J110" s="456">
        <f t="shared" si="13"/>
        <v>0.9</v>
      </c>
      <c r="K110" s="456">
        <f t="shared" si="14"/>
        <v>0.93</v>
      </c>
      <c r="L110" s="273" t="str">
        <f t="shared" si="15"/>
        <v>90%以上、未達100%</v>
      </c>
      <c r="M110" s="273" t="str">
        <f t="shared" si="16"/>
        <v>分行目標105%</v>
      </c>
      <c r="N110" s="273">
        <f t="shared" si="17"/>
        <v>64380000</v>
      </c>
      <c r="O110" s="273" t="str">
        <f>VLOOKUP(A110,'116目標底稿SUMMARY'!A:B,2,0)</f>
        <v>80%以上，未達100%</v>
      </c>
      <c r="P110" s="273" t="str">
        <f>VLOOKUP(A110,'116目標底稿SUMMARY'!A:D,4,0)</f>
        <v>預估實績*105%</v>
      </c>
      <c r="Q110" s="273">
        <f>ROUND(IF(A110 = "TYPE_1", I110*'116目標底稿SUMMARY'!$F$3*'116目標底稿SUMMARY'!$G$3, IF(A110 = "TYPE_2", G110*'116目標底稿SUMMARY'!$F$4, IF(A110 = "TYPE_3", G110*'116目標底稿SUMMARY'!$F$5, '116目標底稿ver1'!I110*'116目標底稿SUMMARY'!$F$6*'116目標底稿SUMMARY'!$G$6))), -4)</f>
        <v>57090000</v>
      </c>
      <c r="R110" s="452">
        <f t="shared" si="18"/>
        <v>-7290000</v>
      </c>
      <c r="S110" s="274">
        <f>VLOOKUP(D110,'116指標1_前2年手收20%'!A:M,13,0)</f>
        <v>381736</v>
      </c>
      <c r="T110" s="274">
        <f>VLOOKUP(D110,'116指標2_存款25%'!A:F,6,0)</f>
        <v>549240</v>
      </c>
      <c r="U110" s="274">
        <f>VLOOKUP(D110,'116指標6_理財AUM25%'!A:F,6,0)</f>
        <v>545048</v>
      </c>
      <c r="V110" s="274">
        <f>VLOOKUP(D110,'116指標4_114分行人數25%'!A:Q,17,0)</f>
        <v>776336</v>
      </c>
      <c r="W110" s="274">
        <f>VLOOKUP(F110,'115分組'!D:F,3,0)</f>
        <v>170000</v>
      </c>
      <c r="X110" s="274"/>
      <c r="Y110" s="275">
        <f t="shared" si="12"/>
        <v>2420000</v>
      </c>
      <c r="Z110" s="451">
        <f t="shared" si="19"/>
        <v>59510000</v>
      </c>
      <c r="AA110" s="276">
        <f t="shared" si="20"/>
        <v>7.3571758990410352E-2</v>
      </c>
      <c r="AB110" s="276">
        <f t="shared" si="21"/>
        <v>-2.9358995269939681E-2</v>
      </c>
      <c r="AC110" s="277">
        <f t="shared" si="22"/>
        <v>32730500.000000004</v>
      </c>
    </row>
    <row r="111" spans="1:29" s="279" customFormat="1" ht="24.95" customHeight="1">
      <c r="A111" s="279" t="str">
        <f>IF(J111&gt;='116目標底稿SUMMARY'!$E$3,"TYPE_1",IF(J111&gt;='116目標底稿SUMMARY'!$E$4,"TYPE_2",IF(J111&gt;='116目標底稿SUMMARY'!$E$5,"TYPE_3","TYPE_4")))</f>
        <v>TYPE_2</v>
      </c>
      <c r="B111" s="272">
        <v>104</v>
      </c>
      <c r="C111" s="271" t="s">
        <v>11</v>
      </c>
      <c r="D111" s="272">
        <v>260</v>
      </c>
      <c r="E111" s="273" t="s">
        <v>96</v>
      </c>
      <c r="F111" s="272">
        <f>IF(ISERROR(VLOOKUP(D111,'115分組'!A:D,4,0)), "未分", VLOOKUP(D111,'115分組'!A:D,4,0))</f>
        <v>3</v>
      </c>
      <c r="G111" s="273">
        <f>ROUND(VLOOKUP(D111,'115_分行業績'!A:J,8,0), 0)</f>
        <v>88959282</v>
      </c>
      <c r="H111" s="274">
        <f>(VLOOKUP(D111, '底稿_前2年手收20%'!A:G,7,0)+VLOOKUP(D111, '底稿_前2年手收20%'!O:U,7,0))/2</f>
        <v>58721958.480000004</v>
      </c>
      <c r="I111" s="273">
        <f>VLOOKUP(D111,'115_分行業績'!A:I,9,0)</f>
        <v>77470000</v>
      </c>
      <c r="J111" s="456">
        <f t="shared" si="13"/>
        <v>1.1499999999999999</v>
      </c>
      <c r="K111" s="456">
        <f t="shared" si="14"/>
        <v>0.96</v>
      </c>
      <c r="L111" s="273" t="str">
        <f t="shared" si="15"/>
        <v>110%以上、未達120%</v>
      </c>
      <c r="M111" s="273" t="str">
        <f t="shared" si="16"/>
        <v>預估實績*103%</v>
      </c>
      <c r="N111" s="273">
        <f t="shared" si="17"/>
        <v>91630000</v>
      </c>
      <c r="O111" s="273" t="str">
        <f>VLOOKUP(A111,'116目標底稿SUMMARY'!A:B,2,0)</f>
        <v>100%以上，未達120%</v>
      </c>
      <c r="P111" s="273" t="str">
        <f>VLOOKUP(A111,'116目標底稿SUMMARY'!A:D,4,0)</f>
        <v>預估實績*103%</v>
      </c>
      <c r="Q111" s="273">
        <f>ROUND(IF(A111 = "TYPE_1", I111*'116目標底稿SUMMARY'!$F$3*'116目標底稿SUMMARY'!$G$3, IF(A111 = "TYPE_2", G111*'116目標底稿SUMMARY'!$F$4, IF(A111 = "TYPE_3", G111*'116目標底稿SUMMARY'!$F$5, '116目標底稿ver1'!I111*'116目標底稿SUMMARY'!$F$6*'116目標底稿SUMMARY'!$G$6))), -4)</f>
        <v>89850000</v>
      </c>
      <c r="R111" s="452">
        <f t="shared" si="18"/>
        <v>-1780000</v>
      </c>
      <c r="S111" s="274">
        <f>VLOOKUP(D111,'116指標1_前2年手收20%'!A:M,13,0)</f>
        <v>603047</v>
      </c>
      <c r="T111" s="274">
        <f>VLOOKUP(D111,'116指標2_存款25%'!A:F,6,0)</f>
        <v>722219</v>
      </c>
      <c r="U111" s="274">
        <f>VLOOKUP(D111,'116指標6_理財AUM25%'!A:F,6,0)</f>
        <v>725732</v>
      </c>
      <c r="V111" s="274">
        <f>VLOOKUP(D111,'116指標4_114分行人數25%'!A:Q,17,0)</f>
        <v>617088</v>
      </c>
      <c r="W111" s="274">
        <f>VLOOKUP(F111,'115分組'!D:F,3,0)</f>
        <v>150000</v>
      </c>
      <c r="X111" s="274"/>
      <c r="Y111" s="275">
        <f t="shared" si="12"/>
        <v>2820000</v>
      </c>
      <c r="Z111" s="451">
        <f t="shared" si="19"/>
        <v>92670000</v>
      </c>
      <c r="AA111" s="276">
        <f t="shared" si="20"/>
        <v>4.1712544397559226E-2</v>
      </c>
      <c r="AB111" s="276">
        <f t="shared" si="21"/>
        <v>0.19620498257389962</v>
      </c>
      <c r="AC111" s="277">
        <f t="shared" si="22"/>
        <v>50968500.000000007</v>
      </c>
    </row>
    <row r="112" spans="1:29" s="279" customFormat="1" ht="24.95" customHeight="1">
      <c r="A112" s="279" t="str">
        <f>IF(J112&gt;='116目標底稿SUMMARY'!$E$3,"TYPE_1",IF(J112&gt;='116目標底稿SUMMARY'!$E$4,"TYPE_2",IF(J112&gt;='116目標底稿SUMMARY'!$E$5,"TYPE_3","TYPE_4")))</f>
        <v>TYPE_3</v>
      </c>
      <c r="B112" s="272">
        <v>105</v>
      </c>
      <c r="C112" s="271" t="s">
        <v>11</v>
      </c>
      <c r="D112" s="272">
        <v>262</v>
      </c>
      <c r="E112" s="273" t="s">
        <v>97</v>
      </c>
      <c r="F112" s="272">
        <f>IF(ISERROR(VLOOKUP(D112,'115分組'!A:D,4,0)), "未分", VLOOKUP(D112,'115分組'!A:D,4,0))</f>
        <v>5</v>
      </c>
      <c r="G112" s="273">
        <f>ROUND(VLOOKUP(D112,'115_分行業績'!A:J,8,0), 0)</f>
        <v>55046028</v>
      </c>
      <c r="H112" s="274">
        <f>(VLOOKUP(D112, '底稿_前2年手收20%'!A:G,7,0)+VLOOKUP(D112, '底稿_前2年手收20%'!O:U,7,0))/2</f>
        <v>41457226.365000002</v>
      </c>
      <c r="I112" s="273">
        <f>VLOOKUP(D112,'115_分行業績'!A:I,9,0)</f>
        <v>59520000</v>
      </c>
      <c r="J112" s="456">
        <f t="shared" si="13"/>
        <v>0.92</v>
      </c>
      <c r="K112" s="456">
        <f t="shared" si="14"/>
        <v>0.94</v>
      </c>
      <c r="L112" s="273" t="str">
        <f t="shared" si="15"/>
        <v>90%以上、未達100%</v>
      </c>
      <c r="M112" s="273" t="str">
        <f t="shared" si="16"/>
        <v>分行目標105%</v>
      </c>
      <c r="N112" s="273">
        <f t="shared" si="17"/>
        <v>62500000</v>
      </c>
      <c r="O112" s="273" t="str">
        <f>VLOOKUP(A112,'116目標底稿SUMMARY'!A:B,2,0)</f>
        <v>80%以上，未達100%</v>
      </c>
      <c r="P112" s="273" t="str">
        <f>VLOOKUP(A112,'116目標底稿SUMMARY'!A:D,4,0)</f>
        <v>預估實績*105%</v>
      </c>
      <c r="Q112" s="273">
        <f>ROUND(IF(A112 = "TYPE_1", I112*'116目標底稿SUMMARY'!$F$3*'116目標底稿SUMMARY'!$G$3, IF(A112 = "TYPE_2", G112*'116目標底稿SUMMARY'!$F$4, IF(A112 = "TYPE_3", G112*'116目標底稿SUMMARY'!$F$5, '116目標底稿ver1'!I112*'116目標底稿SUMMARY'!$F$6*'116目標底稿SUMMARY'!$G$6))), -4)</f>
        <v>56700000</v>
      </c>
      <c r="R112" s="452">
        <f t="shared" si="18"/>
        <v>-5800000</v>
      </c>
      <c r="S112" s="274">
        <f>VLOOKUP(D112,'116指標1_前2年手收20%'!A:M,13,0)</f>
        <v>450932</v>
      </c>
      <c r="T112" s="274">
        <f>VLOOKUP(D112,'116指標2_存款25%'!A:F,6,0)</f>
        <v>541875</v>
      </c>
      <c r="U112" s="274">
        <f>VLOOKUP(D112,'116指標6_理財AUM25%'!A:F,6,0)</f>
        <v>542876</v>
      </c>
      <c r="V112" s="274">
        <f>VLOOKUP(D112,'116指標4_114分行人數25%'!A:Q,17,0)</f>
        <v>517557</v>
      </c>
      <c r="W112" s="274">
        <f>VLOOKUP(F112,'115分組'!D:F,3,0)</f>
        <v>100000</v>
      </c>
      <c r="X112" s="274"/>
      <c r="Y112" s="275">
        <f t="shared" si="12"/>
        <v>2150000</v>
      </c>
      <c r="Z112" s="451">
        <f t="shared" si="19"/>
        <v>58850000</v>
      </c>
      <c r="AA112" s="276">
        <f t="shared" si="20"/>
        <v>6.9105294936085082E-2</v>
      </c>
      <c r="AB112" s="276">
        <f t="shared" si="21"/>
        <v>-1.1256720430107503E-2</v>
      </c>
      <c r="AC112" s="277">
        <f t="shared" si="22"/>
        <v>32367500.000000004</v>
      </c>
    </row>
    <row r="113" spans="1:29" s="279" customFormat="1" ht="24.95" customHeight="1">
      <c r="A113" s="279" t="str">
        <f>IF(J113&gt;='116目標底稿SUMMARY'!$E$3,"TYPE_1",IF(J113&gt;='116目標底稿SUMMARY'!$E$4,"TYPE_2",IF(J113&gt;='116目標底稿SUMMARY'!$E$5,"TYPE_3","TYPE_4")))</f>
        <v>TYPE_1</v>
      </c>
      <c r="B113" s="272">
        <v>106</v>
      </c>
      <c r="C113" s="271" t="s">
        <v>11</v>
      </c>
      <c r="D113" s="272">
        <v>268</v>
      </c>
      <c r="E113" s="273" t="s">
        <v>1469</v>
      </c>
      <c r="F113" s="272">
        <f>IF(ISERROR(VLOOKUP(D113,'115分組'!A:D,4,0)), "未分", VLOOKUP(D113,'115分組'!A:D,4,0))</f>
        <v>8</v>
      </c>
      <c r="G113" s="273">
        <f>ROUND(VLOOKUP(D113,'115_分行業績'!A:J,8,0), 0)</f>
        <v>38092596</v>
      </c>
      <c r="H113" s="274">
        <f>(VLOOKUP(D113, '底稿_前2年手收20%'!A:G,7,0)+VLOOKUP(D113, '底稿_前2年手收20%'!O:U,7,0))/2</f>
        <v>18908553.869999997</v>
      </c>
      <c r="I113" s="273">
        <f>VLOOKUP(D113,'115_分行業績'!A:I,9,0)</f>
        <v>20980000</v>
      </c>
      <c r="J113" s="456">
        <f t="shared" si="13"/>
        <v>1.82</v>
      </c>
      <c r="K113" s="456">
        <f t="shared" si="14"/>
        <v>1.46</v>
      </c>
      <c r="L113" s="273" t="str">
        <f t="shared" si="15"/>
        <v>150%以上、未達200%</v>
      </c>
      <c r="M113" s="273" t="str">
        <f t="shared" si="16"/>
        <v>預估實績*80%</v>
      </c>
      <c r="N113" s="273">
        <f t="shared" si="17"/>
        <v>30470000</v>
      </c>
      <c r="O113" s="273" t="str">
        <f>VLOOKUP(A113,'116目標底稿SUMMARY'!A:B,2,0)</f>
        <v>120%以上</v>
      </c>
      <c r="P113" s="273" t="str">
        <f>VLOOKUP(A113,'116目標底稿SUMMARY'!A:D,4,0)</f>
        <v>分行目標*120%*101%</v>
      </c>
      <c r="Q113" s="273">
        <f>ROUND(IF(A113 = "TYPE_1", I113*'116目標底稿SUMMARY'!$F$3*'116目標底稿SUMMARY'!$G$3, IF(A113 = "TYPE_2", G113*'116目標底稿SUMMARY'!$F$4, IF(A113 = "TYPE_3", G113*'116目標底稿SUMMARY'!$F$5, '116目標底稿ver1'!I113*'116目標底稿SUMMARY'!$F$6*'116目標底稿SUMMARY'!$G$6))), -4)</f>
        <v>25430000</v>
      </c>
      <c r="R113" s="452">
        <f t="shared" si="18"/>
        <v>-5040000</v>
      </c>
      <c r="S113" s="274">
        <f>VLOOKUP(D113,'116指標1_前2年手收20%'!A:M,13,0)</f>
        <v>90943</v>
      </c>
      <c r="T113" s="274">
        <f>VLOOKUP(D113,'116指標2_存款25%'!A:F,6,0)</f>
        <v>30199</v>
      </c>
      <c r="U113" s="274">
        <f>VLOOKUP(D113,'116指標6_理財AUM25%'!A:F,6,0)</f>
        <v>172571</v>
      </c>
      <c r="V113" s="274">
        <f>VLOOKUP(D113,'116指標4_114分行人數25%'!A:Q,17,0)</f>
        <v>338403</v>
      </c>
      <c r="W113" s="274">
        <f>VLOOKUP(F113,'115分組'!D:F,3,0)</f>
        <v>40000</v>
      </c>
      <c r="X113" s="274"/>
      <c r="Y113" s="275">
        <f t="shared" si="12"/>
        <v>670000</v>
      </c>
      <c r="Z113" s="451">
        <f t="shared" si="19"/>
        <v>26100000</v>
      </c>
      <c r="AA113" s="276">
        <f t="shared" si="20"/>
        <v>-0.3148274798598657</v>
      </c>
      <c r="AB113" s="276">
        <f t="shared" si="21"/>
        <v>0.24404194470924701</v>
      </c>
      <c r="AC113" s="277">
        <f t="shared" si="22"/>
        <v>14355000.000000002</v>
      </c>
    </row>
    <row r="114" spans="1:29" s="279" customFormat="1" ht="24.95" customHeight="1">
      <c r="A114" s="279" t="str">
        <f>IF(J114&gt;='116目標底稿SUMMARY'!$E$3,"TYPE_1",IF(J114&gt;='116目標底稿SUMMARY'!$E$4,"TYPE_2",IF(J114&gt;='116目標底稿SUMMARY'!$E$5,"TYPE_3","TYPE_4")))</f>
        <v>TYPE_3</v>
      </c>
      <c r="B114" s="272">
        <v>107</v>
      </c>
      <c r="C114" s="271" t="s">
        <v>11</v>
      </c>
      <c r="D114" s="272">
        <v>300</v>
      </c>
      <c r="E114" s="273" t="s">
        <v>98</v>
      </c>
      <c r="F114" s="272">
        <f>IF(ISERROR(VLOOKUP(D114,'115分組'!A:D,4,0)), "未分", VLOOKUP(D114,'115分組'!A:D,4,0))</f>
        <v>1</v>
      </c>
      <c r="G114" s="273">
        <f>ROUND(VLOOKUP(D114,'115_分行業績'!A:J,8,0), 0)</f>
        <v>68426864</v>
      </c>
      <c r="H114" s="274">
        <f>(VLOOKUP(D114, '底稿_前2年手收20%'!A:G,7,0)+VLOOKUP(D114, '底稿_前2年手收20%'!O:U,7,0))/2</f>
        <v>48594292.905000001</v>
      </c>
      <c r="I114" s="273">
        <f>VLOOKUP(D114,'115_分行業績'!A:I,9,0)</f>
        <v>76050000</v>
      </c>
      <c r="J114" s="456">
        <f t="shared" si="13"/>
        <v>0.9</v>
      </c>
      <c r="K114" s="456">
        <f t="shared" si="14"/>
        <v>0.93</v>
      </c>
      <c r="L114" s="273" t="str">
        <f t="shared" si="15"/>
        <v>90%以上、未達100%</v>
      </c>
      <c r="M114" s="273" t="str">
        <f t="shared" si="16"/>
        <v>分行目標105%</v>
      </c>
      <c r="N114" s="273">
        <f t="shared" si="17"/>
        <v>79850000</v>
      </c>
      <c r="O114" s="273" t="str">
        <f>VLOOKUP(A114,'116目標底稿SUMMARY'!A:B,2,0)</f>
        <v>80%以上，未達100%</v>
      </c>
      <c r="P114" s="273" t="str">
        <f>VLOOKUP(A114,'116目標底稿SUMMARY'!A:D,4,0)</f>
        <v>預估實績*105%</v>
      </c>
      <c r="Q114" s="273">
        <f>ROUND(IF(A114 = "TYPE_1", I114*'116目標底稿SUMMARY'!$F$3*'116目標底稿SUMMARY'!$G$3, IF(A114 = "TYPE_2", G114*'116目標底稿SUMMARY'!$F$4, IF(A114 = "TYPE_3", G114*'116目標底稿SUMMARY'!$F$5, '116目標底稿ver1'!I114*'116目標底稿SUMMARY'!$F$6*'116目標底稿SUMMARY'!$G$6))), -4)</f>
        <v>70480000</v>
      </c>
      <c r="R114" s="452">
        <f t="shared" si="18"/>
        <v>-9370000</v>
      </c>
      <c r="S114" s="274">
        <f>VLOOKUP(D114,'116指標1_前2年手收20%'!A:M,13,0)</f>
        <v>577944</v>
      </c>
      <c r="T114" s="274">
        <f>VLOOKUP(D114,'116指標2_存款25%'!A:F,6,0)</f>
        <v>705350</v>
      </c>
      <c r="U114" s="274">
        <f>VLOOKUP(D114,'116指標6_理財AUM25%'!A:F,6,0)</f>
        <v>724129</v>
      </c>
      <c r="V114" s="274">
        <f>VLOOKUP(D114,'116指標4_114分行人數25%'!A:Q,17,0)</f>
        <v>621796</v>
      </c>
      <c r="W114" s="274">
        <f>VLOOKUP(F114,'115分組'!D:F,3,0)</f>
        <v>190000</v>
      </c>
      <c r="X114" s="274"/>
      <c r="Y114" s="275">
        <f t="shared" si="12"/>
        <v>2820000</v>
      </c>
      <c r="Z114" s="451">
        <f t="shared" si="19"/>
        <v>73300000</v>
      </c>
      <c r="AA114" s="276">
        <f t="shared" si="20"/>
        <v>7.1216708104582915E-2</v>
      </c>
      <c r="AB114" s="276">
        <f t="shared" si="21"/>
        <v>-3.6160420775805391E-2</v>
      </c>
      <c r="AC114" s="277">
        <f t="shared" si="22"/>
        <v>40315000</v>
      </c>
    </row>
    <row r="115" spans="1:29" s="279" customFormat="1" ht="24.95" customHeight="1">
      <c r="A115" s="279" t="str">
        <f>IF(J115&gt;='116目標底稿SUMMARY'!$E$3,"TYPE_1",IF(J115&gt;='116目標底稿SUMMARY'!$E$4,"TYPE_2",IF(J115&gt;='116目標底稿SUMMARY'!$E$5,"TYPE_3","TYPE_4")))</f>
        <v>TYPE_3</v>
      </c>
      <c r="B115" s="272">
        <v>108</v>
      </c>
      <c r="C115" s="271" t="s">
        <v>11</v>
      </c>
      <c r="D115" s="272">
        <v>301</v>
      </c>
      <c r="E115" s="273" t="s">
        <v>99</v>
      </c>
      <c r="F115" s="272">
        <f>IF(ISERROR(VLOOKUP(D115,'115分組'!A:D,4,0)), "未分", VLOOKUP(D115,'115分組'!A:D,4,0))</f>
        <v>5</v>
      </c>
      <c r="G115" s="273">
        <f>ROUND(VLOOKUP(D115,'115_分行業績'!A:J,8,0), 0)</f>
        <v>58000944</v>
      </c>
      <c r="H115" s="274">
        <f>(VLOOKUP(D115, '底稿_前2年手收20%'!A:G,7,0)+VLOOKUP(D115, '底稿_前2年手收20%'!O:U,7,0))/2</f>
        <v>46807852.019999996</v>
      </c>
      <c r="I115" s="273">
        <f>VLOOKUP(D115,'115_分行業績'!A:I,9,0)</f>
        <v>62570000</v>
      </c>
      <c r="J115" s="456">
        <f t="shared" si="13"/>
        <v>0.93</v>
      </c>
      <c r="K115" s="456">
        <f t="shared" si="14"/>
        <v>0.94</v>
      </c>
      <c r="L115" s="273" t="str">
        <f t="shared" si="15"/>
        <v>90%以上、未達100%</v>
      </c>
      <c r="M115" s="273" t="str">
        <f t="shared" si="16"/>
        <v>分行目標105%</v>
      </c>
      <c r="N115" s="273">
        <f t="shared" si="17"/>
        <v>65700000</v>
      </c>
      <c r="O115" s="273" t="str">
        <f>VLOOKUP(A115,'116目標底稿SUMMARY'!A:B,2,0)</f>
        <v>80%以上，未達100%</v>
      </c>
      <c r="P115" s="273" t="str">
        <f>VLOOKUP(A115,'116目標底稿SUMMARY'!A:D,4,0)</f>
        <v>預估實績*105%</v>
      </c>
      <c r="Q115" s="273">
        <f>ROUND(IF(A115 = "TYPE_1", I115*'116目標底稿SUMMARY'!$F$3*'116目標底稿SUMMARY'!$G$3, IF(A115 = "TYPE_2", G115*'116目標底稿SUMMARY'!$F$4, IF(A115 = "TYPE_3", G115*'116目標底稿SUMMARY'!$F$5, '116目標底稿ver1'!I115*'116目標底稿SUMMARY'!$F$6*'116目標底稿SUMMARY'!$G$6))), -4)</f>
        <v>59740000</v>
      </c>
      <c r="R115" s="452">
        <f t="shared" si="18"/>
        <v>-5960000</v>
      </c>
      <c r="S115" s="274">
        <f>VLOOKUP(D115,'116指標1_前2年手收20%'!A:M,13,0)</f>
        <v>499279</v>
      </c>
      <c r="T115" s="274">
        <f>VLOOKUP(D115,'116指標2_存款25%'!A:F,6,0)</f>
        <v>435093</v>
      </c>
      <c r="U115" s="274">
        <f>VLOOKUP(D115,'116指標6_理財AUM25%'!A:F,6,0)</f>
        <v>616360</v>
      </c>
      <c r="V115" s="274">
        <f>VLOOKUP(D115,'116指標4_114分行人數25%'!A:Q,17,0)</f>
        <v>437933</v>
      </c>
      <c r="W115" s="274">
        <f>VLOOKUP(F115,'115分組'!D:F,3,0)</f>
        <v>100000</v>
      </c>
      <c r="X115" s="274"/>
      <c r="Y115" s="275">
        <f t="shared" si="12"/>
        <v>2090000</v>
      </c>
      <c r="Z115" s="451">
        <f t="shared" si="19"/>
        <v>61830000</v>
      </c>
      <c r="AA115" s="276">
        <f t="shared" si="20"/>
        <v>6.6017132410810309E-2</v>
      </c>
      <c r="AB115" s="276">
        <f t="shared" si="21"/>
        <v>-1.182675403548028E-2</v>
      </c>
      <c r="AC115" s="277">
        <f t="shared" si="22"/>
        <v>34006500</v>
      </c>
    </row>
    <row r="116" spans="1:29" s="279" customFormat="1" ht="25.5" customHeight="1">
      <c r="A116" s="279" t="str">
        <f>IF(J116&gt;='116目標底稿SUMMARY'!$E$3,"TYPE_1",IF(J116&gt;='116目標底稿SUMMARY'!$E$4,"TYPE_2",IF(J116&gt;='116目標底稿SUMMARY'!$E$5,"TYPE_3","TYPE_4")))</f>
        <v>TYPE_4</v>
      </c>
      <c r="B116" s="272">
        <v>109</v>
      </c>
      <c r="C116" s="271" t="s">
        <v>11</v>
      </c>
      <c r="D116" s="272">
        <v>302</v>
      </c>
      <c r="E116" s="273" t="s">
        <v>31</v>
      </c>
      <c r="F116" s="272">
        <f>IF(ISERROR(VLOOKUP(D116,'115分組'!A:D,4,0)), "未分", VLOOKUP(D116,'115分組'!A:D,4,0))</f>
        <v>3</v>
      </c>
      <c r="G116" s="273">
        <f>ROUND(VLOOKUP(D116,'115_分行業績'!A:J,8,0), 0)</f>
        <v>36906824</v>
      </c>
      <c r="H116" s="274">
        <f>(VLOOKUP(D116, '底稿_前2年手收20%'!A:G,7,0)+VLOOKUP(D116, '底稿_前2年手收20%'!O:U,7,0))/2</f>
        <v>28190002.950000003</v>
      </c>
      <c r="I116" s="273">
        <f>VLOOKUP(D116,'115_分行業績'!A:I,9,0)</f>
        <v>50010000</v>
      </c>
      <c r="J116" s="456">
        <f t="shared" si="13"/>
        <v>0.74</v>
      </c>
      <c r="K116" s="456">
        <f t="shared" si="14"/>
        <v>0.74</v>
      </c>
      <c r="L116" s="273" t="str">
        <f t="shared" si="15"/>
        <v>未達75%</v>
      </c>
      <c r="M116" s="273" t="str">
        <f t="shared" si="16"/>
        <v>分行目標115%</v>
      </c>
      <c r="N116" s="273">
        <f t="shared" si="17"/>
        <v>57510000</v>
      </c>
      <c r="O116" s="273" t="str">
        <f>VLOOKUP(A116,'116目標底稿SUMMARY'!A:B,2,0)</f>
        <v>未達80%</v>
      </c>
      <c r="P116" s="273" t="str">
        <f>VLOOKUP(A116,'116目標底稿SUMMARY'!A:D,4,0)</f>
        <v>分行目標*80%*120%</v>
      </c>
      <c r="Q116" s="273">
        <f>ROUND(IF(A116 = "TYPE_1", I116*'116目標底稿SUMMARY'!$F$3*'116目標底稿SUMMARY'!$G$3, IF(A116 = "TYPE_2", G116*'116目標底稿SUMMARY'!$F$4, IF(A116 = "TYPE_3", G116*'116目標底稿SUMMARY'!$F$5, '116目標底稿ver1'!I116*'116目標底稿SUMMARY'!$F$6*'116目標底稿SUMMARY'!$G$6))), -4)</f>
        <v>48010000</v>
      </c>
      <c r="R116" s="452">
        <f t="shared" si="18"/>
        <v>-9500000</v>
      </c>
      <c r="S116" s="274">
        <f>VLOOKUP(D116,'116指標1_前2年手收20%'!A:M,13,0)</f>
        <v>310148</v>
      </c>
      <c r="T116" s="274">
        <f>VLOOKUP(D116,'116指標2_存款25%'!A:F,6,0)</f>
        <v>425962</v>
      </c>
      <c r="U116" s="274">
        <f>VLOOKUP(D116,'116指標6_理財AUM25%'!A:F,6,0)</f>
        <v>390489</v>
      </c>
      <c r="V116" s="274">
        <f>VLOOKUP(D116,'116指標4_114分行人數25%'!A:Q,17,0)</f>
        <v>557370</v>
      </c>
      <c r="W116" s="274">
        <f>VLOOKUP(F116,'115分組'!D:F,3,0)</f>
        <v>150000</v>
      </c>
      <c r="X116" s="274"/>
      <c r="Y116" s="275">
        <f t="shared" si="12"/>
        <v>1830000</v>
      </c>
      <c r="Z116" s="451">
        <f t="shared" si="19"/>
        <v>49840000</v>
      </c>
      <c r="AA116" s="276">
        <f t="shared" si="20"/>
        <v>0.35042776913017493</v>
      </c>
      <c r="AB116" s="276">
        <f t="shared" si="21"/>
        <v>-3.3993201359727721E-3</v>
      </c>
      <c r="AC116" s="277">
        <f t="shared" si="22"/>
        <v>27412000.000000004</v>
      </c>
    </row>
    <row r="117" spans="1:29" s="279" customFormat="1" ht="24.95" customHeight="1">
      <c r="A117" s="279" t="str">
        <f>IF(J117&gt;='116目標底稿SUMMARY'!$E$3,"TYPE_1",IF(J117&gt;='116目標底稿SUMMARY'!$E$4,"TYPE_2",IF(J117&gt;='116目標底稿SUMMARY'!$E$5,"TYPE_3","TYPE_4")))</f>
        <v>TYPE_2</v>
      </c>
      <c r="B117" s="272">
        <v>110</v>
      </c>
      <c r="C117" s="271" t="s">
        <v>11</v>
      </c>
      <c r="D117" s="272">
        <v>310</v>
      </c>
      <c r="E117" s="273" t="s">
        <v>32</v>
      </c>
      <c r="F117" s="272">
        <f>IF(ISERROR(VLOOKUP(D117,'115分組'!A:D,4,0)), "未分", VLOOKUP(D117,'115分組'!A:D,4,0))</f>
        <v>7</v>
      </c>
      <c r="G117" s="273">
        <f>ROUND(VLOOKUP(D117,'115_分行業績'!A:J,8,0), 0)</f>
        <v>58910176</v>
      </c>
      <c r="H117" s="274">
        <f>(VLOOKUP(D117, '底稿_前2年手收20%'!A:G,7,0)+VLOOKUP(D117, '底稿_前2年手收20%'!O:U,7,0))/2</f>
        <v>39755100.295000002</v>
      </c>
      <c r="I117" s="273">
        <f>VLOOKUP(D117,'115_分行業績'!A:I,9,0)</f>
        <v>56840000</v>
      </c>
      <c r="J117" s="456">
        <f t="shared" si="13"/>
        <v>1.04</v>
      </c>
      <c r="K117" s="456">
        <f t="shared" si="14"/>
        <v>0.96</v>
      </c>
      <c r="L117" s="273" t="str">
        <f t="shared" si="15"/>
        <v>100%以上、未達110%</v>
      </c>
      <c r="M117" s="273" t="str">
        <f t="shared" si="16"/>
        <v>預估實績105%</v>
      </c>
      <c r="N117" s="273">
        <f t="shared" si="17"/>
        <v>61860000</v>
      </c>
      <c r="O117" s="273" t="str">
        <f>VLOOKUP(A117,'116目標底稿SUMMARY'!A:B,2,0)</f>
        <v>100%以上，未達120%</v>
      </c>
      <c r="P117" s="273" t="str">
        <f>VLOOKUP(A117,'116目標底稿SUMMARY'!A:D,4,0)</f>
        <v>預估實績*103%</v>
      </c>
      <c r="Q117" s="273">
        <f>ROUND(IF(A117 = "TYPE_1", I117*'116目標底稿SUMMARY'!$F$3*'116目標底稿SUMMARY'!$G$3, IF(A117 = "TYPE_2", G117*'116目標底稿SUMMARY'!$F$4, IF(A117 = "TYPE_3", G117*'116目標底稿SUMMARY'!$F$5, '116目標底稿ver1'!I117*'116目標底稿SUMMARY'!$F$6*'116目標底稿SUMMARY'!$G$6))), -4)</f>
        <v>59500000</v>
      </c>
      <c r="R117" s="452">
        <f t="shared" si="18"/>
        <v>-2360000</v>
      </c>
      <c r="S117" s="274">
        <f>VLOOKUP(D117,'116指標1_前2年手收20%'!A:M,13,0)</f>
        <v>435478</v>
      </c>
      <c r="T117" s="274">
        <f>VLOOKUP(D117,'116指標2_存款25%'!A:F,6,0)</f>
        <v>477838</v>
      </c>
      <c r="U117" s="274">
        <f>VLOOKUP(D117,'116指標6_理財AUM25%'!A:F,6,0)</f>
        <v>615699</v>
      </c>
      <c r="V117" s="274">
        <f>VLOOKUP(D117,'116指標4_114分行人數25%'!A:Q,17,0)</f>
        <v>457839</v>
      </c>
      <c r="W117" s="274">
        <f>VLOOKUP(F117,'115分組'!D:F,3,0)</f>
        <v>60000</v>
      </c>
      <c r="X117" s="274"/>
      <c r="Y117" s="275">
        <f t="shared" si="12"/>
        <v>2050000</v>
      </c>
      <c r="Z117" s="451">
        <f t="shared" si="19"/>
        <v>61550000</v>
      </c>
      <c r="AA117" s="276">
        <f t="shared" si="20"/>
        <v>4.4811001752905977E-2</v>
      </c>
      <c r="AB117" s="276">
        <f t="shared" si="21"/>
        <v>8.2864180154820444E-2</v>
      </c>
      <c r="AC117" s="277">
        <f t="shared" si="22"/>
        <v>33852500</v>
      </c>
    </row>
    <row r="118" spans="1:29" s="279" customFormat="1" ht="24.95" customHeight="1">
      <c r="A118" s="279" t="str">
        <f>IF(J118&gt;='116目標底稿SUMMARY'!$E$3,"TYPE_1",IF(J118&gt;='116目標底稿SUMMARY'!$E$4,"TYPE_2",IF(J118&gt;='116目標底稿SUMMARY'!$E$5,"TYPE_3","TYPE_4")))</f>
        <v>TYPE_2</v>
      </c>
      <c r="B118" s="272">
        <v>111</v>
      </c>
      <c r="C118" s="271" t="s">
        <v>11</v>
      </c>
      <c r="D118" s="272">
        <v>313</v>
      </c>
      <c r="E118" s="273" t="s">
        <v>182</v>
      </c>
      <c r="F118" s="272">
        <f>IF(ISERROR(VLOOKUP(D118,'115分組'!A:D,4,0)), "未分", VLOOKUP(D118,'115分組'!A:D,4,0))</f>
        <v>7</v>
      </c>
      <c r="G118" s="273">
        <f>ROUND(VLOOKUP(D118,'115_分行業績'!A:J,8,0), 0)</f>
        <v>35869459</v>
      </c>
      <c r="H118" s="274">
        <f>(VLOOKUP(D118, '底稿_前2年手收20%'!A:G,7,0)+VLOOKUP(D118, '底稿_前2年手收20%'!O:U,7,0))/2</f>
        <v>19635760.574999999</v>
      </c>
      <c r="I118" s="273">
        <f>VLOOKUP(D118,'115_分行業績'!A:I,9,0)</f>
        <v>30620000</v>
      </c>
      <c r="J118" s="456">
        <f t="shared" si="13"/>
        <v>1.17</v>
      </c>
      <c r="K118" s="456">
        <f t="shared" si="14"/>
        <v>0.96</v>
      </c>
      <c r="L118" s="273" t="str">
        <f t="shared" si="15"/>
        <v>110%以上、未達120%</v>
      </c>
      <c r="M118" s="273" t="str">
        <f t="shared" si="16"/>
        <v>預估實績*103%</v>
      </c>
      <c r="N118" s="273">
        <f t="shared" si="17"/>
        <v>36950000</v>
      </c>
      <c r="O118" s="273" t="str">
        <f>VLOOKUP(A118,'116目標底稿SUMMARY'!A:B,2,0)</f>
        <v>100%以上，未達120%</v>
      </c>
      <c r="P118" s="273" t="str">
        <f>VLOOKUP(A118,'116目標底稿SUMMARY'!A:D,4,0)</f>
        <v>預估實績*103%</v>
      </c>
      <c r="Q118" s="273">
        <f>ROUND(IF(A118 = "TYPE_1", I118*'116目標底稿SUMMARY'!$F$3*'116目標底稿SUMMARY'!$G$3, IF(A118 = "TYPE_2", G118*'116目標底稿SUMMARY'!$F$4, IF(A118 = "TYPE_3", G118*'116目標底稿SUMMARY'!$F$5, '116目標底稿ver1'!I118*'116目標底稿SUMMARY'!$F$6*'116目標底稿SUMMARY'!$G$6))), -4)</f>
        <v>36230000</v>
      </c>
      <c r="R118" s="452">
        <f t="shared" si="18"/>
        <v>-720000</v>
      </c>
      <c r="S118" s="274">
        <f>VLOOKUP(D118,'116指標1_前2年手收20%'!A:M,13,0)</f>
        <v>227466</v>
      </c>
      <c r="T118" s="274">
        <f>VLOOKUP(D118,'116指標2_存款25%'!A:F,6,0)</f>
        <v>193466</v>
      </c>
      <c r="U118" s="274">
        <f>VLOOKUP(D118,'116指標6_理財AUM25%'!A:F,6,0)</f>
        <v>303504</v>
      </c>
      <c r="V118" s="274">
        <f>VLOOKUP(D118,'116指標4_114分行人數25%'!A:Q,17,0)</f>
        <v>437933</v>
      </c>
      <c r="W118" s="274">
        <f>VLOOKUP(F118,'115分組'!D:F,3,0)</f>
        <v>60000</v>
      </c>
      <c r="X118" s="274"/>
      <c r="Y118" s="275">
        <f t="shared" si="12"/>
        <v>1220000</v>
      </c>
      <c r="Z118" s="451">
        <f t="shared" si="19"/>
        <v>37450000</v>
      </c>
      <c r="AA118" s="276">
        <f t="shared" si="20"/>
        <v>4.4063697754683107E-2</v>
      </c>
      <c r="AB118" s="276">
        <f t="shared" si="21"/>
        <v>0.22305682560418028</v>
      </c>
      <c r="AC118" s="277">
        <f t="shared" si="22"/>
        <v>20597500</v>
      </c>
    </row>
    <row r="119" spans="1:29" s="279" customFormat="1" ht="24.95" customHeight="1">
      <c r="A119" s="279" t="str">
        <f>IF(J119&gt;='116目標底稿SUMMARY'!$E$3,"TYPE_1",IF(J119&gt;='116目標底稿SUMMARY'!$E$4,"TYPE_2",IF(J119&gt;='116目標底稿SUMMARY'!$E$5,"TYPE_3","TYPE_4")))</f>
        <v>TYPE_2</v>
      </c>
      <c r="B119" s="272">
        <v>112</v>
      </c>
      <c r="C119" s="271" t="s">
        <v>33</v>
      </c>
      <c r="D119" s="272">
        <v>320</v>
      </c>
      <c r="E119" s="273" t="s">
        <v>183</v>
      </c>
      <c r="F119" s="272">
        <f>IF(ISERROR(VLOOKUP(D119,'115分組'!A:D,4,0)), "未分", VLOOKUP(D119,'115分組'!A:D,4,0))</f>
        <v>5</v>
      </c>
      <c r="G119" s="273">
        <f>ROUND(VLOOKUP(D119,'115_分行業績'!A:J,8,0), 0)</f>
        <v>74912574</v>
      </c>
      <c r="H119" s="274">
        <f>(VLOOKUP(D119, '底稿_前2年手收20%'!A:G,7,0)+VLOOKUP(D119, '底稿_前2年手收20%'!O:U,7,0))/2</f>
        <v>44958093</v>
      </c>
      <c r="I119" s="273">
        <f>VLOOKUP(D119,'115_分行業績'!A:I,9,0)</f>
        <v>64080000</v>
      </c>
      <c r="J119" s="456">
        <f t="shared" si="13"/>
        <v>1.17</v>
      </c>
      <c r="K119" s="456">
        <f t="shared" si="14"/>
        <v>0.96</v>
      </c>
      <c r="L119" s="273" t="str">
        <f t="shared" si="15"/>
        <v>110%以上、未達120%</v>
      </c>
      <c r="M119" s="273" t="str">
        <f t="shared" si="16"/>
        <v>預估實績*103%</v>
      </c>
      <c r="N119" s="273">
        <f t="shared" si="17"/>
        <v>77160000</v>
      </c>
      <c r="O119" s="273" t="str">
        <f>VLOOKUP(A119,'116目標底稿SUMMARY'!A:B,2,0)</f>
        <v>100%以上，未達120%</v>
      </c>
      <c r="P119" s="273" t="str">
        <f>VLOOKUP(A119,'116目標底稿SUMMARY'!A:D,4,0)</f>
        <v>預估實績*103%</v>
      </c>
      <c r="Q119" s="273">
        <f>ROUND(IF(A119 = "TYPE_1", I119*'116目標底稿SUMMARY'!$F$3*'116目標底稿SUMMARY'!$G$3, IF(A119 = "TYPE_2", G119*'116目標底稿SUMMARY'!$F$4, IF(A119 = "TYPE_3", G119*'116目標底稿SUMMARY'!$F$5, '116目標底稿ver1'!I119*'116目標底稿SUMMARY'!$F$6*'116目標底稿SUMMARY'!$G$6))), -4)</f>
        <v>75660000</v>
      </c>
      <c r="R119" s="452">
        <f t="shared" si="18"/>
        <v>-1500000</v>
      </c>
      <c r="S119" s="274">
        <f>VLOOKUP(D119,'116指標1_前2年手收20%'!A:M,13,0)</f>
        <v>502668</v>
      </c>
      <c r="T119" s="274">
        <f>VLOOKUP(D119,'116指標2_存款25%'!A:F,6,0)</f>
        <v>490857</v>
      </c>
      <c r="U119" s="274">
        <f>VLOOKUP(D119,'116指標6_理財AUM25%'!A:F,6,0)</f>
        <v>782757</v>
      </c>
      <c r="V119" s="274">
        <f>VLOOKUP(D119,'116指標4_114分行人數25%'!A:Q,17,0)</f>
        <v>497651</v>
      </c>
      <c r="W119" s="274">
        <f>VLOOKUP(F119,'115分組'!D:F,3,0)</f>
        <v>100000</v>
      </c>
      <c r="X119" s="274"/>
      <c r="Y119" s="275">
        <f t="shared" si="12"/>
        <v>2370000</v>
      </c>
      <c r="Z119" s="451">
        <f t="shared" si="19"/>
        <v>78030000</v>
      </c>
      <c r="AA119" s="276">
        <f t="shared" si="20"/>
        <v>4.1614188827632681E-2</v>
      </c>
      <c r="AB119" s="276">
        <f t="shared" si="21"/>
        <v>0.21769662921348321</v>
      </c>
      <c r="AC119" s="277">
        <f t="shared" si="22"/>
        <v>42916500</v>
      </c>
    </row>
    <row r="120" spans="1:29" s="279" customFormat="1" ht="24.95" customHeight="1">
      <c r="A120" s="279" t="str">
        <f>IF(J120&gt;='116目標底稿SUMMARY'!$E$3,"TYPE_1",IF(J120&gt;='116目標底稿SUMMARY'!$E$4,"TYPE_2",IF(J120&gt;='116目標底稿SUMMARY'!$E$5,"TYPE_3","TYPE_4")))</f>
        <v>TYPE_4</v>
      </c>
      <c r="B120" s="272">
        <v>113</v>
      </c>
      <c r="C120" s="271" t="s">
        <v>33</v>
      </c>
      <c r="D120" s="272">
        <v>321</v>
      </c>
      <c r="E120" s="273" t="s">
        <v>184</v>
      </c>
      <c r="F120" s="272">
        <f>IF(ISERROR(VLOOKUP(D120,'115分組'!A:D,4,0)), "未分", VLOOKUP(D120,'115分組'!A:D,4,0))</f>
        <v>2</v>
      </c>
      <c r="G120" s="273">
        <f>ROUND(VLOOKUP(D120,'115_分行業績'!A:J,8,0), 0)</f>
        <v>48196053</v>
      </c>
      <c r="H120" s="274">
        <f>(VLOOKUP(D120, '底稿_前2年手收20%'!A:G,7,0)+VLOOKUP(D120, '底稿_前2年手收20%'!O:U,7,0))/2</f>
        <v>39364285.195</v>
      </c>
      <c r="I120" s="273">
        <f>VLOOKUP(D120,'115_分行業績'!A:I,9,0)</f>
        <v>74460000</v>
      </c>
      <c r="J120" s="456">
        <f t="shared" si="13"/>
        <v>0.65</v>
      </c>
      <c r="K120" s="456">
        <f t="shared" si="14"/>
        <v>0.65</v>
      </c>
      <c r="L120" s="273" t="str">
        <f t="shared" si="15"/>
        <v>未達75%</v>
      </c>
      <c r="M120" s="273" t="str">
        <f t="shared" si="16"/>
        <v>分行目標115%</v>
      </c>
      <c r="N120" s="273">
        <f t="shared" si="17"/>
        <v>85630000</v>
      </c>
      <c r="O120" s="273" t="str">
        <f>VLOOKUP(A120,'116目標底稿SUMMARY'!A:B,2,0)</f>
        <v>未達80%</v>
      </c>
      <c r="P120" s="273" t="str">
        <f>VLOOKUP(A120,'116目標底稿SUMMARY'!A:D,4,0)</f>
        <v>分行目標*80%*120%</v>
      </c>
      <c r="Q120" s="273">
        <f>ROUND(IF(A120 = "TYPE_1", I120*'116目標底稿SUMMARY'!$F$3*'116目標底稿SUMMARY'!$G$3, IF(A120 = "TYPE_2", G120*'116目標底稿SUMMARY'!$F$4, IF(A120 = "TYPE_3", G120*'116目標底稿SUMMARY'!$F$5, '116目標底稿ver1'!I120*'116目標底稿SUMMARY'!$F$6*'116目標底稿SUMMARY'!$G$6))), -4)</f>
        <v>71480000</v>
      </c>
      <c r="R120" s="452">
        <f t="shared" si="18"/>
        <v>-14150000</v>
      </c>
      <c r="S120" s="274">
        <f>VLOOKUP(D120,'116指標1_前2年手收20%'!A:M,13,0)</f>
        <v>456288</v>
      </c>
      <c r="T120" s="274">
        <f>VLOOKUP(D120,'116指標2_存款25%'!A:F,6,0)</f>
        <v>576422</v>
      </c>
      <c r="U120" s="274">
        <f>VLOOKUP(D120,'116指標6_理財AUM25%'!A:F,6,0)</f>
        <v>616844</v>
      </c>
      <c r="V120" s="274">
        <f>VLOOKUP(D120,'116指標4_114分行人數25%'!A:Q,17,0)</f>
        <v>557370</v>
      </c>
      <c r="W120" s="274">
        <f>VLOOKUP(F120,'115分組'!D:F,3,0)</f>
        <v>170000</v>
      </c>
      <c r="X120" s="274"/>
      <c r="Y120" s="275">
        <f t="shared" si="12"/>
        <v>2380000</v>
      </c>
      <c r="Z120" s="451">
        <f t="shared" si="19"/>
        <v>73860000</v>
      </c>
      <c r="AA120" s="276">
        <f t="shared" si="20"/>
        <v>0.53249063777069039</v>
      </c>
      <c r="AB120" s="276">
        <f t="shared" si="21"/>
        <v>-8.058017727639033E-3</v>
      </c>
      <c r="AC120" s="277">
        <f t="shared" si="22"/>
        <v>40623000</v>
      </c>
    </row>
    <row r="121" spans="1:29" s="279" customFormat="1" ht="24.95" customHeight="1">
      <c r="A121" s="279" t="str">
        <f>IF(J121&gt;='116目標底稿SUMMARY'!$E$3,"TYPE_1",IF(J121&gt;='116目標底稿SUMMARY'!$E$4,"TYPE_2",IF(J121&gt;='116目標底稿SUMMARY'!$E$5,"TYPE_3","TYPE_4")))</f>
        <v>TYPE_3</v>
      </c>
      <c r="B121" s="272">
        <v>114</v>
      </c>
      <c r="C121" s="271" t="s">
        <v>33</v>
      </c>
      <c r="D121" s="272">
        <v>322</v>
      </c>
      <c r="E121" s="273" t="s">
        <v>34</v>
      </c>
      <c r="F121" s="272">
        <f>IF(ISERROR(VLOOKUP(D121,'115分組'!A:D,4,0)), "未分", VLOOKUP(D121,'115分組'!A:D,4,0))</f>
        <v>6</v>
      </c>
      <c r="G121" s="273">
        <f>ROUND(VLOOKUP(D121,'115_分行業績'!A:J,8,0), 0)</f>
        <v>41210713</v>
      </c>
      <c r="H121" s="274">
        <f>(VLOOKUP(D121, '底稿_前2年手收20%'!A:G,7,0)+VLOOKUP(D121, '底稿_前2年手收20%'!O:U,7,0))/2</f>
        <v>31867916.029999997</v>
      </c>
      <c r="I121" s="273">
        <f>VLOOKUP(D121,'115_分行業績'!A:I,9,0)</f>
        <v>45430000</v>
      </c>
      <c r="J121" s="456">
        <f t="shared" si="13"/>
        <v>0.91</v>
      </c>
      <c r="K121" s="456">
        <f t="shared" si="14"/>
        <v>0.93</v>
      </c>
      <c r="L121" s="273" t="str">
        <f t="shared" si="15"/>
        <v>90%以上、未達100%</v>
      </c>
      <c r="M121" s="273" t="str">
        <f t="shared" si="16"/>
        <v>分行目標105%</v>
      </c>
      <c r="N121" s="273">
        <f t="shared" si="17"/>
        <v>47700000</v>
      </c>
      <c r="O121" s="273" t="str">
        <f>VLOOKUP(A121,'116目標底稿SUMMARY'!A:B,2,0)</f>
        <v>80%以上，未達100%</v>
      </c>
      <c r="P121" s="273" t="str">
        <f>VLOOKUP(A121,'116目標底稿SUMMARY'!A:D,4,0)</f>
        <v>預估實績*105%</v>
      </c>
      <c r="Q121" s="273">
        <f>ROUND(IF(A121 = "TYPE_1", I121*'116目標底稿SUMMARY'!$F$3*'116目標底稿SUMMARY'!$G$3, IF(A121 = "TYPE_2", G121*'116目標底稿SUMMARY'!$F$4, IF(A121 = "TYPE_3", G121*'116目標底稿SUMMARY'!$F$5, '116目標底稿ver1'!I121*'116目標底稿SUMMARY'!$F$6*'116目標底稿SUMMARY'!$G$6))), -4)</f>
        <v>42450000</v>
      </c>
      <c r="R121" s="452">
        <f t="shared" si="18"/>
        <v>-5250000</v>
      </c>
      <c r="S121" s="274">
        <f>VLOOKUP(D121,'116指標1_前2年手收20%'!A:M,13,0)</f>
        <v>361917</v>
      </c>
      <c r="T121" s="274">
        <f>VLOOKUP(D121,'116指標2_存款25%'!A:F,6,0)</f>
        <v>331054</v>
      </c>
      <c r="U121" s="274">
        <f>VLOOKUP(D121,'116指標6_理財AUM25%'!A:F,6,0)</f>
        <v>453321</v>
      </c>
      <c r="V121" s="274">
        <f>VLOOKUP(D121,'116指標4_114分行人數25%'!A:Q,17,0)</f>
        <v>457839</v>
      </c>
      <c r="W121" s="274">
        <f>VLOOKUP(F121,'115分組'!D:F,3,0)</f>
        <v>80000</v>
      </c>
      <c r="X121" s="274"/>
      <c r="Y121" s="275">
        <f t="shared" si="12"/>
        <v>1680000</v>
      </c>
      <c r="Z121" s="451">
        <f t="shared" si="19"/>
        <v>44130000</v>
      </c>
      <c r="AA121" s="276">
        <f t="shared" si="20"/>
        <v>7.0838060967302274E-2</v>
      </c>
      <c r="AB121" s="276">
        <f t="shared" si="21"/>
        <v>-2.8615452344265879E-2</v>
      </c>
      <c r="AC121" s="277">
        <f t="shared" si="22"/>
        <v>24271500.000000004</v>
      </c>
    </row>
    <row r="122" spans="1:29" s="279" customFormat="1" ht="24.95" customHeight="1">
      <c r="A122" s="279" t="str">
        <f>IF(J122&gt;='116目標底稿SUMMARY'!$E$3,"TYPE_1",IF(J122&gt;='116目標底稿SUMMARY'!$E$4,"TYPE_2",IF(J122&gt;='116目標底稿SUMMARY'!$E$5,"TYPE_3","TYPE_4")))</f>
        <v>TYPE_2</v>
      </c>
      <c r="B122" s="272">
        <v>115</v>
      </c>
      <c r="C122" s="271" t="s">
        <v>11</v>
      </c>
      <c r="D122" s="272">
        <v>323</v>
      </c>
      <c r="E122" s="273" t="s">
        <v>185</v>
      </c>
      <c r="F122" s="272">
        <f>IF(ISERROR(VLOOKUP(D122,'115分組'!A:D,4,0)), "未分", VLOOKUP(D122,'115分組'!A:D,4,0))</f>
        <v>4</v>
      </c>
      <c r="G122" s="273">
        <f>ROUND(VLOOKUP(D122,'115_分行業績'!A:J,8,0), 0)</f>
        <v>49260989</v>
      </c>
      <c r="H122" s="274">
        <f>(VLOOKUP(D122, '底稿_前2年手收20%'!A:G,7,0)+VLOOKUP(D122, '底稿_前2年手收20%'!O:U,7,0))/2</f>
        <v>30464713.899999999</v>
      </c>
      <c r="I122" s="273">
        <f>VLOOKUP(D122,'115_分行業績'!A:I,9,0)</f>
        <v>47540000</v>
      </c>
      <c r="J122" s="456">
        <f t="shared" si="13"/>
        <v>1.04</v>
      </c>
      <c r="K122" s="456">
        <f t="shared" si="14"/>
        <v>0.95</v>
      </c>
      <c r="L122" s="273" t="str">
        <f t="shared" si="15"/>
        <v>100%以上、未達110%</v>
      </c>
      <c r="M122" s="273" t="str">
        <f t="shared" si="16"/>
        <v>預估實績105%</v>
      </c>
      <c r="N122" s="273">
        <f t="shared" si="17"/>
        <v>51720000</v>
      </c>
      <c r="O122" s="273" t="str">
        <f>VLOOKUP(A122,'116目標底稿SUMMARY'!A:B,2,0)</f>
        <v>100%以上，未達120%</v>
      </c>
      <c r="P122" s="273" t="str">
        <f>VLOOKUP(A122,'116目標底稿SUMMARY'!A:D,4,0)</f>
        <v>預估實績*103%</v>
      </c>
      <c r="Q122" s="273">
        <f>ROUND(IF(A122 = "TYPE_1", I122*'116目標底稿SUMMARY'!$F$3*'116目標底稿SUMMARY'!$G$3, IF(A122 = "TYPE_2", G122*'116目標底稿SUMMARY'!$F$4, IF(A122 = "TYPE_3", G122*'116目標底稿SUMMARY'!$F$5, '116目標底稿ver1'!I122*'116目標底稿SUMMARY'!$F$6*'116目標底稿SUMMARY'!$G$6))), -4)</f>
        <v>49750000</v>
      </c>
      <c r="R122" s="452">
        <f t="shared" si="18"/>
        <v>-1970000</v>
      </c>
      <c r="S122" s="274">
        <f>VLOOKUP(D122,'116指標1_前2年手收20%'!A:M,13,0)</f>
        <v>324862</v>
      </c>
      <c r="T122" s="274">
        <f>VLOOKUP(D122,'116指標2_存款25%'!A:F,6,0)</f>
        <v>452287</v>
      </c>
      <c r="U122" s="274">
        <f>VLOOKUP(D122,'116指標6_理財AUM25%'!A:F,6,0)</f>
        <v>391618</v>
      </c>
      <c r="V122" s="274">
        <f>VLOOKUP(D122,'116指標4_114分行人數25%'!A:Q,17,0)</f>
        <v>577276</v>
      </c>
      <c r="W122" s="274">
        <f>VLOOKUP(F122,'115分組'!D:F,3,0)</f>
        <v>130000</v>
      </c>
      <c r="X122" s="274"/>
      <c r="Y122" s="275">
        <f t="shared" si="12"/>
        <v>1880000</v>
      </c>
      <c r="Z122" s="451">
        <f t="shared" si="19"/>
        <v>51630000</v>
      </c>
      <c r="AA122" s="276">
        <f t="shared" si="20"/>
        <v>4.8091015793450653E-2</v>
      </c>
      <c r="AB122" s="276">
        <f t="shared" si="21"/>
        <v>8.6032814472023489E-2</v>
      </c>
      <c r="AC122" s="277">
        <f t="shared" si="22"/>
        <v>28396500.000000004</v>
      </c>
    </row>
    <row r="123" spans="1:29" s="279" customFormat="1" ht="24.95" customHeight="1">
      <c r="A123" s="279" t="str">
        <f>IF(J123&gt;='116目標底稿SUMMARY'!$E$3,"TYPE_1",IF(J123&gt;='116目標底稿SUMMARY'!$E$4,"TYPE_2",IF(J123&gt;='116目標底稿SUMMARY'!$E$5,"TYPE_3","TYPE_4")))</f>
        <v>TYPE_2</v>
      </c>
      <c r="B123" s="272">
        <v>116</v>
      </c>
      <c r="C123" s="271" t="s">
        <v>11</v>
      </c>
      <c r="D123" s="272">
        <v>351</v>
      </c>
      <c r="E123" s="273" t="s">
        <v>100</v>
      </c>
      <c r="F123" s="272">
        <f>IF(ISERROR(VLOOKUP(D123,'115分組'!A:D,4,0)), "未分", VLOOKUP(D123,'115分組'!A:D,4,0))</f>
        <v>8</v>
      </c>
      <c r="G123" s="273">
        <f>ROUND(VLOOKUP(D123,'115_分行業績'!A:J,8,0), 0)</f>
        <v>53651005</v>
      </c>
      <c r="H123" s="274">
        <f>(VLOOKUP(D123, '底稿_前2年手收20%'!A:G,7,0)+VLOOKUP(D123, '底稿_前2年手收20%'!O:U,7,0))/2</f>
        <v>35127250.579999998</v>
      </c>
      <c r="I123" s="273">
        <f>VLOOKUP(D123,'115_分行業績'!A:I,9,0)</f>
        <v>47590000</v>
      </c>
      <c r="J123" s="456">
        <f t="shared" si="13"/>
        <v>1.1299999999999999</v>
      </c>
      <c r="K123" s="456">
        <f t="shared" si="14"/>
        <v>0.96</v>
      </c>
      <c r="L123" s="273" t="str">
        <f t="shared" si="15"/>
        <v>110%以上、未達120%</v>
      </c>
      <c r="M123" s="273" t="str">
        <f t="shared" si="16"/>
        <v>預估實績*103%</v>
      </c>
      <c r="N123" s="273">
        <f t="shared" si="17"/>
        <v>55260000</v>
      </c>
      <c r="O123" s="273" t="str">
        <f>VLOOKUP(A123,'116目標底稿SUMMARY'!A:B,2,0)</f>
        <v>100%以上，未達120%</v>
      </c>
      <c r="P123" s="273" t="str">
        <f>VLOOKUP(A123,'116目標底稿SUMMARY'!A:D,4,0)</f>
        <v>預估實績*103%</v>
      </c>
      <c r="Q123" s="273">
        <f>ROUND(IF(A123 = "TYPE_1", I123*'116目標底稿SUMMARY'!$F$3*'116目標底稿SUMMARY'!$G$3, IF(A123 = "TYPE_2", G123*'116目標底稿SUMMARY'!$F$4, IF(A123 = "TYPE_3", G123*'116目標底稿SUMMARY'!$F$5, '116目標底稿ver1'!I123*'116目標底稿SUMMARY'!$F$6*'116目標底稿SUMMARY'!$G$6))), -4)</f>
        <v>54190000</v>
      </c>
      <c r="R123" s="452">
        <f t="shared" si="18"/>
        <v>-1070000</v>
      </c>
      <c r="S123" s="274">
        <f>VLOOKUP(D123,'116指標1_前2年手收20%'!A:M,13,0)</f>
        <v>350375</v>
      </c>
      <c r="T123" s="274">
        <f>VLOOKUP(D123,'116指標2_存款25%'!A:F,6,0)</f>
        <v>411797</v>
      </c>
      <c r="U123" s="274">
        <f>VLOOKUP(D123,'116指標6_理財AUM25%'!A:F,6,0)</f>
        <v>436692</v>
      </c>
      <c r="V123" s="274">
        <f>VLOOKUP(D123,'116指標4_114分行人數25%'!A:Q,17,0)</f>
        <v>437933</v>
      </c>
      <c r="W123" s="274">
        <f>VLOOKUP(F123,'115分組'!D:F,3,0)</f>
        <v>40000</v>
      </c>
      <c r="X123" s="274"/>
      <c r="Y123" s="275">
        <f t="shared" si="12"/>
        <v>1680000</v>
      </c>
      <c r="Z123" s="451">
        <f t="shared" si="19"/>
        <v>55870000</v>
      </c>
      <c r="AA123" s="276">
        <f t="shared" si="20"/>
        <v>4.1359803045627919E-2</v>
      </c>
      <c r="AB123" s="276">
        <f t="shared" si="21"/>
        <v>0.17398613154023956</v>
      </c>
      <c r="AC123" s="277">
        <f t="shared" si="22"/>
        <v>30728500.000000004</v>
      </c>
    </row>
    <row r="124" spans="1:29" s="279" customFormat="1" ht="24.95" customHeight="1">
      <c r="A124" s="279" t="str">
        <f>IF(J124&gt;='116目標底稿SUMMARY'!$E$3,"TYPE_1",IF(J124&gt;='116目標底稿SUMMARY'!$E$4,"TYPE_2",IF(J124&gt;='116目標底稿SUMMARY'!$E$5,"TYPE_3","TYPE_4")))</f>
        <v>TYPE_3</v>
      </c>
      <c r="B124" s="272">
        <v>117</v>
      </c>
      <c r="C124" s="271" t="s">
        <v>33</v>
      </c>
      <c r="D124" s="272">
        <v>400</v>
      </c>
      <c r="E124" s="273" t="s">
        <v>35</v>
      </c>
      <c r="F124" s="272">
        <f>IF(ISERROR(VLOOKUP(D124,'115分組'!A:D,4,0)), "未分", VLOOKUP(D124,'115分組'!A:D,4,0))</f>
        <v>2</v>
      </c>
      <c r="G124" s="273">
        <f>ROUND(VLOOKUP(D124,'115_分行業績'!A:J,8,0), 0)</f>
        <v>96687862</v>
      </c>
      <c r="H124" s="274">
        <f>(VLOOKUP(D124, '底稿_前2年手收20%'!A:G,7,0)+VLOOKUP(D124, '底稿_前2年手收20%'!O:U,7,0))/2</f>
        <v>77700590.180000007</v>
      </c>
      <c r="I124" s="273">
        <f>VLOOKUP(D124,'115_分行業績'!A:I,9,0)</f>
        <v>101620000</v>
      </c>
      <c r="J124" s="456">
        <f t="shared" si="13"/>
        <v>0.95</v>
      </c>
      <c r="K124" s="456">
        <f t="shared" si="14"/>
        <v>0.94</v>
      </c>
      <c r="L124" s="273" t="str">
        <f t="shared" si="15"/>
        <v>90%以上、未達100%</v>
      </c>
      <c r="M124" s="273" t="str">
        <f t="shared" si="16"/>
        <v>分行目標105%</v>
      </c>
      <c r="N124" s="273">
        <f t="shared" si="17"/>
        <v>106700000</v>
      </c>
      <c r="O124" s="273" t="str">
        <f>VLOOKUP(A124,'116目標底稿SUMMARY'!A:B,2,0)</f>
        <v>80%以上，未達100%</v>
      </c>
      <c r="P124" s="273" t="str">
        <f>VLOOKUP(A124,'116目標底稿SUMMARY'!A:D,4,0)</f>
        <v>預估實績*105%</v>
      </c>
      <c r="Q124" s="273">
        <f>ROUND(IF(A124 = "TYPE_1", I124*'116目標底稿SUMMARY'!$F$3*'116目標底稿SUMMARY'!$G$3, IF(A124 = "TYPE_2", G124*'116目標底稿SUMMARY'!$F$4, IF(A124 = "TYPE_3", G124*'116目標底稿SUMMARY'!$F$5, '116目標底稿ver1'!I124*'116目標底稿SUMMARY'!$F$6*'116目標底稿SUMMARY'!$G$6))), -4)</f>
        <v>99590000</v>
      </c>
      <c r="R124" s="452">
        <f t="shared" si="18"/>
        <v>-7110000</v>
      </c>
      <c r="S124" s="274">
        <f>VLOOKUP(D124,'116指標1_前2年手收20%'!A:M,13,0)</f>
        <v>793101</v>
      </c>
      <c r="T124" s="274">
        <f>VLOOKUP(D124,'116指標2_存款25%'!A:F,6,0)</f>
        <v>745537</v>
      </c>
      <c r="U124" s="274">
        <f>VLOOKUP(D124,'116指標6_理財AUM25%'!A:F,6,0)</f>
        <v>900304</v>
      </c>
      <c r="V124" s="274">
        <f>VLOOKUP(D124,'116指標4_114分行人數25%'!A:Q,17,0)</f>
        <v>791377</v>
      </c>
      <c r="W124" s="274">
        <f>VLOOKUP(F124,'115分組'!D:F,3,0)</f>
        <v>170000</v>
      </c>
      <c r="X124" s="274"/>
      <c r="Y124" s="275">
        <f t="shared" si="12"/>
        <v>3400000</v>
      </c>
      <c r="Z124" s="451">
        <f t="shared" si="19"/>
        <v>102990000</v>
      </c>
      <c r="AA124" s="276">
        <f t="shared" si="20"/>
        <v>6.5180239480318702E-2</v>
      </c>
      <c r="AB124" s="276">
        <f t="shared" si="21"/>
        <v>1.3481598110608228E-2</v>
      </c>
      <c r="AC124" s="277">
        <f t="shared" si="22"/>
        <v>56644500.000000007</v>
      </c>
    </row>
    <row r="125" spans="1:29" s="279" customFormat="1" ht="24.95" customHeight="1">
      <c r="A125" s="279" t="str">
        <f>IF(J125&gt;='116目標底稿SUMMARY'!$E$3,"TYPE_1",IF(J125&gt;='116目標底稿SUMMARY'!$E$4,"TYPE_2",IF(J125&gt;='116目標底稿SUMMARY'!$E$5,"TYPE_3","TYPE_4")))</f>
        <v>TYPE_3</v>
      </c>
      <c r="B125" s="272">
        <v>118</v>
      </c>
      <c r="C125" s="271" t="s">
        <v>33</v>
      </c>
      <c r="D125" s="272">
        <v>401</v>
      </c>
      <c r="E125" s="273" t="s">
        <v>36</v>
      </c>
      <c r="F125" s="272">
        <f>IF(ISERROR(VLOOKUP(D125,'115分組'!A:D,4,0)), "未分", VLOOKUP(D125,'115分組'!A:D,4,0))</f>
        <v>7</v>
      </c>
      <c r="G125" s="273">
        <f>ROUND(VLOOKUP(D125,'115_分行業績'!A:J,8,0), 0)</f>
        <v>55405247</v>
      </c>
      <c r="H125" s="274">
        <f>(VLOOKUP(D125, '底稿_前2年手收20%'!A:G,7,0)+VLOOKUP(D125, '底稿_前2年手收20%'!O:U,7,0))/2</f>
        <v>46345589.935000002</v>
      </c>
      <c r="I125" s="273">
        <f>VLOOKUP(D125,'115_分行業績'!A:I,9,0)</f>
        <v>61510000</v>
      </c>
      <c r="J125" s="456">
        <f t="shared" si="13"/>
        <v>0.9</v>
      </c>
      <c r="K125" s="456">
        <f t="shared" si="14"/>
        <v>0.93</v>
      </c>
      <c r="L125" s="273" t="str">
        <f t="shared" si="15"/>
        <v>90%以上、未達100%</v>
      </c>
      <c r="M125" s="273" t="str">
        <f t="shared" si="16"/>
        <v>分行目標105%</v>
      </c>
      <c r="N125" s="273">
        <f t="shared" si="17"/>
        <v>64590000</v>
      </c>
      <c r="O125" s="273" t="str">
        <f>VLOOKUP(A125,'116目標底稿SUMMARY'!A:B,2,0)</f>
        <v>80%以上，未達100%</v>
      </c>
      <c r="P125" s="273" t="str">
        <f>VLOOKUP(A125,'116目標底稿SUMMARY'!A:D,4,0)</f>
        <v>預估實績*105%</v>
      </c>
      <c r="Q125" s="273">
        <f>ROUND(IF(A125 = "TYPE_1", I125*'116目標底稿SUMMARY'!$F$3*'116目標底稿SUMMARY'!$G$3, IF(A125 = "TYPE_2", G125*'116目標底稿SUMMARY'!$F$4, IF(A125 = "TYPE_3", G125*'116目標底稿SUMMARY'!$F$5, '116目標底稿ver1'!I125*'116目標底稿SUMMARY'!$F$6*'116目標底稿SUMMARY'!$G$6))), -4)</f>
        <v>57070000</v>
      </c>
      <c r="R125" s="452">
        <f t="shared" si="18"/>
        <v>-7520000</v>
      </c>
      <c r="S125" s="274">
        <f>VLOOKUP(D125,'116指標1_前2年手收20%'!A:M,13,0)</f>
        <v>510661</v>
      </c>
      <c r="T125" s="274">
        <f>VLOOKUP(D125,'116指標2_存款25%'!A:F,6,0)</f>
        <v>534891</v>
      </c>
      <c r="U125" s="274">
        <f>VLOOKUP(D125,'116指標6_理財AUM25%'!A:F,6,0)</f>
        <v>585195</v>
      </c>
      <c r="V125" s="274">
        <f>VLOOKUP(D125,'116指標4_114分行人數25%'!A:Q,17,0)</f>
        <v>577276</v>
      </c>
      <c r="W125" s="274">
        <f>VLOOKUP(F125,'115分組'!D:F,3,0)</f>
        <v>60000</v>
      </c>
      <c r="X125" s="274"/>
      <c r="Y125" s="275">
        <f t="shared" si="12"/>
        <v>2270000</v>
      </c>
      <c r="Z125" s="451">
        <f t="shared" si="19"/>
        <v>59340000</v>
      </c>
      <c r="AA125" s="276">
        <f t="shared" si="20"/>
        <v>7.1017696212057224E-2</v>
      </c>
      <c r="AB125" s="276">
        <f t="shared" si="21"/>
        <v>-3.527881645260933E-2</v>
      </c>
      <c r="AC125" s="277">
        <f t="shared" si="22"/>
        <v>32637000.000000004</v>
      </c>
    </row>
    <row r="126" spans="1:29" s="279" customFormat="1" ht="26.1" customHeight="1">
      <c r="A126" s="279" t="str">
        <f>IF(J126&gt;='116目標底稿SUMMARY'!$E$3,"TYPE_1",IF(J126&gt;='116目標底稿SUMMARY'!$E$4,"TYPE_2",IF(J126&gt;='116目標底稿SUMMARY'!$E$5,"TYPE_3","TYPE_4")))</f>
        <v>TYPE_1</v>
      </c>
      <c r="B126" s="272">
        <v>119</v>
      </c>
      <c r="C126" s="271" t="s">
        <v>33</v>
      </c>
      <c r="D126" s="272">
        <v>402</v>
      </c>
      <c r="E126" s="273" t="s">
        <v>37</v>
      </c>
      <c r="F126" s="272">
        <f>IF(ISERROR(VLOOKUP(D126,'115分組'!A:D,4,0)), "未分", VLOOKUP(D126,'115分組'!A:D,4,0))</f>
        <v>4</v>
      </c>
      <c r="G126" s="273">
        <f>ROUND(VLOOKUP(D126,'115_分行業績'!A:J,8,0), 0)</f>
        <v>94901026</v>
      </c>
      <c r="H126" s="274">
        <f>(VLOOKUP(D126, '底稿_前2年手收20%'!A:G,7,0)+VLOOKUP(D126, '底稿_前2年手收20%'!O:U,7,0))/2</f>
        <v>57701700.959999993</v>
      </c>
      <c r="I126" s="273">
        <f>VLOOKUP(D126,'115_分行業績'!A:I,9,0)</f>
        <v>76980000</v>
      </c>
      <c r="J126" s="456">
        <f t="shared" si="13"/>
        <v>1.23</v>
      </c>
      <c r="K126" s="456">
        <f t="shared" si="14"/>
        <v>0.99</v>
      </c>
      <c r="L126" s="273" t="str">
        <f t="shared" si="15"/>
        <v>120%以上、未達130%</v>
      </c>
      <c r="M126" s="273" t="str">
        <f t="shared" si="16"/>
        <v>預估實績*101%</v>
      </c>
      <c r="N126" s="273">
        <f t="shared" si="17"/>
        <v>95850000</v>
      </c>
      <c r="O126" s="273" t="str">
        <f>VLOOKUP(A126,'116目標底稿SUMMARY'!A:B,2,0)</f>
        <v>120%以上</v>
      </c>
      <c r="P126" s="273" t="str">
        <f>VLOOKUP(A126,'116目標底稿SUMMARY'!A:D,4,0)</f>
        <v>分行目標*120%*101%</v>
      </c>
      <c r="Q126" s="273">
        <f>ROUND(IF(A126 = "TYPE_1", I126*'116目標底稿SUMMARY'!$F$3*'116目標底稿SUMMARY'!$G$3, IF(A126 = "TYPE_2", G126*'116目標底稿SUMMARY'!$F$4, IF(A126 = "TYPE_3", G126*'116目標底稿SUMMARY'!$F$5, '116目標底稿ver1'!I126*'116目標底稿SUMMARY'!$F$6*'116目標底稿SUMMARY'!$G$6))), -4)</f>
        <v>93300000</v>
      </c>
      <c r="R126" s="452">
        <f t="shared" si="18"/>
        <v>-2550000</v>
      </c>
      <c r="S126" s="274">
        <f>VLOOKUP(D126,'116指標1_前2年手收20%'!A:M,13,0)</f>
        <v>580866</v>
      </c>
      <c r="T126" s="274">
        <f>VLOOKUP(D126,'116指標2_存款25%'!A:F,6,0)</f>
        <v>706800</v>
      </c>
      <c r="U126" s="274">
        <f>VLOOKUP(D126,'116指標6_理財AUM25%'!A:F,6,0)</f>
        <v>604986</v>
      </c>
      <c r="V126" s="274">
        <f>VLOOKUP(D126,'116指標4_114分行人數25%'!A:Q,17,0)</f>
        <v>636994</v>
      </c>
      <c r="W126" s="274">
        <f>VLOOKUP(F126,'115分組'!D:F,3,0)</f>
        <v>130000</v>
      </c>
      <c r="X126" s="274"/>
      <c r="Y126" s="275">
        <f t="shared" si="12"/>
        <v>2660000</v>
      </c>
      <c r="Z126" s="451">
        <f t="shared" si="19"/>
        <v>95960000</v>
      </c>
      <c r="AA126" s="276">
        <f t="shared" si="20"/>
        <v>1.1158720243972908E-2</v>
      </c>
      <c r="AB126" s="276">
        <f t="shared" si="21"/>
        <v>0.24655754741491287</v>
      </c>
      <c r="AC126" s="277">
        <f t="shared" si="22"/>
        <v>52778000.000000007</v>
      </c>
    </row>
    <row r="127" spans="1:29" s="279" customFormat="1" ht="24.95" customHeight="1">
      <c r="A127" s="279" t="str">
        <f>IF(J127&gt;='116目標底稿SUMMARY'!$E$3,"TYPE_1",IF(J127&gt;='116目標底稿SUMMARY'!$E$4,"TYPE_2",IF(J127&gt;='116目標底稿SUMMARY'!$E$5,"TYPE_3","TYPE_4")))</f>
        <v>TYPE_3</v>
      </c>
      <c r="B127" s="272">
        <v>120</v>
      </c>
      <c r="C127" s="271" t="s">
        <v>33</v>
      </c>
      <c r="D127" s="272">
        <v>403</v>
      </c>
      <c r="E127" s="273" t="s">
        <v>186</v>
      </c>
      <c r="F127" s="272">
        <f>IF(ISERROR(VLOOKUP(D127,'115分組'!A:D,4,0)), "未分", VLOOKUP(D127,'115分組'!A:D,4,0))</f>
        <v>4</v>
      </c>
      <c r="G127" s="273">
        <f>ROUND(VLOOKUP(D127,'115_分行業績'!A:J,8,0), 0)</f>
        <v>68713873</v>
      </c>
      <c r="H127" s="274">
        <f>(VLOOKUP(D127, '底稿_前2年手收20%'!A:G,7,0)+VLOOKUP(D127, '底稿_前2年手收20%'!O:U,7,0))/2</f>
        <v>59140472.805</v>
      </c>
      <c r="I127" s="273">
        <f>VLOOKUP(D127,'115_分行業績'!A:I,9,0)</f>
        <v>71900000</v>
      </c>
      <c r="J127" s="456">
        <f t="shared" si="13"/>
        <v>0.96</v>
      </c>
      <c r="K127" s="456">
        <f t="shared" si="14"/>
        <v>0.94</v>
      </c>
      <c r="L127" s="273" t="str">
        <f t="shared" si="15"/>
        <v>90%以上、未達100%</v>
      </c>
      <c r="M127" s="273" t="str">
        <f t="shared" si="16"/>
        <v>分行目標105%</v>
      </c>
      <c r="N127" s="273">
        <f t="shared" si="17"/>
        <v>75500000</v>
      </c>
      <c r="O127" s="273" t="str">
        <f>VLOOKUP(A127,'116目標底稿SUMMARY'!A:B,2,0)</f>
        <v>80%以上，未達100%</v>
      </c>
      <c r="P127" s="273" t="str">
        <f>VLOOKUP(A127,'116目標底稿SUMMARY'!A:D,4,0)</f>
        <v>預估實績*105%</v>
      </c>
      <c r="Q127" s="273">
        <f>ROUND(IF(A127 = "TYPE_1", I127*'116目標底稿SUMMARY'!$F$3*'116目標底稿SUMMARY'!$G$3, IF(A127 = "TYPE_2", G127*'116目標底稿SUMMARY'!$F$4, IF(A127 = "TYPE_3", G127*'116目標底稿SUMMARY'!$F$5, '116目標底稿ver1'!I127*'116目標底稿SUMMARY'!$F$6*'116目標底稿SUMMARY'!$G$6))), -4)</f>
        <v>70780000</v>
      </c>
      <c r="R127" s="452">
        <f t="shared" si="18"/>
        <v>-4720000</v>
      </c>
      <c r="S127" s="274">
        <f>VLOOKUP(D127,'116指標1_前2年手收20%'!A:M,13,0)</f>
        <v>567011</v>
      </c>
      <c r="T127" s="274">
        <f>VLOOKUP(D127,'116指標2_存款25%'!A:F,6,0)</f>
        <v>475817</v>
      </c>
      <c r="U127" s="274">
        <f>VLOOKUP(D127,'116指標6_理財AUM25%'!A:F,6,0)</f>
        <v>677538</v>
      </c>
      <c r="V127" s="274">
        <f>VLOOKUP(D127,'116指標4_114分行人數25%'!A:Q,17,0)</f>
        <v>617088</v>
      </c>
      <c r="W127" s="274">
        <f>VLOOKUP(F127,'115分組'!D:F,3,0)</f>
        <v>130000</v>
      </c>
      <c r="X127" s="274"/>
      <c r="Y127" s="275">
        <f t="shared" si="12"/>
        <v>2470000</v>
      </c>
      <c r="Z127" s="451">
        <f t="shared" si="19"/>
        <v>73250000</v>
      </c>
      <c r="AA127" s="276">
        <f t="shared" si="20"/>
        <v>6.6014718745369017E-2</v>
      </c>
      <c r="AB127" s="276">
        <f t="shared" si="21"/>
        <v>1.8776077885952702E-2</v>
      </c>
      <c r="AC127" s="277">
        <f t="shared" si="22"/>
        <v>40287500</v>
      </c>
    </row>
    <row r="128" spans="1:29" s="279" customFormat="1" ht="24.95" customHeight="1">
      <c r="A128" s="279" t="str">
        <f>IF(J128&gt;='116目標底稿SUMMARY'!$E$3,"TYPE_1",IF(J128&gt;='116目標底稿SUMMARY'!$E$4,"TYPE_2",IF(J128&gt;='116目標底稿SUMMARY'!$E$5,"TYPE_3","TYPE_4")))</f>
        <v>TYPE_2</v>
      </c>
      <c r="B128" s="272">
        <v>121</v>
      </c>
      <c r="C128" s="271" t="s">
        <v>33</v>
      </c>
      <c r="D128" s="272">
        <v>420</v>
      </c>
      <c r="E128" s="273" t="s">
        <v>38</v>
      </c>
      <c r="F128" s="272">
        <f>IF(ISERROR(VLOOKUP(D128,'115分組'!A:D,4,0)), "未分", VLOOKUP(D128,'115分組'!A:D,4,0))</f>
        <v>1</v>
      </c>
      <c r="G128" s="273">
        <f>ROUND(VLOOKUP(D128,'115_分行業績'!A:J,8,0), 0)</f>
        <v>136975246</v>
      </c>
      <c r="H128" s="274">
        <f>(VLOOKUP(D128, '底稿_前2年手收20%'!A:G,7,0)+VLOOKUP(D128, '底稿_前2年手收20%'!O:U,7,0))/2</f>
        <v>86068938.935000002</v>
      </c>
      <c r="I128" s="273">
        <f>VLOOKUP(D128,'115_分行業績'!A:I,9,0)</f>
        <v>121170000</v>
      </c>
      <c r="J128" s="456">
        <f t="shared" si="13"/>
        <v>1.1299999999999999</v>
      </c>
      <c r="K128" s="456">
        <f t="shared" si="14"/>
        <v>0.96</v>
      </c>
      <c r="L128" s="273" t="str">
        <f t="shared" si="15"/>
        <v>110%以上、未達120%</v>
      </c>
      <c r="M128" s="273" t="str">
        <f t="shared" si="16"/>
        <v>預估實績*103%</v>
      </c>
      <c r="N128" s="273">
        <f t="shared" si="17"/>
        <v>141080000</v>
      </c>
      <c r="O128" s="273" t="str">
        <f>VLOOKUP(A128,'116目標底稿SUMMARY'!A:B,2,0)</f>
        <v>100%以上，未達120%</v>
      </c>
      <c r="P128" s="273" t="str">
        <f>VLOOKUP(A128,'116目標底稿SUMMARY'!A:D,4,0)</f>
        <v>預估實績*103%</v>
      </c>
      <c r="Q128" s="273">
        <f>ROUND(IF(A128 = "TYPE_1", I128*'116目標底稿SUMMARY'!$F$3*'116目標底稿SUMMARY'!$G$3, IF(A128 = "TYPE_2", G128*'116目標底稿SUMMARY'!$F$4, IF(A128 = "TYPE_3", G128*'116目標底稿SUMMARY'!$F$5, '116目標底稿ver1'!I128*'116目標底稿SUMMARY'!$F$6*'116目標底稿SUMMARY'!$G$6))), -4)</f>
        <v>138340000</v>
      </c>
      <c r="R128" s="452">
        <f t="shared" si="18"/>
        <v>-2740000</v>
      </c>
      <c r="S128" s="274">
        <f>VLOOKUP(D128,'116指標1_前2年手收20%'!A:M,13,0)</f>
        <v>997606</v>
      </c>
      <c r="T128" s="274">
        <f>VLOOKUP(D128,'116指標2_存款25%'!A:F,6,0)</f>
        <v>1320988</v>
      </c>
      <c r="U128" s="274">
        <f>VLOOKUP(D128,'116指標6_理財AUM25%'!A:F,6,0)</f>
        <v>1242423</v>
      </c>
      <c r="V128" s="274">
        <f>VLOOKUP(D128,'116指標4_114分行人數25%'!A:Q,17,0)</f>
        <v>847904</v>
      </c>
      <c r="W128" s="274">
        <f>VLOOKUP(F128,'115分組'!D:F,3,0)</f>
        <v>190000</v>
      </c>
      <c r="X128" s="274"/>
      <c r="Y128" s="275">
        <f t="shared" si="12"/>
        <v>4600000</v>
      </c>
      <c r="Z128" s="451">
        <f t="shared" si="19"/>
        <v>142940000</v>
      </c>
      <c r="AA128" s="276">
        <f t="shared" si="20"/>
        <v>4.354621856273222E-2</v>
      </c>
      <c r="AB128" s="276">
        <f t="shared" si="21"/>
        <v>0.1796649335644136</v>
      </c>
      <c r="AC128" s="277">
        <f t="shared" si="22"/>
        <v>78617000</v>
      </c>
    </row>
    <row r="129" spans="1:29" s="279" customFormat="1" ht="24.95" customHeight="1">
      <c r="A129" s="279" t="str">
        <f>IF(J129&gt;='116目標底稿SUMMARY'!$E$3,"TYPE_1",IF(J129&gt;='116目標底稿SUMMARY'!$E$4,"TYPE_2",IF(J129&gt;='116目標底稿SUMMARY'!$E$5,"TYPE_3","TYPE_4")))</f>
        <v>TYPE_1</v>
      </c>
      <c r="B129" s="272">
        <v>122</v>
      </c>
      <c r="C129" s="271" t="s">
        <v>33</v>
      </c>
      <c r="D129" s="272">
        <v>422</v>
      </c>
      <c r="E129" s="273" t="s">
        <v>101</v>
      </c>
      <c r="F129" s="272">
        <f>IF(ISERROR(VLOOKUP(D129,'115分組'!A:D,4,0)), "未分", VLOOKUP(D129,'115分組'!A:D,4,0))</f>
        <v>6</v>
      </c>
      <c r="G129" s="273">
        <f>ROUND(VLOOKUP(D129,'115_分行業績'!A:J,8,0), 0)</f>
        <v>133722552</v>
      </c>
      <c r="H129" s="274">
        <f>(VLOOKUP(D129, '底稿_前2年手收20%'!A:G,7,0)+VLOOKUP(D129, '底稿_前2年手收20%'!O:U,7,0))/2</f>
        <v>69564606.460000008</v>
      </c>
      <c r="I129" s="273">
        <f>VLOOKUP(D129,'115_分行業績'!A:I,9,0)</f>
        <v>81890000</v>
      </c>
      <c r="J129" s="456">
        <f t="shared" si="13"/>
        <v>1.63</v>
      </c>
      <c r="K129" s="456">
        <f t="shared" si="14"/>
        <v>1.31</v>
      </c>
      <c r="L129" s="273" t="str">
        <f t="shared" si="15"/>
        <v>150%以上、未達200%</v>
      </c>
      <c r="M129" s="273" t="str">
        <f t="shared" si="16"/>
        <v>預估實績*80%</v>
      </c>
      <c r="N129" s="273">
        <f t="shared" si="17"/>
        <v>106980000</v>
      </c>
      <c r="O129" s="273" t="str">
        <f>VLOOKUP(A129,'116目標底稿SUMMARY'!A:B,2,0)</f>
        <v>120%以上</v>
      </c>
      <c r="P129" s="273" t="str">
        <f>VLOOKUP(A129,'116目標底稿SUMMARY'!A:D,4,0)</f>
        <v>分行目標*120%*101%</v>
      </c>
      <c r="Q129" s="273">
        <f>ROUND(IF(A129 = "TYPE_1", I129*'116目標底稿SUMMARY'!$F$3*'116目標底稿SUMMARY'!$G$3, IF(A129 = "TYPE_2", G129*'116目標底稿SUMMARY'!$F$4, IF(A129 = "TYPE_3", G129*'116目標底稿SUMMARY'!$F$5, '116目標底稿ver1'!I129*'116目標底稿SUMMARY'!$F$6*'116目標底稿SUMMARY'!$G$6))), -4)</f>
        <v>99250000</v>
      </c>
      <c r="R129" s="452">
        <f t="shared" si="18"/>
        <v>-7730000</v>
      </c>
      <c r="S129" s="274">
        <f>VLOOKUP(D129,'116指標1_前2年手收20%'!A:M,13,0)</f>
        <v>617081</v>
      </c>
      <c r="T129" s="274">
        <f>VLOOKUP(D129,'116指標2_存款25%'!A:F,6,0)</f>
        <v>381609</v>
      </c>
      <c r="U129" s="274">
        <f>VLOOKUP(D129,'116指標6_理財AUM25%'!A:F,6,0)</f>
        <v>915349</v>
      </c>
      <c r="V129" s="274">
        <f>VLOOKUP(D129,'116指標4_114分行人數25%'!A:Q,17,0)</f>
        <v>577276</v>
      </c>
      <c r="W129" s="274">
        <f>VLOOKUP(F129,'115分組'!D:F,3,0)</f>
        <v>80000</v>
      </c>
      <c r="X129" s="274"/>
      <c r="Y129" s="275">
        <f t="shared" si="12"/>
        <v>2570000</v>
      </c>
      <c r="Z129" s="451">
        <f t="shared" si="19"/>
        <v>101820000</v>
      </c>
      <c r="AA129" s="276">
        <f t="shared" si="20"/>
        <v>-0.23857271285100812</v>
      </c>
      <c r="AB129" s="276">
        <f t="shared" si="21"/>
        <v>0.24337525949444383</v>
      </c>
      <c r="AC129" s="277">
        <f t="shared" si="22"/>
        <v>56001000.000000007</v>
      </c>
    </row>
    <row r="130" spans="1:29" s="279" customFormat="1" ht="24.95" customHeight="1">
      <c r="A130" s="279" t="str">
        <f>IF(J130&gt;='116目標底稿SUMMARY'!$E$3,"TYPE_1",IF(J130&gt;='116目標底稿SUMMARY'!$E$4,"TYPE_2",IF(J130&gt;='116目標底稿SUMMARY'!$E$5,"TYPE_3","TYPE_4")))</f>
        <v>TYPE_2</v>
      </c>
      <c r="B130" s="272">
        <v>123</v>
      </c>
      <c r="C130" s="271" t="s">
        <v>33</v>
      </c>
      <c r="D130" s="272">
        <v>423</v>
      </c>
      <c r="E130" s="273" t="s">
        <v>187</v>
      </c>
      <c r="F130" s="272">
        <f>IF(ISERROR(VLOOKUP(D130,'115分組'!A:D,4,0)), "未分", VLOOKUP(D130,'115分組'!A:D,4,0))</f>
        <v>5</v>
      </c>
      <c r="G130" s="273">
        <f>ROUND(VLOOKUP(D130,'115_分行業績'!A:J,8,0), 0)</f>
        <v>62577903</v>
      </c>
      <c r="H130" s="274">
        <f>(VLOOKUP(D130, '底稿_前2年手收20%'!A:G,7,0)+VLOOKUP(D130, '底稿_前2年手收20%'!O:U,7,0))/2</f>
        <v>44527039.129999995</v>
      </c>
      <c r="I130" s="273">
        <f>VLOOKUP(D130,'115_分行業績'!A:I,9,0)</f>
        <v>60720000</v>
      </c>
      <c r="J130" s="456">
        <f t="shared" si="13"/>
        <v>1.03</v>
      </c>
      <c r="K130" s="456">
        <f t="shared" si="14"/>
        <v>0.96</v>
      </c>
      <c r="L130" s="273" t="str">
        <f t="shared" si="15"/>
        <v>100%以上、未達110%</v>
      </c>
      <c r="M130" s="273" t="str">
        <f t="shared" si="16"/>
        <v>預估實績105%</v>
      </c>
      <c r="N130" s="273">
        <f t="shared" si="17"/>
        <v>65710000</v>
      </c>
      <c r="O130" s="273" t="str">
        <f>VLOOKUP(A130,'116目標底稿SUMMARY'!A:B,2,0)</f>
        <v>100%以上，未達120%</v>
      </c>
      <c r="P130" s="273" t="str">
        <f>VLOOKUP(A130,'116目標底稿SUMMARY'!A:D,4,0)</f>
        <v>預估實績*103%</v>
      </c>
      <c r="Q130" s="273">
        <f>ROUND(IF(A130 = "TYPE_1", I130*'116目標底稿SUMMARY'!$F$3*'116目標底稿SUMMARY'!$G$3, IF(A130 = "TYPE_2", G130*'116目標底稿SUMMARY'!$F$4, IF(A130 = "TYPE_3", G130*'116目標底稿SUMMARY'!$F$5, '116目標底稿ver1'!I130*'116目標底稿SUMMARY'!$F$6*'116目標底稿SUMMARY'!$G$6))), -4)</f>
        <v>63200000</v>
      </c>
      <c r="R130" s="452">
        <f t="shared" si="18"/>
        <v>-2510000</v>
      </c>
      <c r="S130" s="274">
        <f>VLOOKUP(D130,'116指標1_前2年手收20%'!A:M,13,0)</f>
        <v>473768</v>
      </c>
      <c r="T130" s="274">
        <f>VLOOKUP(D130,'116指標2_存款25%'!A:F,6,0)</f>
        <v>531365</v>
      </c>
      <c r="U130" s="274">
        <f>VLOOKUP(D130,'116指標6_理財AUM25%'!A:F,6,0)</f>
        <v>600611</v>
      </c>
      <c r="V130" s="274">
        <f>VLOOKUP(D130,'116指標4_114分行人數25%'!A:Q,17,0)</f>
        <v>577276</v>
      </c>
      <c r="W130" s="274">
        <f>VLOOKUP(F130,'115分組'!D:F,3,0)</f>
        <v>100000</v>
      </c>
      <c r="X130" s="274"/>
      <c r="Y130" s="275">
        <f t="shared" si="12"/>
        <v>2280000</v>
      </c>
      <c r="Z130" s="451">
        <f t="shared" si="19"/>
        <v>65480000</v>
      </c>
      <c r="AA130" s="276">
        <f t="shared" si="20"/>
        <v>4.6375747042849857E-2</v>
      </c>
      <c r="AB130" s="276">
        <f t="shared" si="21"/>
        <v>7.8392621870882806E-2</v>
      </c>
      <c r="AC130" s="277">
        <f t="shared" si="22"/>
        <v>36014000</v>
      </c>
    </row>
    <row r="131" spans="1:29" s="279" customFormat="1" ht="24.95" customHeight="1">
      <c r="A131" s="279" t="str">
        <f>IF(J131&gt;='116目標底稿SUMMARY'!$E$3,"TYPE_1",IF(J131&gt;='116目標底稿SUMMARY'!$E$4,"TYPE_2",IF(J131&gt;='116目標底稿SUMMARY'!$E$5,"TYPE_3","TYPE_4")))</f>
        <v>TYPE_2</v>
      </c>
      <c r="B131" s="272">
        <v>124</v>
      </c>
      <c r="C131" s="271" t="s">
        <v>33</v>
      </c>
      <c r="D131" s="272">
        <v>424</v>
      </c>
      <c r="E131" s="273" t="s">
        <v>188</v>
      </c>
      <c r="F131" s="272">
        <f>IF(ISERROR(VLOOKUP(D131,'115分組'!A:D,4,0)), "未分", VLOOKUP(D131,'115分組'!A:D,4,0))</f>
        <v>1</v>
      </c>
      <c r="G131" s="273">
        <f>ROUND(VLOOKUP(D131,'115_分行業績'!A:J,8,0), 0)</f>
        <v>124347153</v>
      </c>
      <c r="H131" s="274">
        <f>(VLOOKUP(D131, '底稿_前2年手收20%'!A:G,7,0)+VLOOKUP(D131, '底稿_前2年手收20%'!O:U,7,0))/2</f>
        <v>88316215.729999989</v>
      </c>
      <c r="I131" s="273">
        <f>VLOOKUP(D131,'115_分行業績'!A:I,9,0)</f>
        <v>108710000</v>
      </c>
      <c r="J131" s="456">
        <f t="shared" si="13"/>
        <v>1.1399999999999999</v>
      </c>
      <c r="K131" s="456">
        <f t="shared" si="14"/>
        <v>0.96</v>
      </c>
      <c r="L131" s="273" t="str">
        <f t="shared" si="15"/>
        <v>110%以上、未達120%</v>
      </c>
      <c r="M131" s="273" t="str">
        <f t="shared" si="16"/>
        <v>預估實績*103%</v>
      </c>
      <c r="N131" s="273">
        <f t="shared" si="17"/>
        <v>128080000</v>
      </c>
      <c r="O131" s="273" t="str">
        <f>VLOOKUP(A131,'116目標底稿SUMMARY'!A:B,2,0)</f>
        <v>100%以上，未達120%</v>
      </c>
      <c r="P131" s="273" t="str">
        <f>VLOOKUP(A131,'116目標底稿SUMMARY'!A:D,4,0)</f>
        <v>預估實績*103%</v>
      </c>
      <c r="Q131" s="273">
        <f>ROUND(IF(A131 = "TYPE_1", I131*'116目標底稿SUMMARY'!$F$3*'116目標底稿SUMMARY'!$G$3, IF(A131 = "TYPE_2", G131*'116目標底稿SUMMARY'!$F$4, IF(A131 = "TYPE_3", G131*'116目標底稿SUMMARY'!$F$5, '116目標底稿ver1'!I131*'116目標底稿SUMMARY'!$F$6*'116目標底稿SUMMARY'!$G$6))), -4)</f>
        <v>125590000</v>
      </c>
      <c r="R131" s="452">
        <f t="shared" si="18"/>
        <v>-2490000</v>
      </c>
      <c r="S131" s="274">
        <f>VLOOKUP(D131,'116指標1_前2年手收20%'!A:M,13,0)</f>
        <v>757778</v>
      </c>
      <c r="T131" s="274">
        <f>VLOOKUP(D131,'116指標2_存款25%'!A:F,6,0)</f>
        <v>759081</v>
      </c>
      <c r="U131" s="274">
        <f>VLOOKUP(D131,'116指標6_理財AUM25%'!A:F,6,0)</f>
        <v>1040678</v>
      </c>
      <c r="V131" s="274">
        <f>VLOOKUP(D131,'116指標4_114分行人數25%'!A:Q,17,0)</f>
        <v>756430</v>
      </c>
      <c r="W131" s="274">
        <f>VLOOKUP(F131,'115分組'!D:F,3,0)</f>
        <v>190000</v>
      </c>
      <c r="X131" s="274"/>
      <c r="Y131" s="275">
        <f t="shared" si="12"/>
        <v>3500000</v>
      </c>
      <c r="Z131" s="451">
        <f t="shared" si="19"/>
        <v>129090000</v>
      </c>
      <c r="AA131" s="276">
        <f t="shared" si="20"/>
        <v>3.8141983033580296E-2</v>
      </c>
      <c r="AB131" s="276">
        <f t="shared" si="21"/>
        <v>0.18747125379449914</v>
      </c>
      <c r="AC131" s="277">
        <f t="shared" si="22"/>
        <v>70999500</v>
      </c>
    </row>
    <row r="132" spans="1:29" s="279" customFormat="1" ht="24.95" customHeight="1">
      <c r="A132" s="279" t="str">
        <f>IF(J132&gt;='116目標底稿SUMMARY'!$E$3,"TYPE_1",IF(J132&gt;='116目標底稿SUMMARY'!$E$4,"TYPE_2",IF(J132&gt;='116目標底稿SUMMARY'!$E$5,"TYPE_3","TYPE_4")))</f>
        <v>TYPE_3</v>
      </c>
      <c r="B132" s="272">
        <v>125</v>
      </c>
      <c r="C132" s="271" t="s">
        <v>33</v>
      </c>
      <c r="D132" s="272">
        <v>425</v>
      </c>
      <c r="E132" s="273" t="s">
        <v>39</v>
      </c>
      <c r="F132" s="272">
        <f>IF(ISERROR(VLOOKUP(D132,'115分組'!A:D,4,0)), "未分", VLOOKUP(D132,'115分組'!A:D,4,0))</f>
        <v>4</v>
      </c>
      <c r="G132" s="273">
        <f>ROUND(VLOOKUP(D132,'115_分行業績'!A:J,8,0), 0)</f>
        <v>65420728</v>
      </c>
      <c r="H132" s="274">
        <f>(VLOOKUP(D132, '底稿_前2年手收20%'!A:G,7,0)+VLOOKUP(D132, '底稿_前2年手收20%'!O:U,7,0))/2</f>
        <v>65086902.435000002</v>
      </c>
      <c r="I132" s="273">
        <f>VLOOKUP(D132,'115_分行業績'!A:I,9,0)</f>
        <v>81570000</v>
      </c>
      <c r="J132" s="456">
        <f t="shared" si="13"/>
        <v>0.8</v>
      </c>
      <c r="K132" s="456">
        <f t="shared" si="14"/>
        <v>0.93</v>
      </c>
      <c r="L132" s="273" t="str">
        <f t="shared" si="15"/>
        <v>75%以上、未達90%</v>
      </c>
      <c r="M132" s="273" t="str">
        <f t="shared" si="16"/>
        <v>分行目標110%</v>
      </c>
      <c r="N132" s="273">
        <f t="shared" si="17"/>
        <v>89730000</v>
      </c>
      <c r="O132" s="273" t="str">
        <f>VLOOKUP(A132,'116目標底稿SUMMARY'!A:B,2,0)</f>
        <v>80%以上，未達100%</v>
      </c>
      <c r="P132" s="273" t="str">
        <f>VLOOKUP(A132,'116目標底稿SUMMARY'!A:D,4,0)</f>
        <v>預估實績*105%</v>
      </c>
      <c r="Q132" s="273">
        <f>ROUND(IF(A132 = "TYPE_1", I132*'116目標底稿SUMMARY'!$F$3*'116目標底稿SUMMARY'!$G$3, IF(A132 = "TYPE_2", G132*'116目標底稿SUMMARY'!$F$4, IF(A132 = "TYPE_3", G132*'116目標底稿SUMMARY'!$F$5, '116目標底稿ver1'!I132*'116目標底稿SUMMARY'!$F$6*'116目標底稿SUMMARY'!$G$6))), -4)</f>
        <v>67380000</v>
      </c>
      <c r="R132" s="452">
        <f t="shared" si="18"/>
        <v>-22350000</v>
      </c>
      <c r="S132" s="274">
        <f>VLOOKUP(D132,'116指標1_前2年手收20%'!A:M,13,0)</f>
        <v>598206</v>
      </c>
      <c r="T132" s="274">
        <f>VLOOKUP(D132,'116指標2_存款25%'!A:F,6,0)</f>
        <v>644003</v>
      </c>
      <c r="U132" s="274">
        <f>VLOOKUP(D132,'116指標6_理財AUM25%'!A:F,6,0)</f>
        <v>895697</v>
      </c>
      <c r="V132" s="274">
        <f>VLOOKUP(D132,'116指標4_114分行人數25%'!A:Q,17,0)</f>
        <v>636994</v>
      </c>
      <c r="W132" s="274">
        <f>VLOOKUP(F132,'115分組'!D:F,3,0)</f>
        <v>130000</v>
      </c>
      <c r="X132" s="274"/>
      <c r="Y132" s="275">
        <f t="shared" si="12"/>
        <v>2900000</v>
      </c>
      <c r="Z132" s="451">
        <f t="shared" si="19"/>
        <v>70280000</v>
      </c>
      <c r="AA132" s="276">
        <f t="shared" si="20"/>
        <v>7.4277253533467258E-2</v>
      </c>
      <c r="AB132" s="276">
        <f t="shared" si="21"/>
        <v>-0.13840872869927667</v>
      </c>
      <c r="AC132" s="277">
        <f t="shared" si="22"/>
        <v>38654000</v>
      </c>
    </row>
    <row r="133" spans="1:29" s="279" customFormat="1" ht="24.95" customHeight="1">
      <c r="A133" s="279" t="str">
        <f>IF(J133&gt;='116目標底稿SUMMARY'!$E$3,"TYPE_1",IF(J133&gt;='116目標底稿SUMMARY'!$E$4,"TYPE_2",IF(J133&gt;='116目標底稿SUMMARY'!$E$5,"TYPE_3","TYPE_4")))</f>
        <v>TYPE_3</v>
      </c>
      <c r="B133" s="272">
        <v>126</v>
      </c>
      <c r="C133" s="271" t="s">
        <v>33</v>
      </c>
      <c r="D133" s="272">
        <v>426</v>
      </c>
      <c r="E133" s="273" t="s">
        <v>189</v>
      </c>
      <c r="F133" s="272">
        <f>IF(ISERROR(VLOOKUP(D133,'115分組'!A:D,4,0)), "未分", VLOOKUP(D133,'115分組'!A:D,4,0))</f>
        <v>6</v>
      </c>
      <c r="G133" s="273">
        <f>ROUND(VLOOKUP(D133,'115_分行業績'!A:J,8,0), 0)</f>
        <v>52489399</v>
      </c>
      <c r="H133" s="274">
        <f>(VLOOKUP(D133, '底稿_前2年手收20%'!A:G,7,0)+VLOOKUP(D133, '底稿_前2年手收20%'!O:U,7,0))/2</f>
        <v>44882847.474999994</v>
      </c>
      <c r="I133" s="273">
        <f>VLOOKUP(D133,'115_分行業績'!A:I,9,0)</f>
        <v>60460000</v>
      </c>
      <c r="J133" s="456">
        <f t="shared" si="13"/>
        <v>0.87</v>
      </c>
      <c r="K133" s="456">
        <f t="shared" si="14"/>
        <v>0.93</v>
      </c>
      <c r="L133" s="273" t="str">
        <f t="shared" si="15"/>
        <v>75%以上、未達90%</v>
      </c>
      <c r="M133" s="273" t="str">
        <f t="shared" si="16"/>
        <v>分行目標110%</v>
      </c>
      <c r="N133" s="273">
        <f t="shared" si="17"/>
        <v>66510000</v>
      </c>
      <c r="O133" s="273" t="str">
        <f>VLOOKUP(A133,'116目標底稿SUMMARY'!A:B,2,0)</f>
        <v>80%以上，未達100%</v>
      </c>
      <c r="P133" s="273" t="str">
        <f>VLOOKUP(A133,'116目標底稿SUMMARY'!A:D,4,0)</f>
        <v>預估實績*105%</v>
      </c>
      <c r="Q133" s="273">
        <f>ROUND(IF(A133 = "TYPE_1", I133*'116目標底稿SUMMARY'!$F$3*'116目標底稿SUMMARY'!$G$3, IF(A133 = "TYPE_2", G133*'116目標底稿SUMMARY'!$F$4, IF(A133 = "TYPE_3", G133*'116目標底稿SUMMARY'!$F$5, '116目標底稿ver1'!I133*'116目標底稿SUMMARY'!$F$6*'116目標底稿SUMMARY'!$G$6))), -4)</f>
        <v>54060000</v>
      </c>
      <c r="R133" s="452">
        <f t="shared" si="18"/>
        <v>-12450000</v>
      </c>
      <c r="S133" s="274">
        <f>VLOOKUP(D133,'116指標1_前2年手收20%'!A:M,13,0)</f>
        <v>493466</v>
      </c>
      <c r="T133" s="274">
        <f>VLOOKUP(D133,'116指標2_存款25%'!A:F,6,0)</f>
        <v>574250</v>
      </c>
      <c r="U133" s="274">
        <f>VLOOKUP(D133,'116指標6_理財AUM25%'!A:F,6,0)</f>
        <v>605600</v>
      </c>
      <c r="V133" s="274">
        <f>VLOOKUP(D133,'116指標4_114分行人數25%'!A:Q,17,0)</f>
        <v>597182</v>
      </c>
      <c r="W133" s="274">
        <f>VLOOKUP(F133,'115分組'!D:F,3,0)</f>
        <v>80000</v>
      </c>
      <c r="X133" s="274"/>
      <c r="Y133" s="275">
        <f t="shared" si="12"/>
        <v>2350000</v>
      </c>
      <c r="Z133" s="451">
        <f t="shared" si="19"/>
        <v>56410000</v>
      </c>
      <c r="AA133" s="276">
        <f t="shared" si="20"/>
        <v>7.4693196620521318E-2</v>
      </c>
      <c r="AB133" s="276">
        <f t="shared" si="21"/>
        <v>-6.6986437313926617E-2</v>
      </c>
      <c r="AC133" s="277">
        <f t="shared" si="22"/>
        <v>31025500.000000004</v>
      </c>
    </row>
    <row r="134" spans="1:29" s="279" customFormat="1" ht="24.95" customHeight="1">
      <c r="A134" s="279" t="str">
        <f>IF(J134&gt;='116目標底稿SUMMARY'!$E$3,"TYPE_1",IF(J134&gt;='116目標底稿SUMMARY'!$E$4,"TYPE_2",IF(J134&gt;='116目標底稿SUMMARY'!$E$5,"TYPE_3","TYPE_4")))</f>
        <v>TYPE_3</v>
      </c>
      <c r="B134" s="272">
        <v>127</v>
      </c>
      <c r="C134" s="271" t="s">
        <v>33</v>
      </c>
      <c r="D134" s="272">
        <v>427</v>
      </c>
      <c r="E134" s="273" t="s">
        <v>190</v>
      </c>
      <c r="F134" s="272">
        <f>IF(ISERROR(VLOOKUP(D134,'115分組'!A:D,4,0)), "未分", VLOOKUP(D134,'115分組'!A:D,4,0))</f>
        <v>6</v>
      </c>
      <c r="G134" s="273">
        <f>ROUND(VLOOKUP(D134,'115_分行業績'!A:J,8,0), 0)</f>
        <v>65975791</v>
      </c>
      <c r="H134" s="274">
        <f>(VLOOKUP(D134, '底稿_前2年手收20%'!A:G,7,0)+VLOOKUP(D134, '底稿_前2年手收20%'!O:U,7,0))/2</f>
        <v>47861272.055</v>
      </c>
      <c r="I134" s="273">
        <f>VLOOKUP(D134,'115_分行業績'!A:I,9,0)</f>
        <v>68020000</v>
      </c>
      <c r="J134" s="456">
        <f t="shared" si="13"/>
        <v>0.97</v>
      </c>
      <c r="K134" s="456">
        <f t="shared" si="14"/>
        <v>0.94</v>
      </c>
      <c r="L134" s="273" t="str">
        <f t="shared" si="15"/>
        <v>90%以上、未達100%</v>
      </c>
      <c r="M134" s="273" t="str">
        <f t="shared" si="16"/>
        <v>分行目標105%</v>
      </c>
      <c r="N134" s="273">
        <f t="shared" si="17"/>
        <v>71420000</v>
      </c>
      <c r="O134" s="273" t="str">
        <f>VLOOKUP(A134,'116目標底稿SUMMARY'!A:B,2,0)</f>
        <v>80%以上，未達100%</v>
      </c>
      <c r="P134" s="273" t="str">
        <f>VLOOKUP(A134,'116目標底稿SUMMARY'!A:D,4,0)</f>
        <v>預估實績*105%</v>
      </c>
      <c r="Q134" s="273">
        <f>ROUND(IF(A134 = "TYPE_1", I134*'116目標底稿SUMMARY'!$F$3*'116目標底稿SUMMARY'!$G$3, IF(A134 = "TYPE_2", G134*'116目標底稿SUMMARY'!$F$4, IF(A134 = "TYPE_3", G134*'116目標底稿SUMMARY'!$F$5, '116目標底稿ver1'!I134*'116目標底稿SUMMARY'!$F$6*'116目標底稿SUMMARY'!$G$6))), -4)</f>
        <v>67960000</v>
      </c>
      <c r="R134" s="452">
        <f t="shared" si="18"/>
        <v>-3460000</v>
      </c>
      <c r="S134" s="274">
        <f>VLOOKUP(D134,'116指標1_前2年手收20%'!A:M,13,0)</f>
        <v>535729</v>
      </c>
      <c r="T134" s="274">
        <f>VLOOKUP(D134,'116指標2_存款25%'!A:F,6,0)</f>
        <v>668843</v>
      </c>
      <c r="U134" s="274">
        <f>VLOOKUP(D134,'116指標6_理財AUM25%'!A:F,6,0)</f>
        <v>644479</v>
      </c>
      <c r="V134" s="274">
        <f>VLOOKUP(D134,'116指標4_114分行人數25%'!A:Q,17,0)</f>
        <v>597182</v>
      </c>
      <c r="W134" s="274">
        <f>VLOOKUP(F134,'115分組'!D:F,3,0)</f>
        <v>80000</v>
      </c>
      <c r="X134" s="274"/>
      <c r="Y134" s="275">
        <f t="shared" si="12"/>
        <v>2530000</v>
      </c>
      <c r="Z134" s="451">
        <f t="shared" si="19"/>
        <v>70490000</v>
      </c>
      <c r="AA134" s="276">
        <f t="shared" si="20"/>
        <v>6.8422203532201742E-2</v>
      </c>
      <c r="AB134" s="276">
        <f t="shared" si="21"/>
        <v>3.6312849162011274E-2</v>
      </c>
      <c r="AC134" s="277">
        <f t="shared" si="22"/>
        <v>38769500</v>
      </c>
    </row>
    <row r="135" spans="1:29" s="279" customFormat="1" ht="24.95" customHeight="1">
      <c r="A135" s="279" t="str">
        <f>IF(J135&gt;='116目標底稿SUMMARY'!$E$3,"TYPE_1",IF(J135&gt;='116目標底稿SUMMARY'!$E$4,"TYPE_2",IF(J135&gt;='116目標底稿SUMMARY'!$E$5,"TYPE_3","TYPE_4")))</f>
        <v>TYPE_1</v>
      </c>
      <c r="B135" s="272">
        <v>128</v>
      </c>
      <c r="C135" s="271" t="s">
        <v>33</v>
      </c>
      <c r="D135" s="272">
        <v>429</v>
      </c>
      <c r="E135" s="273" t="s">
        <v>191</v>
      </c>
      <c r="F135" s="272">
        <f>IF(ISERROR(VLOOKUP(D135,'115分組'!A:D,4,0)), "未分", VLOOKUP(D135,'115分組'!A:D,4,0))</f>
        <v>7</v>
      </c>
      <c r="G135" s="273">
        <f>ROUND(VLOOKUP(D135,'115_分行業績'!A:J,8,0), 0)</f>
        <v>68618259</v>
      </c>
      <c r="H135" s="274">
        <f>(VLOOKUP(D135, '底稿_前2年手收20%'!A:G,7,0)+VLOOKUP(D135, '底稿_前2年手收20%'!O:U,7,0))/2</f>
        <v>40871823.164999999</v>
      </c>
      <c r="I135" s="273">
        <f>VLOOKUP(D135,'115_分行業績'!A:I,9,0)</f>
        <v>53410000</v>
      </c>
      <c r="J135" s="456">
        <f t="shared" si="13"/>
        <v>1.28</v>
      </c>
      <c r="K135" s="456">
        <f t="shared" si="14"/>
        <v>1.03</v>
      </c>
      <c r="L135" s="273" t="str">
        <f t="shared" si="15"/>
        <v>120%以上、未達130%</v>
      </c>
      <c r="M135" s="273" t="str">
        <f t="shared" si="16"/>
        <v>預估實績*101%</v>
      </c>
      <c r="N135" s="273">
        <f t="shared" si="17"/>
        <v>69300000</v>
      </c>
      <c r="O135" s="273" t="str">
        <f>VLOOKUP(A135,'116目標底稿SUMMARY'!A:B,2,0)</f>
        <v>120%以上</v>
      </c>
      <c r="P135" s="273" t="str">
        <f>VLOOKUP(A135,'116目標底稿SUMMARY'!A:D,4,0)</f>
        <v>分行目標*120%*101%</v>
      </c>
      <c r="Q135" s="273">
        <f>ROUND(IF(A135 = "TYPE_1", I135*'116目標底稿SUMMARY'!$F$3*'116目標底稿SUMMARY'!$G$3, IF(A135 = "TYPE_2", G135*'116目標底稿SUMMARY'!$F$4, IF(A135 = "TYPE_3", G135*'116目標底稿SUMMARY'!$F$5, '116目標底稿ver1'!I135*'116目標底稿SUMMARY'!$F$6*'116目標底稿SUMMARY'!$G$6))), -4)</f>
        <v>64730000</v>
      </c>
      <c r="R135" s="452">
        <f t="shared" si="18"/>
        <v>-4570000</v>
      </c>
      <c r="S135" s="274">
        <f>VLOOKUP(D135,'116指標1_前2年手收20%'!A:M,13,0)</f>
        <v>400802</v>
      </c>
      <c r="T135" s="274">
        <f>VLOOKUP(D135,'116指標2_存款25%'!A:F,6,0)</f>
        <v>383377</v>
      </c>
      <c r="U135" s="274">
        <f>VLOOKUP(D135,'116指標6_理財AUM25%'!A:F,6,0)</f>
        <v>483297</v>
      </c>
      <c r="V135" s="274">
        <f>VLOOKUP(D135,'116指標4_114分行人數25%'!A:Q,17,0)</f>
        <v>497651</v>
      </c>
      <c r="W135" s="274">
        <f>VLOOKUP(F135,'115分組'!D:F,3,0)</f>
        <v>60000</v>
      </c>
      <c r="X135" s="274"/>
      <c r="Y135" s="275">
        <f t="shared" si="12"/>
        <v>1830000</v>
      </c>
      <c r="Z135" s="451">
        <f t="shared" si="19"/>
        <v>66560000</v>
      </c>
      <c r="AA135" s="276">
        <f t="shared" si="20"/>
        <v>-2.999579164490318E-2</v>
      </c>
      <c r="AB135" s="276">
        <f t="shared" si="21"/>
        <v>0.24620857517318862</v>
      </c>
      <c r="AC135" s="277">
        <f t="shared" si="22"/>
        <v>36608000</v>
      </c>
    </row>
    <row r="136" spans="1:29" s="279" customFormat="1" ht="24.95" customHeight="1">
      <c r="A136" s="279" t="str">
        <f>IF(J136&gt;='116目標底稿SUMMARY'!$E$3,"TYPE_1",IF(J136&gt;='116目標底稿SUMMARY'!$E$4,"TYPE_2",IF(J136&gt;='116目標底稿SUMMARY'!$E$5,"TYPE_3","TYPE_4")))</f>
        <v>TYPE_4</v>
      </c>
      <c r="B136" s="272">
        <v>129</v>
      </c>
      <c r="C136" s="271" t="s">
        <v>33</v>
      </c>
      <c r="D136" s="272">
        <v>430</v>
      </c>
      <c r="E136" s="273" t="s">
        <v>40</v>
      </c>
      <c r="F136" s="272">
        <f>IF(ISERROR(VLOOKUP(D136,'115分組'!A:D,4,0)), "未分", VLOOKUP(D136,'115分組'!A:D,4,0))</f>
        <v>8</v>
      </c>
      <c r="G136" s="273">
        <f>ROUND(VLOOKUP(D136,'115_分行業績'!A:J,8,0), 0)</f>
        <v>33136455</v>
      </c>
      <c r="H136" s="274">
        <f>(VLOOKUP(D136, '底稿_前2年手收20%'!A:G,7,0)+VLOOKUP(D136, '底稿_前2年手收20%'!O:U,7,0))/2</f>
        <v>34014938.625</v>
      </c>
      <c r="I136" s="273">
        <f>VLOOKUP(D136,'115_分行業績'!A:I,9,0)</f>
        <v>45280000</v>
      </c>
      <c r="J136" s="456">
        <f t="shared" ref="J136:J190" si="23">ROUND(G136/I136, 2)</f>
        <v>0.73</v>
      </c>
      <c r="K136" s="456">
        <f t="shared" si="14"/>
        <v>0.73</v>
      </c>
      <c r="L136" s="273" t="str">
        <f t="shared" si="15"/>
        <v>未達75%</v>
      </c>
      <c r="M136" s="273" t="str">
        <f t="shared" si="16"/>
        <v>分行目標115%</v>
      </c>
      <c r="N136" s="273">
        <f t="shared" si="17"/>
        <v>52070000</v>
      </c>
      <c r="O136" s="273" t="str">
        <f>VLOOKUP(A136,'116目標底稿SUMMARY'!A:B,2,0)</f>
        <v>未達80%</v>
      </c>
      <c r="P136" s="273" t="str">
        <f>VLOOKUP(A136,'116目標底稿SUMMARY'!A:D,4,0)</f>
        <v>分行目標*80%*120%</v>
      </c>
      <c r="Q136" s="273">
        <f>ROUND(IF(A136 = "TYPE_1", I136*'116目標底稿SUMMARY'!$F$3*'116目標底稿SUMMARY'!$G$3, IF(A136 = "TYPE_2", G136*'116目標底稿SUMMARY'!$F$4, IF(A136 = "TYPE_3", G136*'116目標底稿SUMMARY'!$F$5, '116目標底稿ver1'!I136*'116目標底稿SUMMARY'!$F$6*'116目標底稿SUMMARY'!$G$6))), -4)</f>
        <v>43470000</v>
      </c>
      <c r="R136" s="452">
        <f t="shared" si="18"/>
        <v>-8600000</v>
      </c>
      <c r="S136" s="274">
        <f>VLOOKUP(D136,'116指標1_前2年手收20%'!A:M,13,0)</f>
        <v>365443</v>
      </c>
      <c r="T136" s="274">
        <f>VLOOKUP(D136,'116指標2_存款25%'!A:F,6,0)</f>
        <v>330639</v>
      </c>
      <c r="U136" s="274">
        <f>VLOOKUP(D136,'116指標6_理財AUM25%'!A:F,6,0)</f>
        <v>462252</v>
      </c>
      <c r="V136" s="274">
        <f>VLOOKUP(D136,'116指標4_114分行人數25%'!A:Q,17,0)</f>
        <v>577276</v>
      </c>
      <c r="W136" s="274">
        <f>VLOOKUP(F136,'115分組'!D:F,3,0)</f>
        <v>40000</v>
      </c>
      <c r="X136" s="274"/>
      <c r="Y136" s="275">
        <f t="shared" ref="Y136:Y190" si="24">ROUND(SUM(S136:W136), -4)+X136</f>
        <v>1780000</v>
      </c>
      <c r="Z136" s="451">
        <f t="shared" si="19"/>
        <v>45250000</v>
      </c>
      <c r="AA136" s="276">
        <f t="shared" si="20"/>
        <v>0.36556550783721442</v>
      </c>
      <c r="AB136" s="276">
        <f t="shared" si="21"/>
        <v>-6.6254416961131213E-4</v>
      </c>
      <c r="AC136" s="277">
        <f t="shared" ref="AC136:AC167" si="25">Z136*0.55</f>
        <v>24887500.000000004</v>
      </c>
    </row>
    <row r="137" spans="1:29" s="279" customFormat="1" ht="24.95" customHeight="1">
      <c r="A137" s="279" t="str">
        <f>IF(J137&gt;='116目標底稿SUMMARY'!$E$3,"TYPE_1",IF(J137&gt;='116目標底稿SUMMARY'!$E$4,"TYPE_2",IF(J137&gt;='116目標底稿SUMMARY'!$E$5,"TYPE_3","TYPE_4")))</f>
        <v>TYPE_2</v>
      </c>
      <c r="B137" s="272">
        <v>130</v>
      </c>
      <c r="C137" s="271" t="s">
        <v>33</v>
      </c>
      <c r="D137" s="272">
        <v>431</v>
      </c>
      <c r="E137" s="273" t="s">
        <v>102</v>
      </c>
      <c r="F137" s="272">
        <f>IF(ISERROR(VLOOKUP(D137,'115分組'!A:D,4,0)), "未分", VLOOKUP(D137,'115分組'!A:D,4,0))</f>
        <v>6</v>
      </c>
      <c r="G137" s="273">
        <f>ROUND(VLOOKUP(D137,'115_分行業績'!A:J,8,0), 0)</f>
        <v>43223962</v>
      </c>
      <c r="H137" s="274">
        <f>(VLOOKUP(D137, '底稿_前2年手收20%'!A:G,7,0)+VLOOKUP(D137, '底稿_前2年手收20%'!O:U,7,0))/2</f>
        <v>29772219.850000001</v>
      </c>
      <c r="I137" s="273">
        <f>VLOOKUP(D137,'115_分行業績'!A:I,9,0)</f>
        <v>37760000</v>
      </c>
      <c r="J137" s="456">
        <f t="shared" si="23"/>
        <v>1.1399999999999999</v>
      </c>
      <c r="K137" s="456">
        <f t="shared" ref="K137:K190" si="26">ROUND(G137/Z137, 2)</f>
        <v>0.96</v>
      </c>
      <c r="L137" s="273" t="str">
        <f t="shared" ref="L137:L190" si="27">IF(J137&gt;= 2, "200%以上", IF(J137&gt;= 1.5, "150%以上、未達200%", IF(J137&gt;= 1.3, "130%以上、未達150%", IF(J137&gt;= 1.2, "120%以上、未達130%", IF(J137&gt;= 1.1, "110%以上、未達120%", IF(J137&gt;= 1, "100%以上、未達110%",  IF(J137&gt;= 0.9, "90%以上、未達100%", IF(J137&gt;= 0.75, "75%以上、未達90%", "未達75%"))))))))</f>
        <v>110%以上、未達120%</v>
      </c>
      <c r="M137" s="273" t="str">
        <f t="shared" ref="M137:M190" si="28">IF(J137&gt;= 2, "預估實績*70%", IF(J137&gt;= 1.5, "預估實績*80%", IF(J137&gt;= 1.3, "預估實績*90%", IF(J137&gt;= 1.2, "預估實績*101%", IF(J137&gt;= 1.1, "預估實績*103%", IF(J137&gt;= 1, "預估實績105%",  IF(J137&gt;= 0.9, "分行目標105%", IF(J137&gt;= 0.75, "分行目標110%", "分行目標115%"))))))))</f>
        <v>預估實績*103%</v>
      </c>
      <c r="N137" s="273">
        <f t="shared" ref="N137:N190" si="29">IF(J137&gt;= 2, ROUND(G137*0.7, -4), IF(J137&gt;= 1.5,  ROUND(G137*0.8, -4), IF(J137&gt;= 1.3,  ROUND(G137*0.9, -4), IF(J137&gt;= 1.2,  ROUND(G137*1.01, -4), IF(J137&gt;= 1.1,  ROUND(G137*1.03, -4), IF(J137&gt;= 1,  ROUND(G137*1.05, -4),  IF(J137&gt;= 0.9,  ROUND(I137*1.05, -4), IF(J137&gt;= 0.75, ROUND(I137*1.1, -4), ROUND(I137*1.15, -4)))))))))</f>
        <v>44520000</v>
      </c>
      <c r="O137" s="273" t="str">
        <f>VLOOKUP(A137,'116目標底稿SUMMARY'!A:B,2,0)</f>
        <v>100%以上，未達120%</v>
      </c>
      <c r="P137" s="273" t="str">
        <f>VLOOKUP(A137,'116目標底稿SUMMARY'!A:D,4,0)</f>
        <v>預估實績*103%</v>
      </c>
      <c r="Q137" s="273">
        <f>ROUND(IF(A137 = "TYPE_1", I137*'116目標底稿SUMMARY'!$F$3*'116目標底稿SUMMARY'!$G$3, IF(A137 = "TYPE_2", G137*'116目標底稿SUMMARY'!$F$4, IF(A137 = "TYPE_3", G137*'116目標底稿SUMMARY'!$F$5, '116目標底稿ver1'!I137*'116目標底稿SUMMARY'!$F$6*'116目標底稿SUMMARY'!$G$6))), -4)</f>
        <v>43660000</v>
      </c>
      <c r="R137" s="452">
        <f t="shared" ref="R137:R195" si="30">Q137-N137</f>
        <v>-860000</v>
      </c>
      <c r="S137" s="274">
        <f>VLOOKUP(D137,'116指標1_前2年手收20%'!A:M,13,0)</f>
        <v>275329</v>
      </c>
      <c r="T137" s="274">
        <f>VLOOKUP(D137,'116指標2_存款25%'!A:F,6,0)</f>
        <v>204638</v>
      </c>
      <c r="U137" s="274">
        <f>VLOOKUP(D137,'116指標6_理財AUM25%'!A:F,6,0)</f>
        <v>277472</v>
      </c>
      <c r="V137" s="274">
        <f>VLOOKUP(D137,'116指標4_114分行人數25%'!A:Q,17,0)</f>
        <v>537464</v>
      </c>
      <c r="W137" s="274">
        <f>VLOOKUP(F137,'115分組'!D:F,3,0)</f>
        <v>80000</v>
      </c>
      <c r="X137" s="274"/>
      <c r="Y137" s="275">
        <f t="shared" si="24"/>
        <v>1370000</v>
      </c>
      <c r="Z137" s="451">
        <f t="shared" ref="Z137:Z190" si="31">Q137+Y137</f>
        <v>45030000</v>
      </c>
      <c r="AA137" s="276">
        <f t="shared" ref="AA137:AA190" si="32">Z137/G137 -1</f>
        <v>4.1783259017301511E-2</v>
      </c>
      <c r="AB137" s="276">
        <f t="shared" ref="AB137:AB190" si="33">Z137/I137 -1</f>
        <v>0.19253177966101687</v>
      </c>
      <c r="AC137" s="277">
        <f t="shared" si="25"/>
        <v>24766500.000000004</v>
      </c>
    </row>
    <row r="138" spans="1:29" s="279" customFormat="1" ht="24.95" customHeight="1">
      <c r="A138" s="279" t="str">
        <f>IF(J138&gt;='116目標底稿SUMMARY'!$E$3,"TYPE_1",IF(J138&gt;='116目標底稿SUMMARY'!$E$4,"TYPE_2",IF(J138&gt;='116目標底稿SUMMARY'!$E$5,"TYPE_3","TYPE_4")))</f>
        <v>TYPE_4</v>
      </c>
      <c r="B138" s="272">
        <v>131</v>
      </c>
      <c r="C138" s="271" t="s">
        <v>33</v>
      </c>
      <c r="D138" s="272">
        <v>451</v>
      </c>
      <c r="E138" s="273" t="s">
        <v>103</v>
      </c>
      <c r="F138" s="272">
        <f>IF(ISERROR(VLOOKUP(D138,'115分組'!A:D,4,0)), "未分", VLOOKUP(D138,'115分組'!A:D,4,0))</f>
        <v>8</v>
      </c>
      <c r="G138" s="273">
        <f>ROUND(VLOOKUP(D138,'115_分行業績'!A:J,8,0), 0)</f>
        <v>40782598</v>
      </c>
      <c r="H138" s="274">
        <f>(VLOOKUP(D138, '底稿_前2年手收20%'!A:G,7,0)+VLOOKUP(D138, '底稿_前2年手收20%'!O:U,7,0))/2</f>
        <v>35783114.049999997</v>
      </c>
      <c r="I138" s="273">
        <f>VLOOKUP(D138,'115_分行業績'!A:I,9,0)</f>
        <v>56240000</v>
      </c>
      <c r="J138" s="456">
        <f t="shared" si="23"/>
        <v>0.73</v>
      </c>
      <c r="K138" s="456">
        <f t="shared" si="26"/>
        <v>0.73</v>
      </c>
      <c r="L138" s="273" t="str">
        <f t="shared" si="27"/>
        <v>未達75%</v>
      </c>
      <c r="M138" s="273" t="str">
        <f t="shared" si="28"/>
        <v>分行目標115%</v>
      </c>
      <c r="N138" s="273">
        <f t="shared" si="29"/>
        <v>64680000</v>
      </c>
      <c r="O138" s="273" t="str">
        <f>VLOOKUP(A138,'116目標底稿SUMMARY'!A:B,2,0)</f>
        <v>未達80%</v>
      </c>
      <c r="P138" s="273" t="str">
        <f>VLOOKUP(A138,'116目標底稿SUMMARY'!A:D,4,0)</f>
        <v>分行目標*80%*120%</v>
      </c>
      <c r="Q138" s="273">
        <f>ROUND(IF(A138 = "TYPE_1", I138*'116目標底稿SUMMARY'!$F$3*'116目標底稿SUMMARY'!$G$3, IF(A138 = "TYPE_2", G138*'116目標底稿SUMMARY'!$F$4, IF(A138 = "TYPE_3", G138*'116目標底稿SUMMARY'!$F$5, '116目標底稿ver1'!I138*'116目標底稿SUMMARY'!$F$6*'116目標底稿SUMMARY'!$G$6))), -4)</f>
        <v>53990000</v>
      </c>
      <c r="R138" s="452">
        <f t="shared" si="30"/>
        <v>-10690000</v>
      </c>
      <c r="S138" s="274">
        <f>VLOOKUP(D138,'116指標1_前2年手收20%'!A:M,13,0)</f>
        <v>387657</v>
      </c>
      <c r="T138" s="274">
        <f>VLOOKUP(D138,'116指標2_存款25%'!A:F,6,0)</f>
        <v>454693</v>
      </c>
      <c r="U138" s="274">
        <f>VLOOKUP(D138,'116指標6_理財AUM25%'!A:F,6,0)</f>
        <v>462979</v>
      </c>
      <c r="V138" s="274">
        <f>VLOOKUP(D138,'116指標4_114分行人數25%'!A:Q,17,0)</f>
        <v>537464</v>
      </c>
      <c r="W138" s="274">
        <f>VLOOKUP(F138,'115分組'!D:F,3,0)</f>
        <v>40000</v>
      </c>
      <c r="X138" s="274"/>
      <c r="Y138" s="275">
        <f t="shared" si="24"/>
        <v>1880000</v>
      </c>
      <c r="Z138" s="451">
        <f t="shared" si="31"/>
        <v>55870000</v>
      </c>
      <c r="AA138" s="276">
        <f t="shared" si="32"/>
        <v>0.36994705437843867</v>
      </c>
      <c r="AB138" s="276">
        <f t="shared" si="33"/>
        <v>-6.5789473684210176E-3</v>
      </c>
      <c r="AC138" s="277">
        <f t="shared" si="25"/>
        <v>30728500.000000004</v>
      </c>
    </row>
    <row r="139" spans="1:29" s="279" customFormat="1" ht="24.95" customHeight="1">
      <c r="A139" s="279" t="str">
        <f>IF(J139&gt;='116目標底稿SUMMARY'!$E$3,"TYPE_1",IF(J139&gt;='116目標底稿SUMMARY'!$E$4,"TYPE_2",IF(J139&gt;='116目標底稿SUMMARY'!$E$5,"TYPE_3","TYPE_4")))</f>
        <v>TYPE_2</v>
      </c>
      <c r="B139" s="272">
        <v>132</v>
      </c>
      <c r="C139" s="271" t="s">
        <v>33</v>
      </c>
      <c r="D139" s="272">
        <v>500</v>
      </c>
      <c r="E139" s="273" t="s">
        <v>41</v>
      </c>
      <c r="F139" s="272">
        <f>IF(ISERROR(VLOOKUP(D139,'115分組'!A:D,4,0)), "未分", VLOOKUP(D139,'115分組'!A:D,4,0))</f>
        <v>7</v>
      </c>
      <c r="G139" s="273">
        <f>ROUND(VLOOKUP(D139,'115_分行業績'!A:J,8,0), 0)</f>
        <v>72594689</v>
      </c>
      <c r="H139" s="274">
        <f>(VLOOKUP(D139, '底稿_前2年手收20%'!A:G,7,0)+VLOOKUP(D139, '底稿_前2年手收20%'!O:U,7,0))/2</f>
        <v>52652646.774999999</v>
      </c>
      <c r="I139" s="273">
        <f>VLOOKUP(D139,'115_分行業績'!A:I,9,0)</f>
        <v>62690000</v>
      </c>
      <c r="J139" s="456">
        <f t="shared" si="23"/>
        <v>1.1599999999999999</v>
      </c>
      <c r="K139" s="456">
        <f t="shared" si="26"/>
        <v>0.96</v>
      </c>
      <c r="L139" s="273" t="str">
        <f t="shared" si="27"/>
        <v>110%以上、未達120%</v>
      </c>
      <c r="M139" s="273" t="str">
        <f t="shared" si="28"/>
        <v>預估實績*103%</v>
      </c>
      <c r="N139" s="273">
        <f t="shared" si="29"/>
        <v>74770000</v>
      </c>
      <c r="O139" s="273" t="str">
        <f>VLOOKUP(A139,'116目標底稿SUMMARY'!A:B,2,0)</f>
        <v>100%以上，未達120%</v>
      </c>
      <c r="P139" s="273" t="str">
        <f>VLOOKUP(A139,'116目標底稿SUMMARY'!A:D,4,0)</f>
        <v>預估實績*103%</v>
      </c>
      <c r="Q139" s="273">
        <f>ROUND(IF(A139 = "TYPE_1", I139*'116目標底稿SUMMARY'!$F$3*'116目標底稿SUMMARY'!$G$3, IF(A139 = "TYPE_2", G139*'116目標底稿SUMMARY'!$F$4, IF(A139 = "TYPE_3", G139*'116目標底稿SUMMARY'!$F$5, '116目標底稿ver1'!I139*'116目標底稿SUMMARY'!$F$6*'116目標底稿SUMMARY'!$G$6))), -4)</f>
        <v>73320000</v>
      </c>
      <c r="R139" s="452">
        <f t="shared" si="30"/>
        <v>-1450000</v>
      </c>
      <c r="S139" s="274">
        <f>VLOOKUP(D139,'116指標1_前2年手收20%'!A:M,13,0)</f>
        <v>457414</v>
      </c>
      <c r="T139" s="274">
        <f>VLOOKUP(D139,'116指標2_存款25%'!A:F,6,0)</f>
        <v>526155</v>
      </c>
      <c r="U139" s="274">
        <f>VLOOKUP(D139,'116指標6_理財AUM25%'!A:F,6,0)</f>
        <v>623572</v>
      </c>
      <c r="V139" s="274">
        <f>VLOOKUP(D139,'116指標4_114分行人數25%'!A:Q,17,0)</f>
        <v>557370</v>
      </c>
      <c r="W139" s="274">
        <f>VLOOKUP(F139,'115分組'!D:F,3,0)</f>
        <v>60000</v>
      </c>
      <c r="X139" s="274"/>
      <c r="Y139" s="275">
        <f t="shared" si="24"/>
        <v>2220000</v>
      </c>
      <c r="Z139" s="451">
        <f t="shared" si="31"/>
        <v>75540000</v>
      </c>
      <c r="AA139" s="276">
        <f t="shared" si="32"/>
        <v>4.0571990052881146E-2</v>
      </c>
      <c r="AB139" s="276">
        <f t="shared" si="33"/>
        <v>0.20497687031424472</v>
      </c>
      <c r="AC139" s="277">
        <f t="shared" si="25"/>
        <v>41547000</v>
      </c>
    </row>
    <row r="140" spans="1:29" s="279" customFormat="1" ht="24.95" customHeight="1">
      <c r="A140" s="279" t="str">
        <f>IF(J140&gt;='116目標底稿SUMMARY'!$E$3,"TYPE_1",IF(J140&gt;='116目標底稿SUMMARY'!$E$4,"TYPE_2",IF(J140&gt;='116目標底稿SUMMARY'!$E$5,"TYPE_3","TYPE_4")))</f>
        <v>TYPE_4</v>
      </c>
      <c r="B140" s="272">
        <v>133</v>
      </c>
      <c r="C140" s="271" t="s">
        <v>33</v>
      </c>
      <c r="D140" s="272">
        <v>501</v>
      </c>
      <c r="E140" s="273" t="s">
        <v>192</v>
      </c>
      <c r="F140" s="272">
        <f>IF(ISERROR(VLOOKUP(D140,'115分組'!A:D,4,0)), "未分", VLOOKUP(D140,'115分組'!A:D,4,0))</f>
        <v>7</v>
      </c>
      <c r="G140" s="273">
        <f>ROUND(VLOOKUP(D140,'115_分行業績'!A:J,8,0), 0)</f>
        <v>41345490</v>
      </c>
      <c r="H140" s="274">
        <f>(VLOOKUP(D140, '底稿_前2年手收20%'!A:G,7,0)+VLOOKUP(D140, '底稿_前2年手收20%'!O:U,7,0))/2</f>
        <v>38303040.085000001</v>
      </c>
      <c r="I140" s="273">
        <f>VLOOKUP(D140,'115_分行業績'!A:I,9,0)</f>
        <v>54190000</v>
      </c>
      <c r="J140" s="456">
        <f t="shared" si="23"/>
        <v>0.76</v>
      </c>
      <c r="K140" s="456">
        <f t="shared" si="26"/>
        <v>0.77</v>
      </c>
      <c r="L140" s="273" t="str">
        <f t="shared" si="27"/>
        <v>75%以上、未達90%</v>
      </c>
      <c r="M140" s="273" t="str">
        <f t="shared" si="28"/>
        <v>分行目標110%</v>
      </c>
      <c r="N140" s="273">
        <f t="shared" si="29"/>
        <v>59610000</v>
      </c>
      <c r="O140" s="273" t="str">
        <f>VLOOKUP(A140,'116目標底稿SUMMARY'!A:B,2,0)</f>
        <v>未達80%</v>
      </c>
      <c r="P140" s="273" t="str">
        <f>VLOOKUP(A140,'116目標底稿SUMMARY'!A:D,4,0)</f>
        <v>分行目標*80%*120%</v>
      </c>
      <c r="Q140" s="273">
        <f>ROUND(IF(A140 = "TYPE_1", I140*'116目標底稿SUMMARY'!$F$3*'116目標底稿SUMMARY'!$G$3, IF(A140 = "TYPE_2", G140*'116目標底稿SUMMARY'!$F$4, IF(A140 = "TYPE_3", G140*'116目標底稿SUMMARY'!$F$5, '116目標底稿ver1'!I140*'116目標底稿SUMMARY'!$F$6*'116目標底稿SUMMARY'!$G$6))), -4)</f>
        <v>52020000</v>
      </c>
      <c r="R140" s="452">
        <f t="shared" si="30"/>
        <v>-7590000</v>
      </c>
      <c r="S140" s="274">
        <f>VLOOKUP(D140,'116指標1_前2年手收20%'!A:M,13,0)</f>
        <v>450635</v>
      </c>
      <c r="T140" s="274">
        <f>VLOOKUP(D140,'116指標2_存款25%'!A:F,6,0)</f>
        <v>468547</v>
      </c>
      <c r="U140" s="274">
        <f>VLOOKUP(D140,'116指標6_理財AUM25%'!A:F,6,0)</f>
        <v>533537</v>
      </c>
      <c r="V140" s="274">
        <f>VLOOKUP(D140,'116指標4_114分行人數25%'!A:Q,17,0)</f>
        <v>497651</v>
      </c>
      <c r="W140" s="274">
        <f>VLOOKUP(F140,'115分組'!D:F,3,0)</f>
        <v>60000</v>
      </c>
      <c r="X140" s="274"/>
      <c r="Y140" s="275">
        <f t="shared" si="24"/>
        <v>2010000</v>
      </c>
      <c r="Z140" s="451">
        <f t="shared" si="31"/>
        <v>54030000</v>
      </c>
      <c r="AA140" s="276">
        <f t="shared" si="32"/>
        <v>0.30679307464973804</v>
      </c>
      <c r="AB140" s="276">
        <f t="shared" si="33"/>
        <v>-2.9525742756966178E-3</v>
      </c>
      <c r="AC140" s="277">
        <f t="shared" si="25"/>
        <v>29716500.000000004</v>
      </c>
    </row>
    <row r="141" spans="1:29" s="279" customFormat="1" ht="24.95" customHeight="1">
      <c r="A141" s="279" t="str">
        <f>IF(J141&gt;='116目標底稿SUMMARY'!$E$3,"TYPE_1",IF(J141&gt;='116目標底稿SUMMARY'!$E$4,"TYPE_2",IF(J141&gt;='116目標底稿SUMMARY'!$E$5,"TYPE_3","TYPE_4")))</f>
        <v>TYPE_2</v>
      </c>
      <c r="B141" s="272">
        <v>134</v>
      </c>
      <c r="C141" s="271" t="s">
        <v>33</v>
      </c>
      <c r="D141" s="272">
        <v>520</v>
      </c>
      <c r="E141" s="273" t="s">
        <v>193</v>
      </c>
      <c r="F141" s="272">
        <f>IF(ISERROR(VLOOKUP(D141,'115分組'!A:D,4,0)), "未分", VLOOKUP(D141,'115分組'!A:D,4,0))</f>
        <v>2</v>
      </c>
      <c r="G141" s="273">
        <f>ROUND(VLOOKUP(D141,'115_分行業績'!A:J,8,0), 0)</f>
        <v>92073151</v>
      </c>
      <c r="H141" s="274">
        <f>(VLOOKUP(D141, '底稿_前2年手收20%'!A:G,7,0)+VLOOKUP(D141, '底稿_前2年手收20%'!O:U,7,0))/2</f>
        <v>64636150.129999995</v>
      </c>
      <c r="I141" s="273">
        <f>VLOOKUP(D141,'115_分行業績'!A:I,9,0)</f>
        <v>91670000</v>
      </c>
      <c r="J141" s="456">
        <f t="shared" si="23"/>
        <v>1</v>
      </c>
      <c r="K141" s="456">
        <f t="shared" si="26"/>
        <v>0.96</v>
      </c>
      <c r="L141" s="273" t="str">
        <f t="shared" si="27"/>
        <v>100%以上、未達110%</v>
      </c>
      <c r="M141" s="273" t="str">
        <f t="shared" si="28"/>
        <v>預估實績105%</v>
      </c>
      <c r="N141" s="273">
        <f t="shared" si="29"/>
        <v>96680000</v>
      </c>
      <c r="O141" s="273" t="str">
        <f>VLOOKUP(A141,'116目標底稿SUMMARY'!A:B,2,0)</f>
        <v>100%以上，未達120%</v>
      </c>
      <c r="P141" s="273" t="str">
        <f>VLOOKUP(A141,'116目標底稿SUMMARY'!A:D,4,0)</f>
        <v>預估實績*103%</v>
      </c>
      <c r="Q141" s="273">
        <f>ROUND(IF(A141 = "TYPE_1", I141*'116目標底稿SUMMARY'!$F$3*'116目標底稿SUMMARY'!$G$3, IF(A141 = "TYPE_2", G141*'116目標底稿SUMMARY'!$F$4, IF(A141 = "TYPE_3", G141*'116目標底稿SUMMARY'!$F$5, '116目標底稿ver1'!I141*'116目標底稿SUMMARY'!$F$6*'116目標底稿SUMMARY'!$G$6))), -4)</f>
        <v>92990000</v>
      </c>
      <c r="R141" s="452">
        <f t="shared" si="30"/>
        <v>-3690000</v>
      </c>
      <c r="S141" s="274">
        <f>VLOOKUP(D141,'116指標1_前2年手收20%'!A:M,13,0)</f>
        <v>605463</v>
      </c>
      <c r="T141" s="274">
        <f>VLOOKUP(D141,'116指標2_存款25%'!A:F,6,0)</f>
        <v>751268</v>
      </c>
      <c r="U141" s="274">
        <f>VLOOKUP(D141,'116指標6_理財AUM25%'!A:F,6,0)</f>
        <v>804665</v>
      </c>
      <c r="V141" s="274">
        <f>VLOOKUP(D141,'116指標4_114分行人數25%'!A:Q,17,0)</f>
        <v>617088</v>
      </c>
      <c r="W141" s="274">
        <f>VLOOKUP(F141,'115分組'!D:F,3,0)</f>
        <v>170000</v>
      </c>
      <c r="X141" s="274"/>
      <c r="Y141" s="275">
        <f t="shared" si="24"/>
        <v>2950000</v>
      </c>
      <c r="Z141" s="451">
        <f t="shared" si="31"/>
        <v>95940000</v>
      </c>
      <c r="AA141" s="276">
        <f t="shared" si="32"/>
        <v>4.1997574298288098E-2</v>
      </c>
      <c r="AB141" s="276">
        <f t="shared" si="33"/>
        <v>4.6580124359114183E-2</v>
      </c>
      <c r="AC141" s="277">
        <f t="shared" si="25"/>
        <v>52767000.000000007</v>
      </c>
    </row>
    <row r="142" spans="1:29" s="279" customFormat="1" ht="24.95" customHeight="1">
      <c r="A142" s="279" t="str">
        <f>IF(J142&gt;='116目標底稿SUMMARY'!$E$3,"TYPE_1",IF(J142&gt;='116目標底稿SUMMARY'!$E$4,"TYPE_2",IF(J142&gt;='116目標底稿SUMMARY'!$E$5,"TYPE_3","TYPE_4")))</f>
        <v>TYPE_1</v>
      </c>
      <c r="B142" s="272">
        <v>135</v>
      </c>
      <c r="C142" s="271" t="s">
        <v>33</v>
      </c>
      <c r="D142" s="272">
        <v>521</v>
      </c>
      <c r="E142" s="273" t="s">
        <v>194</v>
      </c>
      <c r="F142" s="272">
        <f>IF(ISERROR(VLOOKUP(D142,'115分組'!A:D,4,0)), "未分", VLOOKUP(D142,'115分組'!A:D,4,0))</f>
        <v>2</v>
      </c>
      <c r="G142" s="273">
        <f>ROUND(VLOOKUP(D142,'115_分行業績'!A:J,8,0), 0)</f>
        <v>155168611</v>
      </c>
      <c r="H142" s="274">
        <f>(VLOOKUP(D142, '底稿_前2年手收20%'!A:G,7,0)+VLOOKUP(D142, '底稿_前2年手收20%'!O:U,7,0))/2</f>
        <v>80957108.444999993</v>
      </c>
      <c r="I142" s="273">
        <f>VLOOKUP(D142,'115_分行業績'!A:I,9,0)</f>
        <v>118020000</v>
      </c>
      <c r="J142" s="456">
        <f t="shared" si="23"/>
        <v>1.31</v>
      </c>
      <c r="K142" s="456">
        <f t="shared" si="26"/>
        <v>1.05</v>
      </c>
      <c r="L142" s="273" t="str">
        <f t="shared" si="27"/>
        <v>130%以上、未達150%</v>
      </c>
      <c r="M142" s="273" t="str">
        <f t="shared" si="28"/>
        <v>預估實績*90%</v>
      </c>
      <c r="N142" s="273">
        <f t="shared" si="29"/>
        <v>139650000</v>
      </c>
      <c r="O142" s="273" t="str">
        <f>VLOOKUP(A142,'116目標底稿SUMMARY'!A:B,2,0)</f>
        <v>120%以上</v>
      </c>
      <c r="P142" s="273" t="str">
        <f>VLOOKUP(A142,'116目標底稿SUMMARY'!A:D,4,0)</f>
        <v>分行目標*120%*101%</v>
      </c>
      <c r="Q142" s="273">
        <f>ROUND(IF(A142 = "TYPE_1", I142*'116目標底稿SUMMARY'!$F$3*'116目標底稿SUMMARY'!$G$3, IF(A142 = "TYPE_2", G142*'116目標底稿SUMMARY'!$F$4, IF(A142 = "TYPE_3", G142*'116目標底稿SUMMARY'!$F$5, '116目標底稿ver1'!I142*'116目標底稿SUMMARY'!$F$6*'116目標底稿SUMMARY'!$G$6))), -4)</f>
        <v>143040000</v>
      </c>
      <c r="R142" s="452">
        <f t="shared" si="30"/>
        <v>3390000</v>
      </c>
      <c r="S142" s="274">
        <f>VLOOKUP(D142,'116指標1_前2年手收20%'!A:M,13,0)</f>
        <v>935854</v>
      </c>
      <c r="T142" s="274">
        <f>VLOOKUP(D142,'116指標2_存款25%'!A:F,6,0)</f>
        <v>1290820</v>
      </c>
      <c r="U142" s="274">
        <f>VLOOKUP(D142,'116指標6_理財AUM25%'!A:F,6,0)</f>
        <v>1650624</v>
      </c>
      <c r="V142" s="274">
        <f>VLOOKUP(D142,'116指標4_114分行人數25%'!A:Q,17,0)</f>
        <v>676806</v>
      </c>
      <c r="W142" s="274">
        <f>VLOOKUP(F142,'115分組'!D:F,3,0)</f>
        <v>170000</v>
      </c>
      <c r="X142" s="274"/>
      <c r="Y142" s="275">
        <f t="shared" si="24"/>
        <v>4720000</v>
      </c>
      <c r="Z142" s="451">
        <f t="shared" si="31"/>
        <v>147760000</v>
      </c>
      <c r="AA142" s="276">
        <f t="shared" si="32"/>
        <v>-4.7745552094940136E-2</v>
      </c>
      <c r="AB142" s="276">
        <f t="shared" si="33"/>
        <v>0.25199118793424846</v>
      </c>
      <c r="AC142" s="277">
        <f t="shared" si="25"/>
        <v>81268000</v>
      </c>
    </row>
    <row r="143" spans="1:29" s="279" customFormat="1" ht="24.95" customHeight="1">
      <c r="A143" s="279" t="str">
        <f>IF(J143&gt;='116目標底稿SUMMARY'!$E$3,"TYPE_1",IF(J143&gt;='116目標底稿SUMMARY'!$E$4,"TYPE_2",IF(J143&gt;='116目標底稿SUMMARY'!$E$5,"TYPE_3","TYPE_4")))</f>
        <v>TYPE_2</v>
      </c>
      <c r="B143" s="272">
        <v>136</v>
      </c>
      <c r="C143" s="271" t="s">
        <v>33</v>
      </c>
      <c r="D143" s="272">
        <v>522</v>
      </c>
      <c r="E143" s="273" t="s">
        <v>42</v>
      </c>
      <c r="F143" s="272">
        <f>IF(ISERROR(VLOOKUP(D143,'115分組'!A:D,4,0)), "未分", VLOOKUP(D143,'115分組'!A:D,4,0))</f>
        <v>1</v>
      </c>
      <c r="G143" s="273">
        <f>ROUND(VLOOKUP(D143,'115_分行業績'!A:J,8,0), 0)</f>
        <v>137092574</v>
      </c>
      <c r="H143" s="274">
        <f>(VLOOKUP(D143, '底稿_前2年手收20%'!A:G,7,0)+VLOOKUP(D143, '底稿_前2年手收20%'!O:U,7,0))/2</f>
        <v>95804388.854999989</v>
      </c>
      <c r="I143" s="273">
        <f>VLOOKUP(D143,'115_分行業績'!A:I,9,0)</f>
        <v>116310000</v>
      </c>
      <c r="J143" s="456">
        <f t="shared" si="23"/>
        <v>1.18</v>
      </c>
      <c r="K143" s="456">
        <f t="shared" si="26"/>
        <v>0.96</v>
      </c>
      <c r="L143" s="273" t="str">
        <f t="shared" si="27"/>
        <v>110%以上、未達120%</v>
      </c>
      <c r="M143" s="273" t="str">
        <f t="shared" si="28"/>
        <v>預估實績*103%</v>
      </c>
      <c r="N143" s="273">
        <f t="shared" si="29"/>
        <v>141210000</v>
      </c>
      <c r="O143" s="273" t="str">
        <f>VLOOKUP(A143,'116目標底稿SUMMARY'!A:B,2,0)</f>
        <v>100%以上，未達120%</v>
      </c>
      <c r="P143" s="273" t="str">
        <f>VLOOKUP(A143,'116目標底稿SUMMARY'!A:D,4,0)</f>
        <v>預估實績*103%</v>
      </c>
      <c r="Q143" s="273">
        <f>ROUND(IF(A143 = "TYPE_1", I143*'116目標底稿SUMMARY'!$F$3*'116目標底稿SUMMARY'!$G$3, IF(A143 = "TYPE_2", G143*'116目標底稿SUMMARY'!$F$4, IF(A143 = "TYPE_3", G143*'116目標底稿SUMMARY'!$F$5, '116目標底稿ver1'!I143*'116目標底稿SUMMARY'!$F$6*'116目標底稿SUMMARY'!$G$6))), -4)</f>
        <v>138460000</v>
      </c>
      <c r="R143" s="452">
        <f t="shared" si="30"/>
        <v>-2750000</v>
      </c>
      <c r="S143" s="274">
        <f>VLOOKUP(D143,'116指標1_前2年手收20%'!A:M,13,0)</f>
        <v>968765</v>
      </c>
      <c r="T143" s="274">
        <f>VLOOKUP(D143,'116指標2_存款25%'!A:F,6,0)</f>
        <v>1160136</v>
      </c>
      <c r="U143" s="274">
        <f>VLOOKUP(D143,'116指標6_理財AUM25%'!A:F,6,0)</f>
        <v>1209658</v>
      </c>
      <c r="V143" s="274">
        <f>VLOOKUP(D143,'116指標4_114分行人數25%'!A:Q,17,0)</f>
        <v>816148</v>
      </c>
      <c r="W143" s="274">
        <f>VLOOKUP(F143,'115分組'!D:F,3,0)</f>
        <v>190000</v>
      </c>
      <c r="X143" s="274"/>
      <c r="Y143" s="275">
        <f t="shared" si="24"/>
        <v>4340000</v>
      </c>
      <c r="Z143" s="451">
        <f t="shared" si="31"/>
        <v>142800000</v>
      </c>
      <c r="AA143" s="276">
        <f t="shared" si="32"/>
        <v>4.163191217053086E-2</v>
      </c>
      <c r="AB143" s="276">
        <f t="shared" si="33"/>
        <v>0.22775341759092083</v>
      </c>
      <c r="AC143" s="277">
        <f t="shared" si="25"/>
        <v>78540000</v>
      </c>
    </row>
    <row r="144" spans="1:29" s="279" customFormat="1" ht="24.95" customHeight="1">
      <c r="A144" s="279" t="str">
        <f>IF(J144&gt;='116目標底稿SUMMARY'!$E$3,"TYPE_1",IF(J144&gt;='116目標底稿SUMMARY'!$E$4,"TYPE_2",IF(J144&gt;='116目標底稿SUMMARY'!$E$5,"TYPE_3","TYPE_4")))</f>
        <v>TYPE_3</v>
      </c>
      <c r="B144" s="272">
        <v>137</v>
      </c>
      <c r="C144" s="271" t="s">
        <v>33</v>
      </c>
      <c r="D144" s="272">
        <v>523</v>
      </c>
      <c r="E144" s="273" t="s">
        <v>104</v>
      </c>
      <c r="F144" s="272">
        <f>IF(ISERROR(VLOOKUP(D144,'115分組'!A:D,4,0)), "未分", VLOOKUP(D144,'115分組'!A:D,4,0))</f>
        <v>6</v>
      </c>
      <c r="G144" s="273">
        <f>ROUND(VLOOKUP(D144,'115_分行業績'!A:J,8,0), 0)</f>
        <v>60052954</v>
      </c>
      <c r="H144" s="274">
        <f>(VLOOKUP(D144, '底稿_前2年手收20%'!A:G,7,0)+VLOOKUP(D144, '底稿_前2年手收20%'!O:U,7,0))/2</f>
        <v>51922548.655000001</v>
      </c>
      <c r="I144" s="273">
        <f>VLOOKUP(D144,'115_分行業績'!A:I,9,0)</f>
        <v>69370000</v>
      </c>
      <c r="J144" s="456">
        <f t="shared" si="23"/>
        <v>0.87</v>
      </c>
      <c r="K144" s="456">
        <f t="shared" si="26"/>
        <v>0.93</v>
      </c>
      <c r="L144" s="273" t="str">
        <f t="shared" si="27"/>
        <v>75%以上、未達90%</v>
      </c>
      <c r="M144" s="273" t="str">
        <f t="shared" si="28"/>
        <v>分行目標110%</v>
      </c>
      <c r="N144" s="273">
        <f t="shared" si="29"/>
        <v>76310000</v>
      </c>
      <c r="O144" s="273" t="str">
        <f>VLOOKUP(A144,'116目標底稿SUMMARY'!A:B,2,0)</f>
        <v>80%以上，未達100%</v>
      </c>
      <c r="P144" s="273" t="str">
        <f>VLOOKUP(A144,'116目標底稿SUMMARY'!A:D,4,0)</f>
        <v>預估實績*105%</v>
      </c>
      <c r="Q144" s="273">
        <f>ROUND(IF(A144 = "TYPE_1", I144*'116目標底稿SUMMARY'!$F$3*'116目標底稿SUMMARY'!$G$3, IF(A144 = "TYPE_2", G144*'116目標底稿SUMMARY'!$F$4, IF(A144 = "TYPE_3", G144*'116目標底稿SUMMARY'!$F$5, '116目標底稿ver1'!I144*'116目標底稿SUMMARY'!$F$6*'116目標底稿SUMMARY'!$G$6))), -4)</f>
        <v>61850000</v>
      </c>
      <c r="R144" s="452">
        <f t="shared" si="30"/>
        <v>-14460000</v>
      </c>
      <c r="S144" s="274">
        <f>VLOOKUP(D144,'116指標1_前2年手收20%'!A:M,13,0)</f>
        <v>551668</v>
      </c>
      <c r="T144" s="274">
        <f>VLOOKUP(D144,'116指標2_存款25%'!A:F,6,0)</f>
        <v>589937</v>
      </c>
      <c r="U144" s="274">
        <f>VLOOKUP(D144,'116指標6_理財AUM25%'!A:F,6,0)</f>
        <v>932657</v>
      </c>
      <c r="V144" s="274">
        <f>VLOOKUP(D144,'116指標4_114分行人數25%'!A:Q,17,0)</f>
        <v>477745</v>
      </c>
      <c r="W144" s="274">
        <f>VLOOKUP(F144,'115分組'!D:F,3,0)</f>
        <v>80000</v>
      </c>
      <c r="X144" s="274"/>
      <c r="Y144" s="275">
        <f t="shared" si="24"/>
        <v>2630000</v>
      </c>
      <c r="Z144" s="451">
        <f t="shared" si="31"/>
        <v>64480000</v>
      </c>
      <c r="AA144" s="276">
        <f t="shared" si="32"/>
        <v>7.3719038034332218E-2</v>
      </c>
      <c r="AB144" s="276">
        <f t="shared" si="33"/>
        <v>-7.0491566959780871E-2</v>
      </c>
      <c r="AC144" s="277">
        <f t="shared" si="25"/>
        <v>35464000</v>
      </c>
    </row>
    <row r="145" spans="1:29" s="279" customFormat="1" ht="24.95" customHeight="1">
      <c r="A145" s="279" t="str">
        <f>IF(J145&gt;='116目標底稿SUMMARY'!$E$3,"TYPE_1",IF(J145&gt;='116目標底稿SUMMARY'!$E$4,"TYPE_2",IF(J145&gt;='116目標底稿SUMMARY'!$E$5,"TYPE_3","TYPE_4")))</f>
        <v>TYPE_3</v>
      </c>
      <c r="B145" s="272">
        <v>138</v>
      </c>
      <c r="C145" s="271" t="s">
        <v>33</v>
      </c>
      <c r="D145" s="272">
        <v>524</v>
      </c>
      <c r="E145" s="273" t="s">
        <v>43</v>
      </c>
      <c r="F145" s="272">
        <f>IF(ISERROR(VLOOKUP(D145,'115分組'!A:D,4,0)), "未分", VLOOKUP(D145,'115分組'!A:D,4,0))</f>
        <v>7</v>
      </c>
      <c r="G145" s="273">
        <f>ROUND(VLOOKUP(D145,'115_分行業績'!A:J,8,0), 0)</f>
        <v>50759587</v>
      </c>
      <c r="H145" s="274">
        <f>(VLOOKUP(D145, '底稿_前2年手收20%'!A:G,7,0)+VLOOKUP(D145, '底稿_前2年手收20%'!O:U,7,0))/2</f>
        <v>41151094.224999994</v>
      </c>
      <c r="I145" s="273">
        <f>VLOOKUP(D145,'115_分行業績'!A:I,9,0)</f>
        <v>56950000</v>
      </c>
      <c r="J145" s="456">
        <f t="shared" si="23"/>
        <v>0.89</v>
      </c>
      <c r="K145" s="456">
        <f t="shared" si="26"/>
        <v>0.93</v>
      </c>
      <c r="L145" s="273" t="str">
        <f t="shared" si="27"/>
        <v>75%以上、未達90%</v>
      </c>
      <c r="M145" s="273" t="str">
        <f t="shared" si="28"/>
        <v>分行目標110%</v>
      </c>
      <c r="N145" s="273">
        <f t="shared" si="29"/>
        <v>62650000</v>
      </c>
      <c r="O145" s="273" t="str">
        <f>VLOOKUP(A145,'116目標底稿SUMMARY'!A:B,2,0)</f>
        <v>80%以上，未達100%</v>
      </c>
      <c r="P145" s="273" t="str">
        <f>VLOOKUP(A145,'116目標底稿SUMMARY'!A:D,4,0)</f>
        <v>預估實績*105%</v>
      </c>
      <c r="Q145" s="273">
        <f>ROUND(IF(A145 = "TYPE_1", I145*'116目標底稿SUMMARY'!$F$3*'116目標底稿SUMMARY'!$G$3, IF(A145 = "TYPE_2", G145*'116目標底稿SUMMARY'!$F$4, IF(A145 = "TYPE_3", G145*'116目標底稿SUMMARY'!$F$5, '116目標底稿ver1'!I145*'116目標底稿SUMMARY'!$F$6*'116目標底稿SUMMARY'!$G$6))), -4)</f>
        <v>52280000</v>
      </c>
      <c r="R145" s="452">
        <f t="shared" si="30"/>
        <v>-10370000</v>
      </c>
      <c r="S145" s="274">
        <f>VLOOKUP(D145,'116指標1_前2年手收20%'!A:M,13,0)</f>
        <v>454153</v>
      </c>
      <c r="T145" s="274">
        <f>VLOOKUP(D145,'116指標2_存款25%'!A:F,6,0)</f>
        <v>486082</v>
      </c>
      <c r="U145" s="274">
        <f>VLOOKUP(D145,'116指標6_理財AUM25%'!A:F,6,0)</f>
        <v>673201</v>
      </c>
      <c r="V145" s="274">
        <f>VLOOKUP(D145,'116指標4_114分行人數25%'!A:Q,17,0)</f>
        <v>497651</v>
      </c>
      <c r="W145" s="274">
        <f>VLOOKUP(F145,'115分組'!D:F,3,0)</f>
        <v>60000</v>
      </c>
      <c r="X145" s="274"/>
      <c r="Y145" s="275">
        <f t="shared" si="24"/>
        <v>2170000</v>
      </c>
      <c r="Z145" s="451">
        <f t="shared" si="31"/>
        <v>54450000</v>
      </c>
      <c r="AA145" s="276">
        <f t="shared" si="32"/>
        <v>7.2703763330462134E-2</v>
      </c>
      <c r="AB145" s="276">
        <f t="shared" si="33"/>
        <v>-4.3898156277436318E-2</v>
      </c>
      <c r="AC145" s="277">
        <f t="shared" si="25"/>
        <v>29947500.000000004</v>
      </c>
    </row>
    <row r="146" spans="1:29" s="279" customFormat="1" ht="24.95" customHeight="1">
      <c r="A146" s="279" t="str">
        <f>IF(J146&gt;='116目標底稿SUMMARY'!$E$3,"TYPE_1",IF(J146&gt;='116目標底稿SUMMARY'!$E$4,"TYPE_2",IF(J146&gt;='116目標底稿SUMMARY'!$E$5,"TYPE_3","TYPE_4")))</f>
        <v>TYPE_4</v>
      </c>
      <c r="B146" s="272">
        <v>139</v>
      </c>
      <c r="C146" s="271" t="s">
        <v>33</v>
      </c>
      <c r="D146" s="272">
        <v>540</v>
      </c>
      <c r="E146" s="273" t="s">
        <v>44</v>
      </c>
      <c r="F146" s="272">
        <f>IF(ISERROR(VLOOKUP(D146,'115分組'!A:D,4,0)), "未分", VLOOKUP(D146,'115分組'!A:D,4,0))</f>
        <v>7</v>
      </c>
      <c r="G146" s="273">
        <f>ROUND(VLOOKUP(D146,'115_分行業績'!A:J,8,0), 0)</f>
        <v>35583535</v>
      </c>
      <c r="H146" s="274">
        <f>(VLOOKUP(D146, '底稿_前2年手收20%'!A:G,7,0)+VLOOKUP(D146, '底稿_前2年手收20%'!O:U,7,0))/2</f>
        <v>28734275.609999999</v>
      </c>
      <c r="I146" s="273">
        <f>VLOOKUP(D146,'115_分行業績'!A:I,9,0)</f>
        <v>44770000</v>
      </c>
      <c r="J146" s="456">
        <f t="shared" si="23"/>
        <v>0.79</v>
      </c>
      <c r="K146" s="456">
        <f t="shared" si="26"/>
        <v>0.79</v>
      </c>
      <c r="L146" s="273" t="str">
        <f t="shared" si="27"/>
        <v>75%以上、未達90%</v>
      </c>
      <c r="M146" s="273" t="str">
        <f t="shared" si="28"/>
        <v>分行目標110%</v>
      </c>
      <c r="N146" s="273">
        <f t="shared" si="29"/>
        <v>49250000</v>
      </c>
      <c r="O146" s="273" t="str">
        <f>VLOOKUP(A146,'116目標底稿SUMMARY'!A:B,2,0)</f>
        <v>未達80%</v>
      </c>
      <c r="P146" s="273" t="str">
        <f>VLOOKUP(A146,'116目標底稿SUMMARY'!A:D,4,0)</f>
        <v>分行目標*80%*120%</v>
      </c>
      <c r="Q146" s="273">
        <f>ROUND(IF(A146 = "TYPE_1", I146*'116目標底稿SUMMARY'!$F$3*'116目標底稿SUMMARY'!$G$3, IF(A146 = "TYPE_2", G146*'116目標底稿SUMMARY'!$F$4, IF(A146 = "TYPE_3", G146*'116目標底稿SUMMARY'!$F$5, '116目標底稿ver1'!I146*'116目標底稿SUMMARY'!$F$6*'116目標底稿SUMMARY'!$G$6))), -4)</f>
        <v>42980000</v>
      </c>
      <c r="R146" s="452">
        <f t="shared" si="30"/>
        <v>-6270000</v>
      </c>
      <c r="S146" s="274">
        <f>VLOOKUP(D146,'116指標1_前2年手收20%'!A:M,13,0)</f>
        <v>341744</v>
      </c>
      <c r="T146" s="274">
        <f>VLOOKUP(D146,'116指標2_存款25%'!A:F,6,0)</f>
        <v>518227</v>
      </c>
      <c r="U146" s="274">
        <f>VLOOKUP(D146,'116指標6_理財AUM25%'!A:F,6,0)</f>
        <v>451662</v>
      </c>
      <c r="V146" s="274">
        <f>VLOOKUP(D146,'116指標4_114分行人數25%'!A:Q,17,0)</f>
        <v>497651</v>
      </c>
      <c r="W146" s="274">
        <f>VLOOKUP(F146,'115分組'!D:F,3,0)</f>
        <v>60000</v>
      </c>
      <c r="X146" s="274"/>
      <c r="Y146" s="275">
        <f t="shared" si="24"/>
        <v>1870000</v>
      </c>
      <c r="Z146" s="451">
        <f t="shared" si="31"/>
        <v>44850000</v>
      </c>
      <c r="AA146" s="276">
        <f t="shared" si="32"/>
        <v>0.26041440233523727</v>
      </c>
      <c r="AB146" s="276">
        <f t="shared" si="33"/>
        <v>1.7869108778199028E-3</v>
      </c>
      <c r="AC146" s="277">
        <f t="shared" si="25"/>
        <v>24667500.000000004</v>
      </c>
    </row>
    <row r="147" spans="1:29" s="279" customFormat="1" ht="24.75" customHeight="1">
      <c r="A147" s="279" t="str">
        <f>IF(J147&gt;='116目標底稿SUMMARY'!$E$3,"TYPE_1",IF(J147&gt;='116目標底稿SUMMARY'!$E$4,"TYPE_2",IF(J147&gt;='116目標底稿SUMMARY'!$E$5,"TYPE_3","TYPE_4")))</f>
        <v>TYPE_2</v>
      </c>
      <c r="B147" s="272">
        <v>140</v>
      </c>
      <c r="C147" s="271" t="s">
        <v>33</v>
      </c>
      <c r="D147" s="272">
        <v>541</v>
      </c>
      <c r="E147" s="273" t="s">
        <v>105</v>
      </c>
      <c r="F147" s="272">
        <f>IF(ISERROR(VLOOKUP(D147,'115分組'!A:D,4,0)), "未分", VLOOKUP(D147,'115分組'!A:D,4,0))</f>
        <v>5</v>
      </c>
      <c r="G147" s="273">
        <f>ROUND(VLOOKUP(D147,'115_分行業績'!A:J,8,0), 0)</f>
        <v>70664558</v>
      </c>
      <c r="H147" s="274">
        <f>(VLOOKUP(D147, '底稿_前2年手收20%'!A:G,7,0)+VLOOKUP(D147, '底稿_前2年手收20%'!O:U,7,0))/2</f>
        <v>52469353.150000006</v>
      </c>
      <c r="I147" s="273">
        <f>VLOOKUP(D147,'115_分行業績'!A:I,9,0)</f>
        <v>69680000</v>
      </c>
      <c r="J147" s="456">
        <f t="shared" si="23"/>
        <v>1.01</v>
      </c>
      <c r="K147" s="456">
        <f t="shared" si="26"/>
        <v>0.95</v>
      </c>
      <c r="L147" s="273" t="str">
        <f t="shared" si="27"/>
        <v>100%以上、未達110%</v>
      </c>
      <c r="M147" s="273" t="str">
        <f t="shared" si="28"/>
        <v>預估實績105%</v>
      </c>
      <c r="N147" s="273">
        <f t="shared" si="29"/>
        <v>74200000</v>
      </c>
      <c r="O147" s="273" t="str">
        <f>VLOOKUP(A147,'116目標底稿SUMMARY'!A:B,2,0)</f>
        <v>100%以上，未達120%</v>
      </c>
      <c r="P147" s="273" t="str">
        <f>VLOOKUP(A147,'116目標底稿SUMMARY'!A:D,4,0)</f>
        <v>預估實績*103%</v>
      </c>
      <c r="Q147" s="273">
        <f>ROUND(IF(A147 = "TYPE_1", I147*'116目標底稿SUMMARY'!$F$3*'116目標底稿SUMMARY'!$G$3, IF(A147 = "TYPE_2", G147*'116目標底稿SUMMARY'!$F$4, IF(A147 = "TYPE_3", G147*'116目標底稿SUMMARY'!$F$5, '116目標底稿ver1'!I147*'116目標底稿SUMMARY'!$F$6*'116目標底稿SUMMARY'!$G$6))), -4)</f>
        <v>71370000</v>
      </c>
      <c r="R147" s="452">
        <f t="shared" si="30"/>
        <v>-2830000</v>
      </c>
      <c r="S147" s="274">
        <f>VLOOKUP(D147,'116指標1_前2年手收20%'!A:M,13,0)</f>
        <v>557555</v>
      </c>
      <c r="T147" s="274">
        <f>VLOOKUP(D147,'116指標2_存款25%'!A:F,6,0)</f>
        <v>645573</v>
      </c>
      <c r="U147" s="274">
        <f>VLOOKUP(D147,'116指標6_理財AUM25%'!A:F,6,0)</f>
        <v>771059</v>
      </c>
      <c r="V147" s="274">
        <f>VLOOKUP(D147,'116指標4_114分行人數25%'!A:Q,17,0)</f>
        <v>597182</v>
      </c>
      <c r="W147" s="274">
        <f>VLOOKUP(F147,'115分組'!D:F,3,0)</f>
        <v>100000</v>
      </c>
      <c r="X147" s="274"/>
      <c r="Y147" s="275">
        <f t="shared" si="24"/>
        <v>2670000</v>
      </c>
      <c r="Z147" s="451">
        <f t="shared" si="31"/>
        <v>74040000</v>
      </c>
      <c r="AA147" s="276">
        <f t="shared" si="32"/>
        <v>4.7767114031902702E-2</v>
      </c>
      <c r="AB147" s="276">
        <f t="shared" si="33"/>
        <v>6.2571756601607298E-2</v>
      </c>
      <c r="AC147" s="277">
        <f t="shared" si="25"/>
        <v>40722000</v>
      </c>
    </row>
    <row r="148" spans="1:29" s="279" customFormat="1" ht="24.95" customHeight="1">
      <c r="A148" s="279" t="str">
        <f>IF(J148&gt;='116目標底稿SUMMARY'!$E$3,"TYPE_1",IF(J148&gt;='116目標底稿SUMMARY'!$E$4,"TYPE_2",IF(J148&gt;='116目標底稿SUMMARY'!$E$5,"TYPE_3","TYPE_4")))</f>
        <v>TYPE_4</v>
      </c>
      <c r="B148" s="272">
        <v>141</v>
      </c>
      <c r="C148" s="271" t="s">
        <v>33</v>
      </c>
      <c r="D148" s="272">
        <v>542</v>
      </c>
      <c r="E148" s="273" t="s">
        <v>45</v>
      </c>
      <c r="F148" s="272">
        <f>IF(ISERROR(VLOOKUP(D148,'115分組'!A:D,4,0)), "未分", VLOOKUP(D148,'115分組'!A:D,4,0))</f>
        <v>8</v>
      </c>
      <c r="G148" s="273">
        <f>ROUND(VLOOKUP(D148,'115_分行業績'!A:J,8,0), 0)</f>
        <v>36285614</v>
      </c>
      <c r="H148" s="274">
        <f>(VLOOKUP(D148, '底稿_前2年手收20%'!A:G,7,0)+VLOOKUP(D148, '底稿_前2年手收20%'!O:U,7,0))/2</f>
        <v>29237858.549999997</v>
      </c>
      <c r="I148" s="273">
        <f>VLOOKUP(D148,'115_分行業績'!A:I,9,0)</f>
        <v>47050000</v>
      </c>
      <c r="J148" s="456">
        <f t="shared" si="23"/>
        <v>0.77</v>
      </c>
      <c r="K148" s="456">
        <f t="shared" si="26"/>
        <v>0.77</v>
      </c>
      <c r="L148" s="273" t="str">
        <f t="shared" si="27"/>
        <v>75%以上、未達90%</v>
      </c>
      <c r="M148" s="273" t="str">
        <f t="shared" si="28"/>
        <v>分行目標110%</v>
      </c>
      <c r="N148" s="273">
        <f t="shared" si="29"/>
        <v>51760000</v>
      </c>
      <c r="O148" s="273" t="str">
        <f>VLOOKUP(A148,'116目標底稿SUMMARY'!A:B,2,0)</f>
        <v>未達80%</v>
      </c>
      <c r="P148" s="273" t="str">
        <f>VLOOKUP(A148,'116目標底稿SUMMARY'!A:D,4,0)</f>
        <v>分行目標*80%*120%</v>
      </c>
      <c r="Q148" s="273">
        <f>ROUND(IF(A148 = "TYPE_1", I148*'116目標底稿SUMMARY'!$F$3*'116目標底稿SUMMARY'!$G$3, IF(A148 = "TYPE_2", G148*'116目標底稿SUMMARY'!$F$4, IF(A148 = "TYPE_3", G148*'116目標底稿SUMMARY'!$F$5, '116目標底稿ver1'!I148*'116目標底稿SUMMARY'!$F$6*'116目標底稿SUMMARY'!$G$6))), -4)</f>
        <v>45170000</v>
      </c>
      <c r="R148" s="452">
        <f t="shared" si="30"/>
        <v>-6590000</v>
      </c>
      <c r="S148" s="274">
        <f>VLOOKUP(D148,'116指標1_前2年手收20%'!A:M,13,0)</f>
        <v>347733</v>
      </c>
      <c r="T148" s="274">
        <f>VLOOKUP(D148,'116指標2_存款25%'!A:F,6,0)</f>
        <v>428075</v>
      </c>
      <c r="U148" s="274">
        <f>VLOOKUP(D148,'116指標6_理財AUM25%'!A:F,6,0)</f>
        <v>497679</v>
      </c>
      <c r="V148" s="274">
        <f>VLOOKUP(D148,'116指標4_114分行人數25%'!A:Q,17,0)</f>
        <v>457839</v>
      </c>
      <c r="W148" s="274">
        <f>VLOOKUP(F148,'115分組'!D:F,3,0)</f>
        <v>40000</v>
      </c>
      <c r="X148" s="274"/>
      <c r="Y148" s="275">
        <f t="shared" si="24"/>
        <v>1770000</v>
      </c>
      <c r="Z148" s="451">
        <f t="shared" si="31"/>
        <v>46940000</v>
      </c>
      <c r="AA148" s="276">
        <f t="shared" si="32"/>
        <v>0.29362562254010638</v>
      </c>
      <c r="AB148" s="276">
        <f t="shared" si="33"/>
        <v>-2.3379383634430928E-3</v>
      </c>
      <c r="AC148" s="277">
        <f t="shared" si="25"/>
        <v>25817000.000000004</v>
      </c>
    </row>
    <row r="149" spans="1:29" s="279" customFormat="1" ht="24.95" customHeight="1">
      <c r="A149" s="279" t="str">
        <f>IF(J149&gt;='116目標底稿SUMMARY'!$E$3,"TYPE_1",IF(J149&gt;='116目標底稿SUMMARY'!$E$4,"TYPE_2",IF(J149&gt;='116目標底稿SUMMARY'!$E$5,"TYPE_3","TYPE_4")))</f>
        <v>TYPE_2</v>
      </c>
      <c r="B149" s="272">
        <v>142</v>
      </c>
      <c r="C149" s="271" t="s">
        <v>33</v>
      </c>
      <c r="D149" s="272">
        <v>600</v>
      </c>
      <c r="E149" s="273" t="s">
        <v>46</v>
      </c>
      <c r="F149" s="272">
        <f>IF(ISERROR(VLOOKUP(D149,'115分組'!A:D,4,0)), "未分", VLOOKUP(D149,'115分組'!A:D,4,0))</f>
        <v>4</v>
      </c>
      <c r="G149" s="273">
        <f>ROUND(VLOOKUP(D149,'115_分行業績'!A:J,8,0), 0)</f>
        <v>79745143</v>
      </c>
      <c r="H149" s="274">
        <f>(VLOOKUP(D149, '底稿_前2年手收20%'!A:G,7,0)+VLOOKUP(D149, '底稿_前2年手收20%'!O:U,7,0))/2</f>
        <v>57455846.420000002</v>
      </c>
      <c r="I149" s="273">
        <f>VLOOKUP(D149,'115_分行業績'!A:I,9,0)</f>
        <v>75270000</v>
      </c>
      <c r="J149" s="456">
        <f t="shared" si="23"/>
        <v>1.06</v>
      </c>
      <c r="K149" s="456">
        <f t="shared" si="26"/>
        <v>0.96</v>
      </c>
      <c r="L149" s="273" t="str">
        <f t="shared" si="27"/>
        <v>100%以上、未達110%</v>
      </c>
      <c r="M149" s="273" t="str">
        <f t="shared" si="28"/>
        <v>預估實績105%</v>
      </c>
      <c r="N149" s="273">
        <f t="shared" si="29"/>
        <v>83730000</v>
      </c>
      <c r="O149" s="273" t="str">
        <f>VLOOKUP(A149,'116目標底稿SUMMARY'!A:B,2,0)</f>
        <v>100%以上，未達120%</v>
      </c>
      <c r="P149" s="273" t="str">
        <f>VLOOKUP(A149,'116目標底稿SUMMARY'!A:D,4,0)</f>
        <v>預估實績*103%</v>
      </c>
      <c r="Q149" s="273">
        <f>ROUND(IF(A149 = "TYPE_1", I149*'116目標底稿SUMMARY'!$F$3*'116目標底稿SUMMARY'!$G$3, IF(A149 = "TYPE_2", G149*'116目標底稿SUMMARY'!$F$4, IF(A149 = "TYPE_3", G149*'116目標底稿SUMMARY'!$F$5, '116目標底稿ver1'!I149*'116目標底稿SUMMARY'!$F$6*'116目標底稿SUMMARY'!$G$6))), -4)</f>
        <v>80540000</v>
      </c>
      <c r="R149" s="452">
        <f t="shared" si="30"/>
        <v>-3190000</v>
      </c>
      <c r="S149" s="274">
        <f>VLOOKUP(D149,'116指標1_前2年手收20%'!A:M,13,0)</f>
        <v>564394</v>
      </c>
      <c r="T149" s="274">
        <f>VLOOKUP(D149,'116指標2_存款25%'!A:F,6,0)</f>
        <v>633424</v>
      </c>
      <c r="U149" s="274">
        <f>VLOOKUP(D149,'116指標6_理財AUM25%'!A:F,6,0)</f>
        <v>685281</v>
      </c>
      <c r="V149" s="274">
        <f>VLOOKUP(D149,'116指標4_114分行人數25%'!A:Q,17,0)</f>
        <v>659481</v>
      </c>
      <c r="W149" s="274">
        <f>VLOOKUP(F149,'115分組'!D:F,3,0)</f>
        <v>130000</v>
      </c>
      <c r="X149" s="274"/>
      <c r="Y149" s="275">
        <f t="shared" si="24"/>
        <v>2670000</v>
      </c>
      <c r="Z149" s="451">
        <f t="shared" si="31"/>
        <v>83210000</v>
      </c>
      <c r="AA149" s="276">
        <f t="shared" si="32"/>
        <v>4.3449128933156445E-2</v>
      </c>
      <c r="AB149" s="276">
        <f t="shared" si="33"/>
        <v>0.10548691377706931</v>
      </c>
      <c r="AC149" s="277">
        <f t="shared" si="25"/>
        <v>45765500</v>
      </c>
    </row>
    <row r="150" spans="1:29" s="279" customFormat="1" ht="24.95" customHeight="1">
      <c r="A150" s="279" t="str">
        <f>IF(J150&gt;='116目標底稿SUMMARY'!$E$3,"TYPE_1",IF(J150&gt;='116目標底稿SUMMARY'!$E$4,"TYPE_2",IF(J150&gt;='116目標底稿SUMMARY'!$E$5,"TYPE_3","TYPE_4")))</f>
        <v>TYPE_2</v>
      </c>
      <c r="B150" s="272">
        <v>143</v>
      </c>
      <c r="C150" s="271" t="s">
        <v>33</v>
      </c>
      <c r="D150" s="272">
        <v>601</v>
      </c>
      <c r="E150" s="273" t="s">
        <v>195</v>
      </c>
      <c r="F150" s="272">
        <f>IF(ISERROR(VLOOKUP(D150,'115分組'!A:D,4,0)), "未分", VLOOKUP(D150,'115分組'!A:D,4,0))</f>
        <v>5</v>
      </c>
      <c r="G150" s="273">
        <f>ROUND(VLOOKUP(D150,'115_分行業績'!A:J,8,0), 0)</f>
        <v>72465355</v>
      </c>
      <c r="H150" s="274">
        <f>(VLOOKUP(D150, '底稿_前2年手收20%'!A:G,7,0)+VLOOKUP(D150, '底稿_前2年手收20%'!O:U,7,0))/2</f>
        <v>50171954.825000003</v>
      </c>
      <c r="I150" s="273">
        <f>VLOOKUP(D150,'115_分行業績'!A:I,9,0)</f>
        <v>70850000</v>
      </c>
      <c r="J150" s="456">
        <f t="shared" si="23"/>
        <v>1.02</v>
      </c>
      <c r="K150" s="456">
        <f t="shared" si="26"/>
        <v>0.96</v>
      </c>
      <c r="L150" s="273" t="str">
        <f t="shared" si="27"/>
        <v>100%以上、未達110%</v>
      </c>
      <c r="M150" s="273" t="str">
        <f t="shared" si="28"/>
        <v>預估實績105%</v>
      </c>
      <c r="N150" s="273">
        <f t="shared" si="29"/>
        <v>76090000</v>
      </c>
      <c r="O150" s="273" t="str">
        <f>VLOOKUP(A150,'116目標底稿SUMMARY'!A:B,2,0)</f>
        <v>100%以上，未達120%</v>
      </c>
      <c r="P150" s="273" t="str">
        <f>VLOOKUP(A150,'116目標底稿SUMMARY'!A:D,4,0)</f>
        <v>預估實績*103%</v>
      </c>
      <c r="Q150" s="273">
        <f>ROUND(IF(A150 = "TYPE_1", I150*'116目標底稿SUMMARY'!$F$3*'116目標底稿SUMMARY'!$G$3, IF(A150 = "TYPE_2", G150*'116目標底稿SUMMARY'!$F$4, IF(A150 = "TYPE_3", G150*'116目標底稿SUMMARY'!$F$5, '116目標底稿ver1'!I150*'116目標底稿SUMMARY'!$F$6*'116目標底稿SUMMARY'!$G$6))), -4)</f>
        <v>73190000</v>
      </c>
      <c r="R150" s="452">
        <f t="shared" si="30"/>
        <v>-2900000</v>
      </c>
      <c r="S150" s="274">
        <f>VLOOKUP(D150,'116指標1_前2年手收20%'!A:M,13,0)</f>
        <v>557912</v>
      </c>
      <c r="T150" s="274">
        <f>VLOOKUP(D150,'116指標2_存款25%'!A:F,6,0)</f>
        <v>597145</v>
      </c>
      <c r="U150" s="274">
        <f>VLOOKUP(D150,'116指標6_理財AUM25%'!A:F,6,0)</f>
        <v>718131</v>
      </c>
      <c r="V150" s="274">
        <f>VLOOKUP(D150,'116指標4_114分行人數25%'!A:Q,17,0)</f>
        <v>617088</v>
      </c>
      <c r="W150" s="274">
        <f>VLOOKUP(F150,'115分組'!D:F,3,0)</f>
        <v>100000</v>
      </c>
      <c r="X150" s="274"/>
      <c r="Y150" s="275">
        <f t="shared" si="24"/>
        <v>2590000</v>
      </c>
      <c r="Z150" s="451">
        <f t="shared" si="31"/>
        <v>75780000</v>
      </c>
      <c r="AA150" s="276">
        <f t="shared" si="32"/>
        <v>4.5741099315666167E-2</v>
      </c>
      <c r="AB150" s="276">
        <f t="shared" si="33"/>
        <v>6.9583627381792468E-2</v>
      </c>
      <c r="AC150" s="277">
        <f t="shared" si="25"/>
        <v>41679000</v>
      </c>
    </row>
    <row r="151" spans="1:29" s="279" customFormat="1" ht="24.95" customHeight="1">
      <c r="A151" s="279" t="str">
        <f>IF(J151&gt;='116目標底稿SUMMARY'!$E$3,"TYPE_1",IF(J151&gt;='116目標底稿SUMMARY'!$E$4,"TYPE_2",IF(J151&gt;='116目標底稿SUMMARY'!$E$5,"TYPE_3","TYPE_4")))</f>
        <v>TYPE_3</v>
      </c>
      <c r="B151" s="272">
        <v>144</v>
      </c>
      <c r="C151" s="271" t="s">
        <v>33</v>
      </c>
      <c r="D151" s="272">
        <v>602</v>
      </c>
      <c r="E151" s="273" t="s">
        <v>47</v>
      </c>
      <c r="F151" s="272">
        <f>IF(ISERROR(VLOOKUP(D151,'115分組'!A:D,4,0)), "未分", VLOOKUP(D151,'115分組'!A:D,4,0))</f>
        <v>8</v>
      </c>
      <c r="G151" s="273">
        <f>ROUND(VLOOKUP(D151,'115_分行業績'!A:J,8,0), 0)</f>
        <v>45508119</v>
      </c>
      <c r="H151" s="274">
        <f>(VLOOKUP(D151, '底稿_前2年手收20%'!A:G,7,0)+VLOOKUP(D151, '底稿_前2年手收20%'!O:U,7,0))/2</f>
        <v>38424992.200000003</v>
      </c>
      <c r="I151" s="273">
        <f>VLOOKUP(D151,'115_分行業績'!A:I,9,0)</f>
        <v>48500000</v>
      </c>
      <c r="J151" s="456">
        <f t="shared" si="23"/>
        <v>0.94</v>
      </c>
      <c r="K151" s="456">
        <f t="shared" si="26"/>
        <v>0.94</v>
      </c>
      <c r="L151" s="273" t="str">
        <f t="shared" si="27"/>
        <v>90%以上、未達100%</v>
      </c>
      <c r="M151" s="273" t="str">
        <f t="shared" si="28"/>
        <v>分行目標105%</v>
      </c>
      <c r="N151" s="273">
        <f t="shared" si="29"/>
        <v>50930000</v>
      </c>
      <c r="O151" s="273" t="str">
        <f>VLOOKUP(A151,'116目標底稿SUMMARY'!A:B,2,0)</f>
        <v>80%以上，未達100%</v>
      </c>
      <c r="P151" s="273" t="str">
        <f>VLOOKUP(A151,'116目標底稿SUMMARY'!A:D,4,0)</f>
        <v>預估實績*105%</v>
      </c>
      <c r="Q151" s="273">
        <f>ROUND(IF(A151 = "TYPE_1", I151*'116目標底稿SUMMARY'!$F$3*'116目標底稿SUMMARY'!$G$3, IF(A151 = "TYPE_2", G151*'116目標底稿SUMMARY'!$F$4, IF(A151 = "TYPE_3", G151*'116目標底稿SUMMARY'!$F$5, '116目標底稿ver1'!I151*'116目標底稿SUMMARY'!$F$6*'116目標底稿SUMMARY'!$G$6))), -4)</f>
        <v>46870000</v>
      </c>
      <c r="R151" s="452">
        <f t="shared" si="30"/>
        <v>-4060000</v>
      </c>
      <c r="S151" s="274">
        <f>VLOOKUP(D151,'116指標1_前2年手收20%'!A:M,13,0)</f>
        <v>360306</v>
      </c>
      <c r="T151" s="274">
        <f>VLOOKUP(D151,'116指標2_存款25%'!A:F,6,0)</f>
        <v>341215</v>
      </c>
      <c r="U151" s="274">
        <f>VLOOKUP(D151,'116指標6_理財AUM25%'!A:F,6,0)</f>
        <v>511836</v>
      </c>
      <c r="V151" s="274">
        <f>VLOOKUP(D151,'116指標4_114分行人數25%'!A:Q,17,0)</f>
        <v>497651</v>
      </c>
      <c r="W151" s="274">
        <f>VLOOKUP(F151,'115分組'!D:F,3,0)</f>
        <v>40000</v>
      </c>
      <c r="X151" s="274"/>
      <c r="Y151" s="275">
        <f t="shared" si="24"/>
        <v>1750000</v>
      </c>
      <c r="Z151" s="451">
        <f t="shared" si="31"/>
        <v>48620000</v>
      </c>
      <c r="AA151" s="276">
        <f t="shared" si="32"/>
        <v>6.8380787173383251E-2</v>
      </c>
      <c r="AB151" s="276">
        <f t="shared" si="33"/>
        <v>2.4742268041237914E-3</v>
      </c>
      <c r="AC151" s="277">
        <f t="shared" si="25"/>
        <v>26741000.000000004</v>
      </c>
    </row>
    <row r="152" spans="1:29" s="279" customFormat="1" ht="24.95" customHeight="1">
      <c r="A152" s="279" t="str">
        <f>IF(J152&gt;='116目標底稿SUMMARY'!$E$3,"TYPE_1",IF(J152&gt;='116目標底稿SUMMARY'!$E$4,"TYPE_2",IF(J152&gt;='116目標底稿SUMMARY'!$E$5,"TYPE_3","TYPE_4")))</f>
        <v>TYPE_1</v>
      </c>
      <c r="B152" s="272">
        <v>145</v>
      </c>
      <c r="C152" s="271" t="s">
        <v>48</v>
      </c>
      <c r="D152" s="272">
        <v>620</v>
      </c>
      <c r="E152" s="273" t="s">
        <v>106</v>
      </c>
      <c r="F152" s="272">
        <f>IF(ISERROR(VLOOKUP(D152,'115分組'!A:D,4,0)), "未分", VLOOKUP(D152,'115分組'!A:D,4,0))</f>
        <v>4</v>
      </c>
      <c r="G152" s="273">
        <f>ROUND(VLOOKUP(D152,'115_分行業績'!A:J,8,0), 0)</f>
        <v>76512317</v>
      </c>
      <c r="H152" s="274">
        <f>(VLOOKUP(D152, '底稿_前2年手收20%'!A:G,7,0)+VLOOKUP(D152, '底稿_前2年手收20%'!O:U,7,0))/2</f>
        <v>44371249.305</v>
      </c>
      <c r="I152" s="273">
        <f>VLOOKUP(D152,'115_分行業績'!A:I,9,0)</f>
        <v>61950000</v>
      </c>
      <c r="J152" s="456">
        <f t="shared" si="23"/>
        <v>1.24</v>
      </c>
      <c r="K152" s="456">
        <f t="shared" si="26"/>
        <v>0.99</v>
      </c>
      <c r="L152" s="273" t="str">
        <f t="shared" si="27"/>
        <v>120%以上、未達130%</v>
      </c>
      <c r="M152" s="273" t="str">
        <f t="shared" si="28"/>
        <v>預估實績*101%</v>
      </c>
      <c r="N152" s="273">
        <f t="shared" si="29"/>
        <v>77280000</v>
      </c>
      <c r="O152" s="273" t="str">
        <f>VLOOKUP(A152,'116目標底稿SUMMARY'!A:B,2,0)</f>
        <v>120%以上</v>
      </c>
      <c r="P152" s="273" t="str">
        <f>VLOOKUP(A152,'116目標底稿SUMMARY'!A:D,4,0)</f>
        <v>分行目標*120%*101%</v>
      </c>
      <c r="Q152" s="273">
        <f>ROUND(IF(A152 = "TYPE_1", I152*'116目標底稿SUMMARY'!$F$3*'116目標底稿SUMMARY'!$G$3, IF(A152 = "TYPE_2", G152*'116目標底稿SUMMARY'!$F$4, IF(A152 = "TYPE_3", G152*'116目標底稿SUMMARY'!$F$5, '116目標底稿ver1'!I152*'116目標底稿SUMMARY'!$F$6*'116目標底稿SUMMARY'!$G$6))), -4)</f>
        <v>75080000</v>
      </c>
      <c r="R152" s="452">
        <f t="shared" si="30"/>
        <v>-2200000</v>
      </c>
      <c r="S152" s="274">
        <f>VLOOKUP(D152,'116指標1_前2年手收20%'!A:M,13,0)</f>
        <v>486313</v>
      </c>
      <c r="T152" s="274">
        <f>VLOOKUP(D152,'116指標2_存款25%'!A:F,6,0)</f>
        <v>536894</v>
      </c>
      <c r="U152" s="274">
        <f>VLOOKUP(D152,'116指標6_理財AUM25%'!A:F,6,0)</f>
        <v>704093</v>
      </c>
      <c r="V152" s="274">
        <f>VLOOKUP(D152,'116指標4_114分行人數25%'!A:Q,17,0)</f>
        <v>636994</v>
      </c>
      <c r="W152" s="274">
        <f>VLOOKUP(F152,'115分組'!D:F,3,0)</f>
        <v>130000</v>
      </c>
      <c r="X152" s="274"/>
      <c r="Y152" s="275">
        <f t="shared" si="24"/>
        <v>2490000</v>
      </c>
      <c r="Z152" s="451">
        <f t="shared" si="31"/>
        <v>77570000</v>
      </c>
      <c r="AA152" s="276">
        <f t="shared" si="32"/>
        <v>1.3823695863242502E-2</v>
      </c>
      <c r="AB152" s="276">
        <f t="shared" si="33"/>
        <v>0.25213882163034707</v>
      </c>
      <c r="AC152" s="277">
        <f t="shared" si="25"/>
        <v>42663500</v>
      </c>
    </row>
    <row r="153" spans="1:29" s="279" customFormat="1" ht="24.95" customHeight="1">
      <c r="A153" s="279" t="str">
        <f>IF(J153&gt;='116目標底稿SUMMARY'!$E$3,"TYPE_1",IF(J153&gt;='116目標底稿SUMMARY'!$E$4,"TYPE_2",IF(J153&gt;='116目標底稿SUMMARY'!$E$5,"TYPE_3","TYPE_4")))</f>
        <v>TYPE_4</v>
      </c>
      <c r="B153" s="272">
        <v>146</v>
      </c>
      <c r="C153" s="271" t="s">
        <v>48</v>
      </c>
      <c r="D153" s="272">
        <v>621</v>
      </c>
      <c r="E153" s="273" t="s">
        <v>49</v>
      </c>
      <c r="F153" s="272">
        <f>IF(ISERROR(VLOOKUP(D153,'115分組'!A:D,4,0)), "未分", VLOOKUP(D153,'115分組'!A:D,4,0))</f>
        <v>3</v>
      </c>
      <c r="G153" s="273">
        <f>ROUND(VLOOKUP(D153,'115_分行業績'!A:J,8,0), 0)</f>
        <v>60267983</v>
      </c>
      <c r="H153" s="274">
        <f>(VLOOKUP(D153, '底稿_前2年手收20%'!A:G,7,0)+VLOOKUP(D153, '底稿_前2年手收20%'!O:U,7,0))/2</f>
        <v>60401679.784999996</v>
      </c>
      <c r="I153" s="273">
        <f>VLOOKUP(D153,'115_分行業績'!A:I,9,0)</f>
        <v>85180000</v>
      </c>
      <c r="J153" s="456">
        <f t="shared" si="23"/>
        <v>0.71</v>
      </c>
      <c r="K153" s="456">
        <f t="shared" si="26"/>
        <v>0.71</v>
      </c>
      <c r="L153" s="273" t="str">
        <f t="shared" si="27"/>
        <v>未達75%</v>
      </c>
      <c r="M153" s="273" t="str">
        <f t="shared" si="28"/>
        <v>分行目標115%</v>
      </c>
      <c r="N153" s="273">
        <f t="shared" si="29"/>
        <v>97960000</v>
      </c>
      <c r="O153" s="273" t="str">
        <f>VLOOKUP(A153,'116目標底稿SUMMARY'!A:B,2,0)</f>
        <v>未達80%</v>
      </c>
      <c r="P153" s="273" t="str">
        <f>VLOOKUP(A153,'116目標底稿SUMMARY'!A:D,4,0)</f>
        <v>分行目標*80%*120%</v>
      </c>
      <c r="Q153" s="273">
        <f>ROUND(IF(A153 = "TYPE_1", I153*'116目標底稿SUMMARY'!$F$3*'116目標底稿SUMMARY'!$G$3, IF(A153 = "TYPE_2", G153*'116目標底稿SUMMARY'!$F$4, IF(A153 = "TYPE_3", G153*'116目標底稿SUMMARY'!$F$5, '116目標底稿ver1'!I153*'116目標底稿SUMMARY'!$F$6*'116目標底稿SUMMARY'!$G$6))), -4)</f>
        <v>81770000</v>
      </c>
      <c r="R153" s="452">
        <f t="shared" si="30"/>
        <v>-16190000</v>
      </c>
      <c r="S153" s="274">
        <f>VLOOKUP(D153,'116指標1_前2年手收20%'!A:M,13,0)</f>
        <v>711490</v>
      </c>
      <c r="T153" s="274">
        <f>VLOOKUP(D153,'116指標2_存款25%'!A:F,6,0)</f>
        <v>865829</v>
      </c>
      <c r="U153" s="274">
        <f>VLOOKUP(D153,'116指標6_理財AUM25%'!A:F,6,0)</f>
        <v>874670</v>
      </c>
      <c r="V153" s="274">
        <f>VLOOKUP(D153,'116指標4_114分行人數25%'!A:Q,17,0)</f>
        <v>617088</v>
      </c>
      <c r="W153" s="274">
        <f>VLOOKUP(F153,'115分組'!D:F,3,0)</f>
        <v>150000</v>
      </c>
      <c r="X153" s="274"/>
      <c r="Y153" s="275">
        <f t="shared" si="24"/>
        <v>3220000</v>
      </c>
      <c r="Z153" s="451">
        <f t="shared" si="31"/>
        <v>84990000</v>
      </c>
      <c r="AA153" s="276">
        <f t="shared" si="32"/>
        <v>0.41020149952587603</v>
      </c>
      <c r="AB153" s="276">
        <f t="shared" si="33"/>
        <v>-2.2305705564686917E-3</v>
      </c>
      <c r="AC153" s="277">
        <f t="shared" si="25"/>
        <v>46744500.000000007</v>
      </c>
    </row>
    <row r="154" spans="1:29" s="279" customFormat="1" ht="24.95" customHeight="1">
      <c r="A154" s="279" t="str">
        <f>IF(J154&gt;='116目標底稿SUMMARY'!$E$3,"TYPE_1",IF(J154&gt;='116目標底稿SUMMARY'!$E$4,"TYPE_2",IF(J154&gt;='116目標底稿SUMMARY'!$E$5,"TYPE_3","TYPE_4")))</f>
        <v>TYPE_3</v>
      </c>
      <c r="B154" s="272">
        <v>147</v>
      </c>
      <c r="C154" s="271" t="s">
        <v>48</v>
      </c>
      <c r="D154" s="272">
        <v>622</v>
      </c>
      <c r="E154" s="273" t="s">
        <v>107</v>
      </c>
      <c r="F154" s="272">
        <f>IF(ISERROR(VLOOKUP(D154,'115分組'!A:D,4,0)), "未分", VLOOKUP(D154,'115分組'!A:D,4,0))</f>
        <v>5</v>
      </c>
      <c r="G154" s="273">
        <f>ROUND(VLOOKUP(D154,'115_分行業績'!A:J,8,0), 0)</f>
        <v>74977980</v>
      </c>
      <c r="H154" s="274">
        <f>(VLOOKUP(D154, '底稿_前2年手收20%'!A:G,7,0)+VLOOKUP(D154, '底稿_前2年手收20%'!O:U,7,0))/2</f>
        <v>51708436.134999998</v>
      </c>
      <c r="I154" s="273">
        <f>VLOOKUP(D154,'115_分行業績'!A:I,9,0)</f>
        <v>75450000</v>
      </c>
      <c r="J154" s="456">
        <f t="shared" si="23"/>
        <v>0.99</v>
      </c>
      <c r="K154" s="456">
        <f t="shared" si="26"/>
        <v>0.94</v>
      </c>
      <c r="L154" s="273" t="str">
        <f t="shared" si="27"/>
        <v>90%以上、未達100%</v>
      </c>
      <c r="M154" s="273" t="str">
        <f t="shared" si="28"/>
        <v>分行目標105%</v>
      </c>
      <c r="N154" s="273">
        <f t="shared" si="29"/>
        <v>79220000</v>
      </c>
      <c r="O154" s="273" t="str">
        <f>VLOOKUP(A154,'116目標底稿SUMMARY'!A:B,2,0)</f>
        <v>80%以上，未達100%</v>
      </c>
      <c r="P154" s="273" t="str">
        <f>VLOOKUP(A154,'116目標底稿SUMMARY'!A:D,4,0)</f>
        <v>預估實績*105%</v>
      </c>
      <c r="Q154" s="273">
        <f>ROUND(IF(A154 = "TYPE_1", I154*'116目標底稿SUMMARY'!$F$3*'116目標底稿SUMMARY'!$G$3, IF(A154 = "TYPE_2", G154*'116目標底稿SUMMARY'!$F$4, IF(A154 = "TYPE_3", G154*'116目標底稿SUMMARY'!$F$5, '116目標底稿ver1'!I154*'116目標底稿SUMMARY'!$F$6*'116目標底稿SUMMARY'!$G$6))), -4)</f>
        <v>77230000</v>
      </c>
      <c r="R154" s="452">
        <f t="shared" si="30"/>
        <v>-1990000</v>
      </c>
      <c r="S154" s="274">
        <f>VLOOKUP(D154,'116指標1_前2年手收20%'!A:M,13,0)</f>
        <v>534637</v>
      </c>
      <c r="T154" s="274">
        <f>VLOOKUP(D154,'116指標2_存款25%'!A:F,6,0)</f>
        <v>606877</v>
      </c>
      <c r="U154" s="274">
        <f>VLOOKUP(D154,'116指標6_理財AUM25%'!A:F,6,0)</f>
        <v>679101</v>
      </c>
      <c r="V154" s="274">
        <f>VLOOKUP(D154,'116指標4_114分行人數25%'!A:Q,17,0)</f>
        <v>577276</v>
      </c>
      <c r="W154" s="274">
        <f>VLOOKUP(F154,'115分組'!D:F,3,0)</f>
        <v>100000</v>
      </c>
      <c r="X154" s="274"/>
      <c r="Y154" s="275">
        <f t="shared" si="24"/>
        <v>2500000</v>
      </c>
      <c r="Z154" s="451">
        <f t="shared" si="31"/>
        <v>79730000</v>
      </c>
      <c r="AA154" s="276">
        <f t="shared" si="32"/>
        <v>6.3378874704279831E-2</v>
      </c>
      <c r="AB154" s="276">
        <f t="shared" si="33"/>
        <v>5.6726308813783932E-2</v>
      </c>
      <c r="AC154" s="277">
        <f t="shared" si="25"/>
        <v>43851500</v>
      </c>
    </row>
    <row r="155" spans="1:29" s="279" customFormat="1" ht="24" customHeight="1">
      <c r="A155" s="279" t="str">
        <f>IF(J155&gt;='116目標底稿SUMMARY'!$E$3,"TYPE_1",IF(J155&gt;='116目標底稿SUMMARY'!$E$4,"TYPE_2",IF(J155&gt;='116目標底稿SUMMARY'!$E$5,"TYPE_3","TYPE_4")))</f>
        <v>TYPE_1</v>
      </c>
      <c r="B155" s="272">
        <v>148</v>
      </c>
      <c r="C155" s="271" t="s">
        <v>48</v>
      </c>
      <c r="D155" s="272">
        <v>640</v>
      </c>
      <c r="E155" s="273" t="s">
        <v>50</v>
      </c>
      <c r="F155" s="272">
        <f>IF(ISERROR(VLOOKUP(D155,'115分組'!A:D,4,0)), "未分", VLOOKUP(D155,'115分組'!A:D,4,0))</f>
        <v>1</v>
      </c>
      <c r="G155" s="273">
        <f>ROUND(VLOOKUP(D155,'115_分行業績'!A:J,8,0), 0)</f>
        <v>121347283</v>
      </c>
      <c r="H155" s="274">
        <f>(VLOOKUP(D155, '底稿_前2年手收20%'!A:G,7,0)+VLOOKUP(D155, '底稿_前2年手收20%'!O:U,7,0))/2</f>
        <v>91772316.879999995</v>
      </c>
      <c r="I155" s="273">
        <f>VLOOKUP(D155,'115_分行業績'!A:I,9,0)</f>
        <v>101430000</v>
      </c>
      <c r="J155" s="456">
        <f t="shared" si="23"/>
        <v>1.2</v>
      </c>
      <c r="K155" s="456">
        <f t="shared" si="26"/>
        <v>0.96</v>
      </c>
      <c r="L155" s="273" t="str">
        <f t="shared" si="27"/>
        <v>120%以上、未達130%</v>
      </c>
      <c r="M155" s="273" t="str">
        <f t="shared" si="28"/>
        <v>預估實績*101%</v>
      </c>
      <c r="N155" s="273">
        <f t="shared" si="29"/>
        <v>122560000</v>
      </c>
      <c r="O155" s="273" t="str">
        <f>VLOOKUP(A155,'116目標底稿SUMMARY'!A:B,2,0)</f>
        <v>120%以上</v>
      </c>
      <c r="P155" s="273" t="str">
        <f>VLOOKUP(A155,'116目標底稿SUMMARY'!A:D,4,0)</f>
        <v>分行目標*120%*101%</v>
      </c>
      <c r="Q155" s="273">
        <f>ROUND(IF(A155 = "TYPE_1", I155*'116目標底稿SUMMARY'!$F$3*'116目標底稿SUMMARY'!$G$3, IF(A155 = "TYPE_2", G155*'116目標底稿SUMMARY'!$F$4, IF(A155 = "TYPE_3", G155*'116目標底稿SUMMARY'!$F$5, '116目標底稿ver1'!I155*'116目標底稿SUMMARY'!$F$6*'116目標底稿SUMMARY'!$G$6))), -4)</f>
        <v>122930000</v>
      </c>
      <c r="R155" s="452">
        <f t="shared" si="30"/>
        <v>370000</v>
      </c>
      <c r="S155" s="274">
        <f>VLOOKUP(D155,'116指標1_前2年手收20%'!A:M,13,0)</f>
        <v>820872</v>
      </c>
      <c r="T155" s="274">
        <f>VLOOKUP(D155,'116指標2_存款25%'!A:F,6,0)</f>
        <v>855307</v>
      </c>
      <c r="U155" s="274">
        <f>VLOOKUP(D155,'116指標6_理財AUM25%'!A:F,6,0)</f>
        <v>1026976</v>
      </c>
      <c r="V155" s="274">
        <f>VLOOKUP(D155,'116指標4_114分行人數25%'!A:Q,17,0)</f>
        <v>885588</v>
      </c>
      <c r="W155" s="274">
        <f>VLOOKUP(F155,'115分組'!D:F,3,0)</f>
        <v>190000</v>
      </c>
      <c r="X155" s="274"/>
      <c r="Y155" s="275">
        <f t="shared" si="24"/>
        <v>3780000</v>
      </c>
      <c r="Z155" s="451">
        <f t="shared" si="31"/>
        <v>126710000</v>
      </c>
      <c r="AA155" s="276">
        <f t="shared" si="32"/>
        <v>4.4193136157815838E-2</v>
      </c>
      <c r="AB155" s="276">
        <f t="shared" si="33"/>
        <v>0.24923592625455981</v>
      </c>
      <c r="AC155" s="277">
        <f t="shared" si="25"/>
        <v>69690500</v>
      </c>
    </row>
    <row r="156" spans="1:29" s="279" customFormat="1" ht="24.95" customHeight="1">
      <c r="A156" s="279" t="str">
        <f>IF(J156&gt;='116目標底稿SUMMARY'!$E$3,"TYPE_1",IF(J156&gt;='116目標底稿SUMMARY'!$E$4,"TYPE_2",IF(J156&gt;='116目標底稿SUMMARY'!$E$5,"TYPE_3","TYPE_4")))</f>
        <v>TYPE_4</v>
      </c>
      <c r="B156" s="272">
        <v>149</v>
      </c>
      <c r="C156" s="271" t="s">
        <v>48</v>
      </c>
      <c r="D156" s="272">
        <v>642</v>
      </c>
      <c r="E156" s="273" t="s">
        <v>196</v>
      </c>
      <c r="F156" s="272">
        <f>IF(ISERROR(VLOOKUP(D156,'115分組'!A:D,4,0)), "未分", VLOOKUP(D156,'115分組'!A:D,4,0))</f>
        <v>2</v>
      </c>
      <c r="G156" s="273">
        <f>ROUND(VLOOKUP(D156,'115_分行業績'!A:J,8,0), 0)</f>
        <v>74163500</v>
      </c>
      <c r="H156" s="274">
        <f>(VLOOKUP(D156, '底稿_前2年手收20%'!A:G,7,0)+VLOOKUP(D156, '底稿_前2年手收20%'!O:U,7,0))/2</f>
        <v>75567132.810000002</v>
      </c>
      <c r="I156" s="273">
        <f>VLOOKUP(D156,'115_分行業績'!A:I,9,0)</f>
        <v>95940000</v>
      </c>
      <c r="J156" s="456">
        <f t="shared" si="23"/>
        <v>0.77</v>
      </c>
      <c r="K156" s="456">
        <f t="shared" si="26"/>
        <v>0.78</v>
      </c>
      <c r="L156" s="273" t="str">
        <f t="shared" si="27"/>
        <v>75%以上、未達90%</v>
      </c>
      <c r="M156" s="273" t="str">
        <f t="shared" si="28"/>
        <v>分行目標110%</v>
      </c>
      <c r="N156" s="273">
        <f t="shared" si="29"/>
        <v>105530000</v>
      </c>
      <c r="O156" s="273" t="str">
        <f>VLOOKUP(A156,'116目標底稿SUMMARY'!A:B,2,0)</f>
        <v>未達80%</v>
      </c>
      <c r="P156" s="273" t="str">
        <f>VLOOKUP(A156,'116目標底稿SUMMARY'!A:D,4,0)</f>
        <v>分行目標*80%*120%</v>
      </c>
      <c r="Q156" s="273">
        <f>ROUND(IF(A156 = "TYPE_1", I156*'116目標底稿SUMMARY'!$F$3*'116目標底稿SUMMARY'!$G$3, IF(A156 = "TYPE_2", G156*'116目標底稿SUMMARY'!$F$4, IF(A156 = "TYPE_3", G156*'116目標底稿SUMMARY'!$F$5, '116目標底稿ver1'!I156*'116目標底稿SUMMARY'!$F$6*'116目標底稿SUMMARY'!$G$6))), -4)</f>
        <v>92100000</v>
      </c>
      <c r="R156" s="452">
        <f t="shared" si="30"/>
        <v>-13430000</v>
      </c>
      <c r="S156" s="274">
        <f>VLOOKUP(D156,'116指標1_前2年手收20%'!A:M,13,0)</f>
        <v>774607</v>
      </c>
      <c r="T156" s="274">
        <f>VLOOKUP(D156,'116指標2_存款25%'!A:F,6,0)</f>
        <v>842315</v>
      </c>
      <c r="U156" s="274">
        <f>VLOOKUP(D156,'116指標6_理財AUM25%'!A:F,6,0)</f>
        <v>914195</v>
      </c>
      <c r="V156" s="274">
        <f>VLOOKUP(D156,'116指標4_114分行人數25%'!A:Q,17,0)</f>
        <v>577276</v>
      </c>
      <c r="W156" s="274">
        <f>VLOOKUP(F156,'115分組'!D:F,3,0)</f>
        <v>170000</v>
      </c>
      <c r="X156" s="274"/>
      <c r="Y156" s="275">
        <f t="shared" si="24"/>
        <v>3280000</v>
      </c>
      <c r="Z156" s="451">
        <f t="shared" si="31"/>
        <v>95380000</v>
      </c>
      <c r="AA156" s="276">
        <f t="shared" si="32"/>
        <v>0.28607738307927755</v>
      </c>
      <c r="AB156" s="276">
        <f t="shared" si="33"/>
        <v>-5.8369814467374992E-3</v>
      </c>
      <c r="AC156" s="277">
        <f t="shared" si="25"/>
        <v>52459000.000000007</v>
      </c>
    </row>
    <row r="157" spans="1:29" s="279" customFormat="1" ht="24.95" customHeight="1">
      <c r="A157" s="279" t="str">
        <f>IF(J157&gt;='116目標底稿SUMMARY'!$E$3,"TYPE_1",IF(J157&gt;='116目標底稿SUMMARY'!$E$4,"TYPE_2",IF(J157&gt;='116目標底稿SUMMARY'!$E$5,"TYPE_3","TYPE_4")))</f>
        <v>TYPE_2</v>
      </c>
      <c r="B157" s="272">
        <v>150</v>
      </c>
      <c r="C157" s="271" t="s">
        <v>48</v>
      </c>
      <c r="D157" s="272">
        <v>643</v>
      </c>
      <c r="E157" s="273" t="s">
        <v>197</v>
      </c>
      <c r="F157" s="272">
        <f>IF(ISERROR(VLOOKUP(D157,'115分組'!A:D,4,0)), "未分", VLOOKUP(D157,'115分組'!A:D,4,0))</f>
        <v>6</v>
      </c>
      <c r="G157" s="273">
        <f>ROUND(VLOOKUP(D157,'115_分行業績'!A:J,8,0), 0)</f>
        <v>55674017</v>
      </c>
      <c r="H157" s="274">
        <f>(VLOOKUP(D157, '底稿_前2年手收20%'!A:G,7,0)+VLOOKUP(D157, '底稿_前2年手收20%'!O:U,7,0))/2</f>
        <v>33211261.244999997</v>
      </c>
      <c r="I157" s="273">
        <f>VLOOKUP(D157,'115_分行業績'!A:I,9,0)</f>
        <v>50950000</v>
      </c>
      <c r="J157" s="456">
        <f t="shared" si="23"/>
        <v>1.0900000000000001</v>
      </c>
      <c r="K157" s="456">
        <f t="shared" si="26"/>
        <v>0.96</v>
      </c>
      <c r="L157" s="273" t="str">
        <f t="shared" si="27"/>
        <v>100%以上、未達110%</v>
      </c>
      <c r="M157" s="273" t="str">
        <f t="shared" si="28"/>
        <v>預估實績105%</v>
      </c>
      <c r="N157" s="273">
        <f t="shared" si="29"/>
        <v>58460000</v>
      </c>
      <c r="O157" s="273" t="str">
        <f>VLOOKUP(A157,'116目標底稿SUMMARY'!A:B,2,0)</f>
        <v>100%以上，未達120%</v>
      </c>
      <c r="P157" s="273" t="str">
        <f>VLOOKUP(A157,'116目標底稿SUMMARY'!A:D,4,0)</f>
        <v>預估實績*103%</v>
      </c>
      <c r="Q157" s="273">
        <f>ROUND(IF(A157 = "TYPE_1", I157*'116目標底稿SUMMARY'!$F$3*'116目標底稿SUMMARY'!$G$3, IF(A157 = "TYPE_2", G157*'116目標底稿SUMMARY'!$F$4, IF(A157 = "TYPE_3", G157*'116目標底稿SUMMARY'!$F$5, '116目標底稿ver1'!I157*'116目標底稿SUMMARY'!$F$6*'116目標底稿SUMMARY'!$G$6))), -4)</f>
        <v>56230000</v>
      </c>
      <c r="R157" s="452">
        <f t="shared" si="30"/>
        <v>-2230000</v>
      </c>
      <c r="S157" s="274">
        <f>VLOOKUP(D157,'116指標1_前2年手收20%'!A:M,13,0)</f>
        <v>376183</v>
      </c>
      <c r="T157" s="274">
        <f>VLOOKUP(D157,'116指標2_存款25%'!A:F,6,0)</f>
        <v>405076</v>
      </c>
      <c r="U157" s="274">
        <f>VLOOKUP(D157,'116指標6_理財AUM25%'!A:F,6,0)</f>
        <v>533603</v>
      </c>
      <c r="V157" s="274">
        <f>VLOOKUP(D157,'116指標4_114分行人數25%'!A:Q,17,0)</f>
        <v>517557</v>
      </c>
      <c r="W157" s="274">
        <f>VLOOKUP(F157,'115分組'!D:F,3,0)</f>
        <v>80000</v>
      </c>
      <c r="X157" s="274"/>
      <c r="Y157" s="275">
        <f t="shared" si="24"/>
        <v>1910000</v>
      </c>
      <c r="Z157" s="451">
        <f t="shared" si="31"/>
        <v>58140000</v>
      </c>
      <c r="AA157" s="276">
        <f t="shared" si="32"/>
        <v>4.4293247243143874E-2</v>
      </c>
      <c r="AB157" s="276">
        <f t="shared" si="33"/>
        <v>0.14111874386653578</v>
      </c>
      <c r="AC157" s="277">
        <f t="shared" si="25"/>
        <v>31977000.000000004</v>
      </c>
    </row>
    <row r="158" spans="1:29" s="279" customFormat="1" ht="24.95" customHeight="1">
      <c r="A158" s="279" t="str">
        <f>IF(J158&gt;='116目標底稿SUMMARY'!$E$3,"TYPE_1",IF(J158&gt;='116目標底稿SUMMARY'!$E$4,"TYPE_2",IF(J158&gt;='116目標底稿SUMMARY'!$E$5,"TYPE_3","TYPE_4")))</f>
        <v>TYPE_4</v>
      </c>
      <c r="B158" s="272">
        <v>151</v>
      </c>
      <c r="C158" s="271" t="s">
        <v>48</v>
      </c>
      <c r="D158" s="272">
        <v>644</v>
      </c>
      <c r="E158" s="273" t="s">
        <v>51</v>
      </c>
      <c r="F158" s="272">
        <f>IF(ISERROR(VLOOKUP(D158,'115分組'!A:D,4,0)), "未分", VLOOKUP(D158,'115分組'!A:D,4,0))</f>
        <v>5</v>
      </c>
      <c r="G158" s="273">
        <f>ROUND(VLOOKUP(D158,'115_分行業績'!A:J,8,0), 0)</f>
        <v>47154352</v>
      </c>
      <c r="H158" s="274">
        <f>(VLOOKUP(D158, '底稿_前2年手收20%'!A:G,7,0)+VLOOKUP(D158, '底稿_前2年手收20%'!O:U,7,0))/2</f>
        <v>40869254.890000001</v>
      </c>
      <c r="I158" s="273">
        <f>VLOOKUP(D158,'115_分行業績'!A:I,9,0)</f>
        <v>71900000</v>
      </c>
      <c r="J158" s="456">
        <f t="shared" si="23"/>
        <v>0.66</v>
      </c>
      <c r="K158" s="456">
        <f t="shared" si="26"/>
        <v>0.66</v>
      </c>
      <c r="L158" s="273" t="str">
        <f t="shared" si="27"/>
        <v>未達75%</v>
      </c>
      <c r="M158" s="273" t="str">
        <f t="shared" si="28"/>
        <v>分行目標115%</v>
      </c>
      <c r="N158" s="273">
        <f t="shared" si="29"/>
        <v>82690000</v>
      </c>
      <c r="O158" s="273" t="str">
        <f>VLOOKUP(A158,'116目標底稿SUMMARY'!A:B,2,0)</f>
        <v>未達80%</v>
      </c>
      <c r="P158" s="273" t="str">
        <f>VLOOKUP(A158,'116目標底稿SUMMARY'!A:D,4,0)</f>
        <v>分行目標*80%*120%</v>
      </c>
      <c r="Q158" s="273">
        <f>ROUND(IF(A158 = "TYPE_1", I158*'116目標底稿SUMMARY'!$F$3*'116目標底稿SUMMARY'!$G$3, IF(A158 = "TYPE_2", G158*'116目標底稿SUMMARY'!$F$4, IF(A158 = "TYPE_3", G158*'116目標底稿SUMMARY'!$F$5, '116目標底稿ver1'!I158*'116目標底稿SUMMARY'!$F$6*'116目標底稿SUMMARY'!$G$6))), -4)</f>
        <v>69020000</v>
      </c>
      <c r="R158" s="452">
        <f t="shared" si="30"/>
        <v>-13670000</v>
      </c>
      <c r="S158" s="274">
        <f>VLOOKUP(D158,'116指標1_前2年手收20%'!A:M,13,0)</f>
        <v>482396</v>
      </c>
      <c r="T158" s="274">
        <f>VLOOKUP(D158,'116指標2_存款25%'!A:F,6,0)</f>
        <v>623557</v>
      </c>
      <c r="U158" s="274">
        <f>VLOOKUP(D158,'116指標6_理財AUM25%'!A:F,6,0)</f>
        <v>674484</v>
      </c>
      <c r="V158" s="274">
        <f>VLOOKUP(D158,'116指標4_114分行人數25%'!A:Q,17,0)</f>
        <v>577276</v>
      </c>
      <c r="W158" s="274">
        <f>VLOOKUP(F158,'115分組'!D:F,3,0)</f>
        <v>100000</v>
      </c>
      <c r="X158" s="274"/>
      <c r="Y158" s="275">
        <f t="shared" si="24"/>
        <v>2460000</v>
      </c>
      <c r="Z158" s="451">
        <f t="shared" si="31"/>
        <v>71480000</v>
      </c>
      <c r="AA158" s="276">
        <f t="shared" si="32"/>
        <v>0.51587280851616835</v>
      </c>
      <c r="AB158" s="276">
        <f t="shared" si="33"/>
        <v>-5.8414464534075616E-3</v>
      </c>
      <c r="AC158" s="277">
        <f t="shared" si="25"/>
        <v>39314000</v>
      </c>
    </row>
    <row r="159" spans="1:29" s="279" customFormat="1" ht="24.95" customHeight="1">
      <c r="A159" s="279" t="str">
        <f>IF(J159&gt;='116目標底稿SUMMARY'!$E$3,"TYPE_1",IF(J159&gt;='116目標底稿SUMMARY'!$E$4,"TYPE_2",IF(J159&gt;='116目標底稿SUMMARY'!$E$5,"TYPE_3","TYPE_4")))</f>
        <v>TYPE_2</v>
      </c>
      <c r="B159" s="272">
        <v>152</v>
      </c>
      <c r="C159" s="271" t="s">
        <v>48</v>
      </c>
      <c r="D159" s="272">
        <v>645</v>
      </c>
      <c r="E159" s="273" t="s">
        <v>198</v>
      </c>
      <c r="F159" s="272">
        <f>IF(ISERROR(VLOOKUP(D159,'115分組'!A:D,4,0)), "未分", VLOOKUP(D159,'115分組'!A:D,4,0))</f>
        <v>2</v>
      </c>
      <c r="G159" s="273">
        <f>ROUND(VLOOKUP(D159,'115_分行業績'!A:J,8,0), 0)</f>
        <v>72888784</v>
      </c>
      <c r="H159" s="274">
        <f>(VLOOKUP(D159, '底稿_前2年手收20%'!A:G,7,0)+VLOOKUP(D159, '底稿_前2年手收20%'!O:U,7,0))/2</f>
        <v>48292287.655000001</v>
      </c>
      <c r="I159" s="273">
        <f>VLOOKUP(D159,'115_分行業績'!A:I,9,0)</f>
        <v>71530000</v>
      </c>
      <c r="J159" s="456">
        <f t="shared" si="23"/>
        <v>1.02</v>
      </c>
      <c r="K159" s="456">
        <f t="shared" si="26"/>
        <v>0.95</v>
      </c>
      <c r="L159" s="273" t="str">
        <f t="shared" si="27"/>
        <v>100%以上、未達110%</v>
      </c>
      <c r="M159" s="273" t="str">
        <f t="shared" si="28"/>
        <v>預估實績105%</v>
      </c>
      <c r="N159" s="273">
        <f t="shared" si="29"/>
        <v>76530000</v>
      </c>
      <c r="O159" s="273" t="str">
        <f>VLOOKUP(A159,'116目標底稿SUMMARY'!A:B,2,0)</f>
        <v>100%以上，未達120%</v>
      </c>
      <c r="P159" s="273" t="str">
        <f>VLOOKUP(A159,'116目標底稿SUMMARY'!A:D,4,0)</f>
        <v>預估實績*103%</v>
      </c>
      <c r="Q159" s="273">
        <f>ROUND(IF(A159 = "TYPE_1", I159*'116目標底稿SUMMARY'!$F$3*'116目標底稿SUMMARY'!$G$3, IF(A159 = "TYPE_2", G159*'116目標底稿SUMMARY'!$F$4, IF(A159 = "TYPE_3", G159*'116目標底稿SUMMARY'!$F$5, '116目標底稿ver1'!I159*'116目標底稿SUMMARY'!$F$6*'116目標底稿SUMMARY'!$G$6))), -4)</f>
        <v>73620000</v>
      </c>
      <c r="R159" s="452">
        <f t="shared" si="30"/>
        <v>-2910000</v>
      </c>
      <c r="S159" s="274">
        <f>VLOOKUP(D159,'116指標1_前2年手收20%'!A:M,13,0)</f>
        <v>529760</v>
      </c>
      <c r="T159" s="274">
        <f>VLOOKUP(D159,'116指標2_存款25%'!A:F,6,0)</f>
        <v>716377</v>
      </c>
      <c r="U159" s="274">
        <f>VLOOKUP(D159,'116指標6_理財AUM25%'!A:F,6,0)</f>
        <v>687238</v>
      </c>
      <c r="V159" s="274">
        <f>VLOOKUP(D159,'116指標4_114分行人數25%'!A:Q,17,0)</f>
        <v>656900</v>
      </c>
      <c r="W159" s="274">
        <f>VLOOKUP(F159,'115分組'!D:F,3,0)</f>
        <v>170000</v>
      </c>
      <c r="X159" s="274"/>
      <c r="Y159" s="275">
        <f t="shared" si="24"/>
        <v>2760000</v>
      </c>
      <c r="Z159" s="451">
        <f t="shared" si="31"/>
        <v>76380000</v>
      </c>
      <c r="AA159" s="276">
        <f t="shared" si="32"/>
        <v>4.7897849413978344E-2</v>
      </c>
      <c r="AB159" s="276">
        <f t="shared" si="33"/>
        <v>6.7803718719418482E-2</v>
      </c>
      <c r="AC159" s="277">
        <f t="shared" si="25"/>
        <v>42009000</v>
      </c>
    </row>
    <row r="160" spans="1:29" s="279" customFormat="1" ht="24.95" customHeight="1">
      <c r="A160" s="279" t="str">
        <f>IF(J160&gt;='116目標底稿SUMMARY'!$E$3,"TYPE_1",IF(J160&gt;='116目標底稿SUMMARY'!$E$4,"TYPE_2",IF(J160&gt;='116目標底稿SUMMARY'!$E$5,"TYPE_3","TYPE_4")))</f>
        <v>TYPE_4</v>
      </c>
      <c r="B160" s="272">
        <v>153</v>
      </c>
      <c r="C160" s="271" t="s">
        <v>48</v>
      </c>
      <c r="D160" s="272">
        <v>646</v>
      </c>
      <c r="E160" s="273" t="s">
        <v>199</v>
      </c>
      <c r="F160" s="272">
        <f>IF(ISERROR(VLOOKUP(D160,'115分組'!A:D,4,0)), "未分", VLOOKUP(D160,'115分組'!A:D,4,0))</f>
        <v>7</v>
      </c>
      <c r="G160" s="273">
        <f>ROUND(VLOOKUP(D160,'115_分行業績'!A:J,8,0), 0)</f>
        <v>37655999</v>
      </c>
      <c r="H160" s="274">
        <f>(VLOOKUP(D160, '底稿_前2年手收20%'!A:G,7,0)+VLOOKUP(D160, '底稿_前2年手收20%'!O:U,7,0))/2</f>
        <v>30942321.085000001</v>
      </c>
      <c r="I160" s="273">
        <f>VLOOKUP(D160,'115_分行業績'!A:I,9,0)</f>
        <v>48300000</v>
      </c>
      <c r="J160" s="456">
        <f t="shared" si="23"/>
        <v>0.78</v>
      </c>
      <c r="K160" s="456">
        <f t="shared" si="26"/>
        <v>0.78</v>
      </c>
      <c r="L160" s="273" t="str">
        <f t="shared" si="27"/>
        <v>75%以上、未達90%</v>
      </c>
      <c r="M160" s="273" t="str">
        <f t="shared" si="28"/>
        <v>分行目標110%</v>
      </c>
      <c r="N160" s="273">
        <f t="shared" si="29"/>
        <v>53130000</v>
      </c>
      <c r="O160" s="273" t="str">
        <f>VLOOKUP(A160,'116目標底稿SUMMARY'!A:B,2,0)</f>
        <v>未達80%</v>
      </c>
      <c r="P160" s="273" t="str">
        <f>VLOOKUP(A160,'116目標底稿SUMMARY'!A:D,4,0)</f>
        <v>分行目標*80%*120%</v>
      </c>
      <c r="Q160" s="273">
        <f>ROUND(IF(A160 = "TYPE_1", I160*'116目標底稿SUMMARY'!$F$3*'116目標底稿SUMMARY'!$G$3, IF(A160 = "TYPE_2", G160*'116目標底稿SUMMARY'!$F$4, IF(A160 = "TYPE_3", G160*'116目標底稿SUMMARY'!$F$5, '116目標底稿ver1'!I160*'116目標底稿SUMMARY'!$F$6*'116目標底稿SUMMARY'!$G$6))), -4)</f>
        <v>46370000</v>
      </c>
      <c r="R160" s="452">
        <f t="shared" si="30"/>
        <v>-6760000</v>
      </c>
      <c r="S160" s="274">
        <f>VLOOKUP(D160,'116指標1_前2年手收20%'!A:M,13,0)</f>
        <v>364738</v>
      </c>
      <c r="T160" s="274">
        <f>VLOOKUP(D160,'116指標2_存款25%'!A:F,6,0)</f>
        <v>437244</v>
      </c>
      <c r="U160" s="274">
        <f>VLOOKUP(D160,'116指標6_理財AUM25%'!A:F,6,0)</f>
        <v>599709</v>
      </c>
      <c r="V160" s="274">
        <f>VLOOKUP(D160,'116指標4_114分行人數25%'!A:Q,17,0)</f>
        <v>497651</v>
      </c>
      <c r="W160" s="274">
        <f>VLOOKUP(F160,'115分組'!D:F,3,0)</f>
        <v>60000</v>
      </c>
      <c r="X160" s="274"/>
      <c r="Y160" s="275">
        <f t="shared" si="24"/>
        <v>1960000</v>
      </c>
      <c r="Z160" s="451">
        <f t="shared" si="31"/>
        <v>48330000</v>
      </c>
      <c r="AA160" s="276">
        <f t="shared" si="32"/>
        <v>0.2834608371431071</v>
      </c>
      <c r="AB160" s="276">
        <f t="shared" si="33"/>
        <v>6.211180124222615E-4</v>
      </c>
      <c r="AC160" s="277">
        <f t="shared" si="25"/>
        <v>26581500.000000004</v>
      </c>
    </row>
    <row r="161" spans="1:29" s="279" customFormat="1" ht="24.95" customHeight="1">
      <c r="A161" s="279" t="str">
        <f>IF(J161&gt;='116目標底稿SUMMARY'!$E$3,"TYPE_1",IF(J161&gt;='116目標底稿SUMMARY'!$E$4,"TYPE_2",IF(J161&gt;='116目標底稿SUMMARY'!$E$5,"TYPE_3","TYPE_4")))</f>
        <v>TYPE_2</v>
      </c>
      <c r="B161" s="272">
        <v>154</v>
      </c>
      <c r="C161" s="271" t="s">
        <v>48</v>
      </c>
      <c r="D161" s="272">
        <v>647</v>
      </c>
      <c r="E161" s="273" t="s">
        <v>108</v>
      </c>
      <c r="F161" s="272">
        <f>IF(ISERROR(VLOOKUP(D161,'115分組'!A:D,4,0)), "未分", VLOOKUP(D161,'115分組'!A:D,4,0))</f>
        <v>5</v>
      </c>
      <c r="G161" s="273">
        <f>ROUND(VLOOKUP(D161,'115_分行業績'!A:J,8,0), 0)</f>
        <v>64370511</v>
      </c>
      <c r="H161" s="274">
        <f>(VLOOKUP(D161, '底稿_前2年手收20%'!A:G,7,0)+VLOOKUP(D161, '底稿_前2年手收20%'!O:U,7,0))/2</f>
        <v>45774161.530000001</v>
      </c>
      <c r="I161" s="273">
        <f>VLOOKUP(D161,'115_分行業績'!A:I,9,0)</f>
        <v>63960000</v>
      </c>
      <c r="J161" s="456">
        <f t="shared" si="23"/>
        <v>1.01</v>
      </c>
      <c r="K161" s="456">
        <f t="shared" si="26"/>
        <v>0.95</v>
      </c>
      <c r="L161" s="273" t="str">
        <f t="shared" si="27"/>
        <v>100%以上、未達110%</v>
      </c>
      <c r="M161" s="273" t="str">
        <f t="shared" si="28"/>
        <v>預估實績105%</v>
      </c>
      <c r="N161" s="273">
        <f t="shared" si="29"/>
        <v>67590000</v>
      </c>
      <c r="O161" s="273" t="str">
        <f>VLOOKUP(A161,'116目標底稿SUMMARY'!A:B,2,0)</f>
        <v>100%以上，未達120%</v>
      </c>
      <c r="P161" s="273" t="str">
        <f>VLOOKUP(A161,'116目標底稿SUMMARY'!A:D,4,0)</f>
        <v>預估實績*103%</v>
      </c>
      <c r="Q161" s="273">
        <f>ROUND(IF(A161 = "TYPE_1", I161*'116目標底稿SUMMARY'!$F$3*'116目標底稿SUMMARY'!$G$3, IF(A161 = "TYPE_2", G161*'116目標底稿SUMMARY'!$F$4, IF(A161 = "TYPE_3", G161*'116目標底稿SUMMARY'!$F$5, '116目標底稿ver1'!I161*'116目標底稿SUMMARY'!$F$6*'116目標底稿SUMMARY'!$G$6))), -4)</f>
        <v>65010000</v>
      </c>
      <c r="R161" s="452">
        <f t="shared" si="30"/>
        <v>-2580000</v>
      </c>
      <c r="S161" s="274">
        <f>VLOOKUP(D161,'116指標1_前2年手收20%'!A:M,13,0)</f>
        <v>516734</v>
      </c>
      <c r="T161" s="274">
        <f>VLOOKUP(D161,'116指標2_存款25%'!A:F,6,0)</f>
        <v>601331</v>
      </c>
      <c r="U161" s="274">
        <f>VLOOKUP(D161,'116指標6_理財AUM25%'!A:F,6,0)</f>
        <v>867500</v>
      </c>
      <c r="V161" s="274">
        <f>VLOOKUP(D161,'116指標4_114分行人數25%'!A:Q,17,0)</f>
        <v>577276</v>
      </c>
      <c r="W161" s="274">
        <f>VLOOKUP(F161,'115分組'!D:F,3,0)</f>
        <v>100000</v>
      </c>
      <c r="X161" s="274"/>
      <c r="Y161" s="275">
        <f t="shared" si="24"/>
        <v>2660000</v>
      </c>
      <c r="Z161" s="451">
        <f t="shared" si="31"/>
        <v>67670000</v>
      </c>
      <c r="AA161" s="276">
        <f t="shared" si="32"/>
        <v>5.125777236722584E-2</v>
      </c>
      <c r="AB161" s="276">
        <f t="shared" si="33"/>
        <v>5.8005003126954335E-2</v>
      </c>
      <c r="AC161" s="277">
        <f t="shared" si="25"/>
        <v>37218500</v>
      </c>
    </row>
    <row r="162" spans="1:29" s="279" customFormat="1" ht="24.95" customHeight="1">
      <c r="A162" s="279" t="str">
        <f>IF(J162&gt;='116目標底稿SUMMARY'!$E$3,"TYPE_1",IF(J162&gt;='116目標底稿SUMMARY'!$E$4,"TYPE_2",IF(J162&gt;='116目標底稿SUMMARY'!$E$5,"TYPE_3","TYPE_4")))</f>
        <v>TYPE_1</v>
      </c>
      <c r="B162" s="272">
        <v>155</v>
      </c>
      <c r="C162" s="271" t="s">
        <v>48</v>
      </c>
      <c r="D162" s="272">
        <v>648</v>
      </c>
      <c r="E162" s="273" t="s">
        <v>200</v>
      </c>
      <c r="F162" s="272">
        <f>IF(ISERROR(VLOOKUP(D162,'115分組'!A:D,4,0)), "未分", VLOOKUP(D162,'115分組'!A:D,4,0))</f>
        <v>7</v>
      </c>
      <c r="G162" s="273">
        <f>ROUND(VLOOKUP(D162,'115_分行業績'!A:J,8,0), 0)</f>
        <v>66452314</v>
      </c>
      <c r="H162" s="274">
        <f>(VLOOKUP(D162, '底稿_前2年手收20%'!A:G,7,0)+VLOOKUP(D162, '底稿_前2年手收20%'!O:U,7,0))/2</f>
        <v>34665776.159999996</v>
      </c>
      <c r="I162" s="273">
        <f>VLOOKUP(D162,'115_分行業績'!A:I,9,0)</f>
        <v>49760000</v>
      </c>
      <c r="J162" s="456">
        <f t="shared" si="23"/>
        <v>1.34</v>
      </c>
      <c r="K162" s="456">
        <f t="shared" si="26"/>
        <v>1.07</v>
      </c>
      <c r="L162" s="273" t="str">
        <f t="shared" si="27"/>
        <v>130%以上、未達150%</v>
      </c>
      <c r="M162" s="273" t="str">
        <f t="shared" si="28"/>
        <v>預估實績*90%</v>
      </c>
      <c r="N162" s="273">
        <f t="shared" si="29"/>
        <v>59810000</v>
      </c>
      <c r="O162" s="273" t="str">
        <f>VLOOKUP(A162,'116目標底稿SUMMARY'!A:B,2,0)</f>
        <v>120%以上</v>
      </c>
      <c r="P162" s="273" t="str">
        <f>VLOOKUP(A162,'116目標底稿SUMMARY'!A:D,4,0)</f>
        <v>分行目標*120%*101%</v>
      </c>
      <c r="Q162" s="273">
        <f>ROUND(IF(A162 = "TYPE_1", I162*'116目標底稿SUMMARY'!$F$3*'116目標底稿SUMMARY'!$G$3, IF(A162 = "TYPE_2", G162*'116目標底稿SUMMARY'!$F$4, IF(A162 = "TYPE_3", G162*'116目標底稿SUMMARY'!$F$5, '116目標底稿ver1'!I162*'116目標底稿SUMMARY'!$F$6*'116目標底稿SUMMARY'!$G$6))), -4)</f>
        <v>60310000</v>
      </c>
      <c r="R162" s="452">
        <f t="shared" si="30"/>
        <v>500000</v>
      </c>
      <c r="S162" s="274">
        <f>VLOOKUP(D162,'116指標1_前2年手收20%'!A:M,13,0)</f>
        <v>405924</v>
      </c>
      <c r="T162" s="274">
        <f>VLOOKUP(D162,'116指標2_存款25%'!A:F,6,0)</f>
        <v>387848</v>
      </c>
      <c r="U162" s="274">
        <f>VLOOKUP(D162,'116指標6_理財AUM25%'!A:F,6,0)</f>
        <v>580298</v>
      </c>
      <c r="V162" s="274">
        <f>VLOOKUP(D162,'116指標4_114分行人數25%'!A:Q,17,0)</f>
        <v>537464</v>
      </c>
      <c r="W162" s="274">
        <f>VLOOKUP(F162,'115分組'!D:F,3,0)</f>
        <v>60000</v>
      </c>
      <c r="X162" s="274"/>
      <c r="Y162" s="275">
        <f t="shared" si="24"/>
        <v>1970000</v>
      </c>
      <c r="Z162" s="451">
        <f t="shared" si="31"/>
        <v>62280000</v>
      </c>
      <c r="AA162" s="276">
        <f t="shared" si="32"/>
        <v>-6.2786587085590373E-2</v>
      </c>
      <c r="AB162" s="276">
        <f t="shared" si="33"/>
        <v>0.25160771704180074</v>
      </c>
      <c r="AC162" s="277">
        <f t="shared" si="25"/>
        <v>34254000</v>
      </c>
    </row>
    <row r="163" spans="1:29" s="279" customFormat="1" ht="24.95" customHeight="1">
      <c r="A163" s="279" t="str">
        <f>IF(J163&gt;='116目標底稿SUMMARY'!$E$3,"TYPE_1",IF(J163&gt;='116目標底稿SUMMARY'!$E$4,"TYPE_2",IF(J163&gt;='116目標底稿SUMMARY'!$E$5,"TYPE_3","TYPE_4")))</f>
        <v>TYPE_4</v>
      </c>
      <c r="B163" s="272">
        <v>156</v>
      </c>
      <c r="C163" s="271" t="s">
        <v>48</v>
      </c>
      <c r="D163" s="272">
        <v>681</v>
      </c>
      <c r="E163" s="273" t="s">
        <v>52</v>
      </c>
      <c r="F163" s="272">
        <f>IF(ISERROR(VLOOKUP(D163,'115分組'!A:D,4,0)), "未分", VLOOKUP(D163,'115分組'!A:D,4,0))</f>
        <v>5</v>
      </c>
      <c r="G163" s="273">
        <f>ROUND(VLOOKUP(D163,'115_分行業績'!A:J,8,0), 0)</f>
        <v>38567689</v>
      </c>
      <c r="H163" s="274">
        <f>(VLOOKUP(D163, '底稿_前2年手收20%'!A:G,7,0)+VLOOKUP(D163, '底稿_前2年手收20%'!O:U,7,0))/2</f>
        <v>31399863.754999999</v>
      </c>
      <c r="I163" s="273">
        <f>VLOOKUP(D163,'115_分行業績'!A:I,9,0)</f>
        <v>55770000</v>
      </c>
      <c r="J163" s="456">
        <f t="shared" si="23"/>
        <v>0.69</v>
      </c>
      <c r="K163" s="456">
        <f t="shared" si="26"/>
        <v>0.69</v>
      </c>
      <c r="L163" s="273" t="str">
        <f t="shared" si="27"/>
        <v>未達75%</v>
      </c>
      <c r="M163" s="273" t="str">
        <f t="shared" si="28"/>
        <v>分行目標115%</v>
      </c>
      <c r="N163" s="273">
        <f t="shared" si="29"/>
        <v>64140000</v>
      </c>
      <c r="O163" s="273" t="str">
        <f>VLOOKUP(A163,'116目標底稿SUMMARY'!A:B,2,0)</f>
        <v>未達80%</v>
      </c>
      <c r="P163" s="273" t="str">
        <f>VLOOKUP(A163,'116目標底稿SUMMARY'!A:D,4,0)</f>
        <v>分行目標*80%*120%</v>
      </c>
      <c r="Q163" s="273">
        <f>ROUND(IF(A163 = "TYPE_1", I163*'116目標底稿SUMMARY'!$F$3*'116目標底稿SUMMARY'!$G$3, IF(A163 = "TYPE_2", G163*'116目標底稿SUMMARY'!$F$4, IF(A163 = "TYPE_3", G163*'116目標底稿SUMMARY'!$F$5, '116目標底稿ver1'!I163*'116目標底稿SUMMARY'!$F$6*'116目標底稿SUMMARY'!$G$6))), -4)</f>
        <v>53540000</v>
      </c>
      <c r="R163" s="452">
        <f t="shared" si="30"/>
        <v>-10600000</v>
      </c>
      <c r="S163" s="274">
        <f>VLOOKUP(D163,'116指標1_前2年手收20%'!A:M,13,0)</f>
        <v>373446</v>
      </c>
      <c r="T163" s="274">
        <f>VLOOKUP(D163,'116指標2_存款25%'!A:F,6,0)</f>
        <v>679545</v>
      </c>
      <c r="U163" s="274">
        <f>VLOOKUP(D163,'116指標6_理財AUM25%'!A:F,6,0)</f>
        <v>635737</v>
      </c>
      <c r="V163" s="274">
        <f>VLOOKUP(D163,'116指標4_114分行人數25%'!A:Q,17,0)</f>
        <v>557370</v>
      </c>
      <c r="W163" s="274">
        <f>VLOOKUP(F163,'115分組'!D:F,3,0)</f>
        <v>100000</v>
      </c>
      <c r="X163" s="274"/>
      <c r="Y163" s="275">
        <f t="shared" si="24"/>
        <v>2350000</v>
      </c>
      <c r="Z163" s="451">
        <f t="shared" si="31"/>
        <v>55890000</v>
      </c>
      <c r="AA163" s="276">
        <f t="shared" si="32"/>
        <v>0.44914049685476365</v>
      </c>
      <c r="AB163" s="276">
        <f t="shared" si="33"/>
        <v>2.1516944593866771E-3</v>
      </c>
      <c r="AC163" s="277">
        <f t="shared" si="25"/>
        <v>30739500.000000004</v>
      </c>
    </row>
    <row r="164" spans="1:29" s="279" customFormat="1" ht="24.95" customHeight="1">
      <c r="A164" s="279" t="str">
        <f>IF(J164&gt;='116目標底稿SUMMARY'!$E$3,"TYPE_1",IF(J164&gt;='116目標底稿SUMMARY'!$E$4,"TYPE_2",IF(J164&gt;='116目標底稿SUMMARY'!$E$5,"TYPE_3","TYPE_4")))</f>
        <v>TYPE_1</v>
      </c>
      <c r="B164" s="272">
        <v>157</v>
      </c>
      <c r="C164" s="271" t="s">
        <v>48</v>
      </c>
      <c r="D164" s="272">
        <v>700</v>
      </c>
      <c r="E164" s="273" t="s">
        <v>201</v>
      </c>
      <c r="F164" s="272">
        <f>IF(ISERROR(VLOOKUP(D164,'115分組'!A:D,4,0)), "未分", VLOOKUP(D164,'115分組'!A:D,4,0))</f>
        <v>1</v>
      </c>
      <c r="G164" s="273">
        <f>ROUND(VLOOKUP(D164,'115_分行業績'!A:J,8,0), 0)</f>
        <v>109846893</v>
      </c>
      <c r="H164" s="274">
        <f>(VLOOKUP(D164, '底稿_前2年手收20%'!A:G,7,0)+VLOOKUP(D164, '底稿_前2年手收20%'!O:U,7,0))/2</f>
        <v>70513401.995000005</v>
      </c>
      <c r="I164" s="273">
        <f>VLOOKUP(D164,'115_分行業績'!A:I,9,0)</f>
        <v>90010000</v>
      </c>
      <c r="J164" s="456">
        <f t="shared" si="23"/>
        <v>1.22</v>
      </c>
      <c r="K164" s="456">
        <f t="shared" si="26"/>
        <v>0.98</v>
      </c>
      <c r="L164" s="273" t="str">
        <f t="shared" si="27"/>
        <v>120%以上、未達130%</v>
      </c>
      <c r="M164" s="273" t="str">
        <f t="shared" si="28"/>
        <v>預估實績*101%</v>
      </c>
      <c r="N164" s="273">
        <f t="shared" si="29"/>
        <v>110950000</v>
      </c>
      <c r="O164" s="273" t="str">
        <f>VLOOKUP(A164,'116目標底稿SUMMARY'!A:B,2,0)</f>
        <v>120%以上</v>
      </c>
      <c r="P164" s="273" t="str">
        <f>VLOOKUP(A164,'116目標底稿SUMMARY'!A:D,4,0)</f>
        <v>分行目標*120%*101%</v>
      </c>
      <c r="Q164" s="273">
        <f>ROUND(IF(A164 = "TYPE_1", I164*'116目標底稿SUMMARY'!$F$3*'116目標底稿SUMMARY'!$G$3, IF(A164 = "TYPE_2", G164*'116目標底稿SUMMARY'!$F$4, IF(A164 = "TYPE_3", G164*'116目標底稿SUMMARY'!$F$5, '116目標底稿ver1'!I164*'116目標底稿SUMMARY'!$F$6*'116目標底稿SUMMARY'!$G$6))), -4)</f>
        <v>109090000</v>
      </c>
      <c r="R164" s="452">
        <f t="shared" si="30"/>
        <v>-1860000</v>
      </c>
      <c r="S164" s="274">
        <f>VLOOKUP(D164,'116指標1_前2年手收20%'!A:M,13,0)</f>
        <v>689273</v>
      </c>
      <c r="T164" s="274">
        <f>VLOOKUP(D164,'116指標2_存款25%'!A:F,6,0)</f>
        <v>722130</v>
      </c>
      <c r="U164" s="274">
        <f>VLOOKUP(D164,'116指標6_理財AUM25%'!A:F,6,0)</f>
        <v>758647</v>
      </c>
      <c r="V164" s="274">
        <f>VLOOKUP(D164,'116指標4_114分行人數25%'!A:Q,17,0)</f>
        <v>829061</v>
      </c>
      <c r="W164" s="274">
        <f>VLOOKUP(F164,'115分組'!D:F,3,0)</f>
        <v>190000</v>
      </c>
      <c r="X164" s="274"/>
      <c r="Y164" s="275">
        <f t="shared" si="24"/>
        <v>3190000</v>
      </c>
      <c r="Z164" s="451">
        <f t="shared" si="31"/>
        <v>112280000</v>
      </c>
      <c r="AA164" s="276">
        <f t="shared" si="32"/>
        <v>2.2149984706440362E-2</v>
      </c>
      <c r="AB164" s="276">
        <f t="shared" si="33"/>
        <v>0.24741695367181427</v>
      </c>
      <c r="AC164" s="277">
        <f t="shared" si="25"/>
        <v>61754000.000000007</v>
      </c>
    </row>
    <row r="165" spans="1:29" s="279" customFormat="1" ht="24.95" customHeight="1">
      <c r="A165" s="279" t="str">
        <f>IF(J165&gt;='116目標底稿SUMMARY'!$E$3,"TYPE_1",IF(J165&gt;='116目標底稿SUMMARY'!$E$4,"TYPE_2",IF(J165&gt;='116目標底稿SUMMARY'!$E$5,"TYPE_3","TYPE_4")))</f>
        <v>TYPE_1</v>
      </c>
      <c r="B165" s="272">
        <v>158</v>
      </c>
      <c r="C165" s="271" t="s">
        <v>48</v>
      </c>
      <c r="D165" s="272">
        <v>701</v>
      </c>
      <c r="E165" s="273" t="s">
        <v>202</v>
      </c>
      <c r="F165" s="272">
        <f>IF(ISERROR(VLOOKUP(D165,'115分組'!A:D,4,0)), "未分", VLOOKUP(D165,'115分組'!A:D,4,0))</f>
        <v>3</v>
      </c>
      <c r="G165" s="273">
        <f>ROUND(VLOOKUP(D165,'115_分行業績'!A:J,8,0), 0)</f>
        <v>57485302</v>
      </c>
      <c r="H165" s="274">
        <f>(VLOOKUP(D165, '底稿_前2年手收20%'!A:G,7,0)+VLOOKUP(D165, '底稿_前2年手收20%'!O:U,7,0))/2</f>
        <v>34206269.275000006</v>
      </c>
      <c r="I165" s="273">
        <f>VLOOKUP(D165,'115_分行業績'!A:I,9,0)</f>
        <v>46630000</v>
      </c>
      <c r="J165" s="456">
        <f t="shared" si="23"/>
        <v>1.23</v>
      </c>
      <c r="K165" s="456">
        <f t="shared" si="26"/>
        <v>0.98</v>
      </c>
      <c r="L165" s="273" t="str">
        <f t="shared" si="27"/>
        <v>120%以上、未達130%</v>
      </c>
      <c r="M165" s="273" t="str">
        <f t="shared" si="28"/>
        <v>預估實績*101%</v>
      </c>
      <c r="N165" s="273">
        <f t="shared" si="29"/>
        <v>58060000</v>
      </c>
      <c r="O165" s="273" t="str">
        <f>VLOOKUP(A165,'116目標底稿SUMMARY'!A:B,2,0)</f>
        <v>120%以上</v>
      </c>
      <c r="P165" s="273" t="str">
        <f>VLOOKUP(A165,'116目標底稿SUMMARY'!A:D,4,0)</f>
        <v>分行目標*120%*101%</v>
      </c>
      <c r="Q165" s="273">
        <f>ROUND(IF(A165 = "TYPE_1", I165*'116目標底稿SUMMARY'!$F$3*'116目標底稿SUMMARY'!$G$3, IF(A165 = "TYPE_2", G165*'116目標底稿SUMMARY'!$F$4, IF(A165 = "TYPE_3", G165*'116目標底稿SUMMARY'!$F$5, '116目標底稿ver1'!I165*'116目標底稿SUMMARY'!$F$6*'116目標底稿SUMMARY'!$G$6))), -4)</f>
        <v>56520000</v>
      </c>
      <c r="R165" s="452">
        <f t="shared" si="30"/>
        <v>-1540000</v>
      </c>
      <c r="S165" s="274">
        <f>VLOOKUP(D165,'116指標1_前2年手收20%'!A:M,13,0)</f>
        <v>368873</v>
      </c>
      <c r="T165" s="274">
        <f>VLOOKUP(D165,'116指標2_存款25%'!A:F,6,0)</f>
        <v>461959</v>
      </c>
      <c r="U165" s="274">
        <f>VLOOKUP(D165,'116指標6_理財AUM25%'!A:F,6,0)</f>
        <v>429424</v>
      </c>
      <c r="V165" s="274">
        <f>VLOOKUP(D165,'116指標4_114分行人數25%'!A:Q,17,0)</f>
        <v>477745</v>
      </c>
      <c r="W165" s="274">
        <f>VLOOKUP(F165,'115分組'!D:F,3,0)</f>
        <v>150000</v>
      </c>
      <c r="X165" s="274"/>
      <c r="Y165" s="275">
        <f t="shared" si="24"/>
        <v>1890000</v>
      </c>
      <c r="Z165" s="451">
        <f t="shared" si="31"/>
        <v>58410000</v>
      </c>
      <c r="AA165" s="276">
        <f t="shared" si="32"/>
        <v>1.6085816162190403E-2</v>
      </c>
      <c r="AB165" s="276">
        <f t="shared" si="33"/>
        <v>0.25262706412181002</v>
      </c>
      <c r="AC165" s="277">
        <f t="shared" si="25"/>
        <v>32125500.000000004</v>
      </c>
    </row>
    <row r="166" spans="1:29" s="279" customFormat="1" ht="24.95" customHeight="1">
      <c r="A166" s="279" t="str">
        <f>IF(J166&gt;='116目標底稿SUMMARY'!$E$3,"TYPE_1",IF(J166&gt;='116目標底稿SUMMARY'!$E$4,"TYPE_2",IF(J166&gt;='116目標底稿SUMMARY'!$E$5,"TYPE_3","TYPE_4")))</f>
        <v>TYPE_1</v>
      </c>
      <c r="B166" s="272">
        <v>159</v>
      </c>
      <c r="C166" s="271" t="s">
        <v>48</v>
      </c>
      <c r="D166" s="272">
        <v>702</v>
      </c>
      <c r="E166" s="273" t="s">
        <v>203</v>
      </c>
      <c r="F166" s="272">
        <f>IF(ISERROR(VLOOKUP(D166,'115分組'!A:D,4,0)), "未分", VLOOKUP(D166,'115分組'!A:D,4,0))</f>
        <v>3</v>
      </c>
      <c r="G166" s="273">
        <f>ROUND(VLOOKUP(D166,'115_分行業績'!A:J,8,0), 0)</f>
        <v>146683171</v>
      </c>
      <c r="H166" s="274">
        <f>(VLOOKUP(D166, '底稿_前2年手收20%'!A:G,7,0)+VLOOKUP(D166, '底稿_前2年手收20%'!O:U,7,0))/2</f>
        <v>60388227.564999998</v>
      </c>
      <c r="I166" s="273">
        <f>VLOOKUP(D166,'115_分行業績'!A:I,9,0)</f>
        <v>68390000</v>
      </c>
      <c r="J166" s="456">
        <f t="shared" si="23"/>
        <v>2.14</v>
      </c>
      <c r="K166" s="456">
        <f t="shared" si="26"/>
        <v>1.73</v>
      </c>
      <c r="L166" s="273" t="str">
        <f t="shared" si="27"/>
        <v>200%以上</v>
      </c>
      <c r="M166" s="273" t="str">
        <f t="shared" si="28"/>
        <v>預估實績*70%</v>
      </c>
      <c r="N166" s="273">
        <f t="shared" si="29"/>
        <v>102680000</v>
      </c>
      <c r="O166" s="273" t="str">
        <f>VLOOKUP(A166,'116目標底稿SUMMARY'!A:B,2,0)</f>
        <v>120%以上</v>
      </c>
      <c r="P166" s="273" t="str">
        <f>VLOOKUP(A166,'116目標底稿SUMMARY'!A:D,4,0)</f>
        <v>分行目標*120%*101%</v>
      </c>
      <c r="Q166" s="273">
        <f>ROUND(IF(A166 = "TYPE_1", I166*'116目標底稿SUMMARY'!$F$3*'116目標底稿SUMMARY'!$G$3, IF(A166 = "TYPE_2", G166*'116目標底稿SUMMARY'!$F$4, IF(A166 = "TYPE_3", G166*'116目標底稿SUMMARY'!$F$5, '116目標底稿ver1'!I166*'116目標底稿SUMMARY'!$F$6*'116目標底稿SUMMARY'!$G$6))), -4)</f>
        <v>82890000</v>
      </c>
      <c r="R166" s="452">
        <f t="shared" si="30"/>
        <v>-19790000</v>
      </c>
      <c r="S166" s="274">
        <f>VLOOKUP(D166,'116指標1_前2年手收20%'!A:M,13,0)</f>
        <v>352159</v>
      </c>
      <c r="T166" s="274">
        <f>VLOOKUP(D166,'116指標2_存款25%'!A:F,6,0)</f>
        <v>238151</v>
      </c>
      <c r="U166" s="274">
        <f>VLOOKUP(D166,'116指標6_理財AUM25%'!A:F,6,0)</f>
        <v>402679</v>
      </c>
      <c r="V166" s="274">
        <f>VLOOKUP(D166,'116指標4_114分行人數25%'!A:Q,17,0)</f>
        <v>557370</v>
      </c>
      <c r="W166" s="274">
        <f>VLOOKUP(F166,'115分組'!D:F,3,0)</f>
        <v>150000</v>
      </c>
      <c r="X166" s="274"/>
      <c r="Y166" s="275">
        <f t="shared" si="24"/>
        <v>1700000</v>
      </c>
      <c r="Z166" s="451">
        <f t="shared" si="31"/>
        <v>84590000</v>
      </c>
      <c r="AA166" s="276">
        <f t="shared" si="32"/>
        <v>-0.42331489411283585</v>
      </c>
      <c r="AB166" s="276">
        <f t="shared" si="33"/>
        <v>0.23687673636496553</v>
      </c>
      <c r="AC166" s="277">
        <f t="shared" si="25"/>
        <v>46524500.000000007</v>
      </c>
    </row>
    <row r="167" spans="1:29" s="279" customFormat="1" ht="24.95" customHeight="1">
      <c r="A167" s="279" t="str">
        <f>IF(J167&gt;='116目標底稿SUMMARY'!$E$3,"TYPE_1",IF(J167&gt;='116目標底稿SUMMARY'!$E$4,"TYPE_2",IF(J167&gt;='116目標底稿SUMMARY'!$E$5,"TYPE_3","TYPE_4")))</f>
        <v>TYPE_4</v>
      </c>
      <c r="B167" s="272">
        <v>160</v>
      </c>
      <c r="C167" s="271" t="s">
        <v>48</v>
      </c>
      <c r="D167" s="272">
        <v>703</v>
      </c>
      <c r="E167" s="273" t="s">
        <v>53</v>
      </c>
      <c r="F167" s="272">
        <f>IF(ISERROR(VLOOKUP(D167,'115分組'!A:D,4,0)), "未分", VLOOKUP(D167,'115分組'!A:D,4,0))</f>
        <v>6</v>
      </c>
      <c r="G167" s="273">
        <f>ROUND(VLOOKUP(D167,'115_分行業績'!A:J,8,0), 0)</f>
        <v>31343682</v>
      </c>
      <c r="H167" s="274">
        <f>(VLOOKUP(D167, '底稿_前2年手收20%'!A:G,7,0)+VLOOKUP(D167, '底稿_前2年手收20%'!O:U,7,0))/2</f>
        <v>28950113.515000001</v>
      </c>
      <c r="I167" s="273">
        <f>VLOOKUP(D167,'115_分行業績'!A:I,9,0)</f>
        <v>48810000</v>
      </c>
      <c r="J167" s="456">
        <f t="shared" si="23"/>
        <v>0.64</v>
      </c>
      <c r="K167" s="456">
        <f t="shared" si="26"/>
        <v>0.65</v>
      </c>
      <c r="L167" s="273" t="str">
        <f t="shared" si="27"/>
        <v>未達75%</v>
      </c>
      <c r="M167" s="273" t="str">
        <f t="shared" si="28"/>
        <v>分行目標115%</v>
      </c>
      <c r="N167" s="273">
        <f t="shared" si="29"/>
        <v>56130000</v>
      </c>
      <c r="O167" s="273" t="str">
        <f>VLOOKUP(A167,'116目標底稿SUMMARY'!A:B,2,0)</f>
        <v>未達80%</v>
      </c>
      <c r="P167" s="273" t="str">
        <f>VLOOKUP(A167,'116目標底稿SUMMARY'!A:D,4,0)</f>
        <v>分行目標*80%*120%</v>
      </c>
      <c r="Q167" s="273">
        <f>ROUND(IF(A167 = "TYPE_1", I167*'116目標底稿SUMMARY'!$F$3*'116目標底稿SUMMARY'!$G$3, IF(A167 = "TYPE_2", G167*'116目標底稿SUMMARY'!$F$4, IF(A167 = "TYPE_3", G167*'116目標底稿SUMMARY'!$F$5, '116目標底稿ver1'!I167*'116目標底稿SUMMARY'!$F$6*'116目標底稿SUMMARY'!$G$6))), -4)</f>
        <v>46860000</v>
      </c>
      <c r="R167" s="452">
        <f t="shared" si="30"/>
        <v>-9270000</v>
      </c>
      <c r="S167" s="274">
        <f>VLOOKUP(D167,'116指標1_前2年手收20%'!A:M,13,0)</f>
        <v>308800</v>
      </c>
      <c r="T167" s="274">
        <f>VLOOKUP(D167,'116指標2_存款25%'!A:F,6,0)</f>
        <v>291343</v>
      </c>
      <c r="U167" s="274">
        <f>VLOOKUP(D167,'116指標6_理財AUM25%'!A:F,6,0)</f>
        <v>346387</v>
      </c>
      <c r="V167" s="274">
        <f>VLOOKUP(D167,'116指標4_114分行人數25%'!A:Q,17,0)</f>
        <v>557370</v>
      </c>
      <c r="W167" s="274">
        <f>VLOOKUP(F167,'115分組'!D:F,3,0)</f>
        <v>80000</v>
      </c>
      <c r="X167" s="274"/>
      <c r="Y167" s="275">
        <f t="shared" si="24"/>
        <v>1580000</v>
      </c>
      <c r="Z167" s="451">
        <f t="shared" si="31"/>
        <v>48440000</v>
      </c>
      <c r="AA167" s="276">
        <f t="shared" si="32"/>
        <v>0.54544702182723781</v>
      </c>
      <c r="AB167" s="276">
        <f t="shared" si="33"/>
        <v>-7.5804138496209372E-3</v>
      </c>
      <c r="AC167" s="277">
        <f t="shared" si="25"/>
        <v>26642000.000000004</v>
      </c>
    </row>
    <row r="168" spans="1:29" s="279" customFormat="1" ht="24.95" customHeight="1">
      <c r="A168" s="279" t="str">
        <f>IF(J168&gt;='116目標底稿SUMMARY'!$E$3,"TYPE_1",IF(J168&gt;='116目標底稿SUMMARY'!$E$4,"TYPE_2",IF(J168&gt;='116目標底稿SUMMARY'!$E$5,"TYPE_3","TYPE_4")))</f>
        <v>TYPE_2</v>
      </c>
      <c r="B168" s="272">
        <v>161</v>
      </c>
      <c r="C168" s="271" t="s">
        <v>48</v>
      </c>
      <c r="D168" s="272">
        <v>704</v>
      </c>
      <c r="E168" s="273" t="s">
        <v>54</v>
      </c>
      <c r="F168" s="272">
        <f>IF(ISERROR(VLOOKUP(D168,'115分組'!A:D,4,0)), "未分", VLOOKUP(D168,'115分組'!A:D,4,0))</f>
        <v>6</v>
      </c>
      <c r="G168" s="273">
        <f>ROUND(VLOOKUP(D168,'115_分行業績'!A:J,8,0), 0)</f>
        <v>51467046</v>
      </c>
      <c r="H168" s="274">
        <f>(VLOOKUP(D168, '底稿_前2年手收20%'!A:G,7,0)+VLOOKUP(D168, '底稿_前2年手收20%'!O:U,7,0))/2</f>
        <v>33463646.969999999</v>
      </c>
      <c r="I168" s="273">
        <f>VLOOKUP(D168,'115_分行業績'!A:I,9,0)</f>
        <v>46050000</v>
      </c>
      <c r="J168" s="456">
        <f t="shared" si="23"/>
        <v>1.1200000000000001</v>
      </c>
      <c r="K168" s="456">
        <f t="shared" si="26"/>
        <v>0.96</v>
      </c>
      <c r="L168" s="273" t="str">
        <f t="shared" si="27"/>
        <v>110%以上、未達120%</v>
      </c>
      <c r="M168" s="273" t="str">
        <f t="shared" si="28"/>
        <v>預估實績*103%</v>
      </c>
      <c r="N168" s="273">
        <f t="shared" si="29"/>
        <v>53010000</v>
      </c>
      <c r="O168" s="273" t="str">
        <f>VLOOKUP(A168,'116目標底稿SUMMARY'!A:B,2,0)</f>
        <v>100%以上，未達120%</v>
      </c>
      <c r="P168" s="273" t="str">
        <f>VLOOKUP(A168,'116目標底稿SUMMARY'!A:D,4,0)</f>
        <v>預估實績*103%</v>
      </c>
      <c r="Q168" s="273">
        <f>ROUND(IF(A168 = "TYPE_1", I168*'116目標底稿SUMMARY'!$F$3*'116目標底稿SUMMARY'!$G$3, IF(A168 = "TYPE_2", G168*'116目標底稿SUMMARY'!$F$4, IF(A168 = "TYPE_3", G168*'116目標底稿SUMMARY'!$F$5, '116目標底稿ver1'!I168*'116目標底稿SUMMARY'!$F$6*'116目標底稿SUMMARY'!$G$6))), -4)</f>
        <v>51980000</v>
      </c>
      <c r="R168" s="452">
        <f t="shared" si="30"/>
        <v>-1030000</v>
      </c>
      <c r="S168" s="274">
        <f>VLOOKUP(D168,'116指標1_前2年手收20%'!A:M,13,0)</f>
        <v>346926</v>
      </c>
      <c r="T168" s="274">
        <f>VLOOKUP(D168,'116指標2_存款25%'!A:F,6,0)</f>
        <v>301446</v>
      </c>
      <c r="U168" s="274">
        <f>VLOOKUP(D168,'116指標6_理財AUM25%'!A:F,6,0)</f>
        <v>379150</v>
      </c>
      <c r="V168" s="274">
        <f>VLOOKUP(D168,'116指標4_114分行人數25%'!A:Q,17,0)</f>
        <v>537464</v>
      </c>
      <c r="W168" s="274">
        <f>VLOOKUP(F168,'115分組'!D:F,3,0)</f>
        <v>80000</v>
      </c>
      <c r="X168" s="274"/>
      <c r="Y168" s="275">
        <f t="shared" si="24"/>
        <v>1640000</v>
      </c>
      <c r="Z168" s="451">
        <f t="shared" si="31"/>
        <v>53620000</v>
      </c>
      <c r="AA168" s="276">
        <f t="shared" si="32"/>
        <v>4.1831699452888671E-2</v>
      </c>
      <c r="AB168" s="276">
        <f t="shared" si="33"/>
        <v>0.16438653637350709</v>
      </c>
      <c r="AC168" s="277">
        <f t="shared" ref="AC168:AC190" si="34">Z168*0.55</f>
        <v>29491000.000000004</v>
      </c>
    </row>
    <row r="169" spans="1:29" s="279" customFormat="1" ht="24.95" customHeight="1">
      <c r="A169" s="279" t="str">
        <f>IF(J169&gt;='116目標底稿SUMMARY'!$E$3,"TYPE_1",IF(J169&gt;='116目標底稿SUMMARY'!$E$4,"TYPE_2",IF(J169&gt;='116目標底稿SUMMARY'!$E$5,"TYPE_3","TYPE_4")))</f>
        <v>TYPE_2</v>
      </c>
      <c r="B169" s="272">
        <v>162</v>
      </c>
      <c r="C169" s="271" t="s">
        <v>48</v>
      </c>
      <c r="D169" s="272">
        <v>705</v>
      </c>
      <c r="E169" s="273" t="s">
        <v>109</v>
      </c>
      <c r="F169" s="272">
        <f>IF(ISERROR(VLOOKUP(D169,'115分組'!A:D,4,0)), "未分", VLOOKUP(D169,'115分組'!A:D,4,0))</f>
        <v>8</v>
      </c>
      <c r="G169" s="273">
        <f>ROUND(VLOOKUP(D169,'115_分行業績'!A:J,8,0), 0)</f>
        <v>42513645</v>
      </c>
      <c r="H169" s="274">
        <f>(VLOOKUP(D169, '底稿_前2年手收20%'!A:G,7,0)+VLOOKUP(D169, '底稿_前2年手收20%'!O:U,7,0))/2</f>
        <v>28772062.015000001</v>
      </c>
      <c r="I169" s="273">
        <f>VLOOKUP(D169,'115_分行業績'!A:I,9,0)</f>
        <v>40520000</v>
      </c>
      <c r="J169" s="456">
        <f t="shared" si="23"/>
        <v>1.05</v>
      </c>
      <c r="K169" s="456">
        <f t="shared" si="26"/>
        <v>0.95</v>
      </c>
      <c r="L169" s="273" t="str">
        <f t="shared" si="27"/>
        <v>100%以上、未達110%</v>
      </c>
      <c r="M169" s="273" t="str">
        <f t="shared" si="28"/>
        <v>預估實績105%</v>
      </c>
      <c r="N169" s="273">
        <f t="shared" si="29"/>
        <v>44640000</v>
      </c>
      <c r="O169" s="273" t="str">
        <f>VLOOKUP(A169,'116目標底稿SUMMARY'!A:B,2,0)</f>
        <v>100%以上，未達120%</v>
      </c>
      <c r="P169" s="273" t="str">
        <f>VLOOKUP(A169,'116目標底稿SUMMARY'!A:D,4,0)</f>
        <v>預估實績*103%</v>
      </c>
      <c r="Q169" s="273">
        <f>ROUND(IF(A169 = "TYPE_1", I169*'116目標底稿SUMMARY'!$F$3*'116目標底稿SUMMARY'!$G$3, IF(A169 = "TYPE_2", G169*'116目標底稿SUMMARY'!$F$4, IF(A169 = "TYPE_3", G169*'116目標底稿SUMMARY'!$F$5, '116目標底稿ver1'!I169*'116目標底稿SUMMARY'!$F$6*'116目標底稿SUMMARY'!$G$6))), -4)</f>
        <v>42940000</v>
      </c>
      <c r="R169" s="452">
        <f t="shared" si="30"/>
        <v>-1700000</v>
      </c>
      <c r="S169" s="274">
        <f>VLOOKUP(D169,'116指標1_前2年手收20%'!A:M,13,0)</f>
        <v>317682</v>
      </c>
      <c r="T169" s="274">
        <f>VLOOKUP(D169,'116指標2_存款25%'!A:F,6,0)</f>
        <v>390132</v>
      </c>
      <c r="U169" s="274">
        <f>VLOOKUP(D169,'116指標6_理財AUM25%'!A:F,6,0)</f>
        <v>399441</v>
      </c>
      <c r="V169" s="274">
        <f>VLOOKUP(D169,'116指標4_114分行人數25%'!A:Q,17,0)</f>
        <v>437933</v>
      </c>
      <c r="W169" s="274">
        <f>VLOOKUP(F169,'115分組'!D:F,3,0)</f>
        <v>40000</v>
      </c>
      <c r="X169" s="274"/>
      <c r="Y169" s="275">
        <f t="shared" si="24"/>
        <v>1590000</v>
      </c>
      <c r="Z169" s="451">
        <f t="shared" si="31"/>
        <v>44530000</v>
      </c>
      <c r="AA169" s="276">
        <f t="shared" si="32"/>
        <v>4.7428419746178063E-2</v>
      </c>
      <c r="AB169" s="276">
        <f t="shared" si="33"/>
        <v>9.8963474827245879E-2</v>
      </c>
      <c r="AC169" s="277">
        <f t="shared" si="34"/>
        <v>24491500.000000004</v>
      </c>
    </row>
    <row r="170" spans="1:29" s="279" customFormat="1" ht="24.95" customHeight="1">
      <c r="A170" s="279" t="str">
        <f>IF(J170&gt;='116目標底稿SUMMARY'!$E$3,"TYPE_1",IF(J170&gt;='116目標底稿SUMMARY'!$E$4,"TYPE_2",IF(J170&gt;='116目標底稿SUMMARY'!$E$5,"TYPE_3","TYPE_4")))</f>
        <v>TYPE_3</v>
      </c>
      <c r="B170" s="272">
        <v>163</v>
      </c>
      <c r="C170" s="271" t="s">
        <v>48</v>
      </c>
      <c r="D170" s="272">
        <v>706</v>
      </c>
      <c r="E170" s="273" t="s">
        <v>55</v>
      </c>
      <c r="F170" s="272">
        <f>IF(ISERROR(VLOOKUP(D170,'115分組'!A:D,4,0)), "未分", VLOOKUP(D170,'115分組'!A:D,4,0))</f>
        <v>4</v>
      </c>
      <c r="G170" s="273">
        <f>ROUND(VLOOKUP(D170,'115_分行業績'!A:J,8,0), 0)</f>
        <v>50941852</v>
      </c>
      <c r="H170" s="274">
        <f>(VLOOKUP(D170, '底稿_前2年手收20%'!A:G,7,0)+VLOOKUP(D170, '底稿_前2年手收20%'!O:U,7,0))/2</f>
        <v>42456587.864999995</v>
      </c>
      <c r="I170" s="273">
        <f>VLOOKUP(D170,'115_分行業績'!A:I,9,0)</f>
        <v>63540000</v>
      </c>
      <c r="J170" s="456">
        <f t="shared" si="23"/>
        <v>0.8</v>
      </c>
      <c r="K170" s="456">
        <f t="shared" si="26"/>
        <v>0.93</v>
      </c>
      <c r="L170" s="273" t="str">
        <f t="shared" si="27"/>
        <v>75%以上、未達90%</v>
      </c>
      <c r="M170" s="273" t="str">
        <f t="shared" si="28"/>
        <v>分行目標110%</v>
      </c>
      <c r="N170" s="273">
        <f t="shared" si="29"/>
        <v>69890000</v>
      </c>
      <c r="O170" s="273" t="str">
        <f>VLOOKUP(A170,'116目標底稿SUMMARY'!A:B,2,0)</f>
        <v>80%以上，未達100%</v>
      </c>
      <c r="P170" s="273" t="str">
        <f>VLOOKUP(A170,'116目標底稿SUMMARY'!A:D,4,0)</f>
        <v>預估實績*105%</v>
      </c>
      <c r="Q170" s="273">
        <f>ROUND(IF(A170 = "TYPE_1", I170*'116目標底稿SUMMARY'!$F$3*'116目標底稿SUMMARY'!$G$3, IF(A170 = "TYPE_2", G170*'116目標底稿SUMMARY'!$F$4, IF(A170 = "TYPE_3", G170*'116目標底稿SUMMARY'!$F$5, '116目標底稿ver1'!I170*'116目標底稿SUMMARY'!$F$6*'116目標底稿SUMMARY'!$G$6))), -4)</f>
        <v>52470000</v>
      </c>
      <c r="R170" s="452">
        <f t="shared" si="30"/>
        <v>-17420000</v>
      </c>
      <c r="S170" s="274">
        <f>VLOOKUP(D170,'116指標1_前2年手收20%'!A:M,13,0)</f>
        <v>463368</v>
      </c>
      <c r="T170" s="274">
        <f>VLOOKUP(D170,'116指標2_存款25%'!A:F,6,0)</f>
        <v>515595</v>
      </c>
      <c r="U170" s="274">
        <f>VLOOKUP(D170,'116指標6_理財AUM25%'!A:F,6,0)</f>
        <v>464898</v>
      </c>
      <c r="V170" s="274">
        <f>VLOOKUP(D170,'116指標4_114分行人數25%'!A:Q,17,0)</f>
        <v>636994</v>
      </c>
      <c r="W170" s="274">
        <f>VLOOKUP(F170,'115分組'!D:F,3,0)</f>
        <v>130000</v>
      </c>
      <c r="X170" s="274"/>
      <c r="Y170" s="275">
        <f t="shared" si="24"/>
        <v>2210000</v>
      </c>
      <c r="Z170" s="451">
        <f t="shared" si="31"/>
        <v>54680000</v>
      </c>
      <c r="AA170" s="276">
        <f t="shared" si="32"/>
        <v>7.3380685099552423E-2</v>
      </c>
      <c r="AB170" s="276">
        <f t="shared" si="33"/>
        <v>-0.1394397230091281</v>
      </c>
      <c r="AC170" s="277">
        <f t="shared" si="34"/>
        <v>30074000.000000004</v>
      </c>
    </row>
    <row r="171" spans="1:29" s="279" customFormat="1" ht="24.95" customHeight="1">
      <c r="A171" s="279" t="str">
        <f>IF(J171&gt;='116目標底稿SUMMARY'!$E$3,"TYPE_1",IF(J171&gt;='116目標底稿SUMMARY'!$E$4,"TYPE_2",IF(J171&gt;='116目標底稿SUMMARY'!$E$5,"TYPE_3","TYPE_4")))</f>
        <v>TYPE_3</v>
      </c>
      <c r="B171" s="272">
        <v>164</v>
      </c>
      <c r="C171" s="271" t="s">
        <v>48</v>
      </c>
      <c r="D171" s="272">
        <v>707</v>
      </c>
      <c r="E171" s="273" t="s">
        <v>110</v>
      </c>
      <c r="F171" s="272">
        <f>IF(ISERROR(VLOOKUP(D171,'115分組'!A:D,4,0)), "未分", VLOOKUP(D171,'115分組'!A:D,4,0))</f>
        <v>8</v>
      </c>
      <c r="G171" s="273">
        <f>ROUND(VLOOKUP(D171,'115_分行業績'!A:J,8,0), 0)</f>
        <v>32597177</v>
      </c>
      <c r="H171" s="274">
        <f>(VLOOKUP(D171, '底稿_前2年手收20%'!A:G,7,0)+VLOOKUP(D171, '底稿_前2年手收20%'!O:U,7,0))/2</f>
        <v>30369602.425000001</v>
      </c>
      <c r="I171" s="273">
        <f>VLOOKUP(D171,'115_分行業績'!A:I,9,0)</f>
        <v>37970000</v>
      </c>
      <c r="J171" s="456">
        <f t="shared" si="23"/>
        <v>0.86</v>
      </c>
      <c r="K171" s="456">
        <f t="shared" si="26"/>
        <v>0.93</v>
      </c>
      <c r="L171" s="273" t="str">
        <f t="shared" si="27"/>
        <v>75%以上、未達90%</v>
      </c>
      <c r="M171" s="273" t="str">
        <f t="shared" si="28"/>
        <v>分行目標110%</v>
      </c>
      <c r="N171" s="273">
        <f t="shared" si="29"/>
        <v>41770000</v>
      </c>
      <c r="O171" s="273" t="str">
        <f>VLOOKUP(A171,'116目標底稿SUMMARY'!A:B,2,0)</f>
        <v>80%以上，未達100%</v>
      </c>
      <c r="P171" s="273" t="str">
        <f>VLOOKUP(A171,'116目標底稿SUMMARY'!A:D,4,0)</f>
        <v>預估實績*105%</v>
      </c>
      <c r="Q171" s="273">
        <f>ROUND(IF(A171 = "TYPE_1", I171*'116目標底稿SUMMARY'!$F$3*'116目標底稿SUMMARY'!$G$3, IF(A171 = "TYPE_2", G171*'116目標底稿SUMMARY'!$F$4, IF(A171 = "TYPE_3", G171*'116目標底稿SUMMARY'!$F$5, '116目標底稿ver1'!I171*'116目標底稿SUMMARY'!$F$6*'116目標底稿SUMMARY'!$G$6))), -4)</f>
        <v>33580000</v>
      </c>
      <c r="R171" s="452">
        <f t="shared" si="30"/>
        <v>-8190000</v>
      </c>
      <c r="S171" s="274">
        <f>VLOOKUP(D171,'116指標1_前2年手收20%'!A:M,13,0)</f>
        <v>280759</v>
      </c>
      <c r="T171" s="274">
        <f>VLOOKUP(D171,'116指標2_存款25%'!A:F,6,0)</f>
        <v>290600</v>
      </c>
      <c r="U171" s="274">
        <f>VLOOKUP(D171,'116指標6_理財AUM25%'!A:F,6,0)</f>
        <v>317930</v>
      </c>
      <c r="V171" s="274">
        <f>VLOOKUP(D171,'116指標4_114分行人數25%'!A:Q,17,0)</f>
        <v>437933</v>
      </c>
      <c r="W171" s="274">
        <f>VLOOKUP(F171,'115分組'!D:F,3,0)</f>
        <v>40000</v>
      </c>
      <c r="X171" s="274"/>
      <c r="Y171" s="275">
        <f t="shared" si="24"/>
        <v>1370000</v>
      </c>
      <c r="Z171" s="451">
        <f t="shared" si="31"/>
        <v>34950000</v>
      </c>
      <c r="AA171" s="276">
        <f t="shared" si="32"/>
        <v>7.2178734986775073E-2</v>
      </c>
      <c r="AB171" s="276">
        <f t="shared" si="33"/>
        <v>-7.9536476165393721E-2</v>
      </c>
      <c r="AC171" s="277">
        <f t="shared" si="34"/>
        <v>19222500</v>
      </c>
    </row>
    <row r="172" spans="1:29" s="279" customFormat="1" ht="24" customHeight="1">
      <c r="A172" s="279" t="str">
        <f>IF(J172&gt;='116目標底稿SUMMARY'!$E$3,"TYPE_1",IF(J172&gt;='116目標底稿SUMMARY'!$E$4,"TYPE_2",IF(J172&gt;='116目標底稿SUMMARY'!$E$5,"TYPE_3","TYPE_4")))</f>
        <v>TYPE_4</v>
      </c>
      <c r="B172" s="272">
        <v>165</v>
      </c>
      <c r="C172" s="271" t="s">
        <v>48</v>
      </c>
      <c r="D172" s="272">
        <v>708</v>
      </c>
      <c r="E172" s="273" t="s">
        <v>56</v>
      </c>
      <c r="F172" s="272">
        <f>IF(ISERROR(VLOOKUP(D172,'115分組'!A:D,4,0)), "未分", VLOOKUP(D172,'115分組'!A:D,4,0))</f>
        <v>5</v>
      </c>
      <c r="G172" s="273">
        <f>ROUND(VLOOKUP(D172,'115_分行業績'!A:J,8,0), 0)</f>
        <v>33281232</v>
      </c>
      <c r="H172" s="274">
        <f>(VLOOKUP(D172, '底稿_前2年手收20%'!A:G,7,0)+VLOOKUP(D172, '底稿_前2年手收20%'!O:U,7,0))/2</f>
        <v>31466006.064999998</v>
      </c>
      <c r="I172" s="273">
        <f>VLOOKUP(D172,'115_分行業績'!A:I,9,0)</f>
        <v>53240000</v>
      </c>
      <c r="J172" s="456">
        <f t="shared" si="23"/>
        <v>0.63</v>
      </c>
      <c r="K172" s="456">
        <f t="shared" si="26"/>
        <v>0.63</v>
      </c>
      <c r="L172" s="273" t="str">
        <f t="shared" si="27"/>
        <v>未達75%</v>
      </c>
      <c r="M172" s="273" t="str">
        <f t="shared" si="28"/>
        <v>分行目標115%</v>
      </c>
      <c r="N172" s="273">
        <f t="shared" si="29"/>
        <v>61230000</v>
      </c>
      <c r="O172" s="273" t="str">
        <f>VLOOKUP(A172,'116目標底稿SUMMARY'!A:B,2,0)</f>
        <v>未達80%</v>
      </c>
      <c r="P172" s="273" t="str">
        <f>VLOOKUP(A172,'116目標底稿SUMMARY'!A:D,4,0)</f>
        <v>分行目標*80%*120%</v>
      </c>
      <c r="Q172" s="273">
        <f>ROUND(IF(A172 = "TYPE_1", I172*'116目標底稿SUMMARY'!$F$3*'116目標底稿SUMMARY'!$G$3, IF(A172 = "TYPE_2", G172*'116目標底稿SUMMARY'!$F$4, IF(A172 = "TYPE_3", G172*'116目標底稿SUMMARY'!$F$5, '116目標底稿ver1'!I172*'116目標底稿SUMMARY'!$F$6*'116目標底稿SUMMARY'!$G$6))), -4)</f>
        <v>51110000</v>
      </c>
      <c r="R172" s="452">
        <f t="shared" si="30"/>
        <v>-10120000</v>
      </c>
      <c r="S172" s="274">
        <f>VLOOKUP(D172,'116指標1_前2年手收20%'!A:M,13,0)</f>
        <v>362780</v>
      </c>
      <c r="T172" s="274">
        <f>VLOOKUP(D172,'116指標2_存款25%'!A:F,6,0)</f>
        <v>390685</v>
      </c>
      <c r="U172" s="274">
        <f>VLOOKUP(D172,'116指標6_理財AUM25%'!A:F,6,0)</f>
        <v>372390</v>
      </c>
      <c r="V172" s="274">
        <f>VLOOKUP(D172,'116指標4_114分行人數25%'!A:Q,17,0)</f>
        <v>584111</v>
      </c>
      <c r="W172" s="274">
        <f>VLOOKUP(F172,'115分組'!D:F,3,0)</f>
        <v>100000</v>
      </c>
      <c r="X172" s="274"/>
      <c r="Y172" s="275">
        <f t="shared" si="24"/>
        <v>1810000</v>
      </c>
      <c r="Z172" s="451">
        <f t="shared" si="31"/>
        <v>52920000</v>
      </c>
      <c r="AA172" s="276">
        <f t="shared" si="32"/>
        <v>0.59008536703208581</v>
      </c>
      <c r="AB172" s="276">
        <f t="shared" si="33"/>
        <v>-6.0105184072126727E-3</v>
      </c>
      <c r="AC172" s="277">
        <f t="shared" si="34"/>
        <v>29106000.000000004</v>
      </c>
    </row>
    <row r="173" spans="1:29" s="279" customFormat="1" ht="24.95" customHeight="1">
      <c r="A173" s="279" t="str">
        <f>IF(J173&gt;='116目標底稿SUMMARY'!$E$3,"TYPE_1",IF(J173&gt;='116目標底稿SUMMARY'!$E$4,"TYPE_2",IF(J173&gt;='116目標底稿SUMMARY'!$E$5,"TYPE_3","TYPE_4")))</f>
        <v>TYPE_2</v>
      </c>
      <c r="B173" s="272">
        <v>166</v>
      </c>
      <c r="C173" s="271" t="s">
        <v>48</v>
      </c>
      <c r="D173" s="272">
        <v>709</v>
      </c>
      <c r="E173" s="273" t="s">
        <v>204</v>
      </c>
      <c r="F173" s="272">
        <f>IF(ISERROR(VLOOKUP(D173,'115分組'!A:D,4,0)), "未分", VLOOKUP(D173,'115分組'!A:D,4,0))</f>
        <v>7</v>
      </c>
      <c r="G173" s="273">
        <f>ROUND(VLOOKUP(D173,'115_分行業績'!A:J,8,0), 0)</f>
        <v>69568535</v>
      </c>
      <c r="H173" s="274">
        <f>(VLOOKUP(D173, '底稿_前2年手收20%'!A:G,7,0)+VLOOKUP(D173, '底稿_前2年手收20%'!O:U,7,0))/2</f>
        <v>56621887.739999995</v>
      </c>
      <c r="I173" s="273">
        <f>VLOOKUP(D173,'115_分行業績'!A:I,9,0)</f>
        <v>59170000</v>
      </c>
      <c r="J173" s="456">
        <f t="shared" si="23"/>
        <v>1.18</v>
      </c>
      <c r="K173" s="456">
        <f t="shared" si="26"/>
        <v>0.96</v>
      </c>
      <c r="L173" s="273" t="str">
        <f t="shared" si="27"/>
        <v>110%以上、未達120%</v>
      </c>
      <c r="M173" s="273" t="str">
        <f t="shared" si="28"/>
        <v>預估實績*103%</v>
      </c>
      <c r="N173" s="273">
        <f t="shared" si="29"/>
        <v>71660000</v>
      </c>
      <c r="O173" s="273" t="str">
        <f>VLOOKUP(A173,'116目標底稿SUMMARY'!A:B,2,0)</f>
        <v>100%以上，未達120%</v>
      </c>
      <c r="P173" s="273" t="str">
        <f>VLOOKUP(A173,'116目標底稿SUMMARY'!A:D,4,0)</f>
        <v>預估實績*103%</v>
      </c>
      <c r="Q173" s="273">
        <f>ROUND(IF(A173 = "TYPE_1", I173*'116目標底稿SUMMARY'!$F$3*'116目標底稿SUMMARY'!$G$3, IF(A173 = "TYPE_2", G173*'116目標底稿SUMMARY'!$F$4, IF(A173 = "TYPE_3", G173*'116目標底稿SUMMARY'!$F$5, '116目標底稿ver1'!I173*'116目標底稿SUMMARY'!$F$6*'116目標底稿SUMMARY'!$G$6))), -4)</f>
        <v>70260000</v>
      </c>
      <c r="R173" s="452">
        <f t="shared" si="30"/>
        <v>-1400000</v>
      </c>
      <c r="S173" s="274">
        <f>VLOOKUP(D173,'116指標1_前2年手收20%'!A:M,13,0)</f>
        <v>437017</v>
      </c>
      <c r="T173" s="274">
        <f>VLOOKUP(D173,'116指標2_存款25%'!A:F,6,0)</f>
        <v>544670</v>
      </c>
      <c r="U173" s="274">
        <f>VLOOKUP(D173,'116指標6_理財AUM25%'!A:F,6,0)</f>
        <v>499417</v>
      </c>
      <c r="V173" s="274">
        <f>VLOOKUP(D173,'116指標4_114分行人數25%'!A:Q,17,0)</f>
        <v>577276</v>
      </c>
      <c r="W173" s="274">
        <f>VLOOKUP(F173,'115分組'!D:F,3,0)</f>
        <v>60000</v>
      </c>
      <c r="X173" s="274"/>
      <c r="Y173" s="275">
        <f t="shared" si="24"/>
        <v>2120000</v>
      </c>
      <c r="Z173" s="451">
        <f t="shared" si="31"/>
        <v>72380000</v>
      </c>
      <c r="AA173" s="276">
        <f t="shared" si="32"/>
        <v>4.0412882059396527E-2</v>
      </c>
      <c r="AB173" s="276">
        <f t="shared" si="33"/>
        <v>0.22325502788575302</v>
      </c>
      <c r="AC173" s="277">
        <f t="shared" si="34"/>
        <v>39809000</v>
      </c>
    </row>
    <row r="174" spans="1:29" s="279" customFormat="1" ht="24.95" customHeight="1">
      <c r="A174" s="279" t="str">
        <f>IF(J174&gt;='116目標底稿SUMMARY'!$E$3,"TYPE_1",IF(J174&gt;='116目標底稿SUMMARY'!$E$4,"TYPE_2",IF(J174&gt;='116目標底稿SUMMARY'!$E$5,"TYPE_3","TYPE_4")))</f>
        <v>TYPE_1</v>
      </c>
      <c r="B174" s="272">
        <v>167</v>
      </c>
      <c r="C174" s="271" t="s">
        <v>48</v>
      </c>
      <c r="D174" s="272">
        <v>710</v>
      </c>
      <c r="E174" s="273" t="s">
        <v>111</v>
      </c>
      <c r="F174" s="272">
        <f>IF(ISERROR(VLOOKUP(D174,'115分組'!A:D,4,0)), "未分", VLOOKUP(D174,'115分組'!A:D,4,0))</f>
        <v>3</v>
      </c>
      <c r="G174" s="273">
        <f>ROUND(VLOOKUP(D174,'115_分行業績'!A:J,8,0), 0)</f>
        <v>92895749</v>
      </c>
      <c r="H174" s="274">
        <f>(VLOOKUP(D174, '底稿_前2年手收20%'!A:G,7,0)+VLOOKUP(D174, '底稿_前2年手收20%'!O:U,7,0))/2</f>
        <v>49365412.295000002</v>
      </c>
      <c r="I174" s="273">
        <f>VLOOKUP(D174,'115_分行業績'!A:I,9,0)</f>
        <v>68300000</v>
      </c>
      <c r="J174" s="456">
        <f t="shared" si="23"/>
        <v>1.36</v>
      </c>
      <c r="K174" s="456">
        <f t="shared" si="26"/>
        <v>1.0900000000000001</v>
      </c>
      <c r="L174" s="273" t="str">
        <f t="shared" si="27"/>
        <v>130%以上、未達150%</v>
      </c>
      <c r="M174" s="273" t="str">
        <f t="shared" si="28"/>
        <v>預估實績*90%</v>
      </c>
      <c r="N174" s="273">
        <f t="shared" si="29"/>
        <v>83610000</v>
      </c>
      <c r="O174" s="273" t="str">
        <f>VLOOKUP(A174,'116目標底稿SUMMARY'!A:B,2,0)</f>
        <v>120%以上</v>
      </c>
      <c r="P174" s="273" t="str">
        <f>VLOOKUP(A174,'116目標底稿SUMMARY'!A:D,4,0)</f>
        <v>分行目標*120%*101%</v>
      </c>
      <c r="Q174" s="273">
        <f>ROUND(IF(A174 = "TYPE_1", I174*'116目標底稿SUMMARY'!$F$3*'116目標底稿SUMMARY'!$G$3, IF(A174 = "TYPE_2", G174*'116目標底稿SUMMARY'!$F$4, IF(A174 = "TYPE_3", G174*'116目標底稿SUMMARY'!$F$5, '116目標底稿ver1'!I174*'116目標底稿SUMMARY'!$F$6*'116目標底稿SUMMARY'!$G$6))), -4)</f>
        <v>82780000</v>
      </c>
      <c r="R174" s="452">
        <f t="shared" si="30"/>
        <v>-830000</v>
      </c>
      <c r="S174" s="274">
        <f>VLOOKUP(D174,'116指標1_前2年手收20%'!A:M,13,0)</f>
        <v>533344</v>
      </c>
      <c r="T174" s="274">
        <f>VLOOKUP(D174,'116指標2_存款25%'!A:F,6,0)</f>
        <v>601760</v>
      </c>
      <c r="U174" s="274">
        <f>VLOOKUP(D174,'116指標6_理財AUM25%'!A:F,6,0)</f>
        <v>668873</v>
      </c>
      <c r="V174" s="274">
        <f>VLOOKUP(D174,'116指標4_114分行人數25%'!A:Q,17,0)</f>
        <v>636994</v>
      </c>
      <c r="W174" s="274">
        <f>VLOOKUP(F174,'115分組'!D:F,3,0)</f>
        <v>150000</v>
      </c>
      <c r="X174" s="274"/>
      <c r="Y174" s="275">
        <f t="shared" si="24"/>
        <v>2590000</v>
      </c>
      <c r="Z174" s="451">
        <f t="shared" si="31"/>
        <v>85370000</v>
      </c>
      <c r="AA174" s="276">
        <f t="shared" si="32"/>
        <v>-8.1012845916124787E-2</v>
      </c>
      <c r="AB174" s="276">
        <f t="shared" si="33"/>
        <v>0.24992679355783309</v>
      </c>
      <c r="AC174" s="277">
        <f t="shared" si="34"/>
        <v>46953500.000000007</v>
      </c>
    </row>
    <row r="175" spans="1:29" s="279" customFormat="1" ht="24.95" customHeight="1">
      <c r="A175" s="279" t="str">
        <f>IF(J175&gt;='116目標底稿SUMMARY'!$E$3,"TYPE_1",IF(J175&gt;='116目標底稿SUMMARY'!$E$4,"TYPE_2",IF(J175&gt;='116目標底稿SUMMARY'!$E$5,"TYPE_3","TYPE_4")))</f>
        <v>TYPE_2</v>
      </c>
      <c r="B175" s="272">
        <v>168</v>
      </c>
      <c r="C175" s="271" t="s">
        <v>48</v>
      </c>
      <c r="D175" s="272">
        <v>711</v>
      </c>
      <c r="E175" s="273" t="s">
        <v>57</v>
      </c>
      <c r="F175" s="272">
        <f>IF(ISERROR(VLOOKUP(D175,'115分組'!A:D,4,0)), "未分", VLOOKUP(D175,'115分組'!A:D,4,0))</f>
        <v>4</v>
      </c>
      <c r="G175" s="273">
        <f>ROUND(VLOOKUP(D175,'115_分行業績'!A:J,8,0), 0)</f>
        <v>52915593</v>
      </c>
      <c r="H175" s="274">
        <f>(VLOOKUP(D175, '底稿_前2年手收20%'!A:G,7,0)+VLOOKUP(D175, '底稿_前2年手收20%'!O:U,7,0))/2</f>
        <v>40851533.034999996</v>
      </c>
      <c r="I175" s="273">
        <f>VLOOKUP(D175,'115_分行業績'!A:I,9,0)</f>
        <v>52650000</v>
      </c>
      <c r="J175" s="456">
        <f t="shared" si="23"/>
        <v>1.01</v>
      </c>
      <c r="K175" s="456">
        <f t="shared" si="26"/>
        <v>0.95</v>
      </c>
      <c r="L175" s="273" t="str">
        <f t="shared" si="27"/>
        <v>100%以上、未達110%</v>
      </c>
      <c r="M175" s="273" t="str">
        <f t="shared" si="28"/>
        <v>預估實績105%</v>
      </c>
      <c r="N175" s="273">
        <f t="shared" si="29"/>
        <v>55560000</v>
      </c>
      <c r="O175" s="273" t="str">
        <f>VLOOKUP(A175,'116目標底稿SUMMARY'!A:B,2,0)</f>
        <v>100%以上，未達120%</v>
      </c>
      <c r="P175" s="273" t="str">
        <f>VLOOKUP(A175,'116目標底稿SUMMARY'!A:D,4,0)</f>
        <v>預估實績*103%</v>
      </c>
      <c r="Q175" s="273">
        <f>ROUND(IF(A175 = "TYPE_1", I175*'116目標底稿SUMMARY'!$F$3*'116目標底稿SUMMARY'!$G$3, IF(A175 = "TYPE_2", G175*'116目標底稿SUMMARY'!$F$4, IF(A175 = "TYPE_3", G175*'116目標底稿SUMMARY'!$F$5, '116目標底稿ver1'!I175*'116目標底稿SUMMARY'!$F$6*'116目標底稿SUMMARY'!$G$6))), -4)</f>
        <v>53440000</v>
      </c>
      <c r="R175" s="452">
        <f t="shared" si="30"/>
        <v>-2120000</v>
      </c>
      <c r="S175" s="274">
        <f>VLOOKUP(D175,'116指標1_前2年手收20%'!A:M,13,0)</f>
        <v>438111</v>
      </c>
      <c r="T175" s="274">
        <f>VLOOKUP(D175,'116指標2_存款25%'!A:F,6,0)</f>
        <v>453730</v>
      </c>
      <c r="U175" s="274">
        <f>VLOOKUP(D175,'116指標6_理財AUM25%'!A:F,6,0)</f>
        <v>483723</v>
      </c>
      <c r="V175" s="274">
        <f>VLOOKUP(D175,'116指標4_114分行人數25%'!A:Q,17,0)</f>
        <v>557370</v>
      </c>
      <c r="W175" s="274">
        <f>VLOOKUP(F175,'115分組'!D:F,3,0)</f>
        <v>130000</v>
      </c>
      <c r="X175" s="274"/>
      <c r="Y175" s="275">
        <f t="shared" si="24"/>
        <v>2060000</v>
      </c>
      <c r="Z175" s="451">
        <f t="shared" si="31"/>
        <v>55500000</v>
      </c>
      <c r="AA175" s="276">
        <f t="shared" si="32"/>
        <v>4.8840178357256514E-2</v>
      </c>
      <c r="AB175" s="276">
        <f t="shared" si="33"/>
        <v>5.4131054131054235E-2</v>
      </c>
      <c r="AC175" s="277">
        <f t="shared" si="34"/>
        <v>30525000.000000004</v>
      </c>
    </row>
    <row r="176" spans="1:29" s="279" customFormat="1" ht="24.95" customHeight="1">
      <c r="A176" s="279" t="str">
        <f>IF(J176&gt;='116目標底稿SUMMARY'!$E$3,"TYPE_1",IF(J176&gt;='116目標底稿SUMMARY'!$E$4,"TYPE_2",IF(J176&gt;='116目標底稿SUMMARY'!$E$5,"TYPE_3","TYPE_4")))</f>
        <v>TYPE_3</v>
      </c>
      <c r="B176" s="272">
        <v>169</v>
      </c>
      <c r="C176" s="271" t="s">
        <v>48</v>
      </c>
      <c r="D176" s="272">
        <v>712</v>
      </c>
      <c r="E176" s="273" t="s">
        <v>58</v>
      </c>
      <c r="F176" s="272">
        <f>IF(ISERROR(VLOOKUP(D176,'115分組'!A:D,4,0)), "未分", VLOOKUP(D176,'115分組'!A:D,4,0))</f>
        <v>8</v>
      </c>
      <c r="G176" s="273">
        <f>ROUND(VLOOKUP(D176,'115_分行業績'!A:J,8,0), 0)</f>
        <v>19857528</v>
      </c>
      <c r="H176" s="274">
        <f>(VLOOKUP(D176, '底稿_前2年手收20%'!A:G,7,0)+VLOOKUP(D176, '底稿_前2年手收20%'!O:U,7,0))/2</f>
        <v>16051152.254999999</v>
      </c>
      <c r="I176" s="273">
        <f>VLOOKUP(D176,'115_分行業績'!A:I,9,0)</f>
        <v>22360000</v>
      </c>
      <c r="J176" s="456">
        <f t="shared" si="23"/>
        <v>0.89</v>
      </c>
      <c r="K176" s="456">
        <f t="shared" si="26"/>
        <v>0.93</v>
      </c>
      <c r="L176" s="273" t="str">
        <f t="shared" si="27"/>
        <v>75%以上、未達90%</v>
      </c>
      <c r="M176" s="273" t="str">
        <f t="shared" si="28"/>
        <v>分行目標110%</v>
      </c>
      <c r="N176" s="273">
        <f t="shared" si="29"/>
        <v>24600000</v>
      </c>
      <c r="O176" s="273" t="str">
        <f>VLOOKUP(A176,'116目標底稿SUMMARY'!A:B,2,0)</f>
        <v>80%以上，未達100%</v>
      </c>
      <c r="P176" s="273" t="str">
        <f>VLOOKUP(A176,'116目標底稿SUMMARY'!A:D,4,0)</f>
        <v>預估實績*105%</v>
      </c>
      <c r="Q176" s="273">
        <f>ROUND(IF(A176 = "TYPE_1", I176*'116目標底稿SUMMARY'!$F$3*'116目標底稿SUMMARY'!$G$3, IF(A176 = "TYPE_2", G176*'116目標底稿SUMMARY'!$F$4, IF(A176 = "TYPE_3", G176*'116目標底稿SUMMARY'!$F$5, '116目標底稿ver1'!I176*'116目標底稿SUMMARY'!$F$6*'116目標底稿SUMMARY'!$G$6))), -4)</f>
        <v>20450000</v>
      </c>
      <c r="R176" s="452">
        <f t="shared" si="30"/>
        <v>-4150000</v>
      </c>
      <c r="S176" s="274">
        <f>VLOOKUP(D176,'116指標1_前2年手收20%'!A:M,13,0)</f>
        <v>180004</v>
      </c>
      <c r="T176" s="274">
        <f>VLOOKUP(D176,'116指標2_存款25%'!A:F,6,0)</f>
        <v>161369</v>
      </c>
      <c r="U176" s="274">
        <f>VLOOKUP(D176,'116指標6_理財AUM25%'!A:F,6,0)</f>
        <v>200915</v>
      </c>
      <c r="V176" s="274">
        <f>VLOOKUP(D176,'116指標4_114分行人數25%'!A:Q,17,0)</f>
        <v>398121</v>
      </c>
      <c r="W176" s="274">
        <f>VLOOKUP(F176,'115分組'!D:F,3,0)</f>
        <v>40000</v>
      </c>
      <c r="X176" s="274"/>
      <c r="Y176" s="275">
        <f t="shared" si="24"/>
        <v>980000</v>
      </c>
      <c r="Z176" s="451">
        <f t="shared" si="31"/>
        <v>21430000</v>
      </c>
      <c r="AA176" s="276">
        <f t="shared" si="32"/>
        <v>7.9187701510480046E-2</v>
      </c>
      <c r="AB176" s="276">
        <f t="shared" si="33"/>
        <v>-4.159212880143115E-2</v>
      </c>
      <c r="AC176" s="277">
        <f t="shared" si="34"/>
        <v>11786500.000000002</v>
      </c>
    </row>
    <row r="177" spans="1:29" s="279" customFormat="1" ht="24.95" customHeight="1">
      <c r="A177" s="279" t="str">
        <f>IF(J177&gt;='116目標底稿SUMMARY'!$E$3,"TYPE_1",IF(J177&gt;='116目標底稿SUMMARY'!$E$4,"TYPE_2",IF(J177&gt;='116目標底稿SUMMARY'!$E$5,"TYPE_3","TYPE_4")))</f>
        <v>TYPE_2</v>
      </c>
      <c r="B177" s="272">
        <v>170</v>
      </c>
      <c r="C177" s="271" t="s">
        <v>48</v>
      </c>
      <c r="D177" s="272">
        <v>719</v>
      </c>
      <c r="E177" s="273" t="s">
        <v>59</v>
      </c>
      <c r="F177" s="272">
        <f>IF(ISERROR(VLOOKUP(D177,'115分組'!A:D,4,0)), "未分", VLOOKUP(D177,'115分組'!A:D,4,0))</f>
        <v>2</v>
      </c>
      <c r="G177" s="273">
        <f>ROUND(VLOOKUP(D177,'115_分行業績'!A:J,8,0), 0)</f>
        <v>83251115</v>
      </c>
      <c r="H177" s="274">
        <f>(VLOOKUP(D177, '底稿_前2年手收20%'!A:G,7,0)+VLOOKUP(D177, '底稿_前2年手收20%'!O:U,7,0))/2</f>
        <v>53441350.714999996</v>
      </c>
      <c r="I177" s="273">
        <f>VLOOKUP(D177,'115_分行業績'!A:I,9,0)</f>
        <v>76510000</v>
      </c>
      <c r="J177" s="456">
        <f t="shared" si="23"/>
        <v>1.0900000000000001</v>
      </c>
      <c r="K177" s="456">
        <f t="shared" si="26"/>
        <v>0.96</v>
      </c>
      <c r="L177" s="273" t="str">
        <f t="shared" si="27"/>
        <v>100%以上、未達110%</v>
      </c>
      <c r="M177" s="273" t="str">
        <f t="shared" si="28"/>
        <v>預估實績105%</v>
      </c>
      <c r="N177" s="273">
        <f t="shared" si="29"/>
        <v>87410000</v>
      </c>
      <c r="O177" s="273" t="str">
        <f>VLOOKUP(A177,'116目標底稿SUMMARY'!A:B,2,0)</f>
        <v>100%以上，未達120%</v>
      </c>
      <c r="P177" s="273" t="str">
        <f>VLOOKUP(A177,'116目標底稿SUMMARY'!A:D,4,0)</f>
        <v>預估實績*103%</v>
      </c>
      <c r="Q177" s="273">
        <f>ROUND(IF(A177 = "TYPE_1", I177*'116目標底稿SUMMARY'!$F$3*'116目標底稿SUMMARY'!$G$3, IF(A177 = "TYPE_2", G177*'116目標底稿SUMMARY'!$F$4, IF(A177 = "TYPE_3", G177*'116目標底稿SUMMARY'!$F$5, '116目標底稿ver1'!I177*'116目標底稿SUMMARY'!$F$6*'116目標底稿SUMMARY'!$G$6))), -4)</f>
        <v>84080000</v>
      </c>
      <c r="R177" s="452">
        <f t="shared" si="30"/>
        <v>-3330000</v>
      </c>
      <c r="S177" s="274">
        <f>VLOOKUP(D177,'116指標1_前2年手收20%'!A:M,13,0)</f>
        <v>591630</v>
      </c>
      <c r="T177" s="274">
        <f>VLOOKUP(D177,'116指標2_存款25%'!A:F,6,0)</f>
        <v>578656</v>
      </c>
      <c r="U177" s="274">
        <f>VLOOKUP(D177,'116指標6_理財AUM25%'!A:F,6,0)</f>
        <v>745690</v>
      </c>
      <c r="V177" s="274">
        <f>VLOOKUP(D177,'116指標4_114分行人數25%'!A:Q,17,0)</f>
        <v>696712</v>
      </c>
      <c r="W177" s="274">
        <f>VLOOKUP(F177,'115分組'!D:F,3,0)</f>
        <v>170000</v>
      </c>
      <c r="X177" s="274"/>
      <c r="Y177" s="275">
        <f t="shared" si="24"/>
        <v>2780000</v>
      </c>
      <c r="Z177" s="451">
        <f t="shared" si="31"/>
        <v>86860000</v>
      </c>
      <c r="AA177" s="276">
        <f t="shared" si="32"/>
        <v>4.3349389374544689E-2</v>
      </c>
      <c r="AB177" s="276">
        <f t="shared" si="33"/>
        <v>0.13527643445301263</v>
      </c>
      <c r="AC177" s="277">
        <f t="shared" si="34"/>
        <v>47773000.000000007</v>
      </c>
    </row>
    <row r="178" spans="1:29" s="279" customFormat="1" ht="24.95" customHeight="1">
      <c r="A178" s="279" t="str">
        <f>IF(J178&gt;='116目標底稿SUMMARY'!$E$3,"TYPE_1",IF(J178&gt;='116目標底稿SUMMARY'!$E$4,"TYPE_2",IF(J178&gt;='116目標底稿SUMMARY'!$E$5,"TYPE_3","TYPE_4")))</f>
        <v>TYPE_2</v>
      </c>
      <c r="B178" s="272">
        <v>171</v>
      </c>
      <c r="C178" s="271" t="s">
        <v>48</v>
      </c>
      <c r="D178" s="272">
        <v>720</v>
      </c>
      <c r="E178" s="273" t="s">
        <v>112</v>
      </c>
      <c r="F178" s="272">
        <f>IF(ISERROR(VLOOKUP(D178,'115分組'!A:D,4,0)), "未分", VLOOKUP(D178,'115分組'!A:D,4,0))</f>
        <v>6</v>
      </c>
      <c r="G178" s="273">
        <f>ROUND(VLOOKUP(D178,'115_分行業績'!A:J,8,0), 0)</f>
        <v>69404412</v>
      </c>
      <c r="H178" s="274">
        <f>(VLOOKUP(D178, '底稿_前2年手收20%'!A:G,7,0)+VLOOKUP(D178, '底稿_前2年手收20%'!O:U,7,0))/2</f>
        <v>46121167.484999999</v>
      </c>
      <c r="I178" s="273">
        <f>VLOOKUP(D178,'115_分行業績'!A:I,9,0)</f>
        <v>65890000</v>
      </c>
      <c r="J178" s="456">
        <f t="shared" si="23"/>
        <v>1.05</v>
      </c>
      <c r="K178" s="456">
        <f t="shared" si="26"/>
        <v>0.96</v>
      </c>
      <c r="L178" s="273" t="str">
        <f t="shared" si="27"/>
        <v>100%以上、未達110%</v>
      </c>
      <c r="M178" s="273" t="str">
        <f t="shared" si="28"/>
        <v>預估實績105%</v>
      </c>
      <c r="N178" s="273">
        <f t="shared" si="29"/>
        <v>72870000</v>
      </c>
      <c r="O178" s="273" t="str">
        <f>VLOOKUP(A178,'116目標底稿SUMMARY'!A:B,2,0)</f>
        <v>100%以上，未達120%</v>
      </c>
      <c r="P178" s="273" t="str">
        <f>VLOOKUP(A178,'116目標底稿SUMMARY'!A:D,4,0)</f>
        <v>預估實績*103%</v>
      </c>
      <c r="Q178" s="273">
        <f>ROUND(IF(A178 = "TYPE_1", I178*'116目標底稿SUMMARY'!$F$3*'116目標底稿SUMMARY'!$G$3, IF(A178 = "TYPE_2", G178*'116目標底稿SUMMARY'!$F$4, IF(A178 = "TYPE_3", G178*'116目標底稿SUMMARY'!$F$5, '116目標底稿ver1'!I178*'116目標底稿SUMMARY'!$F$6*'116目標底稿SUMMARY'!$G$6))), -4)</f>
        <v>70100000</v>
      </c>
      <c r="R178" s="452">
        <f t="shared" si="30"/>
        <v>-2770000</v>
      </c>
      <c r="S178" s="274">
        <f>VLOOKUP(D178,'116指標1_前2年手收20%'!A:M,13,0)</f>
        <v>501598</v>
      </c>
      <c r="T178" s="274">
        <f>VLOOKUP(D178,'116指標2_存款25%'!A:F,6,0)</f>
        <v>524657</v>
      </c>
      <c r="U178" s="274">
        <f>VLOOKUP(D178,'116指標6_理財AUM25%'!A:F,6,0)</f>
        <v>762921</v>
      </c>
      <c r="V178" s="274">
        <f>VLOOKUP(D178,'116指標4_114分行人數25%'!A:Q,17,0)</f>
        <v>537464</v>
      </c>
      <c r="W178" s="274">
        <f>VLOOKUP(F178,'115分組'!D:F,3,0)</f>
        <v>80000</v>
      </c>
      <c r="X178" s="274"/>
      <c r="Y178" s="275">
        <f t="shared" si="24"/>
        <v>2410000</v>
      </c>
      <c r="Z178" s="451">
        <f t="shared" si="31"/>
        <v>72510000</v>
      </c>
      <c r="AA178" s="276">
        <f t="shared" si="32"/>
        <v>4.4746261952338218E-2</v>
      </c>
      <c r="AB178" s="276">
        <f t="shared" si="33"/>
        <v>0.10047048110487178</v>
      </c>
      <c r="AC178" s="277">
        <f t="shared" si="34"/>
        <v>39880500</v>
      </c>
    </row>
    <row r="179" spans="1:29" s="279" customFormat="1" ht="24.95" customHeight="1">
      <c r="A179" s="279" t="str">
        <f>IF(J179&gt;='116目標底稿SUMMARY'!$E$3,"TYPE_1",IF(J179&gt;='116目標底稿SUMMARY'!$E$4,"TYPE_2",IF(J179&gt;='116目標底稿SUMMARY'!$E$5,"TYPE_3","TYPE_4")))</f>
        <v>TYPE_4</v>
      </c>
      <c r="B179" s="272">
        <v>172</v>
      </c>
      <c r="C179" s="271" t="s">
        <v>48</v>
      </c>
      <c r="D179" s="272">
        <v>721</v>
      </c>
      <c r="E179" s="273" t="s">
        <v>60</v>
      </c>
      <c r="F179" s="272">
        <f>IF(ISERROR(VLOOKUP(D179,'115分組'!A:D,4,0)), "未分", VLOOKUP(D179,'115分組'!A:D,4,0))</f>
        <v>6</v>
      </c>
      <c r="G179" s="273">
        <f>ROUND(VLOOKUP(D179,'115_分行業績'!A:J,8,0), 0)</f>
        <v>43329357</v>
      </c>
      <c r="H179" s="274">
        <f>(VLOOKUP(D179, '底稿_前2年手收20%'!A:G,7,0)+VLOOKUP(D179, '底稿_前2年手收20%'!O:U,7,0))/2</f>
        <v>36201816.725000001</v>
      </c>
      <c r="I179" s="273">
        <f>VLOOKUP(D179,'115_分行業績'!A:I,9,0)</f>
        <v>54870000</v>
      </c>
      <c r="J179" s="456">
        <f t="shared" si="23"/>
        <v>0.79</v>
      </c>
      <c r="K179" s="456">
        <f t="shared" si="26"/>
        <v>0.79</v>
      </c>
      <c r="L179" s="273" t="str">
        <f t="shared" si="27"/>
        <v>75%以上、未達90%</v>
      </c>
      <c r="M179" s="273" t="str">
        <f t="shared" si="28"/>
        <v>分行目標110%</v>
      </c>
      <c r="N179" s="273">
        <f t="shared" si="29"/>
        <v>60360000</v>
      </c>
      <c r="O179" s="273" t="str">
        <f>VLOOKUP(A179,'116目標底稿SUMMARY'!A:B,2,0)</f>
        <v>未達80%</v>
      </c>
      <c r="P179" s="273" t="str">
        <f>VLOOKUP(A179,'116目標底稿SUMMARY'!A:D,4,0)</f>
        <v>分行目標*80%*120%</v>
      </c>
      <c r="Q179" s="273">
        <f>ROUND(IF(A179 = "TYPE_1", I179*'116目標底稿SUMMARY'!$F$3*'116目標底稿SUMMARY'!$G$3, IF(A179 = "TYPE_2", G179*'116目標底稿SUMMARY'!$F$4, IF(A179 = "TYPE_3", G179*'116目標底稿SUMMARY'!$F$5, '116目標底稿ver1'!I179*'116目標底稿SUMMARY'!$F$6*'116目標底稿SUMMARY'!$G$6))), -4)</f>
        <v>52680000</v>
      </c>
      <c r="R179" s="452">
        <f t="shared" si="30"/>
        <v>-7680000</v>
      </c>
      <c r="S179" s="274">
        <f>VLOOKUP(D179,'116指標1_前2年手收20%'!A:M,13,0)</f>
        <v>420517</v>
      </c>
      <c r="T179" s="274">
        <f>VLOOKUP(D179,'116指標2_存款25%'!A:F,6,0)</f>
        <v>505468</v>
      </c>
      <c r="U179" s="274">
        <f>VLOOKUP(D179,'116指標6_理財AUM25%'!A:F,6,0)</f>
        <v>672733</v>
      </c>
      <c r="V179" s="274">
        <f>VLOOKUP(D179,'116指標4_114分行人數25%'!A:Q,17,0)</f>
        <v>557370</v>
      </c>
      <c r="W179" s="274">
        <f>VLOOKUP(F179,'115分組'!D:F,3,0)</f>
        <v>80000</v>
      </c>
      <c r="X179" s="274"/>
      <c r="Y179" s="275">
        <f t="shared" si="24"/>
        <v>2240000</v>
      </c>
      <c r="Z179" s="451">
        <f t="shared" si="31"/>
        <v>54920000</v>
      </c>
      <c r="AA179" s="276">
        <f t="shared" si="32"/>
        <v>0.2675009232193315</v>
      </c>
      <c r="AB179" s="276">
        <f t="shared" si="33"/>
        <v>9.1124476034254442E-4</v>
      </c>
      <c r="AC179" s="277">
        <f t="shared" si="34"/>
        <v>30206000.000000004</v>
      </c>
    </row>
    <row r="180" spans="1:29" s="279" customFormat="1" ht="24.95" customHeight="1">
      <c r="A180" s="279" t="str">
        <f>IF(J180&gt;='116目標底稿SUMMARY'!$E$3,"TYPE_1",IF(J180&gt;='116目標底稿SUMMARY'!$E$4,"TYPE_2",IF(J180&gt;='116目標底稿SUMMARY'!$E$5,"TYPE_3","TYPE_4")))</f>
        <v>TYPE_3</v>
      </c>
      <c r="B180" s="272">
        <v>173</v>
      </c>
      <c r="C180" s="271" t="s">
        <v>48</v>
      </c>
      <c r="D180" s="272">
        <v>722</v>
      </c>
      <c r="E180" s="273" t="s">
        <v>61</v>
      </c>
      <c r="F180" s="272">
        <f>IF(ISERROR(VLOOKUP(D180,'115分組'!A:D,4,0)), "未分", VLOOKUP(D180,'115分組'!A:D,4,0))</f>
        <v>7</v>
      </c>
      <c r="G180" s="273">
        <f>ROUND(VLOOKUP(D180,'115_分行業績'!A:J,8,0), 0)</f>
        <v>32593644</v>
      </c>
      <c r="H180" s="274">
        <f>(VLOOKUP(D180, '底稿_前2年手收20%'!A:G,7,0)+VLOOKUP(D180, '底稿_前2年手收20%'!O:U,7,0))/2</f>
        <v>19886761.850000001</v>
      </c>
      <c r="I180" s="273">
        <f>VLOOKUP(D180,'115_分行業績'!A:I,9,0)</f>
        <v>33480000</v>
      </c>
      <c r="J180" s="456">
        <f t="shared" si="23"/>
        <v>0.97</v>
      </c>
      <c r="K180" s="456">
        <f t="shared" si="26"/>
        <v>0.93</v>
      </c>
      <c r="L180" s="273" t="str">
        <f t="shared" si="27"/>
        <v>90%以上、未達100%</v>
      </c>
      <c r="M180" s="273" t="str">
        <f t="shared" si="28"/>
        <v>分行目標105%</v>
      </c>
      <c r="N180" s="273">
        <f t="shared" si="29"/>
        <v>35150000</v>
      </c>
      <c r="O180" s="273" t="str">
        <f>VLOOKUP(A180,'116目標底稿SUMMARY'!A:B,2,0)</f>
        <v>80%以上，未達100%</v>
      </c>
      <c r="P180" s="273" t="str">
        <f>VLOOKUP(A180,'116目標底稿SUMMARY'!A:D,4,0)</f>
        <v>預估實績*105%</v>
      </c>
      <c r="Q180" s="273">
        <f>ROUND(IF(A180 = "TYPE_1", I180*'116目標底稿SUMMARY'!$F$3*'116目標底稿SUMMARY'!$G$3, IF(A180 = "TYPE_2", G180*'116目標底稿SUMMARY'!$F$4, IF(A180 = "TYPE_3", G180*'116目標底稿SUMMARY'!$F$5, '116目標底稿ver1'!I180*'116目標底稿SUMMARY'!$F$6*'116目標底稿SUMMARY'!$G$6))), -4)</f>
        <v>33570000</v>
      </c>
      <c r="R180" s="452">
        <f t="shared" si="30"/>
        <v>-1580000</v>
      </c>
      <c r="S180" s="274">
        <f>VLOOKUP(D180,'116指標1_前2年手收20%'!A:M,13,0)</f>
        <v>236518</v>
      </c>
      <c r="T180" s="274">
        <f>VLOOKUP(D180,'116指標2_存款25%'!A:F,6,0)</f>
        <v>256445</v>
      </c>
      <c r="U180" s="274">
        <f>VLOOKUP(D180,'116指標6_理財AUM25%'!A:F,6,0)</f>
        <v>351875</v>
      </c>
      <c r="V180" s="274">
        <f>VLOOKUP(D180,'116指標4_114分行人數25%'!A:Q,17,0)</f>
        <v>517557</v>
      </c>
      <c r="W180" s="274">
        <f>VLOOKUP(F180,'115分組'!D:F,3,0)</f>
        <v>60000</v>
      </c>
      <c r="X180" s="274"/>
      <c r="Y180" s="275">
        <f t="shared" si="24"/>
        <v>1420000</v>
      </c>
      <c r="Z180" s="451">
        <f t="shared" si="31"/>
        <v>34990000</v>
      </c>
      <c r="AA180" s="276">
        <f t="shared" si="32"/>
        <v>7.3522187331984012E-2</v>
      </c>
      <c r="AB180" s="276">
        <f t="shared" si="33"/>
        <v>4.510155316606923E-2</v>
      </c>
      <c r="AC180" s="277">
        <f t="shared" si="34"/>
        <v>19244500</v>
      </c>
    </row>
    <row r="181" spans="1:29" s="279" customFormat="1" ht="24.95" customHeight="1">
      <c r="A181" s="279" t="str">
        <f>IF(J181&gt;='116目標底稿SUMMARY'!$E$3,"TYPE_1",IF(J181&gt;='116目標底稿SUMMARY'!$E$4,"TYPE_2",IF(J181&gt;='116目標底稿SUMMARY'!$E$5,"TYPE_3","TYPE_4")))</f>
        <v>TYPE_3</v>
      </c>
      <c r="B181" s="272">
        <v>174</v>
      </c>
      <c r="C181" s="271" t="s">
        <v>48</v>
      </c>
      <c r="D181" s="272">
        <v>751</v>
      </c>
      <c r="E181" s="273" t="s">
        <v>62</v>
      </c>
      <c r="F181" s="272">
        <f>IF(ISERROR(VLOOKUP(D181,'115分組'!A:D,4,0)), "未分", VLOOKUP(D181,'115分組'!A:D,4,0))</f>
        <v>7</v>
      </c>
      <c r="G181" s="273">
        <f>ROUND(VLOOKUP(D181,'115_分行業績'!A:J,8,0), 0)</f>
        <v>39118611</v>
      </c>
      <c r="H181" s="274">
        <f>(VLOOKUP(D181, '底稿_前2年手收20%'!A:G,7,0)+VLOOKUP(D181, '底稿_前2年手收20%'!O:U,7,0))/2</f>
        <v>27121261.965</v>
      </c>
      <c r="I181" s="273">
        <f>VLOOKUP(D181,'115_分行業績'!A:I,9,0)</f>
        <v>43230000</v>
      </c>
      <c r="J181" s="456">
        <f t="shared" si="23"/>
        <v>0.9</v>
      </c>
      <c r="K181" s="456">
        <f t="shared" si="26"/>
        <v>0.93</v>
      </c>
      <c r="L181" s="273" t="str">
        <f t="shared" si="27"/>
        <v>90%以上、未達100%</v>
      </c>
      <c r="M181" s="273" t="str">
        <f t="shared" si="28"/>
        <v>分行目標105%</v>
      </c>
      <c r="N181" s="273">
        <f t="shared" si="29"/>
        <v>45390000</v>
      </c>
      <c r="O181" s="273" t="str">
        <f>VLOOKUP(A181,'116目標底稿SUMMARY'!A:B,2,0)</f>
        <v>80%以上，未達100%</v>
      </c>
      <c r="P181" s="273" t="str">
        <f>VLOOKUP(A181,'116目標底稿SUMMARY'!A:D,4,0)</f>
        <v>預估實績*105%</v>
      </c>
      <c r="Q181" s="273">
        <f>ROUND(IF(A181 = "TYPE_1", I181*'116目標底稿SUMMARY'!$F$3*'116目標底稿SUMMARY'!$G$3, IF(A181 = "TYPE_2", G181*'116目標底稿SUMMARY'!$F$4, IF(A181 = "TYPE_3", G181*'116目標底稿SUMMARY'!$F$5, '116目標底稿ver1'!I181*'116目標底稿SUMMARY'!$F$6*'116目標底稿SUMMARY'!$G$6))), -4)</f>
        <v>40290000</v>
      </c>
      <c r="R181" s="452">
        <f t="shared" si="30"/>
        <v>-5100000</v>
      </c>
      <c r="S181" s="274">
        <f>VLOOKUP(D181,'116指標1_前2年手收20%'!A:M,13,0)</f>
        <v>322560</v>
      </c>
      <c r="T181" s="274">
        <f>VLOOKUP(D181,'116指標2_存款25%'!A:F,6,0)</f>
        <v>504030</v>
      </c>
      <c r="U181" s="274">
        <f>VLOOKUP(D181,'116指標6_理財AUM25%'!A:F,6,0)</f>
        <v>340689</v>
      </c>
      <c r="V181" s="274">
        <f>VLOOKUP(D181,'116指標4_114分行人數25%'!A:Q,17,0)</f>
        <v>457839</v>
      </c>
      <c r="W181" s="274">
        <f>VLOOKUP(F181,'115分組'!D:F,3,0)</f>
        <v>60000</v>
      </c>
      <c r="X181" s="274"/>
      <c r="Y181" s="275">
        <f t="shared" si="24"/>
        <v>1690000</v>
      </c>
      <c r="Z181" s="451">
        <f t="shared" si="31"/>
        <v>41980000</v>
      </c>
      <c r="AA181" s="276">
        <f t="shared" si="32"/>
        <v>7.3146487742113298E-2</v>
      </c>
      <c r="AB181" s="276">
        <f t="shared" si="33"/>
        <v>-2.8915105250983064E-2</v>
      </c>
      <c r="AC181" s="277">
        <f t="shared" si="34"/>
        <v>23089000.000000004</v>
      </c>
    </row>
    <row r="182" spans="1:29" s="279" customFormat="1" ht="24.95" customHeight="1">
      <c r="A182" s="279" t="str">
        <f>IF(J182&gt;='116目標底稿SUMMARY'!$E$3,"TYPE_1",IF(J182&gt;='116目標底稿SUMMARY'!$E$4,"TYPE_2",IF(J182&gt;='116目標底稿SUMMARY'!$E$5,"TYPE_3","TYPE_4")))</f>
        <v>TYPE_2</v>
      </c>
      <c r="B182" s="272">
        <v>175</v>
      </c>
      <c r="C182" s="271" t="s">
        <v>48</v>
      </c>
      <c r="D182" s="272">
        <v>752</v>
      </c>
      <c r="E182" s="273" t="s">
        <v>63</v>
      </c>
      <c r="F182" s="272">
        <f>IF(ISERROR(VLOOKUP(D182,'115分組'!A:D,4,0)), "未分", VLOOKUP(D182,'115分組'!A:D,4,0))</f>
        <v>6</v>
      </c>
      <c r="G182" s="273">
        <f>ROUND(VLOOKUP(D182,'115_分行業績'!A:J,8,0), 0)</f>
        <v>68646329</v>
      </c>
      <c r="H182" s="274">
        <f>(VLOOKUP(D182, '底稿_前2年手收20%'!A:G,7,0)+VLOOKUP(D182, '底稿_前2年手收20%'!O:U,7,0))/2</f>
        <v>44731733.340000004</v>
      </c>
      <c r="I182" s="273">
        <f>VLOOKUP(D182,'115_分行業績'!A:I,9,0)</f>
        <v>60470000</v>
      </c>
      <c r="J182" s="456">
        <f t="shared" si="23"/>
        <v>1.1399999999999999</v>
      </c>
      <c r="K182" s="456">
        <f t="shared" si="26"/>
        <v>0.96</v>
      </c>
      <c r="L182" s="273" t="str">
        <f t="shared" si="27"/>
        <v>110%以上、未達120%</v>
      </c>
      <c r="M182" s="273" t="str">
        <f t="shared" si="28"/>
        <v>預估實績*103%</v>
      </c>
      <c r="N182" s="273">
        <f t="shared" si="29"/>
        <v>70710000</v>
      </c>
      <c r="O182" s="273" t="str">
        <f>VLOOKUP(A182,'116目標底稿SUMMARY'!A:B,2,0)</f>
        <v>100%以上，未達120%</v>
      </c>
      <c r="P182" s="273" t="str">
        <f>VLOOKUP(A182,'116目標底稿SUMMARY'!A:D,4,0)</f>
        <v>預估實績*103%</v>
      </c>
      <c r="Q182" s="273">
        <f>ROUND(IF(A182 = "TYPE_1", I182*'116目標底稿SUMMARY'!$F$3*'116目標底稿SUMMARY'!$G$3, IF(A182 = "TYPE_2", G182*'116目標底稿SUMMARY'!$F$4, IF(A182 = "TYPE_3", G182*'116目標底稿SUMMARY'!$F$5, '116目標底稿ver1'!I182*'116目標底稿SUMMARY'!$F$6*'116目標底稿SUMMARY'!$G$6))), -4)</f>
        <v>69330000</v>
      </c>
      <c r="R182" s="452">
        <f t="shared" si="30"/>
        <v>-1380000</v>
      </c>
      <c r="S182" s="274">
        <f>VLOOKUP(D182,'116指標1_前2年手收20%'!A:M,13,0)</f>
        <v>475968</v>
      </c>
      <c r="T182" s="274">
        <f>VLOOKUP(D182,'116指標2_存款25%'!A:F,6,0)</f>
        <v>587675</v>
      </c>
      <c r="U182" s="274">
        <f>VLOOKUP(D182,'116指標6_理財AUM25%'!A:F,6,0)</f>
        <v>553111</v>
      </c>
      <c r="V182" s="274">
        <f>VLOOKUP(D182,'116指標4_114分行人數25%'!A:Q,17,0)</f>
        <v>557370</v>
      </c>
      <c r="W182" s="274">
        <f>VLOOKUP(F182,'115分組'!D:F,3,0)</f>
        <v>80000</v>
      </c>
      <c r="X182" s="274"/>
      <c r="Y182" s="275">
        <f t="shared" si="24"/>
        <v>2250000</v>
      </c>
      <c r="Z182" s="451">
        <f t="shared" si="31"/>
        <v>71580000</v>
      </c>
      <c r="AA182" s="276">
        <f t="shared" si="32"/>
        <v>4.2736021615955577E-2</v>
      </c>
      <c r="AB182" s="276">
        <f t="shared" si="33"/>
        <v>0.1837274681660328</v>
      </c>
      <c r="AC182" s="277">
        <f t="shared" si="34"/>
        <v>39369000</v>
      </c>
    </row>
    <row r="183" spans="1:29" s="279" customFormat="1" ht="24.95" customHeight="1">
      <c r="A183" s="279" t="str">
        <f>IF(J183&gt;='116目標底稿SUMMARY'!$E$3,"TYPE_1",IF(J183&gt;='116目標底稿SUMMARY'!$E$4,"TYPE_2",IF(J183&gt;='116目標底稿SUMMARY'!$E$5,"TYPE_3","TYPE_4")))</f>
        <v>TYPE_1</v>
      </c>
      <c r="B183" s="272">
        <v>176</v>
      </c>
      <c r="C183" s="271" t="s">
        <v>48</v>
      </c>
      <c r="D183" s="272">
        <v>753</v>
      </c>
      <c r="E183" s="273" t="s">
        <v>207</v>
      </c>
      <c r="F183" s="272">
        <f>IF(ISERROR(VLOOKUP(D183,'115分組'!A:D,4,0)), "未分", VLOOKUP(D183,'115分組'!A:D,4,0))</f>
        <v>7</v>
      </c>
      <c r="G183" s="273">
        <f>ROUND(VLOOKUP(D183,'115_分行業績'!A:J,8,0), 0)</f>
        <v>62337850</v>
      </c>
      <c r="H183" s="274">
        <f>(VLOOKUP(D183, '底稿_前2年手收20%'!A:G,7,0)+VLOOKUP(D183, '底稿_前2年手收20%'!O:U,7,0))/2</f>
        <v>33285696.289999999</v>
      </c>
      <c r="I183" s="273">
        <f>VLOOKUP(D183,'115_分行業績'!A:I,9,0)</f>
        <v>42620000</v>
      </c>
      <c r="J183" s="456">
        <f t="shared" si="23"/>
        <v>1.46</v>
      </c>
      <c r="K183" s="456">
        <f t="shared" si="26"/>
        <v>1.17</v>
      </c>
      <c r="L183" s="273" t="str">
        <f t="shared" si="27"/>
        <v>130%以上、未達150%</v>
      </c>
      <c r="M183" s="273" t="str">
        <f t="shared" si="28"/>
        <v>預估實績*90%</v>
      </c>
      <c r="N183" s="273">
        <f t="shared" si="29"/>
        <v>56100000</v>
      </c>
      <c r="O183" s="273" t="str">
        <f>VLOOKUP(A183,'116目標底稿SUMMARY'!A:B,2,0)</f>
        <v>120%以上</v>
      </c>
      <c r="P183" s="273" t="str">
        <f>VLOOKUP(A183,'116目標底稿SUMMARY'!A:D,4,0)</f>
        <v>分行目標*120%*101%</v>
      </c>
      <c r="Q183" s="273">
        <f>ROUND(IF(A183 = "TYPE_1", I183*'116目標底稿SUMMARY'!$F$3*'116目標底稿SUMMARY'!$G$3, IF(A183 = "TYPE_2", G183*'116目標底稿SUMMARY'!$F$4, IF(A183 = "TYPE_3", G183*'116目標底稿SUMMARY'!$F$5, '116目標底稿ver1'!I183*'116目標底稿SUMMARY'!$F$6*'116目標底稿SUMMARY'!$G$6))), -4)</f>
        <v>51660000</v>
      </c>
      <c r="R183" s="452">
        <f t="shared" si="30"/>
        <v>-4440000</v>
      </c>
      <c r="S183" s="274">
        <f>VLOOKUP(D183,'116指標1_前2年手收20%'!A:M,13,0)</f>
        <v>359711</v>
      </c>
      <c r="T183" s="274">
        <f>VLOOKUP(D183,'116指標2_存款25%'!A:F,6,0)</f>
        <v>397280</v>
      </c>
      <c r="U183" s="274">
        <f>VLOOKUP(D183,'116指標6_理財AUM25%'!A:F,6,0)</f>
        <v>373608</v>
      </c>
      <c r="V183" s="274">
        <f>VLOOKUP(D183,'116指標4_114分行人數25%'!A:Q,17,0)</f>
        <v>497651</v>
      </c>
      <c r="W183" s="274">
        <f>VLOOKUP(F183,'115分組'!D:F,3,0)</f>
        <v>60000</v>
      </c>
      <c r="X183" s="274"/>
      <c r="Y183" s="275">
        <f t="shared" si="24"/>
        <v>1690000</v>
      </c>
      <c r="Z183" s="451">
        <f t="shared" si="31"/>
        <v>53350000</v>
      </c>
      <c r="AA183" s="276">
        <f t="shared" si="32"/>
        <v>-0.14417965970914937</v>
      </c>
      <c r="AB183" s="276">
        <f t="shared" si="33"/>
        <v>0.25175973721257616</v>
      </c>
      <c r="AC183" s="277">
        <f t="shared" si="34"/>
        <v>29342500.000000004</v>
      </c>
    </row>
    <row r="184" spans="1:29" s="279" customFormat="1" ht="24.95" customHeight="1">
      <c r="A184" s="279" t="str">
        <f>IF(J184&gt;='116目標底稿SUMMARY'!$E$3,"TYPE_1",IF(J184&gt;='116目標底稿SUMMARY'!$E$4,"TYPE_2",IF(J184&gt;='116目標底稿SUMMARY'!$E$5,"TYPE_3","TYPE_4")))</f>
        <v>TYPE_3</v>
      </c>
      <c r="B184" s="272">
        <v>177</v>
      </c>
      <c r="C184" s="271" t="s">
        <v>48</v>
      </c>
      <c r="D184" s="272">
        <v>760</v>
      </c>
      <c r="E184" s="273" t="s">
        <v>64</v>
      </c>
      <c r="F184" s="272">
        <f>IF(ISERROR(VLOOKUP(D184,'115分組'!A:D,4,0)), "未分", VLOOKUP(D184,'115分組'!A:D,4,0))</f>
        <v>6</v>
      </c>
      <c r="G184" s="273">
        <f>ROUND(VLOOKUP(D184,'115_分行業績'!A:J,8,0), 0)</f>
        <v>73417344</v>
      </c>
      <c r="H184" s="274">
        <f>(VLOOKUP(D184, '底稿_前2年手收20%'!A:G,7,0)+VLOOKUP(D184, '底稿_前2年手收20%'!O:U,7,0))/2</f>
        <v>54334611.335000001</v>
      </c>
      <c r="I184" s="273">
        <f>VLOOKUP(D184,'115_分行業績'!A:I,9,0)</f>
        <v>88420000</v>
      </c>
      <c r="J184" s="456">
        <f t="shared" si="23"/>
        <v>0.83</v>
      </c>
      <c r="K184" s="456">
        <f t="shared" si="26"/>
        <v>0.93</v>
      </c>
      <c r="L184" s="273" t="str">
        <f t="shared" si="27"/>
        <v>75%以上、未達90%</v>
      </c>
      <c r="M184" s="273" t="str">
        <f t="shared" si="28"/>
        <v>分行目標110%</v>
      </c>
      <c r="N184" s="273">
        <f t="shared" si="29"/>
        <v>97260000</v>
      </c>
      <c r="O184" s="273" t="str">
        <f>VLOOKUP(A184,'116目標底稿SUMMARY'!A:B,2,0)</f>
        <v>80%以上，未達100%</v>
      </c>
      <c r="P184" s="273" t="str">
        <f>VLOOKUP(A184,'116目標底稿SUMMARY'!A:D,4,0)</f>
        <v>預估實績*105%</v>
      </c>
      <c r="Q184" s="273">
        <f>ROUND(IF(A184 = "TYPE_1", I184*'116目標底稿SUMMARY'!$F$3*'116目標底稿SUMMARY'!$G$3, IF(A184 = "TYPE_2", G184*'116目標底稿SUMMARY'!$F$4, IF(A184 = "TYPE_3", G184*'116目標底稿SUMMARY'!$F$5, '116目標底稿ver1'!I184*'116目標底稿SUMMARY'!$F$6*'116目標底稿SUMMARY'!$G$6))), -4)</f>
        <v>75620000</v>
      </c>
      <c r="R184" s="452">
        <f t="shared" si="30"/>
        <v>-21640000</v>
      </c>
      <c r="S184" s="274">
        <f>VLOOKUP(D184,'116指標1_前2年手收20%'!A:M,13,0)</f>
        <v>609738</v>
      </c>
      <c r="T184" s="274">
        <f>VLOOKUP(D184,'116指標2_存款25%'!A:F,6,0)</f>
        <v>930403</v>
      </c>
      <c r="U184" s="274">
        <f>VLOOKUP(D184,'116指標6_理財AUM25%'!A:F,6,0)</f>
        <v>844306</v>
      </c>
      <c r="V184" s="274">
        <f>VLOOKUP(D184,'116指標4_114分行人數25%'!A:Q,17,0)</f>
        <v>557370</v>
      </c>
      <c r="W184" s="274">
        <f>VLOOKUP(F184,'115分組'!D:F,3,0)</f>
        <v>80000</v>
      </c>
      <c r="X184" s="274"/>
      <c r="Y184" s="275">
        <f t="shared" si="24"/>
        <v>3020000</v>
      </c>
      <c r="Z184" s="451">
        <f t="shared" si="31"/>
        <v>78640000</v>
      </c>
      <c r="AA184" s="276">
        <f t="shared" si="32"/>
        <v>7.1136542340730857E-2</v>
      </c>
      <c r="AB184" s="276">
        <f t="shared" si="33"/>
        <v>-0.11060845962451937</v>
      </c>
      <c r="AC184" s="277">
        <f t="shared" si="34"/>
        <v>43252000</v>
      </c>
    </row>
    <row r="185" spans="1:29" s="279" customFormat="1" ht="24.95" customHeight="1">
      <c r="A185" s="279" t="str">
        <f>IF(J185&gt;='116目標底稿SUMMARY'!$E$3,"TYPE_1",IF(J185&gt;='116目標底稿SUMMARY'!$E$4,"TYPE_2",IF(J185&gt;='116目標底稿SUMMARY'!$E$5,"TYPE_3","TYPE_4")))</f>
        <v>TYPE_2</v>
      </c>
      <c r="B185" s="272">
        <v>178</v>
      </c>
      <c r="C185" s="271" t="s">
        <v>48</v>
      </c>
      <c r="D185" s="272">
        <v>800</v>
      </c>
      <c r="E185" s="273" t="s">
        <v>66</v>
      </c>
      <c r="F185" s="272">
        <f>IF(ISERROR(VLOOKUP(D185,'115分組'!A:D,4,0)), "未分", VLOOKUP(D185,'115分組'!A:D,4,0))</f>
        <v>7</v>
      </c>
      <c r="G185" s="273">
        <f>ROUND(VLOOKUP(D185,'115_分行業績'!A:J,8,0), 0)</f>
        <v>68532195</v>
      </c>
      <c r="H185" s="274">
        <f>(VLOOKUP(D185, '底稿_前2年手收20%'!A:G,7,0)+VLOOKUP(D185, '底稿_前2年手收20%'!O:U,7,0))/2</f>
        <v>43443640.505000003</v>
      </c>
      <c r="I185" s="273">
        <f>VLOOKUP(D185,'115_分行業績'!A:I,9,0)</f>
        <v>61600000</v>
      </c>
      <c r="J185" s="456">
        <f t="shared" si="23"/>
        <v>1.1100000000000001</v>
      </c>
      <c r="K185" s="456">
        <f t="shared" si="26"/>
        <v>0.96</v>
      </c>
      <c r="L185" s="273" t="str">
        <f t="shared" si="27"/>
        <v>110%以上、未達120%</v>
      </c>
      <c r="M185" s="273" t="str">
        <f t="shared" si="28"/>
        <v>預估實績*103%</v>
      </c>
      <c r="N185" s="273">
        <f t="shared" si="29"/>
        <v>70590000</v>
      </c>
      <c r="O185" s="273" t="str">
        <f>VLOOKUP(A185,'116目標底稿SUMMARY'!A:B,2,0)</f>
        <v>100%以上，未達120%</v>
      </c>
      <c r="P185" s="273" t="str">
        <f>VLOOKUP(A185,'116目標底稿SUMMARY'!A:D,4,0)</f>
        <v>預估實績*103%</v>
      </c>
      <c r="Q185" s="273">
        <f>ROUND(IF(A185 = "TYPE_1", I185*'116目標底稿SUMMARY'!$F$3*'116目標底稿SUMMARY'!$G$3, IF(A185 = "TYPE_2", G185*'116目標底稿SUMMARY'!$F$4, IF(A185 = "TYPE_3", G185*'116目標底稿SUMMARY'!$F$5, '116目標底稿ver1'!I185*'116目標底稿SUMMARY'!$F$6*'116目標底稿SUMMARY'!$G$6))), -4)</f>
        <v>69220000</v>
      </c>
      <c r="R185" s="452">
        <f t="shared" si="30"/>
        <v>-1370000</v>
      </c>
      <c r="S185" s="274">
        <f>VLOOKUP(D185,'116指標1_前2年手收20%'!A:M,13,0)</f>
        <v>489113</v>
      </c>
      <c r="T185" s="274">
        <f>VLOOKUP(D185,'116指標2_存款25%'!A:F,6,0)</f>
        <v>493920</v>
      </c>
      <c r="U185" s="274">
        <f>VLOOKUP(D185,'116指標6_理財AUM25%'!A:F,6,0)</f>
        <v>610254</v>
      </c>
      <c r="V185" s="274">
        <f>VLOOKUP(D185,'116指標4_114分行人數25%'!A:Q,17,0)</f>
        <v>557370</v>
      </c>
      <c r="W185" s="274">
        <f>VLOOKUP(F185,'115分組'!D:F,3,0)</f>
        <v>60000</v>
      </c>
      <c r="X185" s="274"/>
      <c r="Y185" s="275">
        <f t="shared" si="24"/>
        <v>2210000</v>
      </c>
      <c r="Z185" s="451">
        <f t="shared" si="31"/>
        <v>71430000</v>
      </c>
      <c r="AA185" s="276">
        <f t="shared" si="32"/>
        <v>4.2283849218604397E-2</v>
      </c>
      <c r="AB185" s="276">
        <f t="shared" si="33"/>
        <v>0.1595779220779221</v>
      </c>
      <c r="AC185" s="277">
        <f t="shared" si="34"/>
        <v>39286500</v>
      </c>
    </row>
    <row r="186" spans="1:29" s="279" customFormat="1" ht="24.95" customHeight="1">
      <c r="A186" s="279" t="str">
        <f>IF(J186&gt;='116目標底稿SUMMARY'!$E$3,"TYPE_1",IF(J186&gt;='116目標底稿SUMMARY'!$E$4,"TYPE_2",IF(J186&gt;='116目標底稿SUMMARY'!$E$5,"TYPE_3","TYPE_4")))</f>
        <v>TYPE_2</v>
      </c>
      <c r="B186" s="272">
        <v>179</v>
      </c>
      <c r="C186" s="271" t="s">
        <v>48</v>
      </c>
      <c r="D186" s="272">
        <v>801</v>
      </c>
      <c r="E186" s="273" t="s">
        <v>67</v>
      </c>
      <c r="F186" s="272">
        <f>IF(ISERROR(VLOOKUP(D186,'115分組'!A:D,4,0)), "未分", VLOOKUP(D186,'115分組'!A:D,4,0))</f>
        <v>4</v>
      </c>
      <c r="G186" s="273">
        <f>ROUND(VLOOKUP(D186,'115_分行業績'!A:J,8,0), 0)</f>
        <v>104230093</v>
      </c>
      <c r="H186" s="274">
        <f>(VLOOKUP(D186, '底稿_前2年手收20%'!A:G,7,0)+VLOOKUP(D186, '底稿_前2年手收20%'!O:U,7,0))/2</f>
        <v>67698725.24000001</v>
      </c>
      <c r="I186" s="273">
        <f>VLOOKUP(D186,'115_分行業績'!A:I,9,0)</f>
        <v>90250000</v>
      </c>
      <c r="J186" s="456">
        <f t="shared" si="23"/>
        <v>1.1499999999999999</v>
      </c>
      <c r="K186" s="456">
        <f t="shared" si="26"/>
        <v>0.96</v>
      </c>
      <c r="L186" s="273" t="str">
        <f t="shared" si="27"/>
        <v>110%以上、未達120%</v>
      </c>
      <c r="M186" s="273" t="str">
        <f t="shared" si="28"/>
        <v>預估實績*103%</v>
      </c>
      <c r="N186" s="273">
        <f t="shared" si="29"/>
        <v>107360000</v>
      </c>
      <c r="O186" s="273" t="str">
        <f>VLOOKUP(A186,'116目標底稿SUMMARY'!A:B,2,0)</f>
        <v>100%以上，未達120%</v>
      </c>
      <c r="P186" s="273" t="str">
        <f>VLOOKUP(A186,'116目標底稿SUMMARY'!A:D,4,0)</f>
        <v>預估實績*103%</v>
      </c>
      <c r="Q186" s="273">
        <f>ROUND(IF(A186 = "TYPE_1", I186*'116目標底稿SUMMARY'!$F$3*'116目標底稿SUMMARY'!$G$3, IF(A186 = "TYPE_2", G186*'116目標底稿SUMMARY'!$F$4, IF(A186 = "TYPE_3", G186*'116目標底稿SUMMARY'!$F$5, '116目標底稿ver1'!I186*'116目標底稿SUMMARY'!$F$6*'116目標底稿SUMMARY'!$G$6))), -4)</f>
        <v>105270000</v>
      </c>
      <c r="R186" s="452">
        <f t="shared" si="30"/>
        <v>-2090000</v>
      </c>
      <c r="S186" s="274">
        <f>VLOOKUP(D186,'116指標1_前2年手收20%'!A:M,13,0)</f>
        <v>699085</v>
      </c>
      <c r="T186" s="274">
        <f>VLOOKUP(D186,'116指標2_存款25%'!A:F,6,0)</f>
        <v>722995</v>
      </c>
      <c r="U186" s="274">
        <f>VLOOKUP(D186,'116指標6_理財AUM25%'!A:F,6,0)</f>
        <v>827309</v>
      </c>
      <c r="V186" s="274">
        <f>VLOOKUP(D186,'116指標4_114分行人數25%'!A:Q,17,0)</f>
        <v>617088</v>
      </c>
      <c r="W186" s="274">
        <f>VLOOKUP(F186,'115分組'!D:F,3,0)</f>
        <v>130000</v>
      </c>
      <c r="X186" s="274"/>
      <c r="Y186" s="275">
        <f t="shared" si="24"/>
        <v>3000000</v>
      </c>
      <c r="Z186" s="451">
        <f t="shared" si="31"/>
        <v>108270000</v>
      </c>
      <c r="AA186" s="276">
        <f t="shared" si="32"/>
        <v>3.875950681536855E-2</v>
      </c>
      <c r="AB186" s="276">
        <f t="shared" si="33"/>
        <v>0.19966759002770074</v>
      </c>
      <c r="AC186" s="277">
        <f t="shared" si="34"/>
        <v>59548500.000000007</v>
      </c>
    </row>
    <row r="187" spans="1:29" s="279" customFormat="1" ht="24.95" customHeight="1">
      <c r="A187" s="279" t="str">
        <f>IF(J187&gt;='116目標底稿SUMMARY'!$E$3,"TYPE_1",IF(J187&gt;='116目標底稿SUMMARY'!$E$4,"TYPE_2",IF(J187&gt;='116目標底稿SUMMARY'!$E$5,"TYPE_3","TYPE_4")))</f>
        <v>TYPE_4</v>
      </c>
      <c r="B187" s="272">
        <v>180</v>
      </c>
      <c r="C187" s="271" t="s">
        <v>48</v>
      </c>
      <c r="D187" s="272">
        <v>802</v>
      </c>
      <c r="E187" s="273" t="s">
        <v>68</v>
      </c>
      <c r="F187" s="272">
        <f>IF(ISERROR(VLOOKUP(D187,'115分組'!A:D,4,0)), "未分", VLOOKUP(D187,'115分組'!A:D,4,0))</f>
        <v>8</v>
      </c>
      <c r="G187" s="273">
        <f>ROUND(VLOOKUP(D187,'115_分行業績'!A:J,8,0), 0)</f>
        <v>75058617</v>
      </c>
      <c r="H187" s="274">
        <f>(VLOOKUP(D187, '底稿_前2年手收20%'!A:G,7,0)+VLOOKUP(D187, '底稿_前2年手收20%'!O:U,7,0))/2</f>
        <v>69258211.569999993</v>
      </c>
      <c r="I187" s="273">
        <f>VLOOKUP(D187,'115_分行業績'!A:I,9,0)</f>
        <v>96520000</v>
      </c>
      <c r="J187" s="456">
        <f t="shared" si="23"/>
        <v>0.78</v>
      </c>
      <c r="K187" s="456">
        <f t="shared" si="26"/>
        <v>0.78</v>
      </c>
      <c r="L187" s="273" t="str">
        <f t="shared" si="27"/>
        <v>75%以上、未達90%</v>
      </c>
      <c r="M187" s="273" t="str">
        <f t="shared" si="28"/>
        <v>分行目標110%</v>
      </c>
      <c r="N187" s="273">
        <f t="shared" si="29"/>
        <v>106170000</v>
      </c>
      <c r="O187" s="273" t="str">
        <f>VLOOKUP(A187,'116目標底稿SUMMARY'!A:B,2,0)</f>
        <v>未達80%</v>
      </c>
      <c r="P187" s="273" t="str">
        <f>VLOOKUP(A187,'116目標底稿SUMMARY'!A:D,4,0)</f>
        <v>分行目標*80%*120%</v>
      </c>
      <c r="Q187" s="273">
        <f>ROUND(IF(A187 = "TYPE_1", I187*'116目標底稿SUMMARY'!$F$3*'116目標底稿SUMMARY'!$G$3, IF(A187 = "TYPE_2", G187*'116目標底稿SUMMARY'!$F$4, IF(A187 = "TYPE_3", G187*'116目標底稿SUMMARY'!$F$5, '116目標底稿ver1'!I187*'116目標底稿SUMMARY'!$F$6*'116目標底稿SUMMARY'!$G$6))), -4)</f>
        <v>92660000</v>
      </c>
      <c r="R187" s="452">
        <f t="shared" si="30"/>
        <v>-13510000</v>
      </c>
      <c r="S187" s="274">
        <f>VLOOKUP(D187,'116指標1_前2年手收20%'!A:M,13,0)</f>
        <v>785042</v>
      </c>
      <c r="T187" s="274">
        <f>VLOOKUP(D187,'116指標2_存款25%'!A:F,6,0)</f>
        <v>823368</v>
      </c>
      <c r="U187" s="274">
        <f>VLOOKUP(D187,'116指標6_理財AUM25%'!A:F,6,0)</f>
        <v>1058078</v>
      </c>
      <c r="V187" s="274">
        <f>VLOOKUP(D187,'116指標4_114分行人數25%'!A:Q,17,0)</f>
        <v>557370</v>
      </c>
      <c r="W187" s="274">
        <f>VLOOKUP(F187,'115分組'!D:F,3,0)</f>
        <v>40000</v>
      </c>
      <c r="X187" s="274"/>
      <c r="Y187" s="275">
        <f t="shared" si="24"/>
        <v>3260000</v>
      </c>
      <c r="Z187" s="451">
        <f t="shared" si="31"/>
        <v>95920000</v>
      </c>
      <c r="AA187" s="276">
        <f t="shared" si="32"/>
        <v>0.27793455080580554</v>
      </c>
      <c r="AB187" s="276">
        <f t="shared" si="33"/>
        <v>-6.2163282221301408E-3</v>
      </c>
      <c r="AC187" s="277">
        <f t="shared" si="34"/>
        <v>52756000.000000007</v>
      </c>
    </row>
    <row r="188" spans="1:29" s="279" customFormat="1" ht="24.95" customHeight="1">
      <c r="A188" s="279" t="str">
        <f>IF(J188&gt;='116目標底稿SUMMARY'!$E$3,"TYPE_1",IF(J188&gt;='116目標底稿SUMMARY'!$E$4,"TYPE_2",IF(J188&gt;='116目標底稿SUMMARY'!$E$5,"TYPE_3","TYPE_4")))</f>
        <v>TYPE_1</v>
      </c>
      <c r="B188" s="272">
        <v>181</v>
      </c>
      <c r="C188" s="271" t="s">
        <v>7</v>
      </c>
      <c r="D188" s="272">
        <v>820</v>
      </c>
      <c r="E188" s="273" t="s">
        <v>70</v>
      </c>
      <c r="F188" s="272">
        <f>IF(ISERROR(VLOOKUP(D188,'115分組'!A:D,4,0)), "未分", VLOOKUP(D188,'115分組'!A:D,4,0))</f>
        <v>7</v>
      </c>
      <c r="G188" s="273">
        <f>ROUND(VLOOKUP(D188,'115_分行業績'!A:J,8,0), 0)</f>
        <v>69628302</v>
      </c>
      <c r="H188" s="274">
        <f>(VLOOKUP(D188, '底稿_前2年手收20%'!A:G,7,0)+VLOOKUP(D188, '底稿_前2年手收20%'!O:U,7,0))/2</f>
        <v>44966119.715000004</v>
      </c>
      <c r="I188" s="273">
        <f>VLOOKUP(D188,'115_分行業績'!A:I,9,0)</f>
        <v>57880000</v>
      </c>
      <c r="J188" s="456">
        <f t="shared" si="23"/>
        <v>1.2</v>
      </c>
      <c r="K188" s="456">
        <f t="shared" si="26"/>
        <v>0.97</v>
      </c>
      <c r="L188" s="273" t="str">
        <f t="shared" si="27"/>
        <v>120%以上、未達130%</v>
      </c>
      <c r="M188" s="273" t="str">
        <f t="shared" si="28"/>
        <v>預估實績*101%</v>
      </c>
      <c r="N188" s="273">
        <f t="shared" si="29"/>
        <v>70320000</v>
      </c>
      <c r="O188" s="273" t="str">
        <f>VLOOKUP(A188,'116目標底稿SUMMARY'!A:B,2,0)</f>
        <v>120%以上</v>
      </c>
      <c r="P188" s="273" t="str">
        <f>VLOOKUP(A188,'116目標底稿SUMMARY'!A:D,4,0)</f>
        <v>分行目標*120%*101%</v>
      </c>
      <c r="Q188" s="273">
        <f>ROUND(IF(A188 = "TYPE_1", I188*'116目標底稿SUMMARY'!$F$3*'116目標底稿SUMMARY'!$G$3, IF(A188 = "TYPE_2", G188*'116目標底稿SUMMARY'!$F$4, IF(A188 = "TYPE_3", G188*'116目標底稿SUMMARY'!$F$5, '116目標底稿ver1'!I188*'116目標底稿SUMMARY'!$F$6*'116目標底稿SUMMARY'!$G$6))), -4)</f>
        <v>70150000</v>
      </c>
      <c r="R188" s="452">
        <f t="shared" si="30"/>
        <v>-170000</v>
      </c>
      <c r="S188" s="274">
        <f>VLOOKUP(D188,'116指標1_前2年手收20%'!A:M,13,0)</f>
        <v>450278</v>
      </c>
      <c r="T188" s="274">
        <f>VLOOKUP(D188,'116指標2_存款25%'!A:F,6,0)</f>
        <v>330607</v>
      </c>
      <c r="U188" s="274">
        <f>VLOOKUP(D188,'116指標6_理財AUM25%'!A:F,6,0)</f>
        <v>501724</v>
      </c>
      <c r="V188" s="274">
        <f>VLOOKUP(D188,'116指標4_114分行人數25%'!A:Q,17,0)</f>
        <v>537464</v>
      </c>
      <c r="W188" s="274">
        <f>VLOOKUP(F188,'115分組'!D:F,3,0)</f>
        <v>60000</v>
      </c>
      <c r="X188" s="274"/>
      <c r="Y188" s="275">
        <f t="shared" si="24"/>
        <v>1880000</v>
      </c>
      <c r="Z188" s="451">
        <f t="shared" si="31"/>
        <v>72030000</v>
      </c>
      <c r="AA188" s="276">
        <f t="shared" si="32"/>
        <v>3.4493128957819419E-2</v>
      </c>
      <c r="AB188" s="276">
        <f t="shared" si="33"/>
        <v>0.24447131997235649</v>
      </c>
      <c r="AC188" s="277">
        <f t="shared" si="34"/>
        <v>39616500</v>
      </c>
    </row>
    <row r="189" spans="1:29" ht="24.95" customHeight="1">
      <c r="A189" s="279" t="str">
        <f>IF(J189&gt;='116目標底稿SUMMARY'!$E$3,"TYPE_1",IF(J189&gt;='116目標底稿SUMMARY'!$E$4,"TYPE_2",IF(J189&gt;='116目標底稿SUMMARY'!$E$5,"TYPE_3","TYPE_4")))</f>
        <v>TYPE_4</v>
      </c>
      <c r="B189" s="272">
        <v>182</v>
      </c>
      <c r="C189" s="270" t="s">
        <v>48</v>
      </c>
      <c r="D189" s="280">
        <v>830</v>
      </c>
      <c r="E189" s="281" t="s">
        <v>71</v>
      </c>
      <c r="F189" s="272">
        <f>IF(ISERROR(VLOOKUP(D189,'115分組'!A:D,4,0)), "未分", VLOOKUP(D189,'115分組'!A:D,4,0))</f>
        <v>7</v>
      </c>
      <c r="G189" s="273">
        <f>ROUND(VLOOKUP(D189,'115_分行業績'!A:J,8,0), 0)</f>
        <v>22284373</v>
      </c>
      <c r="H189" s="274">
        <f>(VLOOKUP(D189, '底稿_前2年手收20%'!A:G,7,0)+VLOOKUP(D189, '底稿_前2年手收20%'!O:U,7,0))/2</f>
        <v>18976317.32</v>
      </c>
      <c r="I189" s="273">
        <f>VLOOKUP(D189,'115_分行業績'!A:I,9,0)</f>
        <v>38100000</v>
      </c>
      <c r="J189" s="456">
        <f t="shared" si="23"/>
        <v>0.57999999999999996</v>
      </c>
      <c r="K189" s="456">
        <f t="shared" si="26"/>
        <v>0.57999999999999996</v>
      </c>
      <c r="L189" s="273" t="str">
        <f t="shared" si="27"/>
        <v>未達75%</v>
      </c>
      <c r="M189" s="273" t="str">
        <f t="shared" si="28"/>
        <v>分行目標115%</v>
      </c>
      <c r="N189" s="273">
        <f t="shared" si="29"/>
        <v>43820000</v>
      </c>
      <c r="O189" s="273" t="str">
        <f>VLOOKUP(A189,'116目標底稿SUMMARY'!A:B,2,0)</f>
        <v>未達80%</v>
      </c>
      <c r="P189" s="273" t="str">
        <f>VLOOKUP(A189,'116目標底稿SUMMARY'!A:D,4,0)</f>
        <v>分行目標*80%*120%</v>
      </c>
      <c r="Q189" s="273">
        <f>ROUND(IF(A189 = "TYPE_1", I189*'116目標底稿SUMMARY'!$F$3*'116目標底稿SUMMARY'!$G$3, IF(A189 = "TYPE_2", G189*'116目標底稿SUMMARY'!$F$4, IF(A189 = "TYPE_3", G189*'116目標底稿SUMMARY'!$F$5, '116目標底稿ver1'!I189*'116目標底稿SUMMARY'!$F$6*'116目標底稿SUMMARY'!$G$6))), -4)</f>
        <v>36580000</v>
      </c>
      <c r="R189" s="452">
        <f t="shared" si="30"/>
        <v>-7240000</v>
      </c>
      <c r="S189" s="274">
        <f>VLOOKUP(D189,'116指標1_前2年手收20%'!A:M,13,0)</f>
        <v>225690</v>
      </c>
      <c r="T189" s="274">
        <f>VLOOKUP(D189,'116指標2_存款25%'!A:F,6,0)</f>
        <v>508306</v>
      </c>
      <c r="U189" s="274">
        <f>VLOOKUP(D189,'116指標6_理財AUM25%'!A:F,6,0)</f>
        <v>410883</v>
      </c>
      <c r="V189" s="274">
        <f>VLOOKUP(D189,'116指標4_114分行人數25%'!A:Q,17,0)</f>
        <v>537464</v>
      </c>
      <c r="W189" s="274">
        <f>VLOOKUP(F189,'115分組'!D:F,3,0)</f>
        <v>60000</v>
      </c>
      <c r="X189" s="274"/>
      <c r="Y189" s="275">
        <f t="shared" si="24"/>
        <v>1740000</v>
      </c>
      <c r="Z189" s="451">
        <f t="shared" si="31"/>
        <v>38320000</v>
      </c>
      <c r="AA189" s="276">
        <f t="shared" si="32"/>
        <v>0.71959067459515236</v>
      </c>
      <c r="AB189" s="276">
        <f t="shared" si="33"/>
        <v>5.7742782152230276E-3</v>
      </c>
      <c r="AC189" s="277">
        <f t="shared" si="34"/>
        <v>21076000</v>
      </c>
    </row>
    <row r="190" spans="1:29" ht="24.95" customHeight="1">
      <c r="A190" s="279" t="str">
        <f>IF(J190&gt;='116目標底稿SUMMARY'!$E$3,"TYPE_1",IF(J190&gt;='116目標底稿SUMMARY'!$E$4,"TYPE_2",IF(J190&gt;='116目標底稿SUMMARY'!$E$5,"TYPE_3","TYPE_4")))</f>
        <v>TYPE_1</v>
      </c>
      <c r="B190" s="272">
        <v>183</v>
      </c>
      <c r="C190" s="270" t="s">
        <v>0</v>
      </c>
      <c r="D190" s="280">
        <v>888</v>
      </c>
      <c r="E190" s="281" t="s">
        <v>130</v>
      </c>
      <c r="F190" s="272">
        <f>IF(ISERROR(VLOOKUP(D190,'115分組'!A:D,4,0)), "未分", VLOOKUP(D190,'115分組'!A:D,4,0))</f>
        <v>8</v>
      </c>
      <c r="G190" s="273">
        <f>ROUND(VLOOKUP(D190,'115_分行業績'!A:J,8,0), 0)</f>
        <v>23269991</v>
      </c>
      <c r="H190" s="274">
        <f>(VLOOKUP(D190, '底稿_前2年手收20%'!A:G,7,0)+VLOOKUP(D190, '底稿_前2年手收20%'!O:U,7,0))/2</f>
        <v>9588777.0850000009</v>
      </c>
      <c r="I190" s="273">
        <f>VLOOKUP(D190,'115_分行業績'!A:I,9,0)</f>
        <v>17160000</v>
      </c>
      <c r="J190" s="456">
        <f t="shared" si="23"/>
        <v>1.36</v>
      </c>
      <c r="K190" s="456">
        <f t="shared" si="26"/>
        <v>1.06</v>
      </c>
      <c r="L190" s="273" t="str">
        <f t="shared" si="27"/>
        <v>130%以上、未達150%</v>
      </c>
      <c r="M190" s="273" t="str">
        <f t="shared" si="28"/>
        <v>預估實績*90%</v>
      </c>
      <c r="N190" s="273">
        <f t="shared" si="29"/>
        <v>20940000</v>
      </c>
      <c r="O190" s="273" t="str">
        <f>VLOOKUP(A190,'116目標底稿SUMMARY'!A:B,2,0)</f>
        <v>120%以上</v>
      </c>
      <c r="P190" s="273" t="str">
        <f>VLOOKUP(A190,'116目標底稿SUMMARY'!A:D,4,0)</f>
        <v>分行目標*120%*101%</v>
      </c>
      <c r="Q190" s="273">
        <f>ROUND(IF(A190 = "TYPE_1", I190*'116目標底稿SUMMARY'!$F$3*'116目標底稿SUMMARY'!$G$3, IF(A190 = "TYPE_2", G190*'116目標底稿SUMMARY'!$F$4, IF(A190 = "TYPE_3", G190*'116目標底稿SUMMARY'!$F$5, '116目標底稿ver1'!I190*'116目標底稿SUMMARY'!$F$6*'116目標底稿SUMMARY'!$G$6))), -4)</f>
        <v>20800000</v>
      </c>
      <c r="R190" s="452">
        <f t="shared" si="30"/>
        <v>-140000</v>
      </c>
      <c r="S190" s="274">
        <f>VLOOKUP(D190,'116指標1_前2年手收20%'!A:M,13,0)</f>
        <v>114042</v>
      </c>
      <c r="T190" s="274">
        <f>VLOOKUP(D190,'116指標2_存款25%'!A:F,6,0)</f>
        <v>258610</v>
      </c>
      <c r="U190" s="274">
        <f>VLOOKUP(D190,'116指標6_理財AUM25%'!A:F,6,0)</f>
        <v>213702</v>
      </c>
      <c r="V190" s="274">
        <f>VLOOKUP(D190,'116指標4_114分行人數25%'!A:Q,17,0)</f>
        <v>437933</v>
      </c>
      <c r="W190" s="274">
        <f>VLOOKUP(F190,'115分組'!D:F,3,0)</f>
        <v>40000</v>
      </c>
      <c r="X190" s="274"/>
      <c r="Y190" s="275">
        <f t="shared" si="24"/>
        <v>1060000</v>
      </c>
      <c r="Z190" s="451">
        <f t="shared" si="31"/>
        <v>21860000</v>
      </c>
      <c r="AA190" s="276">
        <f t="shared" si="32"/>
        <v>-6.0592674917665401E-2</v>
      </c>
      <c r="AB190" s="276">
        <f t="shared" si="33"/>
        <v>0.27389277389277389</v>
      </c>
      <c r="AC190" s="277">
        <f t="shared" si="34"/>
        <v>12023000.000000002</v>
      </c>
    </row>
    <row r="191" spans="1:29" s="287" customFormat="1" ht="24.95" customHeight="1">
      <c r="B191" s="282">
        <v>184</v>
      </c>
      <c r="C191" s="547" t="s">
        <v>0</v>
      </c>
      <c r="D191" s="548"/>
      <c r="E191" s="568" t="s">
        <v>72</v>
      </c>
      <c r="F191" s="569"/>
      <c r="G191" s="283">
        <f>SUMIF($C$8:$C$190,C191,$G$8:$G$190)</f>
        <v>3171074682</v>
      </c>
      <c r="H191" s="284">
        <f>SUMIF($C$8:$C$190,$C191,$H$8:$H$190)</f>
        <v>1979047818.2450004</v>
      </c>
      <c r="I191" s="283">
        <f>SUMIF($C$8:$C$190,C191,$I$8:$I$190)</f>
        <v>2963010000</v>
      </c>
      <c r="J191" s="461">
        <f t="shared" ref="J191:J196" si="35">ROUND(G191/I191, 2)</f>
        <v>1.07</v>
      </c>
      <c r="K191" s="461">
        <f>ROUND(G191/Z191, 2)</f>
        <v>0.97</v>
      </c>
      <c r="L191" s="563"/>
      <c r="M191" s="563"/>
      <c r="N191" s="283">
        <f>SUMIF($C$8:$C$190,C191,$N$8:$N$190)</f>
        <v>3418410000</v>
      </c>
      <c r="O191" s="563"/>
      <c r="P191" s="563"/>
      <c r="Q191" s="283">
        <f>SUMIF($C$8:$C$190,C191,$Q$8:$Q$190)</f>
        <v>3159230000</v>
      </c>
      <c r="R191" s="453">
        <f t="shared" si="30"/>
        <v>-259180000</v>
      </c>
      <c r="S191" s="284">
        <f>SUMIF($C$8:$C$190,$C191,$S$8:$S$190)</f>
        <v>21653008</v>
      </c>
      <c r="T191" s="284">
        <f>SUMIF($C$8:$C$190,$C191,$T$8:$T$190)</f>
        <v>29619074</v>
      </c>
      <c r="U191" s="284">
        <f>SUMIF($C$8:$C$190,$C191,$U$8:$U$190)</f>
        <v>24896910</v>
      </c>
      <c r="V191" s="284">
        <f>SUMIF($C$8:$C$190,$C191,$V$8:$V$190)</f>
        <v>30615519</v>
      </c>
      <c r="W191" s="284">
        <f>SUMIF($C$8:$C$190,$C191,$W$8:$W$190)</f>
        <v>6580000</v>
      </c>
      <c r="X191" s="286">
        <f>SUMIF($C$8:$C$190,$C191,$X$8:$X$190)</f>
        <v>0</v>
      </c>
      <c r="Y191" s="254">
        <f>SUMIF($C$8:$C$190,$C191,$Y$8:$Y$190)</f>
        <v>113390000</v>
      </c>
      <c r="Z191" s="254">
        <f>SUMIF($C$8:$C$190,$C191,$Z$8:$Z$190)</f>
        <v>3272620000</v>
      </c>
      <c r="AA191" s="285">
        <f t="shared" ref="AA191:AA196" si="36">Z191/G191 -1</f>
        <v>3.202236723606755E-2</v>
      </c>
      <c r="AB191" s="285">
        <f t="shared" ref="AB191:AB196" si="37">Z191/I191 -1</f>
        <v>0.10449171619400532</v>
      </c>
      <c r="AC191" s="254">
        <f>SUMIF($C$8:$C$190,$C191,$AC$8:$AC$190)</f>
        <v>1799941000</v>
      </c>
    </row>
    <row r="192" spans="1:29" s="287" customFormat="1" ht="24.95" customHeight="1">
      <c r="B192" s="282">
        <v>185</v>
      </c>
      <c r="C192" s="547" t="s">
        <v>7</v>
      </c>
      <c r="D192" s="548"/>
      <c r="E192" s="568" t="s">
        <v>72</v>
      </c>
      <c r="F192" s="569"/>
      <c r="G192" s="283">
        <f>SUMIF($C$8:$C$190,C192,$G$8:$G$190)</f>
        <v>2761623404</v>
      </c>
      <c r="H192" s="284">
        <f>SUMIF($C$8:$C$190,$C192,$H$8:$H$190)</f>
        <v>1667486028.635</v>
      </c>
      <c r="I192" s="283">
        <f>SUMIF($C$8:$C$190,C192,$I$8:$I$190)</f>
        <v>2425440000</v>
      </c>
      <c r="J192" s="461">
        <f t="shared" si="35"/>
        <v>1.1399999999999999</v>
      </c>
      <c r="K192" s="461">
        <f t="shared" ref="K192:K196" si="38">ROUND(G192/Z192, 2)</f>
        <v>1</v>
      </c>
      <c r="L192" s="564"/>
      <c r="M192" s="564"/>
      <c r="N192" s="283">
        <f t="shared" ref="N192:N195" si="39">SUMIF($C$8:$C$190,C192,$N$8:$N$190)</f>
        <v>2831180000</v>
      </c>
      <c r="O192" s="564"/>
      <c r="P192" s="564"/>
      <c r="Q192" s="283">
        <f t="shared" ref="Q192:Q195" si="40">SUMIF($C$8:$C$190,C192,$Q$8:$Q$190)</f>
        <v>2661610000</v>
      </c>
      <c r="R192" s="453">
        <f t="shared" si="30"/>
        <v>-169570000</v>
      </c>
      <c r="S192" s="284">
        <f>SUMIF($C$8:$C$190,$C192,$S$8:$S$190)</f>
        <v>17647470</v>
      </c>
      <c r="T192" s="284">
        <f>SUMIF($C$8:$C$190,$C192,$T$8:$T$190)</f>
        <v>23322510</v>
      </c>
      <c r="U192" s="284">
        <f>SUMIF($C$8:$C$190,$C192,$U$8:$U$190)</f>
        <v>21638163</v>
      </c>
      <c r="V192" s="284">
        <f>SUMIF($C$8:$C$190,$C192,$V$8:$V$190)</f>
        <v>20682394</v>
      </c>
      <c r="W192" s="284">
        <f>SUMIF($C$8:$C$190,$C192,$W$8:$W$190)</f>
        <v>4210000</v>
      </c>
      <c r="X192" s="286">
        <f>SUMIF($C$8:$C$190,$C192,$X$8:$X$190)</f>
        <v>0</v>
      </c>
      <c r="Y192" s="254">
        <f>SUMIF($C$8:$C$190,$C192,$Y$8:$Y$190)</f>
        <v>87520000</v>
      </c>
      <c r="Z192" s="254">
        <f>SUMIF($C$8:$C$190,$C192,$Z$8:$Z$190)</f>
        <v>2749130000</v>
      </c>
      <c r="AA192" s="285">
        <f t="shared" si="36"/>
        <v>-4.5239347196668334E-3</v>
      </c>
      <c r="AB192" s="285">
        <f t="shared" si="37"/>
        <v>0.13345619763836658</v>
      </c>
      <c r="AC192" s="254">
        <f>SUMIF($C$8:$C$190,$C192,$AC$8:$AC$190)</f>
        <v>1512021500</v>
      </c>
    </row>
    <row r="193" spans="2:29" s="287" customFormat="1" ht="21.75" customHeight="1">
      <c r="B193" s="282">
        <v>186</v>
      </c>
      <c r="C193" s="547" t="s">
        <v>211</v>
      </c>
      <c r="D193" s="548"/>
      <c r="E193" s="568" t="s">
        <v>72</v>
      </c>
      <c r="F193" s="569"/>
      <c r="G193" s="283">
        <f>SUMIF($C$8:$C$190,C193,$G$8:$G$190)</f>
        <v>1972630435</v>
      </c>
      <c r="H193" s="284">
        <f>SUMIF($C$8:$C$190,$C193,$H$8:$H$190)</f>
        <v>1277927358.8000004</v>
      </c>
      <c r="I193" s="283">
        <f>SUMIF($C$8:$C$190,C193,$I$8:$I$190)</f>
        <v>1918680000</v>
      </c>
      <c r="J193" s="461">
        <f t="shared" si="35"/>
        <v>1.03</v>
      </c>
      <c r="K193" s="461">
        <f t="shared" si="38"/>
        <v>0.94</v>
      </c>
      <c r="L193" s="564"/>
      <c r="M193" s="564"/>
      <c r="N193" s="283">
        <f t="shared" si="39"/>
        <v>2184200000</v>
      </c>
      <c r="O193" s="564"/>
      <c r="P193" s="564"/>
      <c r="Q193" s="283">
        <f t="shared" si="40"/>
        <v>2028680000</v>
      </c>
      <c r="R193" s="453">
        <f t="shared" si="30"/>
        <v>-155520000</v>
      </c>
      <c r="S193" s="284">
        <f>SUMIF($C$8:$C$190,$C193,$S$8:$S$190)</f>
        <v>13857187</v>
      </c>
      <c r="T193" s="284">
        <f>SUMIF($C$8:$C$190,$C193,$T$8:$T$190)</f>
        <v>17701975</v>
      </c>
      <c r="U193" s="284">
        <f>SUMIF($C$8:$C$190,$C193,$U$8:$U$190)</f>
        <v>18046636</v>
      </c>
      <c r="V193" s="284">
        <f>SUMIF($C$8:$C$190,$C193,$V$8:$V$190)</f>
        <v>18239562</v>
      </c>
      <c r="W193" s="284">
        <f>SUMIF($C$8:$C$190,$C193,$W$8:$W$190)</f>
        <v>3450000</v>
      </c>
      <c r="X193" s="286">
        <f>SUMIF($C$8:$C$190,$C193,$X$8:$X$190)</f>
        <v>0</v>
      </c>
      <c r="Y193" s="254">
        <f>SUMIF($C$8:$C$190,$C193,$Y$8:$Y$190)</f>
        <v>71300000</v>
      </c>
      <c r="Z193" s="254">
        <f>SUMIF($C$8:$C$190,$C193,$Z$8:$Z$190)</f>
        <v>2099980000</v>
      </c>
      <c r="AA193" s="285">
        <f t="shared" si="36"/>
        <v>6.4558248083605108E-2</v>
      </c>
      <c r="AB193" s="285">
        <f t="shared" si="37"/>
        <v>9.4492046615381353E-2</v>
      </c>
      <c r="AC193" s="254">
        <f>SUMIF($C$8:$C$190,$C193,$AC$8:$AC$190)</f>
        <v>1154989000</v>
      </c>
    </row>
    <row r="194" spans="2:29" s="287" customFormat="1" ht="24.95" customHeight="1">
      <c r="B194" s="282">
        <v>187</v>
      </c>
      <c r="C194" s="547" t="s">
        <v>33</v>
      </c>
      <c r="D194" s="548"/>
      <c r="E194" s="568" t="s">
        <v>72</v>
      </c>
      <c r="F194" s="569"/>
      <c r="G194" s="283">
        <f>SUMIF($C$8:$C$190,C194,$G$8:$G$190)</f>
        <v>2256636774</v>
      </c>
      <c r="H194" s="284">
        <f>SUMIF($C$8:$C$190,$C194,$H$8:$H$190)</f>
        <v>1625749823.9400001</v>
      </c>
      <c r="I194" s="283">
        <f>SUMIF($C$8:$C$190,C194,$I$8:$I$190)</f>
        <v>2196530000</v>
      </c>
      <c r="J194" s="461">
        <f t="shared" si="35"/>
        <v>1.03</v>
      </c>
      <c r="K194" s="461">
        <f t="shared" si="38"/>
        <v>0.95</v>
      </c>
      <c r="L194" s="564"/>
      <c r="M194" s="564"/>
      <c r="N194" s="283">
        <f t="shared" si="39"/>
        <v>2490050000</v>
      </c>
      <c r="O194" s="564"/>
      <c r="P194" s="564"/>
      <c r="Q194" s="283">
        <f t="shared" si="40"/>
        <v>2306040000</v>
      </c>
      <c r="R194" s="453">
        <f t="shared" si="30"/>
        <v>-184010000</v>
      </c>
      <c r="S194" s="284">
        <f>SUMIF($C$8:$C$190,$C194,$S$8:$S$190)</f>
        <v>16828973</v>
      </c>
      <c r="T194" s="284">
        <f>SUMIF($C$8:$C$190,$C194,$T$8:$T$190)</f>
        <v>18551468</v>
      </c>
      <c r="U194" s="284">
        <f>SUMIF($C$8:$C$190,$C194,$U$8:$U$190)</f>
        <v>22315344</v>
      </c>
      <c r="V194" s="284">
        <f>SUMIF($C$8:$C$190,$C194,$V$8:$V$190)</f>
        <v>18343045</v>
      </c>
      <c r="W194" s="284">
        <f>SUMIF($C$8:$C$190,$C194,$W$8:$W$190)</f>
        <v>3170000</v>
      </c>
      <c r="X194" s="286">
        <f>SUMIF($C$8:$C$190,$C194,$X$8:$X$190)</f>
        <v>0</v>
      </c>
      <c r="Y194" s="254">
        <f>SUMIF($C$8:$C$190,$C194,$Y$8:$Y$190)</f>
        <v>79180000</v>
      </c>
      <c r="Z194" s="254">
        <f>SUMIF($C$8:$C$190,$C194,$Z$8:$Z$190)</f>
        <v>2385220000</v>
      </c>
      <c r="AA194" s="285">
        <f t="shared" si="36"/>
        <v>5.6980027748143147E-2</v>
      </c>
      <c r="AB194" s="285">
        <f t="shared" si="37"/>
        <v>8.5903675342472008E-2</v>
      </c>
      <c r="AC194" s="254">
        <f>SUMIF($C$8:$C$190,$C194,$AC$8:$AC$190)</f>
        <v>1311871000</v>
      </c>
    </row>
    <row r="195" spans="2:29" s="287" customFormat="1" ht="24.95" customHeight="1">
      <c r="B195" s="282">
        <v>188</v>
      </c>
      <c r="C195" s="547" t="s">
        <v>48</v>
      </c>
      <c r="D195" s="548"/>
      <c r="E195" s="568" t="s">
        <v>72</v>
      </c>
      <c r="F195" s="569"/>
      <c r="G195" s="283">
        <f>SUMIF($C$8:$C$190,C195,$G$8:$G$190)</f>
        <v>2323634074</v>
      </c>
      <c r="H195" s="284">
        <f>SUMIF($C$8:$C$190,$C195,$H$8:$H$190)</f>
        <v>1626952938.5899994</v>
      </c>
      <c r="I195" s="283">
        <f>SUMIF($C$8:$C$190,C195,$I$8:$I$190)</f>
        <v>2281720000</v>
      </c>
      <c r="J195" s="461">
        <f t="shared" si="35"/>
        <v>1.02</v>
      </c>
      <c r="K195" s="461">
        <f t="shared" si="38"/>
        <v>0.93</v>
      </c>
      <c r="L195" s="564"/>
      <c r="M195" s="564"/>
      <c r="N195" s="283">
        <f t="shared" si="39"/>
        <v>2631880000</v>
      </c>
      <c r="O195" s="564"/>
      <c r="P195" s="564"/>
      <c r="Q195" s="283">
        <f t="shared" si="40"/>
        <v>2408640000</v>
      </c>
      <c r="R195" s="453">
        <f t="shared" si="30"/>
        <v>-223240000</v>
      </c>
      <c r="S195" s="284">
        <f>SUMIF($C$8:$C$190,$C195,$S$8:$S$190)</f>
        <v>17173366</v>
      </c>
      <c r="T195" s="284">
        <f>SUMIF($C$8:$C$190,$C195,$T$8:$T$190)</f>
        <v>19754973</v>
      </c>
      <c r="U195" s="284">
        <f>SUMIF($C$8:$C$190,$C195,$U$8:$U$190)</f>
        <v>22052935</v>
      </c>
      <c r="V195" s="284">
        <f>SUMIF($C$8:$C$190,$C195,$V$8:$V$190)</f>
        <v>21090083</v>
      </c>
      <c r="W195" s="284">
        <f>SUMIF($C$8:$C$190,$C195,$W$8:$W$190)</f>
        <v>3710000</v>
      </c>
      <c r="X195" s="286">
        <f>SUMIF($C$8:$C$190,$C195,$X$8:$X$190)</f>
        <v>0</v>
      </c>
      <c r="Y195" s="254">
        <f>SUMIF($C$8:$C$190,$C195,$Y$8:$Y$190)</f>
        <v>83780000</v>
      </c>
      <c r="Z195" s="254">
        <f>SUMIF($C$8:$C$190,$C195,$Z$8:$Z$190)</f>
        <v>2492420000</v>
      </c>
      <c r="AA195" s="285">
        <f t="shared" si="36"/>
        <v>7.2638772123635231E-2</v>
      </c>
      <c r="AB195" s="285">
        <f t="shared" si="37"/>
        <v>9.2342618726224179E-2</v>
      </c>
      <c r="AC195" s="254">
        <f>SUMIF($C$8:$C$190,$C195,$AC$8:$AC$190)</f>
        <v>1370831000</v>
      </c>
    </row>
    <row r="196" spans="2:29" s="287" customFormat="1" ht="24.95" customHeight="1">
      <c r="B196" s="282">
        <v>189</v>
      </c>
      <c r="C196" s="547" t="s">
        <v>644</v>
      </c>
      <c r="D196" s="548"/>
      <c r="E196" s="568" t="s">
        <v>72</v>
      </c>
      <c r="F196" s="569"/>
      <c r="G196" s="283">
        <f>SUM(G8:G190)</f>
        <v>12485599369</v>
      </c>
      <c r="H196" s="284">
        <f>SUM(H8:H190)</f>
        <v>8177163968.2099991</v>
      </c>
      <c r="I196" s="283">
        <f>SUM(I8:I190)</f>
        <v>11785380000</v>
      </c>
      <c r="J196" s="461">
        <f t="shared" si="35"/>
        <v>1.06</v>
      </c>
      <c r="K196" s="461">
        <f t="shared" si="38"/>
        <v>0.96</v>
      </c>
      <c r="L196" s="565"/>
      <c r="M196" s="565"/>
      <c r="N196" s="283">
        <f>SUM(N8:N190)</f>
        <v>13555720000</v>
      </c>
      <c r="O196" s="565"/>
      <c r="P196" s="565"/>
      <c r="Q196" s="283">
        <f t="shared" ref="Q196:X196" si="41">SUM(Q8:Q190)</f>
        <v>12564200000</v>
      </c>
      <c r="R196" s="283">
        <f t="shared" si="41"/>
        <v>-991520000</v>
      </c>
      <c r="S196" s="284">
        <f t="shared" si="41"/>
        <v>87160004</v>
      </c>
      <c r="T196" s="284">
        <f t="shared" si="41"/>
        <v>108950000</v>
      </c>
      <c r="U196" s="284">
        <f t="shared" si="41"/>
        <v>108949988</v>
      </c>
      <c r="V196" s="284">
        <f t="shared" si="41"/>
        <v>108970603</v>
      </c>
      <c r="W196" s="284">
        <f t="shared" si="41"/>
        <v>21120000</v>
      </c>
      <c r="X196" s="286">
        <f t="shared" si="41"/>
        <v>0</v>
      </c>
      <c r="Y196" s="254">
        <f>SUM(Y191:Y195)</f>
        <v>435170000</v>
      </c>
      <c r="Z196" s="254">
        <f>SUM(Z191:Z195)</f>
        <v>12999370000</v>
      </c>
      <c r="AA196" s="285">
        <f t="shared" si="36"/>
        <v>4.1149056270027407E-2</v>
      </c>
      <c r="AB196" s="285">
        <f t="shared" si="37"/>
        <v>0.1030081338064619</v>
      </c>
      <c r="AC196" s="288">
        <f>SUM(AC191:AC195)</f>
        <v>7149653500</v>
      </c>
    </row>
  </sheetData>
  <mergeCells count="28">
    <mergeCell ref="C195:D195"/>
    <mergeCell ref="E5:E6"/>
    <mergeCell ref="C196:D196"/>
    <mergeCell ref="C193:D193"/>
    <mergeCell ref="E191:F191"/>
    <mergeCell ref="E192:F192"/>
    <mergeCell ref="E193:F193"/>
    <mergeCell ref="E194:F194"/>
    <mergeCell ref="E195:F195"/>
    <mergeCell ref="E196:F196"/>
    <mergeCell ref="C192:D192"/>
    <mergeCell ref="F5:F6"/>
    <mergeCell ref="C191:D191"/>
    <mergeCell ref="C5:C6"/>
    <mergeCell ref="D5:D6"/>
    <mergeCell ref="Z4:Z5"/>
    <mergeCell ref="AA4:AA5"/>
    <mergeCell ref="AB4:AB5"/>
    <mergeCell ref="AC4:AC5"/>
    <mergeCell ref="L191:L196"/>
    <mergeCell ref="M191:M196"/>
    <mergeCell ref="O191:O196"/>
    <mergeCell ref="P191:P196"/>
    <mergeCell ref="B4:K4"/>
    <mergeCell ref="C194:D194"/>
    <mergeCell ref="B5:B6"/>
    <mergeCell ref="L4:R4"/>
    <mergeCell ref="S4:Y4"/>
  </mergeCells>
  <phoneticPr fontId="13" type="noConversion"/>
  <conditionalFormatting sqref="J8:K8 J9:J190 K9:K196">
    <cfRule type="cellIs" dxfId="15" priority="4" operator="lessThanOrEqual">
      <formula>0.6</formula>
    </cfRule>
    <cfRule type="cellIs" dxfId="14" priority="5" operator="greaterThanOrEqual">
      <formula>1</formula>
    </cfRule>
  </conditionalFormatting>
  <conditionalFormatting sqref="AA8:AB190">
    <cfRule type="cellIs" dxfId="13" priority="1" operator="lessThanOrEqual">
      <formula>0</formula>
    </cfRule>
    <cfRule type="cellIs" dxfId="12" priority="2" stopIfTrue="1" operator="greaterThan">
      <formula>1</formula>
    </cfRule>
  </conditionalFormatting>
  <printOptions horizontalCentered="1"/>
  <pageMargins left="0.35433070866141736" right="0.35433070866141736" top="0.39370078740157483" bottom="0.78740157480314965" header="0.51181102362204722" footer="0.51181102362204722"/>
  <pageSetup paperSize="8" scale="55" fitToHeight="0" orientation="landscape" r:id="rId1"/>
  <headerFooter alignWithMargins="0">
    <oddHeader>&amp;R&amp;18附件二</oddHeader>
    <oddFooter>第 &amp;P 頁，共 &amp;N 頁</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FF"/>
    <pageSetUpPr fitToPage="1"/>
  </sheetPr>
  <dimension ref="A1:X29"/>
  <sheetViews>
    <sheetView view="pageBreakPreview" zoomScaleNormal="100" zoomScaleSheetLayoutView="100" workbookViewId="0">
      <selection activeCell="B3" sqref="B3:C3"/>
    </sheetView>
  </sheetViews>
  <sheetFormatPr defaultColWidth="9" defaultRowHeight="16.5"/>
  <cols>
    <col min="1" max="1" width="17.625" style="1" customWidth="1"/>
    <col min="2" max="3" width="19.75" style="1" customWidth="1"/>
    <col min="4" max="4" width="17.625" style="1" customWidth="1"/>
    <col min="5" max="5" width="20.25" style="1" bestFit="1" customWidth="1"/>
    <col min="6" max="6" width="18.375" style="1" customWidth="1"/>
    <col min="7" max="7" width="21.75" style="1" customWidth="1"/>
    <col min="8" max="8" width="23" style="95" bestFit="1" customWidth="1"/>
    <col min="9" max="9" width="18.625" style="95" bestFit="1" customWidth="1"/>
    <col min="10" max="13" width="13.75" style="1" customWidth="1"/>
    <col min="14" max="14" width="25" style="1" bestFit="1" customWidth="1"/>
    <col min="15" max="15" width="7" style="1" customWidth="1"/>
    <col min="16" max="16" width="6.875" style="1" customWidth="1"/>
    <col min="17" max="17" width="9.5" style="1" customWidth="1"/>
    <col min="18" max="18" width="11.75" style="1" customWidth="1"/>
    <col min="19" max="16384" width="9" style="1"/>
  </cols>
  <sheetData>
    <row r="1" spans="1:24" ht="30.2" customHeight="1">
      <c r="A1" s="574" t="s">
        <v>1893</v>
      </c>
      <c r="B1" s="574"/>
      <c r="C1" s="574"/>
      <c r="D1" s="574"/>
      <c r="E1" s="574"/>
      <c r="F1" s="574"/>
      <c r="G1" s="574"/>
      <c r="H1" s="575" t="s">
        <v>464</v>
      </c>
      <c r="I1" s="575"/>
      <c r="J1" s="575"/>
      <c r="K1" s="163"/>
      <c r="L1" s="3"/>
      <c r="M1" s="3"/>
      <c r="N1" s="3"/>
      <c r="O1" s="3"/>
      <c r="P1" s="3"/>
      <c r="Q1" s="3"/>
      <c r="R1" s="3"/>
    </row>
    <row r="2" spans="1:24" ht="23.25" customHeight="1">
      <c r="A2" s="4"/>
      <c r="B2" s="5"/>
      <c r="C2" s="224"/>
      <c r="D2" s="5"/>
      <c r="E2" s="5"/>
      <c r="F2" s="5"/>
      <c r="G2" s="5"/>
      <c r="H2" s="164"/>
      <c r="I2" s="170" t="s">
        <v>465</v>
      </c>
      <c r="J2" s="170" t="s">
        <v>466</v>
      </c>
      <c r="K2" s="165"/>
      <c r="L2" s="5"/>
      <c r="M2" s="5"/>
      <c r="N2" s="5"/>
      <c r="O2" s="6"/>
      <c r="P2" s="2"/>
      <c r="Q2" s="7"/>
      <c r="R2" s="24"/>
    </row>
    <row r="3" spans="1:24" customFormat="1" ht="19.899999999999999" customHeight="1">
      <c r="A3" s="25" t="s">
        <v>113</v>
      </c>
      <c r="B3" s="576">
        <f>13000000000 -'116目標底稿ver1'!Q2</f>
        <v>435800000</v>
      </c>
      <c r="C3" s="577"/>
      <c r="D3" s="82"/>
      <c r="E3" s="111" t="s">
        <v>449</v>
      </c>
      <c r="F3" s="111" t="s">
        <v>449</v>
      </c>
      <c r="H3" s="164" t="s">
        <v>467</v>
      </c>
      <c r="I3" s="166">
        <f>ROUND(D4/100000000, 2)</f>
        <v>1.1299999999999999</v>
      </c>
      <c r="J3" s="166">
        <f>ROUND(I3/$I$8*$J$8, 2)</f>
        <v>1.1299999999999999</v>
      </c>
      <c r="K3" s="291">
        <f t="shared" ref="K3:K8" si="0">J3/I3</f>
        <v>1</v>
      </c>
      <c r="L3" s="2"/>
      <c r="O3" s="7"/>
      <c r="P3" s="9"/>
      <c r="Q3" s="26"/>
      <c r="R3" s="24"/>
    </row>
    <row r="4" spans="1:24" customFormat="1" ht="19.899999999999999" customHeight="1">
      <c r="A4" s="108" t="s">
        <v>447</v>
      </c>
      <c r="B4" s="104">
        <v>0.25995079434707152</v>
      </c>
      <c r="C4" s="10" t="s">
        <v>448</v>
      </c>
      <c r="D4" s="103">
        <f>ROUND($B$3*B4, -4)</f>
        <v>113290000</v>
      </c>
      <c r="E4" s="110" t="s">
        <v>424</v>
      </c>
      <c r="F4" s="103">
        <f>D4+D6+D7</f>
        <v>170640000</v>
      </c>
      <c r="G4" s="1"/>
      <c r="H4" s="164" t="s">
        <v>468</v>
      </c>
      <c r="I4" s="166">
        <f>ROUND(D5/100000000, 2)</f>
        <v>2.61</v>
      </c>
      <c r="J4" s="166">
        <f>J8-J3-J5-J6-J7</f>
        <v>2.6099999999999994</v>
      </c>
      <c r="K4" s="291">
        <f t="shared" si="0"/>
        <v>0.99999999999999978</v>
      </c>
      <c r="L4" s="2"/>
      <c r="M4" s="27"/>
      <c r="O4" s="24"/>
      <c r="P4" s="28"/>
      <c r="Q4" s="26"/>
      <c r="R4" s="24"/>
    </row>
    <row r="5" spans="1:24" customFormat="1" ht="19.899999999999999" customHeight="1">
      <c r="A5" s="25" t="s">
        <v>121</v>
      </c>
      <c r="B5" s="104">
        <v>0.59796311483226217</v>
      </c>
      <c r="C5" s="10" t="s">
        <v>114</v>
      </c>
      <c r="D5" s="103">
        <f>ROUND($B$3*B5, -4)</f>
        <v>260590000</v>
      </c>
      <c r="E5" s="110" t="s">
        <v>425</v>
      </c>
      <c r="F5" s="112">
        <f>D5</f>
        <v>260590000</v>
      </c>
      <c r="G5" s="1"/>
      <c r="H5" s="164" t="s">
        <v>469</v>
      </c>
      <c r="I5" s="166">
        <f>ROUND(D6/100000000, 2)</f>
        <v>0.33</v>
      </c>
      <c r="J5" s="166">
        <f>ROUND(I5/$I$8*$J$8, 2)</f>
        <v>0.33</v>
      </c>
      <c r="K5" s="291">
        <f t="shared" si="0"/>
        <v>1</v>
      </c>
      <c r="L5" s="2"/>
      <c r="M5" s="27"/>
      <c r="O5" s="24"/>
      <c r="P5" s="28"/>
      <c r="Q5" s="26"/>
      <c r="R5" s="24"/>
    </row>
    <row r="6" spans="1:24" customFormat="1" ht="19.899999999999999" customHeight="1">
      <c r="A6" s="106" t="s">
        <v>450</v>
      </c>
      <c r="B6" s="104">
        <v>7.6764632960158674E-2</v>
      </c>
      <c r="C6" s="107" t="s">
        <v>440</v>
      </c>
      <c r="D6" s="103">
        <f>B3-D4-D5-D7-D8</f>
        <v>33450000</v>
      </c>
      <c r="E6" s="110"/>
      <c r="F6" s="130"/>
      <c r="G6" s="1"/>
      <c r="H6" s="164" t="s">
        <v>470</v>
      </c>
      <c r="I6" s="166">
        <f>ROUND(D7/100000000, 2)</f>
        <v>0.24</v>
      </c>
      <c r="J6" s="166">
        <f>ROUND(I6/$I$8*$J$8, 2)</f>
        <v>0.24</v>
      </c>
      <c r="K6" s="291">
        <f t="shared" si="0"/>
        <v>1</v>
      </c>
      <c r="L6" s="2"/>
      <c r="M6" s="27"/>
      <c r="O6" s="24"/>
      <c r="P6" s="28"/>
      <c r="Q6" s="26"/>
      <c r="R6" s="24"/>
    </row>
    <row r="7" spans="1:24" customFormat="1" ht="19.899999999999999" customHeight="1">
      <c r="A7" s="106" t="s">
        <v>445</v>
      </c>
      <c r="B7" s="104">
        <v>5.483188068582763E-2</v>
      </c>
      <c r="C7" s="107" t="s">
        <v>446</v>
      </c>
      <c r="D7" s="103">
        <f>ROUND($B$3*B7, -4)</f>
        <v>23900000</v>
      </c>
      <c r="E7" s="110" t="s">
        <v>424</v>
      </c>
      <c r="F7" s="131"/>
      <c r="G7" s="1"/>
      <c r="H7" s="168" t="s">
        <v>471</v>
      </c>
      <c r="I7" s="166">
        <f>ROUND(D8/100000000, 2)</f>
        <v>0.05</v>
      </c>
      <c r="J7" s="166">
        <f>ROUND(I7/$I$8*$J$8, 2)</f>
        <v>0.05</v>
      </c>
      <c r="K7" s="291">
        <f t="shared" si="0"/>
        <v>1</v>
      </c>
      <c r="L7" s="2"/>
      <c r="M7" s="27"/>
      <c r="O7" s="24"/>
      <c r="P7" s="28"/>
      <c r="Q7" s="26"/>
      <c r="R7" s="24"/>
    </row>
    <row r="8" spans="1:24" customFormat="1" ht="19.899999999999999" customHeight="1">
      <c r="A8" s="106" t="s">
        <v>439</v>
      </c>
      <c r="B8" s="104">
        <v>1.0489577174680067E-2</v>
      </c>
      <c r="C8" s="107" t="s">
        <v>441</v>
      </c>
      <c r="D8" s="103">
        <f>ROUND($B$3*B8, -4)</f>
        <v>4570000</v>
      </c>
      <c r="E8" s="110" t="s">
        <v>425</v>
      </c>
      <c r="F8" s="131"/>
      <c r="G8" s="1"/>
      <c r="H8" s="164" t="s">
        <v>472</v>
      </c>
      <c r="I8" s="169">
        <f>SUM(I3:I7)</f>
        <v>4.3599999999999994</v>
      </c>
      <c r="J8" s="167">
        <f>I8</f>
        <v>4.3599999999999994</v>
      </c>
      <c r="K8" s="291">
        <f t="shared" si="0"/>
        <v>1</v>
      </c>
      <c r="L8" s="12"/>
      <c r="M8" s="27"/>
      <c r="O8" s="24"/>
      <c r="P8" s="28"/>
      <c r="Q8" s="26"/>
      <c r="R8" s="24"/>
    </row>
    <row r="9" spans="1:24" customFormat="1">
      <c r="A9" s="29"/>
      <c r="B9" s="105">
        <f>SUM(B4:B8)</f>
        <v>1.0000000000000002</v>
      </c>
      <c r="C9" s="2"/>
      <c r="D9" s="94">
        <f>SUM(D4:D8)</f>
        <v>435800000</v>
      </c>
      <c r="E9" s="241">
        <f>B3/D9-1</f>
        <v>0</v>
      </c>
      <c r="F9" s="13"/>
      <c r="G9" s="1"/>
      <c r="H9" s="123"/>
      <c r="I9" s="123"/>
      <c r="J9" s="26"/>
      <c r="K9" s="11"/>
      <c r="L9" s="12"/>
      <c r="M9" s="27"/>
      <c r="O9" s="24"/>
      <c r="P9" s="28"/>
      <c r="Q9" s="26"/>
      <c r="R9" s="24"/>
    </row>
    <row r="10" spans="1:24" ht="21.75" customHeight="1">
      <c r="A10" s="14" t="s">
        <v>1894</v>
      </c>
      <c r="H10" s="109"/>
      <c r="I10" s="109"/>
    </row>
    <row r="11" spans="1:24" ht="36" customHeight="1">
      <c r="A11" s="15"/>
      <c r="B11" s="80">
        <v>113</v>
      </c>
      <c r="C11" s="80">
        <v>114</v>
      </c>
      <c r="D11" s="16" t="s">
        <v>115</v>
      </c>
      <c r="E11" s="17" t="s">
        <v>1842</v>
      </c>
      <c r="H11" s="135"/>
      <c r="I11" s="135"/>
      <c r="J11" s="135"/>
      <c r="K11" s="135"/>
      <c r="L11" s="95"/>
    </row>
    <row r="12" spans="1:24" ht="27.75" customHeight="1">
      <c r="A12" s="16" t="s">
        <v>116</v>
      </c>
      <c r="B12" s="220">
        <f>'116指標1_前2年手收20%'!D186</f>
        <v>2964116662</v>
      </c>
      <c r="C12" s="220">
        <f>'116指標1_前2年手收20%'!E186</f>
        <v>3310260839</v>
      </c>
      <c r="D12" s="221">
        <f>ROUND(AVERAGE(B12:C12), 0)</f>
        <v>3137188751</v>
      </c>
      <c r="E12" s="235">
        <f>D12/F4</f>
        <v>18.384837968823252</v>
      </c>
      <c r="H12" s="152" t="s">
        <v>458</v>
      </c>
      <c r="I12" s="153" t="s">
        <v>2092</v>
      </c>
      <c r="J12" s="153" t="s">
        <v>1889</v>
      </c>
      <c r="K12" s="153" t="s">
        <v>1841</v>
      </c>
      <c r="L12" s="153" t="s">
        <v>898</v>
      </c>
      <c r="M12" s="153" t="s">
        <v>640</v>
      </c>
      <c r="N12" s="153" t="s">
        <v>639</v>
      </c>
      <c r="O12" s="153" t="s">
        <v>457</v>
      </c>
      <c r="P12" s="154" t="s">
        <v>459</v>
      </c>
      <c r="Q12" s="10" t="s">
        <v>460</v>
      </c>
      <c r="R12" s="10" t="s">
        <v>461</v>
      </c>
    </row>
    <row r="13" spans="1:24" s="114" customFormat="1" ht="27.75" customHeight="1">
      <c r="A13" s="113" t="s">
        <v>117</v>
      </c>
      <c r="B13" s="220">
        <f>'116指標1_前2年手收20%'!G186</f>
        <v>2817334021</v>
      </c>
      <c r="C13" s="220">
        <f>'116指標1_前2年手收20%'!H186</f>
        <v>5565344208</v>
      </c>
      <c r="D13" s="221">
        <f>ROUND(AVERAGE(B13:C13), 0)</f>
        <v>4191339115</v>
      </c>
      <c r="E13" s="235">
        <f>D13/F5</f>
        <v>16.084036666794582</v>
      </c>
      <c r="H13" s="154" t="s">
        <v>2093</v>
      </c>
      <c r="I13" s="155">
        <v>0.2</v>
      </c>
      <c r="J13" s="155">
        <v>0.3</v>
      </c>
      <c r="K13" s="155">
        <v>0.3</v>
      </c>
      <c r="L13" s="155">
        <v>0.3</v>
      </c>
      <c r="M13" s="155">
        <v>0.3</v>
      </c>
      <c r="N13" s="155">
        <v>0.3</v>
      </c>
      <c r="O13" s="155">
        <v>0.3</v>
      </c>
      <c r="P13" s="156">
        <v>0.35</v>
      </c>
      <c r="Q13" s="157">
        <f>O13-P13</f>
        <v>-4.9999999999999989E-2</v>
      </c>
      <c r="R13" s="158" t="s">
        <v>463</v>
      </c>
    </row>
    <row r="14" spans="1:24" ht="27.75" customHeight="1">
      <c r="A14" s="16" t="s">
        <v>118</v>
      </c>
      <c r="B14" s="222">
        <f>B12+B13</f>
        <v>5781450683</v>
      </c>
      <c r="C14" s="222">
        <f>C12+C13</f>
        <v>8875605047</v>
      </c>
      <c r="D14" s="221">
        <f>ROUND(AVERAGE(B14:C14), 0)</f>
        <v>7328527865</v>
      </c>
      <c r="E14" s="234">
        <f>D14/B3</f>
        <v>16.816264031665902</v>
      </c>
      <c r="H14" s="154" t="s">
        <v>126</v>
      </c>
      <c r="I14" s="155">
        <v>0.25</v>
      </c>
      <c r="J14" s="155">
        <v>0.25</v>
      </c>
      <c r="K14" s="155">
        <v>0.25</v>
      </c>
      <c r="L14" s="155">
        <v>0.25</v>
      </c>
      <c r="M14" s="155">
        <v>0.25</v>
      </c>
      <c r="N14" s="155">
        <v>0.25</v>
      </c>
      <c r="O14" s="155">
        <v>0.25</v>
      </c>
      <c r="P14" s="159">
        <v>0.24</v>
      </c>
      <c r="Q14" s="157">
        <f>O14-P14</f>
        <v>1.0000000000000009E-2</v>
      </c>
      <c r="R14" s="66"/>
    </row>
    <row r="15" spans="1:24" customFormat="1" ht="19.5">
      <c r="A15" s="29"/>
      <c r="B15" s="24"/>
      <c r="C15" s="2"/>
      <c r="D15" s="27"/>
      <c r="E15" s="13"/>
      <c r="F15" s="13"/>
      <c r="H15" s="154" t="s">
        <v>119</v>
      </c>
      <c r="I15" s="155">
        <v>0.25</v>
      </c>
      <c r="J15" s="155">
        <v>0.22</v>
      </c>
      <c r="K15" s="155">
        <v>0.2</v>
      </c>
      <c r="L15" s="155">
        <v>0.2</v>
      </c>
      <c r="M15" s="155">
        <v>0.2</v>
      </c>
      <c r="N15" s="155">
        <v>0.2</v>
      </c>
      <c r="O15" s="155">
        <v>0.2</v>
      </c>
      <c r="P15" s="160">
        <v>0.16</v>
      </c>
      <c r="Q15" s="157">
        <f>O15-P15</f>
        <v>4.0000000000000008E-2</v>
      </c>
      <c r="R15" s="161" t="s">
        <v>462</v>
      </c>
      <c r="S15" s="27"/>
      <c r="U15" s="24"/>
      <c r="V15" s="28"/>
      <c r="W15" s="26"/>
      <c r="X15" s="24"/>
    </row>
    <row r="16" spans="1:24" customFormat="1" ht="19.5">
      <c r="A16" s="14" t="s">
        <v>122</v>
      </c>
      <c r="B16" s="24"/>
      <c r="C16" s="370">
        <v>0</v>
      </c>
      <c r="D16" s="30"/>
      <c r="E16" s="31"/>
      <c r="H16" s="154" t="s">
        <v>120</v>
      </c>
      <c r="I16" s="155">
        <v>0.25</v>
      </c>
      <c r="J16" s="155">
        <v>0.2</v>
      </c>
      <c r="K16" s="155">
        <v>0.25</v>
      </c>
      <c r="L16" s="155">
        <v>0.25</v>
      </c>
      <c r="M16" s="155">
        <v>0.25</v>
      </c>
      <c r="N16" s="155">
        <v>0.25</v>
      </c>
      <c r="O16" s="155">
        <v>0.25</v>
      </c>
      <c r="P16" s="160">
        <v>0.25</v>
      </c>
      <c r="Q16" s="157">
        <f>O16-P16</f>
        <v>0</v>
      </c>
      <c r="R16" s="161"/>
      <c r="S16" s="27"/>
      <c r="U16" s="24"/>
      <c r="V16" s="28"/>
      <c r="W16" s="26"/>
      <c r="X16" s="24"/>
    </row>
    <row r="17" spans="1:21" customFormat="1" ht="34.15" customHeight="1">
      <c r="A17" s="62"/>
      <c r="B17" s="67" t="s">
        <v>123</v>
      </c>
      <c r="C17" s="63" t="s">
        <v>124</v>
      </c>
      <c r="D17" s="64" t="s">
        <v>125</v>
      </c>
      <c r="F17" s="225"/>
      <c r="G17" s="1"/>
      <c r="H17" s="154" t="s">
        <v>423</v>
      </c>
      <c r="I17" s="155">
        <v>0.05</v>
      </c>
      <c r="J17" s="155">
        <v>0.03</v>
      </c>
      <c r="K17" s="155">
        <v>0</v>
      </c>
      <c r="L17" s="155">
        <v>0</v>
      </c>
      <c r="M17" s="155">
        <v>0</v>
      </c>
      <c r="N17" s="155">
        <v>0</v>
      </c>
      <c r="O17" s="155">
        <v>0</v>
      </c>
      <c r="P17" s="155">
        <v>0</v>
      </c>
      <c r="Q17" s="157"/>
      <c r="R17" s="161"/>
      <c r="S17" s="27"/>
      <c r="U17" s="24"/>
    </row>
    <row r="18" spans="1:21" customFormat="1" ht="24.75" customHeight="1">
      <c r="A18" s="65" t="s">
        <v>1891</v>
      </c>
      <c r="B18" s="68">
        <v>0.2</v>
      </c>
      <c r="C18" s="184">
        <f>B18*$B$3*(1+$C$16)</f>
        <v>87160000</v>
      </c>
      <c r="D18" s="77">
        <f>ROUND(C18/'116指標1_前2年手收20%'!L186,5)</f>
        <v>1.189E-2</v>
      </c>
      <c r="E18" s="248"/>
      <c r="F18" s="248"/>
      <c r="G18" s="1">
        <f>C18/J19-1</f>
        <v>-0.9753785310734463</v>
      </c>
      <c r="H18" s="154" t="s">
        <v>418</v>
      </c>
      <c r="I18" s="155">
        <f>SUM(I13:I17)</f>
        <v>1</v>
      </c>
      <c r="J18" s="155">
        <f>SUM(J13:J17)</f>
        <v>1</v>
      </c>
      <c r="K18" s="155">
        <f t="shared" ref="K18:Q18" si="1">SUM(K13:K17)</f>
        <v>1</v>
      </c>
      <c r="L18" s="155">
        <f t="shared" si="1"/>
        <v>1</v>
      </c>
      <c r="M18" s="155">
        <f t="shared" si="1"/>
        <v>1</v>
      </c>
      <c r="N18" s="155">
        <f t="shared" si="1"/>
        <v>1</v>
      </c>
      <c r="O18" s="155">
        <f t="shared" si="1"/>
        <v>1</v>
      </c>
      <c r="P18" s="155">
        <f t="shared" si="1"/>
        <v>1</v>
      </c>
      <c r="Q18" s="155">
        <f t="shared" si="1"/>
        <v>2.7755575615628914E-17</v>
      </c>
      <c r="R18" s="162"/>
      <c r="S18" s="28"/>
      <c r="T18" s="26"/>
      <c r="U18" s="24"/>
    </row>
    <row r="19" spans="1:21" customFormat="1" ht="24.75" customHeight="1">
      <c r="A19" s="65" t="s">
        <v>126</v>
      </c>
      <c r="B19" s="68">
        <v>0.25</v>
      </c>
      <c r="C19" s="184">
        <f t="shared" ref="C19:C22" si="2">B19*$B$3*(1+$C$16)</f>
        <v>108950000</v>
      </c>
      <c r="D19" s="78">
        <f>ROUND(C19/'116指標2_存款25%'!E187,5)</f>
        <v>1E-4</v>
      </c>
      <c r="E19" s="248"/>
      <c r="F19" s="248"/>
      <c r="G19" s="1">
        <f>C19/J20-1</f>
        <v>-0.9630677966101695</v>
      </c>
      <c r="H19" s="327">
        <f>'116指標1_前2年手收20%'!L186</f>
        <v>7328527897</v>
      </c>
      <c r="I19" s="327"/>
      <c r="J19" s="184">
        <v>3540000000</v>
      </c>
      <c r="K19" s="77">
        <f>ROUND(J19/H19, 5)</f>
        <v>0.48304000000000002</v>
      </c>
      <c r="L19" s="95"/>
      <c r="M19" s="27"/>
      <c r="O19" s="24"/>
      <c r="P19" s="19"/>
      <c r="Q19" s="26"/>
      <c r="R19" s="32"/>
    </row>
    <row r="20" spans="1:21" ht="24.75" customHeight="1">
      <c r="A20" s="65" t="s">
        <v>119</v>
      </c>
      <c r="B20" s="68">
        <v>0.25</v>
      </c>
      <c r="C20" s="184">
        <f t="shared" si="2"/>
        <v>108950000</v>
      </c>
      <c r="D20" s="79">
        <f>ROUND(C20/'116指標4_114分行人數25%'!O187,0)</f>
        <v>19834</v>
      </c>
      <c r="E20" s="248"/>
      <c r="F20" s="248"/>
      <c r="G20" s="1">
        <f>C20/J21-1</f>
        <v>-0.9630677966101695</v>
      </c>
      <c r="H20" s="327">
        <f>'116指標2_存款25%'!E187</f>
        <v>1110982504214.5806</v>
      </c>
      <c r="I20" s="327"/>
      <c r="J20" s="184">
        <v>2950000000</v>
      </c>
      <c r="K20" s="77">
        <f>ROUND(J20/H20, 5)</f>
        <v>2.66E-3</v>
      </c>
      <c r="L20" s="95"/>
      <c r="M20"/>
      <c r="N20"/>
      <c r="O20" s="20"/>
      <c r="P20"/>
      <c r="Q20" s="21"/>
      <c r="R20"/>
      <c r="S20"/>
      <c r="T20"/>
      <c r="U20"/>
    </row>
    <row r="21" spans="1:21" ht="24.75" customHeight="1">
      <c r="A21" s="65" t="s">
        <v>120</v>
      </c>
      <c r="B21" s="68">
        <v>0.25</v>
      </c>
      <c r="C21" s="184">
        <f t="shared" si="2"/>
        <v>108950000</v>
      </c>
      <c r="D21" s="77">
        <f>ROUND(C21/'116指標6_理財AUM25%'!$E$187,5)</f>
        <v>2.2000000000000001E-4</v>
      </c>
      <c r="E21" s="248"/>
      <c r="F21" s="248"/>
      <c r="G21" s="1">
        <f>C21/J22-1</f>
        <v>-0.95383474576271188</v>
      </c>
      <c r="H21" s="327">
        <f>'116指標4_114分行人數25%'!O187</f>
        <v>5493</v>
      </c>
      <c r="I21" s="327"/>
      <c r="J21" s="184">
        <v>2950000000</v>
      </c>
      <c r="K21" s="348">
        <f>ROUND(J21/H21, 0)</f>
        <v>537047</v>
      </c>
    </row>
    <row r="22" spans="1:21" ht="24.75" customHeight="1">
      <c r="A22" s="65" t="s">
        <v>1890</v>
      </c>
      <c r="B22" s="68">
        <v>0.05</v>
      </c>
      <c r="C22" s="184">
        <f t="shared" si="2"/>
        <v>21790000</v>
      </c>
      <c r="D22" s="66"/>
      <c r="G22" s="1" t="e">
        <f>C22/J23-1</f>
        <v>#REF!</v>
      </c>
      <c r="H22" s="327">
        <f>'116指標6_理財AUM25%'!E187</f>
        <v>487443688560.89496</v>
      </c>
      <c r="I22" s="327"/>
      <c r="J22" s="184">
        <v>2360000000</v>
      </c>
      <c r="K22" s="77">
        <f>ROUND(J22/H22, 5)</f>
        <v>4.8399999999999997E-3</v>
      </c>
    </row>
    <row r="23" spans="1:21">
      <c r="A23" s="65" t="s">
        <v>419</v>
      </c>
      <c r="B23" s="68">
        <f>SUM(B18:B22)</f>
        <v>1</v>
      </c>
      <c r="C23" s="69">
        <f>SUM(C18:C22)</f>
        <v>435800000</v>
      </c>
      <c r="D23" s="66"/>
      <c r="J23" s="184" t="e">
        <f>#REF!*0.03</f>
        <v>#REF!</v>
      </c>
    </row>
    <row r="24" spans="1:21">
      <c r="A24"/>
      <c r="B24"/>
      <c r="C24"/>
      <c r="D24"/>
      <c r="E24"/>
      <c r="F24" s="22"/>
      <c r="G24"/>
      <c r="J24" s="95"/>
      <c r="K24" s="2"/>
      <c r="L24" s="8"/>
      <c r="M24" s="12"/>
      <c r="N24"/>
      <c r="O24"/>
    </row>
    <row r="25" spans="1:21" ht="21.75" customHeight="1">
      <c r="B25"/>
      <c r="C25"/>
      <c r="D25"/>
      <c r="E25"/>
      <c r="F25" s="21"/>
      <c r="G25"/>
      <c r="H25" s="101"/>
      <c r="J25" s="2"/>
      <c r="K25" s="8"/>
      <c r="L25" s="12"/>
      <c r="M25"/>
      <c r="N25"/>
    </row>
    <row r="26" spans="1:21" ht="21.75" customHeight="1">
      <c r="A26" s="14" t="s">
        <v>127</v>
      </c>
    </row>
    <row r="27" spans="1:21" ht="16.5" customHeight="1">
      <c r="A27" s="23" t="s">
        <v>641</v>
      </c>
    </row>
    <row r="28" spans="1:21" ht="21.75" customHeight="1">
      <c r="A28" s="14" t="s">
        <v>408</v>
      </c>
    </row>
    <row r="29" spans="1:21">
      <c r="A29" s="14"/>
    </row>
  </sheetData>
  <mergeCells count="3">
    <mergeCell ref="A1:G1"/>
    <mergeCell ref="H1:J1"/>
    <mergeCell ref="B3:C3"/>
  </mergeCells>
  <phoneticPr fontId="13" type="noConversion"/>
  <printOptions horizontalCentered="1"/>
  <pageMargins left="0.55118110236220474" right="0.55118110236220474" top="1.1811023622047245" bottom="0.59055118110236227" header="0.51181102362204722" footer="0.51181102362204722"/>
  <pageSetup paperSize="8" scale="84"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A1:M193"/>
  <sheetViews>
    <sheetView zoomScale="85" zoomScaleNormal="85" workbookViewId="0">
      <pane ySplit="2" topLeftCell="A3" activePane="bottomLeft" state="frozen"/>
      <selection activeCell="H1" sqref="H1"/>
      <selection pane="bottomLeft" activeCell="M1" sqref="M1"/>
    </sheetView>
  </sheetViews>
  <sheetFormatPr defaultColWidth="10" defaultRowHeight="16.5"/>
  <cols>
    <col min="1" max="1" width="8.5" style="36" bestFit="1" customWidth="1"/>
    <col min="2" max="2" width="8.5" style="36" customWidth="1"/>
    <col min="3" max="3" width="16.375" style="33" customWidth="1"/>
    <col min="4" max="5" width="21" style="33" customWidth="1"/>
    <col min="6" max="6" width="19.75" style="34" customWidth="1"/>
    <col min="7" max="8" width="19.5" style="33" customWidth="1"/>
    <col min="9" max="9" width="18.125" style="34" bestFit="1" customWidth="1"/>
    <col min="10" max="11" width="18.875" style="99" customWidth="1"/>
    <col min="12" max="12" width="19.5" style="99" customWidth="1"/>
    <col min="13" max="13" width="19.5" style="99" bestFit="1" customWidth="1"/>
    <col min="14" max="16384" width="10" style="34"/>
  </cols>
  <sheetData>
    <row r="1" spans="1:13" ht="42" customHeight="1">
      <c r="A1" s="57" t="s">
        <v>128</v>
      </c>
      <c r="B1" s="57" t="s">
        <v>452</v>
      </c>
      <c r="C1" s="58" t="s">
        <v>129</v>
      </c>
      <c r="D1" s="579"/>
      <c r="E1" s="579"/>
      <c r="F1" s="580"/>
      <c r="G1" s="579"/>
      <c r="H1" s="579"/>
      <c r="I1" s="580"/>
      <c r="J1" s="581"/>
      <c r="K1" s="581"/>
      <c r="L1" s="582"/>
      <c r="M1" s="99">
        <f>'116年參數表'!C18</f>
        <v>87160000</v>
      </c>
    </row>
    <row r="2" spans="1:13" s="74" customFormat="1" ht="70.5" customHeight="1">
      <c r="A2" s="59"/>
      <c r="B2" s="59"/>
      <c r="C2" s="58"/>
      <c r="D2" s="72" t="s">
        <v>1659</v>
      </c>
      <c r="E2" s="226" t="s">
        <v>1885</v>
      </c>
      <c r="F2" s="72" t="s">
        <v>1883</v>
      </c>
      <c r="G2" s="72" t="s">
        <v>1660</v>
      </c>
      <c r="H2" s="226" t="s">
        <v>1886</v>
      </c>
      <c r="I2" s="72" t="s">
        <v>1884</v>
      </c>
      <c r="J2" s="72" t="s">
        <v>1661</v>
      </c>
      <c r="K2" s="72" t="s">
        <v>1887</v>
      </c>
      <c r="L2" s="76" t="s">
        <v>1888</v>
      </c>
      <c r="M2" s="132" t="s">
        <v>417</v>
      </c>
    </row>
    <row r="3" spans="1:13" s="35" customFormat="1" ht="24.75" customHeight="1">
      <c r="A3" s="49">
        <v>100</v>
      </c>
      <c r="B3" s="49">
        <f>A3*10</f>
        <v>1000</v>
      </c>
      <c r="C3" s="49" t="s">
        <v>131</v>
      </c>
      <c r="D3" s="84">
        <f>VLOOKUP(A3,'底稿_前2年手收20%'!A:L,11,0)</f>
        <v>35880768</v>
      </c>
      <c r="E3" s="84">
        <f>VLOOKUP(A3,'底稿_前2年手收20%'!O:Z,11,0)</f>
        <v>28652420</v>
      </c>
      <c r="F3" s="61">
        <f t="shared" ref="F3:F34" si="0">ROUND(AVERAGE(D3:E3), 0)</f>
        <v>32266594</v>
      </c>
      <c r="G3" s="84">
        <f>VLOOKUP(A3,'底稿_前2年手收20%'!A:L,12,0)</f>
        <v>15914908</v>
      </c>
      <c r="H3" s="84">
        <f>VLOOKUP(A3,'底稿_前2年手收20%'!O:Z,12,0)</f>
        <v>49507580</v>
      </c>
      <c r="I3" s="73">
        <f t="shared" ref="I3:I34" si="1">ROUND(AVERAGE(G3:H3), 0)</f>
        <v>32711244</v>
      </c>
      <c r="J3" s="100">
        <f t="shared" ref="J3:J34" si="2">D3+G3</f>
        <v>51795676</v>
      </c>
      <c r="K3" s="100">
        <f t="shared" ref="K3:K34" si="3">E3+H3</f>
        <v>78160000</v>
      </c>
      <c r="L3" s="100">
        <f>ROUND(AVERAGE(J3:K3), 0)</f>
        <v>64977838</v>
      </c>
      <c r="M3" s="133">
        <f t="shared" ref="M3:M34" si="4">ROUND(L3*(M$1/L$186), 0)</f>
        <v>772798</v>
      </c>
    </row>
    <row r="4" spans="1:13" ht="24.95" customHeight="1">
      <c r="A4" s="49">
        <v>101</v>
      </c>
      <c r="B4" s="49">
        <f t="shared" ref="B4:B67" si="5">A4*10</f>
        <v>1010</v>
      </c>
      <c r="C4" s="49" t="s">
        <v>132</v>
      </c>
      <c r="D4" s="84">
        <f>VLOOKUP(A4,'底稿_前2年手收20%'!A:L,11,0)</f>
        <v>8523850</v>
      </c>
      <c r="E4" s="84">
        <f>VLOOKUP(A4,'底稿_前2年手收20%'!O:Z,11,0)</f>
        <v>9492255</v>
      </c>
      <c r="F4" s="61">
        <f t="shared" si="0"/>
        <v>9008053</v>
      </c>
      <c r="G4" s="84">
        <f>VLOOKUP(A4,'底稿_前2年手收20%'!A:L,12,0)</f>
        <v>4620909</v>
      </c>
      <c r="H4" s="84">
        <f>VLOOKUP(A4,'底稿_前2年手收20%'!O:Z,12,0)</f>
        <v>11158809</v>
      </c>
      <c r="I4" s="73">
        <f t="shared" si="1"/>
        <v>7889859</v>
      </c>
      <c r="J4" s="100">
        <f t="shared" si="2"/>
        <v>13144759</v>
      </c>
      <c r="K4" s="100">
        <f t="shared" si="3"/>
        <v>20651064</v>
      </c>
      <c r="L4" s="100">
        <f t="shared" ref="L4:L67" si="6">ROUND(AVERAGE(J4:K4), 0)</f>
        <v>16897912</v>
      </c>
      <c r="M4" s="133">
        <f t="shared" si="4"/>
        <v>200971</v>
      </c>
    </row>
    <row r="5" spans="1:13" s="33" customFormat="1" ht="24.95" customHeight="1">
      <c r="A5" s="49">
        <v>103</v>
      </c>
      <c r="B5" s="49">
        <f t="shared" si="5"/>
        <v>1030</v>
      </c>
      <c r="C5" s="49" t="s">
        <v>133</v>
      </c>
      <c r="D5" s="84">
        <f>VLOOKUP(A5,'底稿_前2年手收20%'!A:L,11,0)</f>
        <v>14840766</v>
      </c>
      <c r="E5" s="84">
        <f>VLOOKUP(A5,'底稿_前2年手收20%'!O:Z,11,0)</f>
        <v>16596616</v>
      </c>
      <c r="F5" s="61">
        <f t="shared" si="0"/>
        <v>15718691</v>
      </c>
      <c r="G5" s="84">
        <f>VLOOKUP(A5,'底稿_前2年手收20%'!A:L,12,0)</f>
        <v>11069234</v>
      </c>
      <c r="H5" s="84">
        <f>VLOOKUP(A5,'底稿_前2年手收20%'!O:Z,12,0)</f>
        <v>17502647</v>
      </c>
      <c r="I5" s="73">
        <f t="shared" si="1"/>
        <v>14285941</v>
      </c>
      <c r="J5" s="100">
        <f t="shared" si="2"/>
        <v>25910000</v>
      </c>
      <c r="K5" s="100">
        <f t="shared" si="3"/>
        <v>34099263</v>
      </c>
      <c r="L5" s="100">
        <f t="shared" si="6"/>
        <v>30004632</v>
      </c>
      <c r="M5" s="133">
        <f t="shared" si="4"/>
        <v>356853</v>
      </c>
    </row>
    <row r="6" spans="1:13" ht="24.95" customHeight="1">
      <c r="A6" s="49">
        <v>104</v>
      </c>
      <c r="B6" s="49">
        <f t="shared" si="5"/>
        <v>1040</v>
      </c>
      <c r="C6" s="49" t="s">
        <v>134</v>
      </c>
      <c r="D6" s="84">
        <f>VLOOKUP(A6,'底稿_前2年手收20%'!A:L,11,0)</f>
        <v>23018113</v>
      </c>
      <c r="E6" s="84">
        <f>VLOOKUP(A6,'底稿_前2年手收20%'!O:Z,11,0)</f>
        <v>33069318</v>
      </c>
      <c r="F6" s="61">
        <f t="shared" si="0"/>
        <v>28043716</v>
      </c>
      <c r="G6" s="84">
        <f>VLOOKUP(A6,'底稿_前2年手收20%'!A:L,12,0)</f>
        <v>15101887</v>
      </c>
      <c r="H6" s="84">
        <f>VLOOKUP(A6,'底稿_前2年手收20%'!O:Z,12,0)</f>
        <v>28569894</v>
      </c>
      <c r="I6" s="73">
        <f t="shared" si="1"/>
        <v>21835891</v>
      </c>
      <c r="J6" s="100">
        <f t="shared" si="2"/>
        <v>38120000</v>
      </c>
      <c r="K6" s="100">
        <f t="shared" si="3"/>
        <v>61639212</v>
      </c>
      <c r="L6" s="100">
        <f t="shared" si="6"/>
        <v>49879606</v>
      </c>
      <c r="M6" s="133">
        <f t="shared" si="4"/>
        <v>593231</v>
      </c>
    </row>
    <row r="7" spans="1:13" s="33" customFormat="1" ht="24.95" customHeight="1">
      <c r="A7" s="49">
        <v>105</v>
      </c>
      <c r="B7" s="49">
        <f t="shared" si="5"/>
        <v>1050</v>
      </c>
      <c r="C7" s="49" t="s">
        <v>135</v>
      </c>
      <c r="D7" s="84">
        <f>VLOOKUP(A7,'底稿_前2年手收20%'!A:L,11,0)</f>
        <v>24200544</v>
      </c>
      <c r="E7" s="84">
        <f>VLOOKUP(A7,'底稿_前2年手收20%'!O:Z,11,0)</f>
        <v>26120560</v>
      </c>
      <c r="F7" s="61">
        <f t="shared" si="0"/>
        <v>25160552</v>
      </c>
      <c r="G7" s="84">
        <f>VLOOKUP(A7,'底稿_前2年手收20%'!A:L,12,0)</f>
        <v>6069456</v>
      </c>
      <c r="H7" s="84">
        <f>VLOOKUP(A7,'底稿_前2年手收20%'!O:Z,12,0)</f>
        <v>9682864</v>
      </c>
      <c r="I7" s="73">
        <f t="shared" si="1"/>
        <v>7876160</v>
      </c>
      <c r="J7" s="100">
        <f t="shared" si="2"/>
        <v>30270000</v>
      </c>
      <c r="K7" s="100">
        <f t="shared" si="3"/>
        <v>35803424</v>
      </c>
      <c r="L7" s="100">
        <f t="shared" si="6"/>
        <v>33036712</v>
      </c>
      <c r="M7" s="133">
        <f t="shared" si="4"/>
        <v>392914</v>
      </c>
    </row>
    <row r="8" spans="1:13" ht="24.95" customHeight="1">
      <c r="A8" s="49">
        <v>106</v>
      </c>
      <c r="B8" s="49">
        <f t="shared" si="5"/>
        <v>1060</v>
      </c>
      <c r="C8" s="49" t="s">
        <v>136</v>
      </c>
      <c r="D8" s="84">
        <f>VLOOKUP(A8,'底稿_前2年手收20%'!A:L,11,0)</f>
        <v>27611282</v>
      </c>
      <c r="E8" s="84">
        <f>VLOOKUP(A8,'底稿_前2年手收20%'!O:Z,11,0)</f>
        <v>29012978</v>
      </c>
      <c r="F8" s="61">
        <f t="shared" si="0"/>
        <v>28312130</v>
      </c>
      <c r="G8" s="84">
        <f>VLOOKUP(A8,'底稿_前2年手收20%'!A:L,12,0)</f>
        <v>24778718</v>
      </c>
      <c r="H8" s="84">
        <f>VLOOKUP(A8,'底稿_前2年手收20%'!O:Z,12,0)</f>
        <v>37796544</v>
      </c>
      <c r="I8" s="73">
        <f t="shared" si="1"/>
        <v>31287631</v>
      </c>
      <c r="J8" s="100">
        <f t="shared" si="2"/>
        <v>52390000</v>
      </c>
      <c r="K8" s="100">
        <f t="shared" si="3"/>
        <v>66809522</v>
      </c>
      <c r="L8" s="100">
        <f t="shared" si="6"/>
        <v>59599761</v>
      </c>
      <c r="M8" s="133">
        <f t="shared" si="4"/>
        <v>708835</v>
      </c>
    </row>
    <row r="9" spans="1:13" s="33" customFormat="1" ht="24.95" customHeight="1">
      <c r="A9" s="49">
        <v>107</v>
      </c>
      <c r="B9" s="49">
        <f t="shared" si="5"/>
        <v>1070</v>
      </c>
      <c r="C9" s="49" t="s">
        <v>73</v>
      </c>
      <c r="D9" s="84">
        <f>VLOOKUP(A9,'底稿_前2年手收20%'!A:L,11,0)</f>
        <v>31128343</v>
      </c>
      <c r="E9" s="84">
        <f>VLOOKUP(A9,'底稿_前2年手收20%'!O:Z,11,0)</f>
        <v>48267581</v>
      </c>
      <c r="F9" s="61">
        <f t="shared" si="0"/>
        <v>39697962</v>
      </c>
      <c r="G9" s="84">
        <f>VLOOKUP(A9,'底稿_前2年手收20%'!A:L,12,0)</f>
        <v>29751657</v>
      </c>
      <c r="H9" s="84">
        <f>VLOOKUP(A9,'底稿_前2年手收20%'!O:Z,12,0)</f>
        <v>56912419</v>
      </c>
      <c r="I9" s="73">
        <f t="shared" si="1"/>
        <v>43332038</v>
      </c>
      <c r="J9" s="100">
        <f t="shared" si="2"/>
        <v>60880000</v>
      </c>
      <c r="K9" s="100">
        <f t="shared" si="3"/>
        <v>105180000</v>
      </c>
      <c r="L9" s="100">
        <f t="shared" si="6"/>
        <v>83030000</v>
      </c>
      <c r="M9" s="133">
        <f t="shared" si="4"/>
        <v>987496</v>
      </c>
    </row>
    <row r="10" spans="1:13" ht="24.95" customHeight="1">
      <c r="A10" s="49">
        <v>108</v>
      </c>
      <c r="B10" s="49">
        <f t="shared" si="5"/>
        <v>1080</v>
      </c>
      <c r="C10" s="49" t="s">
        <v>1</v>
      </c>
      <c r="D10" s="84">
        <f>VLOOKUP(A10,'底稿_前2年手收20%'!A:L,11,0)</f>
        <v>46887301</v>
      </c>
      <c r="E10" s="84">
        <f>VLOOKUP(A10,'底稿_前2年手收20%'!O:Z,11,0)</f>
        <v>36371814</v>
      </c>
      <c r="F10" s="61">
        <f t="shared" si="0"/>
        <v>41629558</v>
      </c>
      <c r="G10" s="84">
        <f>VLOOKUP(A10,'底稿_前2年手收20%'!A:L,12,0)</f>
        <v>16336254</v>
      </c>
      <c r="H10" s="84">
        <f>VLOOKUP(A10,'底稿_前2年手收20%'!O:Z,12,0)</f>
        <v>40053066</v>
      </c>
      <c r="I10" s="73">
        <f t="shared" si="1"/>
        <v>28194660</v>
      </c>
      <c r="J10" s="100">
        <f t="shared" si="2"/>
        <v>63223555</v>
      </c>
      <c r="K10" s="100">
        <f t="shared" si="3"/>
        <v>76424880</v>
      </c>
      <c r="L10" s="100">
        <f t="shared" si="6"/>
        <v>69824218</v>
      </c>
      <c r="M10" s="133">
        <f t="shared" si="4"/>
        <v>830437</v>
      </c>
    </row>
    <row r="11" spans="1:13" s="33" customFormat="1" ht="24.95" customHeight="1">
      <c r="A11" s="49">
        <v>109</v>
      </c>
      <c r="B11" s="49">
        <f t="shared" si="5"/>
        <v>1090</v>
      </c>
      <c r="C11" s="49" t="s">
        <v>2</v>
      </c>
      <c r="D11" s="84">
        <f>VLOOKUP(A11,'底稿_前2年手收20%'!A:L,11,0)</f>
        <v>12794732</v>
      </c>
      <c r="E11" s="84">
        <f>VLOOKUP(A11,'底稿_前2年手收20%'!O:Z,11,0)</f>
        <v>11821722</v>
      </c>
      <c r="F11" s="61">
        <f t="shared" si="0"/>
        <v>12308227</v>
      </c>
      <c r="G11" s="84">
        <f>VLOOKUP(A11,'底稿_前2年手收20%'!A:L,12,0)</f>
        <v>3508853</v>
      </c>
      <c r="H11" s="84">
        <f>VLOOKUP(A11,'底稿_前2年手收20%'!O:Z,12,0)</f>
        <v>8049644</v>
      </c>
      <c r="I11" s="73">
        <f t="shared" si="1"/>
        <v>5779249</v>
      </c>
      <c r="J11" s="100">
        <f t="shared" si="2"/>
        <v>16303585</v>
      </c>
      <c r="K11" s="100">
        <f t="shared" si="3"/>
        <v>19871366</v>
      </c>
      <c r="L11" s="100">
        <f t="shared" si="6"/>
        <v>18087476</v>
      </c>
      <c r="M11" s="133">
        <f t="shared" si="4"/>
        <v>215119</v>
      </c>
    </row>
    <row r="12" spans="1:13" ht="24.95" customHeight="1">
      <c r="A12" s="49">
        <v>110</v>
      </c>
      <c r="B12" s="49">
        <f t="shared" si="5"/>
        <v>1100</v>
      </c>
      <c r="C12" s="49" t="s">
        <v>74</v>
      </c>
      <c r="D12" s="84">
        <f>VLOOKUP(A12,'底稿_前2年手收20%'!A:L,11,0)</f>
        <v>11691257</v>
      </c>
      <c r="E12" s="84">
        <f>VLOOKUP(A12,'底稿_前2年手收20%'!O:Z,11,0)</f>
        <v>11801298</v>
      </c>
      <c r="F12" s="61">
        <f t="shared" si="0"/>
        <v>11746278</v>
      </c>
      <c r="G12" s="84">
        <f>VLOOKUP(A12,'底稿_前2年手收20%'!A:L,12,0)</f>
        <v>17938743</v>
      </c>
      <c r="H12" s="84">
        <f>VLOOKUP(A12,'底稿_前2年手收20%'!O:Z,12,0)</f>
        <v>25934084</v>
      </c>
      <c r="I12" s="73">
        <f t="shared" si="1"/>
        <v>21936414</v>
      </c>
      <c r="J12" s="100">
        <f t="shared" si="2"/>
        <v>29630000</v>
      </c>
      <c r="K12" s="100">
        <f t="shared" si="3"/>
        <v>37735382</v>
      </c>
      <c r="L12" s="100">
        <f t="shared" si="6"/>
        <v>33682691</v>
      </c>
      <c r="M12" s="133">
        <f t="shared" si="4"/>
        <v>400597</v>
      </c>
    </row>
    <row r="13" spans="1:13" s="33" customFormat="1" ht="24.95" customHeight="1">
      <c r="A13" s="49">
        <v>111</v>
      </c>
      <c r="B13" s="49">
        <f t="shared" si="5"/>
        <v>1110</v>
      </c>
      <c r="C13" s="49" t="s">
        <v>75</v>
      </c>
      <c r="D13" s="84">
        <f>VLOOKUP(A13,'底稿_前2年手收20%'!A:L,11,0)</f>
        <v>44284935</v>
      </c>
      <c r="E13" s="84">
        <f>VLOOKUP(A13,'底稿_前2年手收20%'!O:Z,11,0)</f>
        <v>43181345</v>
      </c>
      <c r="F13" s="61">
        <f t="shared" si="0"/>
        <v>43733140</v>
      </c>
      <c r="G13" s="84">
        <f>VLOOKUP(A13,'底稿_前2年手收20%'!A:L,12,0)</f>
        <v>9265065</v>
      </c>
      <c r="H13" s="84">
        <f>VLOOKUP(A13,'底稿_前2年手收20%'!O:Z,12,0)</f>
        <v>19885486</v>
      </c>
      <c r="I13" s="73">
        <f t="shared" si="1"/>
        <v>14575276</v>
      </c>
      <c r="J13" s="100">
        <f t="shared" si="2"/>
        <v>53550000</v>
      </c>
      <c r="K13" s="100">
        <f t="shared" si="3"/>
        <v>63066831</v>
      </c>
      <c r="L13" s="100">
        <f t="shared" si="6"/>
        <v>58308416</v>
      </c>
      <c r="M13" s="133">
        <f t="shared" si="4"/>
        <v>693476</v>
      </c>
    </row>
    <row r="14" spans="1:13" ht="24.95" customHeight="1">
      <c r="A14" s="49">
        <v>112</v>
      </c>
      <c r="B14" s="49">
        <f t="shared" si="5"/>
        <v>1120</v>
      </c>
      <c r="C14" s="49" t="s">
        <v>137</v>
      </c>
      <c r="D14" s="84">
        <f>VLOOKUP(A14,'底稿_前2年手收20%'!A:L,11,0)</f>
        <v>27692044</v>
      </c>
      <c r="E14" s="84">
        <f>VLOOKUP(A14,'底稿_前2年手收20%'!O:Z,11,0)</f>
        <v>24919008</v>
      </c>
      <c r="F14" s="61">
        <f t="shared" si="0"/>
        <v>26305526</v>
      </c>
      <c r="G14" s="84">
        <f>VLOOKUP(A14,'底稿_前2年手收20%'!A:L,12,0)</f>
        <v>7447026</v>
      </c>
      <c r="H14" s="84">
        <f>VLOOKUP(A14,'底稿_前2年手收20%'!O:Z,12,0)</f>
        <v>18216884</v>
      </c>
      <c r="I14" s="73">
        <f t="shared" si="1"/>
        <v>12831955</v>
      </c>
      <c r="J14" s="100">
        <f t="shared" si="2"/>
        <v>35139070</v>
      </c>
      <c r="K14" s="100">
        <f t="shared" si="3"/>
        <v>43135892</v>
      </c>
      <c r="L14" s="100">
        <f t="shared" si="6"/>
        <v>39137481</v>
      </c>
      <c r="M14" s="133">
        <f t="shared" si="4"/>
        <v>465472</v>
      </c>
    </row>
    <row r="15" spans="1:13" s="33" customFormat="1" ht="24.75" customHeight="1">
      <c r="A15" s="49">
        <v>113</v>
      </c>
      <c r="B15" s="49">
        <f t="shared" si="5"/>
        <v>1130</v>
      </c>
      <c r="C15" s="49" t="s">
        <v>3</v>
      </c>
      <c r="D15" s="84">
        <f>VLOOKUP(A15,'底稿_前2年手收20%'!A:L,11,0)</f>
        <v>30938301</v>
      </c>
      <c r="E15" s="84">
        <f>VLOOKUP(A15,'底稿_前2年手收20%'!O:Z,11,0)</f>
        <v>40481071</v>
      </c>
      <c r="F15" s="61">
        <f t="shared" si="0"/>
        <v>35709686</v>
      </c>
      <c r="G15" s="84">
        <f>VLOOKUP(A15,'底稿_前2年手收20%'!A:L,12,0)</f>
        <v>15231699</v>
      </c>
      <c r="H15" s="84">
        <f>VLOOKUP(A15,'底稿_前2年手收20%'!O:Z,12,0)</f>
        <v>25955445</v>
      </c>
      <c r="I15" s="73">
        <f t="shared" si="1"/>
        <v>20593572</v>
      </c>
      <c r="J15" s="100">
        <f t="shared" si="2"/>
        <v>46170000</v>
      </c>
      <c r="K15" s="100">
        <f t="shared" si="3"/>
        <v>66436516</v>
      </c>
      <c r="L15" s="100">
        <f t="shared" si="6"/>
        <v>56303258</v>
      </c>
      <c r="M15" s="133">
        <f t="shared" si="4"/>
        <v>669629</v>
      </c>
    </row>
    <row r="16" spans="1:13" ht="24.95" customHeight="1">
      <c r="A16" s="49">
        <v>114</v>
      </c>
      <c r="B16" s="49">
        <f t="shared" si="5"/>
        <v>1140</v>
      </c>
      <c r="C16" s="49" t="s">
        <v>138</v>
      </c>
      <c r="D16" s="84">
        <f>VLOOKUP(A16,'底稿_前2年手收20%'!A:L,11,0)</f>
        <v>19276318</v>
      </c>
      <c r="E16" s="84">
        <f>VLOOKUP(A16,'底稿_前2年手收20%'!O:Z,11,0)</f>
        <v>26958919</v>
      </c>
      <c r="F16" s="61">
        <f t="shared" si="0"/>
        <v>23117619</v>
      </c>
      <c r="G16" s="84">
        <f>VLOOKUP(A16,'底稿_前2年手收20%'!A:L,12,0)</f>
        <v>22543682</v>
      </c>
      <c r="H16" s="84">
        <f>VLOOKUP(A16,'底稿_前2年手收20%'!O:Z,12,0)</f>
        <v>33881599</v>
      </c>
      <c r="I16" s="73">
        <f t="shared" si="1"/>
        <v>28212641</v>
      </c>
      <c r="J16" s="100">
        <f t="shared" si="2"/>
        <v>41820000</v>
      </c>
      <c r="K16" s="100">
        <f t="shared" si="3"/>
        <v>60840518</v>
      </c>
      <c r="L16" s="100">
        <f t="shared" si="6"/>
        <v>51330259</v>
      </c>
      <c r="M16" s="133">
        <f t="shared" si="4"/>
        <v>610484</v>
      </c>
    </row>
    <row r="17" spans="1:13" s="33" customFormat="1" ht="24.95" customHeight="1">
      <c r="A17" s="49">
        <v>115</v>
      </c>
      <c r="B17" s="49">
        <f t="shared" si="5"/>
        <v>1150</v>
      </c>
      <c r="C17" s="49" t="s">
        <v>139</v>
      </c>
      <c r="D17" s="84">
        <f>VLOOKUP(A17,'底稿_前2年手收20%'!A:L,11,0)</f>
        <v>12141188</v>
      </c>
      <c r="E17" s="84">
        <f>VLOOKUP(A17,'底稿_前2年手收20%'!O:Z,11,0)</f>
        <v>13304429</v>
      </c>
      <c r="F17" s="61">
        <f t="shared" si="0"/>
        <v>12722809</v>
      </c>
      <c r="G17" s="84">
        <f>VLOOKUP(A17,'底稿_前2年手收20%'!A:L,12,0)</f>
        <v>21768812</v>
      </c>
      <c r="H17" s="84">
        <f>VLOOKUP(A17,'底稿_前2年手收20%'!O:Z,12,0)</f>
        <v>42375571</v>
      </c>
      <c r="I17" s="73">
        <f t="shared" si="1"/>
        <v>32072192</v>
      </c>
      <c r="J17" s="100">
        <f t="shared" si="2"/>
        <v>33910000</v>
      </c>
      <c r="K17" s="100">
        <f t="shared" si="3"/>
        <v>55680000</v>
      </c>
      <c r="L17" s="100">
        <f t="shared" si="6"/>
        <v>44795000</v>
      </c>
      <c r="M17" s="133">
        <f t="shared" si="4"/>
        <v>532758</v>
      </c>
    </row>
    <row r="18" spans="1:13" ht="24.95" customHeight="1">
      <c r="A18" s="49">
        <v>116</v>
      </c>
      <c r="B18" s="49">
        <f t="shared" si="5"/>
        <v>1160</v>
      </c>
      <c r="C18" s="49" t="s">
        <v>140</v>
      </c>
      <c r="D18" s="84">
        <f>VLOOKUP(A18,'底稿_前2年手收20%'!A:L,11,0)</f>
        <v>18669052</v>
      </c>
      <c r="E18" s="84">
        <f>VLOOKUP(A18,'底稿_前2年手收20%'!O:Z,11,0)</f>
        <v>12626352</v>
      </c>
      <c r="F18" s="61">
        <f t="shared" si="0"/>
        <v>15647702</v>
      </c>
      <c r="G18" s="84">
        <f>VLOOKUP(A18,'底稿_前2年手收20%'!A:L,12,0)</f>
        <v>8876349</v>
      </c>
      <c r="H18" s="84">
        <f>VLOOKUP(A18,'底稿_前2年手收20%'!O:Z,12,0)</f>
        <v>22331143</v>
      </c>
      <c r="I18" s="73">
        <f t="shared" si="1"/>
        <v>15603746</v>
      </c>
      <c r="J18" s="100">
        <f t="shared" si="2"/>
        <v>27545401</v>
      </c>
      <c r="K18" s="100">
        <f t="shared" si="3"/>
        <v>34957495</v>
      </c>
      <c r="L18" s="100">
        <f t="shared" si="6"/>
        <v>31251448</v>
      </c>
      <c r="M18" s="133">
        <f t="shared" si="4"/>
        <v>371681</v>
      </c>
    </row>
    <row r="19" spans="1:13" s="33" customFormat="1" ht="24.95" customHeight="1">
      <c r="A19" s="49">
        <v>117</v>
      </c>
      <c r="B19" s="49">
        <f t="shared" si="5"/>
        <v>1170</v>
      </c>
      <c r="C19" s="49" t="s">
        <v>399</v>
      </c>
      <c r="D19" s="84">
        <f>VLOOKUP(A19,'底稿_前2年手收20%'!A:L,11,0)</f>
        <v>25495943</v>
      </c>
      <c r="E19" s="84">
        <f>VLOOKUP(A19,'底稿_前2年手收20%'!O:Z,11,0)</f>
        <v>30572745</v>
      </c>
      <c r="F19" s="61">
        <f t="shared" si="0"/>
        <v>28034344</v>
      </c>
      <c r="G19" s="84">
        <f>VLOOKUP(A19,'底稿_前2年手收20%'!A:L,12,0)</f>
        <v>13334057</v>
      </c>
      <c r="H19" s="84">
        <f>VLOOKUP(A19,'底稿_前2年手收20%'!O:Z,12,0)</f>
        <v>32957255</v>
      </c>
      <c r="I19" s="73">
        <f t="shared" si="1"/>
        <v>23145656</v>
      </c>
      <c r="J19" s="100">
        <f t="shared" si="2"/>
        <v>38830000</v>
      </c>
      <c r="K19" s="100">
        <f t="shared" si="3"/>
        <v>63530000</v>
      </c>
      <c r="L19" s="100">
        <f t="shared" si="6"/>
        <v>51180000</v>
      </c>
      <c r="M19" s="133">
        <f t="shared" si="4"/>
        <v>608696</v>
      </c>
    </row>
    <row r="20" spans="1:13" ht="24.95" customHeight="1">
      <c r="A20" s="49">
        <v>118</v>
      </c>
      <c r="B20" s="49">
        <f t="shared" si="5"/>
        <v>1180</v>
      </c>
      <c r="C20" s="49" t="s">
        <v>141</v>
      </c>
      <c r="D20" s="84">
        <f>VLOOKUP(A20,'底稿_前2年手收20%'!A:L,11,0)</f>
        <v>28715669</v>
      </c>
      <c r="E20" s="84">
        <f>VLOOKUP(A20,'底稿_前2年手收20%'!O:Z,11,0)</f>
        <v>31349724</v>
      </c>
      <c r="F20" s="61">
        <f t="shared" si="0"/>
        <v>30032697</v>
      </c>
      <c r="G20" s="84">
        <f>VLOOKUP(A20,'底稿_前2年手收20%'!A:L,12,0)</f>
        <v>10541237</v>
      </c>
      <c r="H20" s="84">
        <f>VLOOKUP(A20,'底稿_前2年手收20%'!O:Z,12,0)</f>
        <v>20719152</v>
      </c>
      <c r="I20" s="73">
        <f t="shared" si="1"/>
        <v>15630195</v>
      </c>
      <c r="J20" s="100">
        <f t="shared" si="2"/>
        <v>39256906</v>
      </c>
      <c r="K20" s="100">
        <f t="shared" si="3"/>
        <v>52068876</v>
      </c>
      <c r="L20" s="100">
        <f t="shared" si="6"/>
        <v>45662891</v>
      </c>
      <c r="M20" s="133">
        <f t="shared" si="4"/>
        <v>543080</v>
      </c>
    </row>
    <row r="21" spans="1:13" s="33" customFormat="1" ht="24.95" customHeight="1">
      <c r="A21" s="49">
        <v>119</v>
      </c>
      <c r="B21" s="49">
        <f t="shared" si="5"/>
        <v>1190</v>
      </c>
      <c r="C21" s="49" t="s">
        <v>76</v>
      </c>
      <c r="D21" s="84">
        <f>VLOOKUP(A21,'底稿_前2年手收20%'!A:L,11,0)</f>
        <v>16583730</v>
      </c>
      <c r="E21" s="84">
        <f>VLOOKUP(A21,'底稿_前2年手收20%'!O:Z,11,0)</f>
        <v>14931503</v>
      </c>
      <c r="F21" s="61">
        <f t="shared" si="0"/>
        <v>15757617</v>
      </c>
      <c r="G21" s="84">
        <f>VLOOKUP(A21,'底稿_前2年手收20%'!A:L,12,0)</f>
        <v>8736270</v>
      </c>
      <c r="H21" s="84">
        <f>VLOOKUP(A21,'底稿_前2年手收20%'!O:Z,12,0)</f>
        <v>22666067</v>
      </c>
      <c r="I21" s="73">
        <f t="shared" si="1"/>
        <v>15701169</v>
      </c>
      <c r="J21" s="100">
        <f t="shared" si="2"/>
        <v>25320000</v>
      </c>
      <c r="K21" s="100">
        <f t="shared" si="3"/>
        <v>37597570</v>
      </c>
      <c r="L21" s="100">
        <f t="shared" si="6"/>
        <v>31458785</v>
      </c>
      <c r="M21" s="133">
        <f t="shared" si="4"/>
        <v>374147</v>
      </c>
    </row>
    <row r="22" spans="1:13" ht="24.95" customHeight="1">
      <c r="A22" s="49">
        <v>120</v>
      </c>
      <c r="B22" s="49">
        <f t="shared" si="5"/>
        <v>1200</v>
      </c>
      <c r="C22" s="49" t="s">
        <v>142</v>
      </c>
      <c r="D22" s="84">
        <f>VLOOKUP(A22,'底稿_前2年手收20%'!A:L,11,0)</f>
        <v>29479747</v>
      </c>
      <c r="E22" s="84">
        <f>VLOOKUP(A22,'底稿_前2年手收20%'!O:Z,11,0)</f>
        <v>31537993</v>
      </c>
      <c r="F22" s="61">
        <f t="shared" si="0"/>
        <v>30508870</v>
      </c>
      <c r="G22" s="84">
        <f>VLOOKUP(A22,'底稿_前2年手收20%'!A:L,12,0)</f>
        <v>20120253</v>
      </c>
      <c r="H22" s="84">
        <f>VLOOKUP(A22,'底稿_前2年手收20%'!O:Z,12,0)</f>
        <v>49142007</v>
      </c>
      <c r="I22" s="73">
        <f t="shared" si="1"/>
        <v>34631130</v>
      </c>
      <c r="J22" s="100">
        <f t="shared" si="2"/>
        <v>49600000</v>
      </c>
      <c r="K22" s="100">
        <f t="shared" si="3"/>
        <v>80680000</v>
      </c>
      <c r="L22" s="100">
        <f t="shared" si="6"/>
        <v>65140000</v>
      </c>
      <c r="M22" s="133">
        <f t="shared" si="4"/>
        <v>774726</v>
      </c>
    </row>
    <row r="23" spans="1:13" s="33" customFormat="1" ht="24.95" customHeight="1">
      <c r="A23" s="49">
        <v>121</v>
      </c>
      <c r="B23" s="49">
        <f t="shared" si="5"/>
        <v>1210</v>
      </c>
      <c r="C23" s="49" t="s">
        <v>4</v>
      </c>
      <c r="D23" s="84">
        <f>VLOOKUP(A23,'底稿_前2年手收20%'!A:L,11,0)</f>
        <v>22202811</v>
      </c>
      <c r="E23" s="84">
        <f>VLOOKUP(A23,'底稿_前2年手收20%'!O:Z,11,0)</f>
        <v>22859042</v>
      </c>
      <c r="F23" s="61">
        <f t="shared" si="0"/>
        <v>22530927</v>
      </c>
      <c r="G23" s="84">
        <f>VLOOKUP(A23,'底稿_前2年手收20%'!A:L,12,0)</f>
        <v>9305294</v>
      </c>
      <c r="H23" s="84">
        <f>VLOOKUP(A23,'底稿_前2年手收20%'!O:Z,12,0)</f>
        <v>39840958</v>
      </c>
      <c r="I23" s="73">
        <f t="shared" si="1"/>
        <v>24573126</v>
      </c>
      <c r="J23" s="100">
        <f t="shared" si="2"/>
        <v>31508105</v>
      </c>
      <c r="K23" s="100">
        <f t="shared" si="3"/>
        <v>62700000</v>
      </c>
      <c r="L23" s="100">
        <f t="shared" si="6"/>
        <v>47104053</v>
      </c>
      <c r="M23" s="133">
        <f t="shared" si="4"/>
        <v>560220</v>
      </c>
    </row>
    <row r="24" spans="1:13" ht="24.95" customHeight="1">
      <c r="A24" s="49">
        <v>122</v>
      </c>
      <c r="B24" s="49">
        <f t="shared" si="5"/>
        <v>1220</v>
      </c>
      <c r="C24" s="49" t="s">
        <v>77</v>
      </c>
      <c r="D24" s="84">
        <f>VLOOKUP(A24,'底稿_前2年手收20%'!A:L,11,0)</f>
        <v>24099724</v>
      </c>
      <c r="E24" s="84">
        <f>VLOOKUP(A24,'底稿_前2年手收20%'!O:Z,11,0)</f>
        <v>24510854</v>
      </c>
      <c r="F24" s="61">
        <f t="shared" si="0"/>
        <v>24305289</v>
      </c>
      <c r="G24" s="84">
        <f>VLOOKUP(A24,'底稿_前2年手收20%'!A:L,12,0)</f>
        <v>16540276</v>
      </c>
      <c r="H24" s="84">
        <f>VLOOKUP(A24,'底稿_前2年手收20%'!O:Z,12,0)</f>
        <v>38426498</v>
      </c>
      <c r="I24" s="73">
        <f t="shared" si="1"/>
        <v>27483387</v>
      </c>
      <c r="J24" s="100">
        <f t="shared" si="2"/>
        <v>40640000</v>
      </c>
      <c r="K24" s="100">
        <f t="shared" si="3"/>
        <v>62937352</v>
      </c>
      <c r="L24" s="100">
        <f t="shared" si="6"/>
        <v>51788676</v>
      </c>
      <c r="M24" s="133">
        <f t="shared" si="4"/>
        <v>615936</v>
      </c>
    </row>
    <row r="25" spans="1:13" s="33" customFormat="1" ht="24.95" customHeight="1">
      <c r="A25" s="49">
        <v>123</v>
      </c>
      <c r="B25" s="49">
        <f t="shared" si="5"/>
        <v>1230</v>
      </c>
      <c r="C25" s="49" t="s">
        <v>5</v>
      </c>
      <c r="D25" s="84">
        <f>VLOOKUP(A25,'底稿_前2年手收20%'!A:L,11,0)</f>
        <v>22773729</v>
      </c>
      <c r="E25" s="84">
        <f>VLOOKUP(A25,'底稿_前2年手收20%'!O:Z,11,0)</f>
        <v>39892477</v>
      </c>
      <c r="F25" s="61">
        <f t="shared" si="0"/>
        <v>31333103</v>
      </c>
      <c r="G25" s="84">
        <f>VLOOKUP(A25,'底稿_前2年手收20%'!A:L,12,0)</f>
        <v>18473803</v>
      </c>
      <c r="H25" s="84">
        <f>VLOOKUP(A25,'底稿_前2年手收20%'!O:Z,12,0)</f>
        <v>26572945</v>
      </c>
      <c r="I25" s="73">
        <f t="shared" si="1"/>
        <v>22523374</v>
      </c>
      <c r="J25" s="100">
        <f t="shared" si="2"/>
        <v>41247532</v>
      </c>
      <c r="K25" s="100">
        <f t="shared" si="3"/>
        <v>66465422</v>
      </c>
      <c r="L25" s="100">
        <f t="shared" si="6"/>
        <v>53856477</v>
      </c>
      <c r="M25" s="133">
        <f t="shared" si="4"/>
        <v>640528</v>
      </c>
    </row>
    <row r="26" spans="1:13" ht="24.95" customHeight="1">
      <c r="A26" s="49">
        <v>124</v>
      </c>
      <c r="B26" s="49">
        <f t="shared" si="5"/>
        <v>1240</v>
      </c>
      <c r="C26" s="49" t="s">
        <v>143</v>
      </c>
      <c r="D26" s="84">
        <f>VLOOKUP(A26,'底稿_前2年手收20%'!A:L,11,0)</f>
        <v>16855593</v>
      </c>
      <c r="E26" s="84">
        <f>VLOOKUP(A26,'底稿_前2年手收20%'!O:Z,11,0)</f>
        <v>22182821</v>
      </c>
      <c r="F26" s="61">
        <f t="shared" si="0"/>
        <v>19519207</v>
      </c>
      <c r="G26" s="84">
        <f>VLOOKUP(A26,'底稿_前2年手收20%'!A:L,12,0)</f>
        <v>5499380</v>
      </c>
      <c r="H26" s="84">
        <f>VLOOKUP(A26,'底稿_前2年手收20%'!O:Z,12,0)</f>
        <v>11910007</v>
      </c>
      <c r="I26" s="73">
        <f t="shared" si="1"/>
        <v>8704694</v>
      </c>
      <c r="J26" s="100">
        <f t="shared" si="2"/>
        <v>22354973</v>
      </c>
      <c r="K26" s="100">
        <f t="shared" si="3"/>
        <v>34092828</v>
      </c>
      <c r="L26" s="100">
        <f t="shared" si="6"/>
        <v>28223901</v>
      </c>
      <c r="M26" s="133">
        <f t="shared" si="4"/>
        <v>335674</v>
      </c>
    </row>
    <row r="27" spans="1:13" s="33" customFormat="1" ht="24.95" customHeight="1">
      <c r="A27" s="49">
        <v>125</v>
      </c>
      <c r="B27" s="49">
        <f t="shared" si="5"/>
        <v>1250</v>
      </c>
      <c r="C27" s="49" t="s">
        <v>144</v>
      </c>
      <c r="D27" s="84">
        <f>VLOOKUP(A27,'底稿_前2年手收20%'!A:L,11,0)</f>
        <v>28765995</v>
      </c>
      <c r="E27" s="84">
        <f>VLOOKUP(A27,'底稿_前2年手收20%'!O:Z,11,0)</f>
        <v>22620312</v>
      </c>
      <c r="F27" s="61">
        <f t="shared" si="0"/>
        <v>25693154</v>
      </c>
      <c r="G27" s="84">
        <f>VLOOKUP(A27,'底稿_前2年手收20%'!A:L,12,0)</f>
        <v>11323918</v>
      </c>
      <c r="H27" s="84">
        <f>VLOOKUP(A27,'底稿_前2年手收20%'!O:Z,12,0)</f>
        <v>23851709</v>
      </c>
      <c r="I27" s="73">
        <f t="shared" si="1"/>
        <v>17587814</v>
      </c>
      <c r="J27" s="100">
        <f t="shared" si="2"/>
        <v>40089913</v>
      </c>
      <c r="K27" s="100">
        <f t="shared" si="3"/>
        <v>46472021</v>
      </c>
      <c r="L27" s="100">
        <f t="shared" si="6"/>
        <v>43280967</v>
      </c>
      <c r="M27" s="133">
        <f t="shared" si="4"/>
        <v>514751</v>
      </c>
    </row>
    <row r="28" spans="1:13" ht="24.95" customHeight="1">
      <c r="A28" s="49">
        <v>126</v>
      </c>
      <c r="B28" s="49">
        <f t="shared" si="5"/>
        <v>1260</v>
      </c>
      <c r="C28" s="49" t="s">
        <v>145</v>
      </c>
      <c r="D28" s="84">
        <f>VLOOKUP(A28,'底稿_前2年手收20%'!A:L,11,0)</f>
        <v>41269012</v>
      </c>
      <c r="E28" s="84">
        <f>VLOOKUP(A28,'底稿_前2年手收20%'!O:Z,11,0)</f>
        <v>62954282</v>
      </c>
      <c r="F28" s="61">
        <f t="shared" si="0"/>
        <v>52111647</v>
      </c>
      <c r="G28" s="84">
        <f>VLOOKUP(A28,'底稿_前2年手收20%'!A:L,12,0)</f>
        <v>4630988</v>
      </c>
      <c r="H28" s="84">
        <f>VLOOKUP(A28,'底稿_前2年手收20%'!O:Z,12,0)</f>
        <v>17305718</v>
      </c>
      <c r="I28" s="73">
        <f t="shared" si="1"/>
        <v>10968353</v>
      </c>
      <c r="J28" s="100">
        <f t="shared" si="2"/>
        <v>45900000</v>
      </c>
      <c r="K28" s="100">
        <f t="shared" si="3"/>
        <v>80260000</v>
      </c>
      <c r="L28" s="100">
        <f t="shared" si="6"/>
        <v>63080000</v>
      </c>
      <c r="M28" s="133">
        <f t="shared" si="4"/>
        <v>750226</v>
      </c>
    </row>
    <row r="29" spans="1:13" s="33" customFormat="1" ht="24.95" customHeight="1">
      <c r="A29" s="49">
        <v>127</v>
      </c>
      <c r="B29" s="49">
        <f t="shared" si="5"/>
        <v>1270</v>
      </c>
      <c r="C29" s="49" t="s">
        <v>146</v>
      </c>
      <c r="D29" s="84">
        <f>VLOOKUP(A29,'底稿_前2年手收20%'!A:L,11,0)</f>
        <v>21793638</v>
      </c>
      <c r="E29" s="84">
        <f>VLOOKUP(A29,'底稿_前2年手收20%'!O:Z,11,0)</f>
        <v>25319764</v>
      </c>
      <c r="F29" s="61">
        <f t="shared" si="0"/>
        <v>23556701</v>
      </c>
      <c r="G29" s="84">
        <f>VLOOKUP(A29,'底稿_前2年手收20%'!A:L,12,0)</f>
        <v>14106362</v>
      </c>
      <c r="H29" s="84">
        <f>VLOOKUP(A29,'底稿_前2年手收20%'!O:Z,12,0)</f>
        <v>32039459</v>
      </c>
      <c r="I29" s="73">
        <f t="shared" si="1"/>
        <v>23072911</v>
      </c>
      <c r="J29" s="100">
        <f t="shared" si="2"/>
        <v>35900000</v>
      </c>
      <c r="K29" s="100">
        <f t="shared" si="3"/>
        <v>57359223</v>
      </c>
      <c r="L29" s="100">
        <f t="shared" si="6"/>
        <v>46629612</v>
      </c>
      <c r="M29" s="133">
        <f t="shared" si="4"/>
        <v>554578</v>
      </c>
    </row>
    <row r="30" spans="1:13" ht="24.95" customHeight="1">
      <c r="A30" s="49">
        <v>128</v>
      </c>
      <c r="B30" s="49">
        <f t="shared" si="5"/>
        <v>1280</v>
      </c>
      <c r="C30" s="49" t="s">
        <v>78</v>
      </c>
      <c r="D30" s="84">
        <f>VLOOKUP(A30,'底稿_前2年手收20%'!A:L,11,0)</f>
        <v>10528292</v>
      </c>
      <c r="E30" s="84">
        <f>VLOOKUP(A30,'底稿_前2年手收20%'!O:Z,11,0)</f>
        <v>23985804</v>
      </c>
      <c r="F30" s="61">
        <f t="shared" si="0"/>
        <v>17257048</v>
      </c>
      <c r="G30" s="84">
        <f>VLOOKUP(A30,'底稿_前2年手收20%'!A:L,12,0)</f>
        <v>15150376</v>
      </c>
      <c r="H30" s="84">
        <f>VLOOKUP(A30,'底稿_前2年手收20%'!O:Z,12,0)</f>
        <v>16544196</v>
      </c>
      <c r="I30" s="73">
        <f t="shared" si="1"/>
        <v>15847286</v>
      </c>
      <c r="J30" s="100">
        <f t="shared" si="2"/>
        <v>25678668</v>
      </c>
      <c r="K30" s="100">
        <f t="shared" si="3"/>
        <v>40530000</v>
      </c>
      <c r="L30" s="100">
        <f t="shared" si="6"/>
        <v>33104334</v>
      </c>
      <c r="M30" s="133">
        <f t="shared" si="4"/>
        <v>393718</v>
      </c>
    </row>
    <row r="31" spans="1:13" s="33" customFormat="1" ht="24.95" customHeight="1">
      <c r="A31" s="49">
        <v>129</v>
      </c>
      <c r="B31" s="49">
        <f t="shared" si="5"/>
        <v>1290</v>
      </c>
      <c r="C31" s="49" t="s">
        <v>79</v>
      </c>
      <c r="D31" s="84">
        <f>VLOOKUP(A31,'底稿_前2年手收20%'!A:L,11,0)</f>
        <v>20099356</v>
      </c>
      <c r="E31" s="84">
        <f>VLOOKUP(A31,'底稿_前2年手收20%'!O:Z,11,0)</f>
        <v>22973234</v>
      </c>
      <c r="F31" s="61">
        <f t="shared" si="0"/>
        <v>21536295</v>
      </c>
      <c r="G31" s="84">
        <f>VLOOKUP(A31,'底稿_前2年手收20%'!A:L,12,0)</f>
        <v>12030644</v>
      </c>
      <c r="H31" s="84">
        <f>VLOOKUP(A31,'底稿_前2年手收20%'!O:Z,12,0)</f>
        <v>26898596</v>
      </c>
      <c r="I31" s="73">
        <f t="shared" si="1"/>
        <v>19464620</v>
      </c>
      <c r="J31" s="100">
        <f t="shared" si="2"/>
        <v>32130000</v>
      </c>
      <c r="K31" s="100">
        <f t="shared" si="3"/>
        <v>49871830</v>
      </c>
      <c r="L31" s="100">
        <f t="shared" si="6"/>
        <v>41000915</v>
      </c>
      <c r="M31" s="133">
        <f t="shared" si="4"/>
        <v>487634</v>
      </c>
    </row>
    <row r="32" spans="1:13" ht="24.95" customHeight="1">
      <c r="A32" s="49">
        <v>130</v>
      </c>
      <c r="B32" s="49">
        <f t="shared" si="5"/>
        <v>1300</v>
      </c>
      <c r="C32" s="49" t="s">
        <v>147</v>
      </c>
      <c r="D32" s="84">
        <f>VLOOKUP(A32,'底稿_前2年手收20%'!A:L,11,0)</f>
        <v>9067336</v>
      </c>
      <c r="E32" s="84">
        <f>VLOOKUP(A32,'底稿_前2年手收20%'!O:Z,11,0)</f>
        <v>12932022</v>
      </c>
      <c r="F32" s="61">
        <f t="shared" si="0"/>
        <v>10999679</v>
      </c>
      <c r="G32" s="84">
        <f>VLOOKUP(A32,'底稿_前2年手收20%'!A:L,12,0)</f>
        <v>5526135</v>
      </c>
      <c r="H32" s="84">
        <f>VLOOKUP(A32,'底稿_前2年手收20%'!O:Z,12,0)</f>
        <v>19795862</v>
      </c>
      <c r="I32" s="73">
        <f t="shared" si="1"/>
        <v>12660999</v>
      </c>
      <c r="J32" s="100">
        <f t="shared" si="2"/>
        <v>14593471</v>
      </c>
      <c r="K32" s="100">
        <f t="shared" si="3"/>
        <v>32727884</v>
      </c>
      <c r="L32" s="100">
        <f t="shared" si="6"/>
        <v>23660678</v>
      </c>
      <c r="M32" s="133">
        <f t="shared" si="4"/>
        <v>281402</v>
      </c>
    </row>
    <row r="33" spans="1:13" s="33" customFormat="1" ht="24.95" customHeight="1">
      <c r="A33" s="49">
        <v>132</v>
      </c>
      <c r="B33" s="49">
        <f t="shared" si="5"/>
        <v>1320</v>
      </c>
      <c r="C33" s="49" t="s">
        <v>6</v>
      </c>
      <c r="D33" s="84">
        <f>VLOOKUP(A33,'底稿_前2年手收20%'!A:L,11,0)</f>
        <v>8929672</v>
      </c>
      <c r="E33" s="84">
        <f>VLOOKUP(A33,'底稿_前2年手收20%'!O:Z,11,0)</f>
        <v>10844801</v>
      </c>
      <c r="F33" s="61">
        <f t="shared" si="0"/>
        <v>9887237</v>
      </c>
      <c r="G33" s="84">
        <f>VLOOKUP(A33,'底稿_前2年手收20%'!A:L,12,0)</f>
        <v>5800328</v>
      </c>
      <c r="H33" s="84">
        <f>VLOOKUP(A33,'底稿_前2年手收20%'!O:Z,12,0)</f>
        <v>9939466</v>
      </c>
      <c r="I33" s="73">
        <f t="shared" si="1"/>
        <v>7869897</v>
      </c>
      <c r="J33" s="100">
        <f t="shared" si="2"/>
        <v>14730000</v>
      </c>
      <c r="K33" s="100">
        <f t="shared" si="3"/>
        <v>20784267</v>
      </c>
      <c r="L33" s="100">
        <f t="shared" si="6"/>
        <v>17757134</v>
      </c>
      <c r="M33" s="133">
        <f t="shared" si="4"/>
        <v>211190</v>
      </c>
    </row>
    <row r="34" spans="1:13" ht="24.95" customHeight="1">
      <c r="A34" s="49">
        <v>133</v>
      </c>
      <c r="B34" s="49">
        <f t="shared" si="5"/>
        <v>1330</v>
      </c>
      <c r="C34" s="49" t="s">
        <v>148</v>
      </c>
      <c r="D34" s="84">
        <f>VLOOKUP(A34,'底稿_前2年手收20%'!A:L,11,0)</f>
        <v>16512305</v>
      </c>
      <c r="E34" s="84">
        <f>VLOOKUP(A34,'底稿_前2年手收20%'!O:Z,11,0)</f>
        <v>14957373</v>
      </c>
      <c r="F34" s="61">
        <f t="shared" si="0"/>
        <v>15734839</v>
      </c>
      <c r="G34" s="84">
        <f>VLOOKUP(A34,'底稿_前2年手收20%'!A:L,12,0)</f>
        <v>6747695</v>
      </c>
      <c r="H34" s="84">
        <f>VLOOKUP(A34,'底稿_前2年手收20%'!O:Z,12,0)</f>
        <v>9258069</v>
      </c>
      <c r="I34" s="73">
        <f t="shared" si="1"/>
        <v>8002882</v>
      </c>
      <c r="J34" s="100">
        <f t="shared" si="2"/>
        <v>23260000</v>
      </c>
      <c r="K34" s="100">
        <f t="shared" si="3"/>
        <v>24215442</v>
      </c>
      <c r="L34" s="100">
        <f t="shared" si="6"/>
        <v>23737721</v>
      </c>
      <c r="M34" s="133">
        <f t="shared" si="4"/>
        <v>282319</v>
      </c>
    </row>
    <row r="35" spans="1:13" s="33" customFormat="1" ht="24.95" customHeight="1">
      <c r="A35" s="49">
        <v>134</v>
      </c>
      <c r="B35" s="49">
        <f t="shared" si="5"/>
        <v>1340</v>
      </c>
      <c r="C35" s="49" t="s">
        <v>149</v>
      </c>
      <c r="D35" s="84">
        <f>VLOOKUP(A35,'底稿_前2年手收20%'!A:L,11,0)</f>
        <v>8481003</v>
      </c>
      <c r="E35" s="84">
        <f>VLOOKUP(A35,'底稿_前2年手收20%'!O:Z,11,0)</f>
        <v>11632695</v>
      </c>
      <c r="F35" s="61">
        <f t="shared" ref="F35:F66" si="7">ROUND(AVERAGE(D35:E35), 0)</f>
        <v>10056849</v>
      </c>
      <c r="G35" s="84">
        <f>VLOOKUP(A35,'底稿_前2年手收20%'!A:L,12,0)</f>
        <v>26139430</v>
      </c>
      <c r="H35" s="84">
        <f>VLOOKUP(A35,'底稿_前2年手收20%'!O:Z,12,0)</f>
        <v>30356847</v>
      </c>
      <c r="I35" s="73">
        <f t="shared" ref="I35:I66" si="8">ROUND(AVERAGE(G35:H35), 0)</f>
        <v>28248139</v>
      </c>
      <c r="J35" s="100">
        <f t="shared" ref="J35:J66" si="9">D35+G35</f>
        <v>34620433</v>
      </c>
      <c r="K35" s="100">
        <f t="shared" ref="K35:K66" si="10">E35+H35</f>
        <v>41989542</v>
      </c>
      <c r="L35" s="100">
        <f t="shared" si="6"/>
        <v>38304988</v>
      </c>
      <c r="M35" s="133">
        <f t="shared" ref="M35:M66" si="11">ROUND(L35*(M$1/L$186), 0)</f>
        <v>455571</v>
      </c>
    </row>
    <row r="36" spans="1:13" s="33" customFormat="1" ht="24.95" customHeight="1">
      <c r="A36" s="49">
        <v>136</v>
      </c>
      <c r="B36" s="49">
        <f t="shared" si="5"/>
        <v>1360</v>
      </c>
      <c r="C36" s="49" t="s">
        <v>150</v>
      </c>
      <c r="D36" s="84">
        <f>VLOOKUP(A36,'底稿_前2年手收20%'!A:L,11,0)</f>
        <v>5710292</v>
      </c>
      <c r="E36" s="84">
        <f>VLOOKUP(A36,'底稿_前2年手收20%'!O:Z,11,0)</f>
        <v>7652060</v>
      </c>
      <c r="F36" s="61">
        <f t="shared" si="7"/>
        <v>6681176</v>
      </c>
      <c r="G36" s="84">
        <f>VLOOKUP(A36,'底稿_前2年手收20%'!A:L,12,0)</f>
        <v>8619708</v>
      </c>
      <c r="H36" s="84">
        <f>VLOOKUP(A36,'底稿_前2年手收20%'!O:Z,12,0)</f>
        <v>17297940</v>
      </c>
      <c r="I36" s="73">
        <f t="shared" si="8"/>
        <v>12958824</v>
      </c>
      <c r="J36" s="100">
        <f t="shared" si="9"/>
        <v>14330000</v>
      </c>
      <c r="K36" s="100">
        <f t="shared" si="10"/>
        <v>24950000</v>
      </c>
      <c r="L36" s="100">
        <f t="shared" si="6"/>
        <v>19640000</v>
      </c>
      <c r="M36" s="133">
        <f t="shared" si="11"/>
        <v>233583</v>
      </c>
    </row>
    <row r="37" spans="1:13" ht="24.95" customHeight="1">
      <c r="A37" s="49">
        <v>137</v>
      </c>
      <c r="B37" s="49">
        <f t="shared" si="5"/>
        <v>1370</v>
      </c>
      <c r="C37" s="49" t="s">
        <v>151</v>
      </c>
      <c r="D37" s="84">
        <f>VLOOKUP(A37,'底稿_前2年手收20%'!A:L,11,0)</f>
        <v>13308375</v>
      </c>
      <c r="E37" s="84">
        <f>VLOOKUP(A37,'底稿_前2年手收20%'!O:Z,11,0)</f>
        <v>11034563</v>
      </c>
      <c r="F37" s="61">
        <f t="shared" si="7"/>
        <v>12171469</v>
      </c>
      <c r="G37" s="84">
        <f>VLOOKUP(A37,'底稿_前2年手收20%'!A:L,12,0)</f>
        <v>8761399</v>
      </c>
      <c r="H37" s="84">
        <f>VLOOKUP(A37,'底稿_前2年手收20%'!O:Z,12,0)</f>
        <v>26635437</v>
      </c>
      <c r="I37" s="73">
        <f t="shared" si="8"/>
        <v>17698418</v>
      </c>
      <c r="J37" s="100">
        <f t="shared" si="9"/>
        <v>22069774</v>
      </c>
      <c r="K37" s="100">
        <f t="shared" si="10"/>
        <v>37670000</v>
      </c>
      <c r="L37" s="100">
        <f t="shared" si="6"/>
        <v>29869887</v>
      </c>
      <c r="M37" s="133">
        <f t="shared" si="11"/>
        <v>355250</v>
      </c>
    </row>
    <row r="38" spans="1:13" s="233" customFormat="1" ht="24.95" customHeight="1">
      <c r="A38" s="228">
        <v>143</v>
      </c>
      <c r="B38" s="228">
        <f t="shared" si="5"/>
        <v>1430</v>
      </c>
      <c r="C38" s="228" t="s">
        <v>80</v>
      </c>
      <c r="D38" s="229">
        <f>VLOOKUP(A38,'底稿_前2年手收20%'!A:L,11,0)</f>
        <v>10600211</v>
      </c>
      <c r="E38" s="229">
        <f>VLOOKUP(A38,'底稿_前2年手收20%'!O:Z,11,0)</f>
        <v>11366424</v>
      </c>
      <c r="F38" s="230">
        <f t="shared" si="7"/>
        <v>10983318</v>
      </c>
      <c r="G38" s="229">
        <f>VLOOKUP(A38,'底稿_前2年手收20%'!A:L,12,0)</f>
        <v>9899789</v>
      </c>
      <c r="H38" s="229">
        <f>VLOOKUP(A38,'底稿_前2年手收20%'!O:Z,12,0)</f>
        <v>24453576</v>
      </c>
      <c r="I38" s="231">
        <f t="shared" si="8"/>
        <v>17176683</v>
      </c>
      <c r="J38" s="232">
        <f t="shared" si="9"/>
        <v>20500000</v>
      </c>
      <c r="K38" s="232">
        <f t="shared" si="10"/>
        <v>35820000</v>
      </c>
      <c r="L38" s="100">
        <f t="shared" si="6"/>
        <v>28160000</v>
      </c>
      <c r="M38" s="133">
        <f t="shared" si="11"/>
        <v>334914</v>
      </c>
    </row>
    <row r="39" spans="1:13" ht="24.95" customHeight="1">
      <c r="A39" s="49">
        <v>145</v>
      </c>
      <c r="B39" s="49">
        <f t="shared" si="5"/>
        <v>1450</v>
      </c>
      <c r="C39" s="49" t="s">
        <v>81</v>
      </c>
      <c r="D39" s="84">
        <f>VLOOKUP(A39,'底稿_前2年手收20%'!A:L,11,0)</f>
        <v>8729245</v>
      </c>
      <c r="E39" s="84">
        <f>VLOOKUP(A39,'底稿_前2年手收20%'!O:Z,11,0)</f>
        <v>11223739</v>
      </c>
      <c r="F39" s="61">
        <f t="shared" si="7"/>
        <v>9976492</v>
      </c>
      <c r="G39" s="84">
        <f>VLOOKUP(A39,'底稿_前2年手收20%'!A:L,12,0)</f>
        <v>3922522</v>
      </c>
      <c r="H39" s="84">
        <f>VLOOKUP(A39,'底稿_前2年手收20%'!O:Z,12,0)</f>
        <v>9981151</v>
      </c>
      <c r="I39" s="73">
        <f t="shared" si="8"/>
        <v>6951837</v>
      </c>
      <c r="J39" s="100">
        <f t="shared" si="9"/>
        <v>12651767</v>
      </c>
      <c r="K39" s="100">
        <f t="shared" si="10"/>
        <v>21204890</v>
      </c>
      <c r="L39" s="100">
        <f t="shared" si="6"/>
        <v>16928329</v>
      </c>
      <c r="M39" s="133">
        <f t="shared" si="11"/>
        <v>201333</v>
      </c>
    </row>
    <row r="40" spans="1:13" s="33" customFormat="1" ht="24.95" customHeight="1">
      <c r="A40" s="49">
        <v>147</v>
      </c>
      <c r="B40" s="49">
        <f t="shared" si="5"/>
        <v>1470</v>
      </c>
      <c r="C40" s="49" t="s">
        <v>152</v>
      </c>
      <c r="D40" s="84">
        <f>VLOOKUP(A40,'底稿_前2年手收20%'!A:L,11,0)</f>
        <v>20117664</v>
      </c>
      <c r="E40" s="84">
        <f>VLOOKUP(A40,'底稿_前2年手收20%'!O:Z,11,0)</f>
        <v>23437465</v>
      </c>
      <c r="F40" s="61">
        <f t="shared" si="7"/>
        <v>21777565</v>
      </c>
      <c r="G40" s="84">
        <f>VLOOKUP(A40,'底稿_前2年手收20%'!A:L,12,0)</f>
        <v>14870839</v>
      </c>
      <c r="H40" s="84">
        <f>VLOOKUP(A40,'底稿_前2年手收20%'!O:Z,12,0)</f>
        <v>22015085</v>
      </c>
      <c r="I40" s="73">
        <f t="shared" si="8"/>
        <v>18442962</v>
      </c>
      <c r="J40" s="100">
        <f t="shared" si="9"/>
        <v>34988503</v>
      </c>
      <c r="K40" s="100">
        <f t="shared" si="10"/>
        <v>45452550</v>
      </c>
      <c r="L40" s="100">
        <f t="shared" si="6"/>
        <v>40220527</v>
      </c>
      <c r="M40" s="133">
        <f t="shared" si="11"/>
        <v>478353</v>
      </c>
    </row>
    <row r="41" spans="1:13" s="92" customFormat="1" ht="24.95" customHeight="1">
      <c r="A41" s="49">
        <v>148</v>
      </c>
      <c r="B41" s="49">
        <f t="shared" si="5"/>
        <v>1480</v>
      </c>
      <c r="C41" s="49" t="s">
        <v>82</v>
      </c>
      <c r="D41" s="84">
        <f>VLOOKUP(A41,'底稿_前2年手收20%'!A:L,11,0)</f>
        <v>14501199</v>
      </c>
      <c r="E41" s="84">
        <f>VLOOKUP(A41,'底稿_前2年手收20%'!O:Z,11,0)</f>
        <v>16725168</v>
      </c>
      <c r="F41" s="61">
        <f t="shared" si="7"/>
        <v>15613184</v>
      </c>
      <c r="G41" s="84">
        <f>VLOOKUP(A41,'底稿_前2年手收20%'!A:L,12,0)</f>
        <v>7538265</v>
      </c>
      <c r="H41" s="84">
        <f>VLOOKUP(A41,'底稿_前2年手收20%'!O:Z,12,0)</f>
        <v>14651110</v>
      </c>
      <c r="I41" s="73">
        <f t="shared" si="8"/>
        <v>11094688</v>
      </c>
      <c r="J41" s="100">
        <f t="shared" si="9"/>
        <v>22039464</v>
      </c>
      <c r="K41" s="100">
        <f t="shared" si="10"/>
        <v>31376278</v>
      </c>
      <c r="L41" s="100">
        <f t="shared" si="6"/>
        <v>26707871</v>
      </c>
      <c r="M41" s="133">
        <f t="shared" si="11"/>
        <v>317643</v>
      </c>
    </row>
    <row r="42" spans="1:13" s="33" customFormat="1" ht="24.95" customHeight="1">
      <c r="A42" s="49">
        <v>149</v>
      </c>
      <c r="B42" s="49">
        <f t="shared" si="5"/>
        <v>1490</v>
      </c>
      <c r="C42" s="49" t="s">
        <v>153</v>
      </c>
      <c r="D42" s="84">
        <f>VLOOKUP(A42,'底稿_前2年手收20%'!A:L,11,0)</f>
        <v>21672347</v>
      </c>
      <c r="E42" s="84">
        <f>VLOOKUP(A42,'底稿_前2年手收20%'!O:Z,11,0)</f>
        <v>15724250</v>
      </c>
      <c r="F42" s="61">
        <f t="shared" si="7"/>
        <v>18698299</v>
      </c>
      <c r="G42" s="84">
        <f>VLOOKUP(A42,'底稿_前2年手收20%'!A:L,12,0)</f>
        <v>8711822</v>
      </c>
      <c r="H42" s="84">
        <f>VLOOKUP(A42,'底稿_前2年手收20%'!O:Z,12,0)</f>
        <v>22473299</v>
      </c>
      <c r="I42" s="73">
        <f t="shared" si="8"/>
        <v>15592561</v>
      </c>
      <c r="J42" s="100">
        <f t="shared" si="9"/>
        <v>30384169</v>
      </c>
      <c r="K42" s="100">
        <f t="shared" si="10"/>
        <v>38197549</v>
      </c>
      <c r="L42" s="100">
        <f t="shared" si="6"/>
        <v>34290859</v>
      </c>
      <c r="M42" s="133">
        <f t="shared" si="11"/>
        <v>407830</v>
      </c>
    </row>
    <row r="43" spans="1:13" ht="24.95" customHeight="1">
      <c r="A43" s="49">
        <v>151</v>
      </c>
      <c r="B43" s="49">
        <f t="shared" si="5"/>
        <v>1510</v>
      </c>
      <c r="C43" s="49" t="s">
        <v>154</v>
      </c>
      <c r="D43" s="84">
        <f>VLOOKUP(A43,'底稿_前2年手收20%'!A:L,11,0)</f>
        <v>19957810</v>
      </c>
      <c r="E43" s="84">
        <f>VLOOKUP(A43,'底稿_前2年手收20%'!O:Z,11,0)</f>
        <v>20341384</v>
      </c>
      <c r="F43" s="61">
        <f t="shared" si="7"/>
        <v>20149597</v>
      </c>
      <c r="G43" s="84">
        <f>VLOOKUP(A43,'底稿_前2年手收20%'!A:L,12,0)</f>
        <v>15115554</v>
      </c>
      <c r="H43" s="84">
        <f>VLOOKUP(A43,'底稿_前2年手收20%'!O:Z,12,0)</f>
        <v>44448616</v>
      </c>
      <c r="I43" s="73">
        <f t="shared" si="8"/>
        <v>29782085</v>
      </c>
      <c r="J43" s="100">
        <f t="shared" si="9"/>
        <v>35073364</v>
      </c>
      <c r="K43" s="100">
        <f t="shared" si="10"/>
        <v>64790000</v>
      </c>
      <c r="L43" s="100">
        <f t="shared" si="6"/>
        <v>49931682</v>
      </c>
      <c r="M43" s="133">
        <f t="shared" si="11"/>
        <v>593850</v>
      </c>
    </row>
    <row r="44" spans="1:13" s="33" customFormat="1" ht="24.95" customHeight="1">
      <c r="A44" s="49">
        <v>152</v>
      </c>
      <c r="B44" s="49">
        <f t="shared" si="5"/>
        <v>1520</v>
      </c>
      <c r="C44" s="49" t="s">
        <v>155</v>
      </c>
      <c r="D44" s="84">
        <f>VLOOKUP(A44,'底稿_前2年手收20%'!A:L,11,0)</f>
        <v>27285047</v>
      </c>
      <c r="E44" s="84">
        <f>VLOOKUP(A44,'底稿_前2年手收20%'!O:Z,11,0)</f>
        <v>22946413</v>
      </c>
      <c r="F44" s="61">
        <f t="shared" si="7"/>
        <v>25115730</v>
      </c>
      <c r="G44" s="84">
        <f>VLOOKUP(A44,'底稿_前2年手收20%'!A:L,12,0)</f>
        <v>12529477</v>
      </c>
      <c r="H44" s="84">
        <f>VLOOKUP(A44,'底稿_前2年手收20%'!O:Z,12,0)</f>
        <v>29987925</v>
      </c>
      <c r="I44" s="73">
        <f t="shared" si="8"/>
        <v>21258701</v>
      </c>
      <c r="J44" s="100">
        <f t="shared" si="9"/>
        <v>39814524</v>
      </c>
      <c r="K44" s="100">
        <f t="shared" si="10"/>
        <v>52934338</v>
      </c>
      <c r="L44" s="100">
        <f t="shared" si="6"/>
        <v>46374431</v>
      </c>
      <c r="M44" s="133">
        <f t="shared" si="11"/>
        <v>551543</v>
      </c>
    </row>
    <row r="45" spans="1:13" ht="24.95" customHeight="1">
      <c r="A45" s="49">
        <v>153</v>
      </c>
      <c r="B45" s="49">
        <f t="shared" si="5"/>
        <v>1530</v>
      </c>
      <c r="C45" s="49" t="s">
        <v>156</v>
      </c>
      <c r="D45" s="84">
        <f>VLOOKUP(A45,'底稿_前2年手收20%'!A:L,11,0)</f>
        <v>14821055</v>
      </c>
      <c r="E45" s="84">
        <f>VLOOKUP(A45,'底稿_前2年手收20%'!O:Z,11,0)</f>
        <v>18126968</v>
      </c>
      <c r="F45" s="61">
        <f t="shared" si="7"/>
        <v>16474012</v>
      </c>
      <c r="G45" s="84">
        <f>VLOOKUP(A45,'底稿_前2年手收20%'!A:L,12,0)</f>
        <v>22858945</v>
      </c>
      <c r="H45" s="84">
        <f>VLOOKUP(A45,'底稿_前2年手收20%'!O:Z,12,0)</f>
        <v>39959515</v>
      </c>
      <c r="I45" s="73">
        <f t="shared" si="8"/>
        <v>31409230</v>
      </c>
      <c r="J45" s="100">
        <f t="shared" si="9"/>
        <v>37680000</v>
      </c>
      <c r="K45" s="100">
        <f t="shared" si="10"/>
        <v>58086483</v>
      </c>
      <c r="L45" s="100">
        <f t="shared" si="6"/>
        <v>47883242</v>
      </c>
      <c r="M45" s="133">
        <f t="shared" si="11"/>
        <v>569487</v>
      </c>
    </row>
    <row r="46" spans="1:13" s="33" customFormat="1" ht="24.95" customHeight="1">
      <c r="A46" s="49">
        <v>154</v>
      </c>
      <c r="B46" s="49">
        <f t="shared" si="5"/>
        <v>1540</v>
      </c>
      <c r="C46" s="49" t="s">
        <v>8</v>
      </c>
      <c r="D46" s="84">
        <f>VLOOKUP(A46,'底稿_前2年手收20%'!A:L,11,0)</f>
        <v>12175273</v>
      </c>
      <c r="E46" s="84">
        <f>VLOOKUP(A46,'底稿_前2年手收20%'!O:Z,11,0)</f>
        <v>12459892</v>
      </c>
      <c r="F46" s="61">
        <f t="shared" si="7"/>
        <v>12317583</v>
      </c>
      <c r="G46" s="84">
        <f>VLOOKUP(A46,'底稿_前2年手收20%'!A:L,12,0)</f>
        <v>4674727</v>
      </c>
      <c r="H46" s="84">
        <f>VLOOKUP(A46,'底稿_前2年手收20%'!O:Z,12,0)</f>
        <v>11937632</v>
      </c>
      <c r="I46" s="73">
        <f t="shared" si="8"/>
        <v>8306180</v>
      </c>
      <c r="J46" s="100">
        <f t="shared" si="9"/>
        <v>16850000</v>
      </c>
      <c r="K46" s="100">
        <f t="shared" si="10"/>
        <v>24397524</v>
      </c>
      <c r="L46" s="100">
        <f t="shared" si="6"/>
        <v>20623762</v>
      </c>
      <c r="M46" s="133">
        <f t="shared" si="11"/>
        <v>245284</v>
      </c>
    </row>
    <row r="47" spans="1:13" ht="24.95" customHeight="1">
      <c r="A47" s="49">
        <v>156</v>
      </c>
      <c r="B47" s="49">
        <f t="shared" si="5"/>
        <v>1560</v>
      </c>
      <c r="C47" s="49" t="s">
        <v>157</v>
      </c>
      <c r="D47" s="84">
        <f>VLOOKUP(A47,'底稿_前2年手收20%'!A:L,11,0)</f>
        <v>16786708</v>
      </c>
      <c r="E47" s="84">
        <f>VLOOKUP(A47,'底稿_前2年手收20%'!O:Z,11,0)</f>
        <v>24889810</v>
      </c>
      <c r="F47" s="61">
        <f t="shared" si="7"/>
        <v>20838259</v>
      </c>
      <c r="G47" s="84">
        <f>VLOOKUP(A47,'底稿_前2年手收20%'!A:L,12,0)</f>
        <v>7327731</v>
      </c>
      <c r="H47" s="84">
        <f>VLOOKUP(A47,'底稿_前2年手收20%'!O:Z,12,0)</f>
        <v>11479371</v>
      </c>
      <c r="I47" s="73">
        <f t="shared" si="8"/>
        <v>9403551</v>
      </c>
      <c r="J47" s="100">
        <f t="shared" si="9"/>
        <v>24114439</v>
      </c>
      <c r="K47" s="100">
        <f t="shared" si="10"/>
        <v>36369181</v>
      </c>
      <c r="L47" s="100">
        <f t="shared" si="6"/>
        <v>30241810</v>
      </c>
      <c r="M47" s="133">
        <f t="shared" si="11"/>
        <v>359673</v>
      </c>
    </row>
    <row r="48" spans="1:13" s="33" customFormat="1" ht="24.95" customHeight="1">
      <c r="A48" s="49">
        <v>157</v>
      </c>
      <c r="B48" s="49">
        <f t="shared" si="5"/>
        <v>1570</v>
      </c>
      <c r="C48" s="49" t="s">
        <v>158</v>
      </c>
      <c r="D48" s="84">
        <f>VLOOKUP(A48,'底稿_前2年手收20%'!A:L,11,0)</f>
        <v>14248698</v>
      </c>
      <c r="E48" s="84">
        <f>VLOOKUP(A48,'底稿_前2年手收20%'!O:Z,11,0)</f>
        <v>15132741</v>
      </c>
      <c r="F48" s="61">
        <f t="shared" si="7"/>
        <v>14690720</v>
      </c>
      <c r="G48" s="84">
        <f>VLOOKUP(A48,'底稿_前2年手收20%'!A:L,12,0)</f>
        <v>4416306</v>
      </c>
      <c r="H48" s="84">
        <f>VLOOKUP(A48,'底稿_前2年手收20%'!O:Z,12,0)</f>
        <v>11554038</v>
      </c>
      <c r="I48" s="73">
        <f t="shared" si="8"/>
        <v>7985172</v>
      </c>
      <c r="J48" s="100">
        <f t="shared" si="9"/>
        <v>18665004</v>
      </c>
      <c r="K48" s="100">
        <f t="shared" si="10"/>
        <v>26686779</v>
      </c>
      <c r="L48" s="100">
        <f t="shared" si="6"/>
        <v>22675892</v>
      </c>
      <c r="M48" s="133">
        <f t="shared" si="11"/>
        <v>269690</v>
      </c>
    </row>
    <row r="49" spans="1:13" ht="24.95" customHeight="1">
      <c r="A49" s="49">
        <v>158</v>
      </c>
      <c r="B49" s="49">
        <f t="shared" si="5"/>
        <v>1580</v>
      </c>
      <c r="C49" s="49" t="s">
        <v>159</v>
      </c>
      <c r="D49" s="84">
        <f>VLOOKUP(A49,'底稿_前2年手收20%'!A:L,11,0)</f>
        <v>17814308</v>
      </c>
      <c r="E49" s="84">
        <f>VLOOKUP(A49,'底稿_前2年手收20%'!O:Z,11,0)</f>
        <v>24652182</v>
      </c>
      <c r="F49" s="61">
        <f t="shared" si="7"/>
        <v>21233245</v>
      </c>
      <c r="G49" s="84">
        <f>VLOOKUP(A49,'底稿_前2年手收20%'!A:L,12,0)</f>
        <v>18075692</v>
      </c>
      <c r="H49" s="84">
        <f>VLOOKUP(A49,'底稿_前2年手收20%'!O:Z,12,0)</f>
        <v>33282435</v>
      </c>
      <c r="I49" s="73">
        <f t="shared" si="8"/>
        <v>25679064</v>
      </c>
      <c r="J49" s="100">
        <f t="shared" si="9"/>
        <v>35890000</v>
      </c>
      <c r="K49" s="100">
        <f t="shared" si="10"/>
        <v>57934617</v>
      </c>
      <c r="L49" s="100">
        <f t="shared" si="6"/>
        <v>46912309</v>
      </c>
      <c r="M49" s="133">
        <f t="shared" si="11"/>
        <v>557940</v>
      </c>
    </row>
    <row r="50" spans="1:13" s="33" customFormat="1" ht="24.95" customHeight="1">
      <c r="A50" s="49">
        <v>159</v>
      </c>
      <c r="B50" s="49">
        <f t="shared" si="5"/>
        <v>1590</v>
      </c>
      <c r="C50" s="49" t="s">
        <v>83</v>
      </c>
      <c r="D50" s="84">
        <f>VLOOKUP(A50,'底稿_前2年手收20%'!A:L,11,0)</f>
        <v>33376235</v>
      </c>
      <c r="E50" s="84">
        <f>VLOOKUP(A50,'底稿_前2年手收20%'!O:Z,11,0)</f>
        <v>42222140</v>
      </c>
      <c r="F50" s="61">
        <f t="shared" si="7"/>
        <v>37799188</v>
      </c>
      <c r="G50" s="84">
        <f>VLOOKUP(A50,'底稿_前2年手收20%'!A:L,12,0)</f>
        <v>18943765</v>
      </c>
      <c r="H50" s="84">
        <f>VLOOKUP(A50,'底稿_前2年手收20%'!O:Z,12,0)</f>
        <v>53307860</v>
      </c>
      <c r="I50" s="73">
        <f t="shared" si="8"/>
        <v>36125813</v>
      </c>
      <c r="J50" s="100">
        <f t="shared" si="9"/>
        <v>52320000</v>
      </c>
      <c r="K50" s="100">
        <f t="shared" si="10"/>
        <v>95530000</v>
      </c>
      <c r="L50" s="100">
        <f t="shared" si="6"/>
        <v>73925000</v>
      </c>
      <c r="M50" s="133">
        <f t="shared" si="11"/>
        <v>879208</v>
      </c>
    </row>
    <row r="51" spans="1:13" ht="24.95" customHeight="1">
      <c r="A51" s="49">
        <v>160</v>
      </c>
      <c r="B51" s="49">
        <f t="shared" si="5"/>
        <v>1600</v>
      </c>
      <c r="C51" s="49" t="s">
        <v>9</v>
      </c>
      <c r="D51" s="84">
        <f>VLOOKUP(A51,'底稿_前2年手收20%'!A:L,11,0)</f>
        <v>17334171</v>
      </c>
      <c r="E51" s="84">
        <f>VLOOKUP(A51,'底稿_前2年手收20%'!O:Z,11,0)</f>
        <v>16085467</v>
      </c>
      <c r="F51" s="61">
        <f t="shared" si="7"/>
        <v>16709819</v>
      </c>
      <c r="G51" s="84">
        <f>VLOOKUP(A51,'底稿_前2年手收20%'!A:L,12,0)</f>
        <v>17955829</v>
      </c>
      <c r="H51" s="84">
        <f>VLOOKUP(A51,'底稿_前2年手收20%'!O:Z,12,0)</f>
        <v>44874533</v>
      </c>
      <c r="I51" s="73">
        <f t="shared" si="8"/>
        <v>31415181</v>
      </c>
      <c r="J51" s="100">
        <f t="shared" si="9"/>
        <v>35290000</v>
      </c>
      <c r="K51" s="100">
        <f t="shared" si="10"/>
        <v>60960000</v>
      </c>
      <c r="L51" s="100">
        <f t="shared" si="6"/>
        <v>48125000</v>
      </c>
      <c r="M51" s="133">
        <f t="shared" si="11"/>
        <v>572363</v>
      </c>
    </row>
    <row r="52" spans="1:13" s="33" customFormat="1" ht="24.95" customHeight="1">
      <c r="A52" s="49">
        <v>161</v>
      </c>
      <c r="B52" s="49">
        <f t="shared" si="5"/>
        <v>1610</v>
      </c>
      <c r="C52" s="49" t="s">
        <v>160</v>
      </c>
      <c r="D52" s="84">
        <f>VLOOKUP(A52,'底稿_前2年手收20%'!A:L,11,0)</f>
        <v>13629880</v>
      </c>
      <c r="E52" s="84">
        <f>VLOOKUP(A52,'底稿_前2年手收20%'!O:Z,11,0)</f>
        <v>13469361</v>
      </c>
      <c r="F52" s="61">
        <f t="shared" si="7"/>
        <v>13549621</v>
      </c>
      <c r="G52" s="84">
        <f>VLOOKUP(A52,'底稿_前2年手收20%'!A:L,12,0)</f>
        <v>13370120</v>
      </c>
      <c r="H52" s="84">
        <f>VLOOKUP(A52,'底稿_前2年手收20%'!O:Z,12,0)</f>
        <v>27429492</v>
      </c>
      <c r="I52" s="73">
        <f t="shared" si="8"/>
        <v>20399806</v>
      </c>
      <c r="J52" s="100">
        <f t="shared" si="9"/>
        <v>27000000</v>
      </c>
      <c r="K52" s="100">
        <f t="shared" si="10"/>
        <v>40898853</v>
      </c>
      <c r="L52" s="100">
        <f t="shared" si="6"/>
        <v>33949427</v>
      </c>
      <c r="M52" s="133">
        <f t="shared" si="11"/>
        <v>403769</v>
      </c>
    </row>
    <row r="53" spans="1:13" ht="24.95" customHeight="1">
      <c r="A53" s="49">
        <v>162</v>
      </c>
      <c r="B53" s="49">
        <f t="shared" si="5"/>
        <v>1620</v>
      </c>
      <c r="C53" s="49" t="s">
        <v>10</v>
      </c>
      <c r="D53" s="84">
        <f>VLOOKUP(A53,'底稿_前2年手收20%'!A:L,11,0)</f>
        <v>21580416</v>
      </c>
      <c r="E53" s="84">
        <f>VLOOKUP(A53,'底稿_前2年手收20%'!O:Z,11,0)</f>
        <v>40895516</v>
      </c>
      <c r="F53" s="61">
        <f t="shared" si="7"/>
        <v>31237966</v>
      </c>
      <c r="G53" s="84">
        <f>VLOOKUP(A53,'底稿_前2年手收20%'!A:L,12,0)</f>
        <v>35639584</v>
      </c>
      <c r="H53" s="84">
        <f>VLOOKUP(A53,'底稿_前2年手收20%'!O:Z,12,0)</f>
        <v>54414484</v>
      </c>
      <c r="I53" s="73">
        <f t="shared" si="8"/>
        <v>45027034</v>
      </c>
      <c r="J53" s="100">
        <f t="shared" si="9"/>
        <v>57220000</v>
      </c>
      <c r="K53" s="100">
        <f t="shared" si="10"/>
        <v>95310000</v>
      </c>
      <c r="L53" s="100">
        <f t="shared" si="6"/>
        <v>76265000</v>
      </c>
      <c r="M53" s="133">
        <f t="shared" si="11"/>
        <v>907039</v>
      </c>
    </row>
    <row r="54" spans="1:13" s="33" customFormat="1" ht="24.95" customHeight="1">
      <c r="A54" s="49">
        <v>163</v>
      </c>
      <c r="B54" s="49">
        <f t="shared" si="5"/>
        <v>1630</v>
      </c>
      <c r="C54" s="49" t="s">
        <v>12</v>
      </c>
      <c r="D54" s="84">
        <f>VLOOKUP(A54,'底稿_前2年手收20%'!A:L,11,0)</f>
        <v>17232064</v>
      </c>
      <c r="E54" s="84">
        <f>VLOOKUP(A54,'底稿_前2年手收20%'!O:Z,11,0)</f>
        <v>18054658</v>
      </c>
      <c r="F54" s="61">
        <f t="shared" si="7"/>
        <v>17643361</v>
      </c>
      <c r="G54" s="84">
        <f>VLOOKUP(A54,'底稿_前2年手收20%'!A:L,12,0)</f>
        <v>6645848</v>
      </c>
      <c r="H54" s="84">
        <f>VLOOKUP(A54,'底稿_前2年手收20%'!O:Z,12,0)</f>
        <v>13845158</v>
      </c>
      <c r="I54" s="73">
        <f t="shared" si="8"/>
        <v>10245503</v>
      </c>
      <c r="J54" s="100">
        <f t="shared" si="9"/>
        <v>23877912</v>
      </c>
      <c r="K54" s="100">
        <f t="shared" si="10"/>
        <v>31899816</v>
      </c>
      <c r="L54" s="100">
        <f t="shared" si="6"/>
        <v>27888864</v>
      </c>
      <c r="M54" s="133">
        <f t="shared" si="11"/>
        <v>331689</v>
      </c>
    </row>
    <row r="55" spans="1:13" ht="24.75" customHeight="1">
      <c r="A55" s="49">
        <v>164</v>
      </c>
      <c r="B55" s="49">
        <f t="shared" si="5"/>
        <v>1640</v>
      </c>
      <c r="C55" s="49" t="s">
        <v>161</v>
      </c>
      <c r="D55" s="84">
        <f>VLOOKUP(A55,'底稿_前2年手收20%'!A:L,11,0)</f>
        <v>26159473</v>
      </c>
      <c r="E55" s="84">
        <f>VLOOKUP(A55,'底稿_前2年手收20%'!O:Z,11,0)</f>
        <v>14523535</v>
      </c>
      <c r="F55" s="61">
        <f t="shared" si="7"/>
        <v>20341504</v>
      </c>
      <c r="G55" s="84">
        <f>VLOOKUP(A55,'底稿_前2年手收20%'!A:L,12,0)</f>
        <v>10848804</v>
      </c>
      <c r="H55" s="84">
        <f>VLOOKUP(A55,'底稿_前2年手收20%'!O:Z,12,0)</f>
        <v>30463872</v>
      </c>
      <c r="I55" s="73">
        <f t="shared" si="8"/>
        <v>20656338</v>
      </c>
      <c r="J55" s="100">
        <f t="shared" si="9"/>
        <v>37008277</v>
      </c>
      <c r="K55" s="100">
        <f t="shared" si="10"/>
        <v>44987407</v>
      </c>
      <c r="L55" s="100">
        <f t="shared" si="6"/>
        <v>40997842</v>
      </c>
      <c r="M55" s="133">
        <f t="shared" si="11"/>
        <v>487598</v>
      </c>
    </row>
    <row r="56" spans="1:13" s="33" customFormat="1" ht="24.95" customHeight="1">
      <c r="A56" s="49">
        <v>165</v>
      </c>
      <c r="B56" s="49">
        <f t="shared" si="5"/>
        <v>1650</v>
      </c>
      <c r="C56" s="49" t="s">
        <v>13</v>
      </c>
      <c r="D56" s="84">
        <f>VLOOKUP(A56,'底稿_前2年手收20%'!A:L,11,0)</f>
        <v>22035747</v>
      </c>
      <c r="E56" s="84">
        <f>VLOOKUP(A56,'底稿_前2年手收20%'!O:Z,11,0)</f>
        <v>28702267</v>
      </c>
      <c r="F56" s="61">
        <f t="shared" si="7"/>
        <v>25369007</v>
      </c>
      <c r="G56" s="84">
        <f>VLOOKUP(A56,'底稿_前2年手收20%'!A:L,12,0)</f>
        <v>23854253</v>
      </c>
      <c r="H56" s="84">
        <f>VLOOKUP(A56,'底稿_前2年手收20%'!O:Z,12,0)</f>
        <v>42222736</v>
      </c>
      <c r="I56" s="73">
        <f t="shared" si="8"/>
        <v>33038495</v>
      </c>
      <c r="J56" s="100">
        <f t="shared" si="9"/>
        <v>45890000</v>
      </c>
      <c r="K56" s="100">
        <f t="shared" si="10"/>
        <v>70925003</v>
      </c>
      <c r="L56" s="100">
        <f t="shared" si="6"/>
        <v>58407502</v>
      </c>
      <c r="M56" s="133">
        <f t="shared" si="11"/>
        <v>694655</v>
      </c>
    </row>
    <row r="57" spans="1:13" ht="24.95" customHeight="1">
      <c r="A57" s="49">
        <v>166</v>
      </c>
      <c r="B57" s="49">
        <f t="shared" si="5"/>
        <v>1660</v>
      </c>
      <c r="C57" s="49" t="s">
        <v>84</v>
      </c>
      <c r="D57" s="84">
        <f>VLOOKUP(A57,'底稿_前2年手收20%'!A:L,11,0)</f>
        <v>13939499</v>
      </c>
      <c r="E57" s="84">
        <f>VLOOKUP(A57,'底稿_前2年手收20%'!O:Z,11,0)</f>
        <v>13130340</v>
      </c>
      <c r="F57" s="61">
        <f t="shared" si="7"/>
        <v>13534920</v>
      </c>
      <c r="G57" s="84">
        <f>VLOOKUP(A57,'底稿_前2年手收20%'!A:L,12,0)</f>
        <v>14540278</v>
      </c>
      <c r="H57" s="84">
        <f>VLOOKUP(A57,'底稿_前2年手收20%'!O:Z,12,0)</f>
        <v>22589114</v>
      </c>
      <c r="I57" s="73">
        <f t="shared" si="8"/>
        <v>18564696</v>
      </c>
      <c r="J57" s="100">
        <f t="shared" si="9"/>
        <v>28479777</v>
      </c>
      <c r="K57" s="100">
        <f t="shared" si="10"/>
        <v>35719454</v>
      </c>
      <c r="L57" s="100">
        <f t="shared" si="6"/>
        <v>32099616</v>
      </c>
      <c r="M57" s="133">
        <f t="shared" si="11"/>
        <v>381769</v>
      </c>
    </row>
    <row r="58" spans="1:13" s="33" customFormat="1" ht="24.95" customHeight="1">
      <c r="A58" s="49">
        <v>167</v>
      </c>
      <c r="B58" s="49">
        <f t="shared" si="5"/>
        <v>1670</v>
      </c>
      <c r="C58" s="49" t="s">
        <v>162</v>
      </c>
      <c r="D58" s="84">
        <f>VLOOKUP(A58,'底稿_前2年手收20%'!A:L,11,0)</f>
        <v>29212474</v>
      </c>
      <c r="E58" s="84">
        <f>VLOOKUP(A58,'底稿_前2年手收20%'!O:Z,11,0)</f>
        <v>25640214</v>
      </c>
      <c r="F58" s="61">
        <f t="shared" si="7"/>
        <v>27426344</v>
      </c>
      <c r="G58" s="84">
        <f>VLOOKUP(A58,'底稿_前2年手收20%'!A:L,12,0)</f>
        <v>21047526</v>
      </c>
      <c r="H58" s="84">
        <f>VLOOKUP(A58,'底稿_前2年手收20%'!O:Z,12,0)</f>
        <v>30971603</v>
      </c>
      <c r="I58" s="73">
        <f t="shared" si="8"/>
        <v>26009565</v>
      </c>
      <c r="J58" s="100">
        <f t="shared" si="9"/>
        <v>50260000</v>
      </c>
      <c r="K58" s="100">
        <f t="shared" si="10"/>
        <v>56611817</v>
      </c>
      <c r="L58" s="100">
        <f t="shared" si="6"/>
        <v>53435909</v>
      </c>
      <c r="M58" s="133">
        <f t="shared" si="11"/>
        <v>635527</v>
      </c>
    </row>
    <row r="59" spans="1:13" ht="24.95" customHeight="1">
      <c r="A59" s="49">
        <v>168</v>
      </c>
      <c r="B59" s="49">
        <f t="shared" si="5"/>
        <v>1680</v>
      </c>
      <c r="C59" s="49" t="s">
        <v>163</v>
      </c>
      <c r="D59" s="84">
        <f>VLOOKUP(A59,'底稿_前2年手收20%'!A:L,11,0)</f>
        <v>18929255</v>
      </c>
      <c r="E59" s="84">
        <f>VLOOKUP(A59,'底稿_前2年手收20%'!O:Z,11,0)</f>
        <v>21276237</v>
      </c>
      <c r="F59" s="61">
        <f t="shared" si="7"/>
        <v>20102746</v>
      </c>
      <c r="G59" s="84">
        <f>VLOOKUP(A59,'底稿_前2年手收20%'!A:L,12,0)</f>
        <v>29130745</v>
      </c>
      <c r="H59" s="84">
        <f>VLOOKUP(A59,'底稿_前2年手收20%'!O:Z,12,0)</f>
        <v>40403206</v>
      </c>
      <c r="I59" s="73">
        <f t="shared" si="8"/>
        <v>34766976</v>
      </c>
      <c r="J59" s="100">
        <f t="shared" si="9"/>
        <v>48060000</v>
      </c>
      <c r="K59" s="100">
        <f t="shared" si="10"/>
        <v>61679443</v>
      </c>
      <c r="L59" s="100">
        <f t="shared" si="6"/>
        <v>54869722</v>
      </c>
      <c r="M59" s="133">
        <f t="shared" si="11"/>
        <v>652579</v>
      </c>
    </row>
    <row r="60" spans="1:13" s="33" customFormat="1" ht="24.95" customHeight="1">
      <c r="A60" s="49">
        <v>169</v>
      </c>
      <c r="B60" s="49">
        <f t="shared" si="5"/>
        <v>1690</v>
      </c>
      <c r="C60" s="49" t="s">
        <v>85</v>
      </c>
      <c r="D60" s="84">
        <f>VLOOKUP(A60,'底稿_前2年手收20%'!A:L,11,0)</f>
        <v>20319808</v>
      </c>
      <c r="E60" s="84">
        <f>VLOOKUP(A60,'底稿_前2年手收20%'!O:Z,11,0)</f>
        <v>20379174</v>
      </c>
      <c r="F60" s="61">
        <f t="shared" si="7"/>
        <v>20349491</v>
      </c>
      <c r="G60" s="84">
        <f>VLOOKUP(A60,'底稿_前2年手收20%'!A:L,12,0)</f>
        <v>16394663</v>
      </c>
      <c r="H60" s="84">
        <f>VLOOKUP(A60,'底稿_前2年手收20%'!O:Z,12,0)</f>
        <v>28779770</v>
      </c>
      <c r="I60" s="73">
        <f t="shared" si="8"/>
        <v>22587217</v>
      </c>
      <c r="J60" s="100">
        <f t="shared" si="9"/>
        <v>36714471</v>
      </c>
      <c r="K60" s="100">
        <f t="shared" si="10"/>
        <v>49158944</v>
      </c>
      <c r="L60" s="100">
        <f t="shared" si="6"/>
        <v>42936708</v>
      </c>
      <c r="M60" s="133">
        <f t="shared" si="11"/>
        <v>510657</v>
      </c>
    </row>
    <row r="61" spans="1:13" ht="24.95" customHeight="1">
      <c r="A61" s="49">
        <v>170</v>
      </c>
      <c r="B61" s="49">
        <f t="shared" si="5"/>
        <v>1700</v>
      </c>
      <c r="C61" s="49" t="s">
        <v>164</v>
      </c>
      <c r="D61" s="84">
        <f>VLOOKUP(A61,'底稿_前2年手收20%'!A:L,11,0)</f>
        <v>12445772</v>
      </c>
      <c r="E61" s="84">
        <f>VLOOKUP(A61,'底稿_前2年手收20%'!O:Z,11,0)</f>
        <v>11788027</v>
      </c>
      <c r="F61" s="61">
        <f t="shared" si="7"/>
        <v>12116900</v>
      </c>
      <c r="G61" s="84">
        <f>VLOOKUP(A61,'底稿_前2年手收20%'!A:L,12,0)</f>
        <v>19349448</v>
      </c>
      <c r="H61" s="84">
        <f>VLOOKUP(A61,'底稿_前2年手收20%'!O:Z,12,0)</f>
        <v>34216311</v>
      </c>
      <c r="I61" s="73">
        <f t="shared" si="8"/>
        <v>26782880</v>
      </c>
      <c r="J61" s="100">
        <f t="shared" si="9"/>
        <v>31795220</v>
      </c>
      <c r="K61" s="100">
        <f t="shared" si="10"/>
        <v>46004338</v>
      </c>
      <c r="L61" s="100">
        <f t="shared" si="6"/>
        <v>38899779</v>
      </c>
      <c r="M61" s="133">
        <f t="shared" si="11"/>
        <v>462645</v>
      </c>
    </row>
    <row r="62" spans="1:13" s="33" customFormat="1" ht="24.95" customHeight="1">
      <c r="A62" s="49">
        <v>171</v>
      </c>
      <c r="B62" s="49">
        <f t="shared" si="5"/>
        <v>1710</v>
      </c>
      <c r="C62" s="49" t="s">
        <v>86</v>
      </c>
      <c r="D62" s="84">
        <f>VLOOKUP(A62,'底稿_前2年手收20%'!A:L,11,0)</f>
        <v>11514671</v>
      </c>
      <c r="E62" s="84">
        <f>VLOOKUP(A62,'底稿_前2年手收20%'!O:Z,11,0)</f>
        <v>12828592</v>
      </c>
      <c r="F62" s="61">
        <f t="shared" si="7"/>
        <v>12171632</v>
      </c>
      <c r="G62" s="84">
        <f>VLOOKUP(A62,'底稿_前2年手收20%'!A:L,12,0)</f>
        <v>18945329</v>
      </c>
      <c r="H62" s="84">
        <f>VLOOKUP(A62,'底稿_前2年手收20%'!O:Z,12,0)</f>
        <v>41141408</v>
      </c>
      <c r="I62" s="73">
        <f t="shared" si="8"/>
        <v>30043369</v>
      </c>
      <c r="J62" s="100">
        <f t="shared" si="9"/>
        <v>30460000</v>
      </c>
      <c r="K62" s="100">
        <f t="shared" si="10"/>
        <v>53970000</v>
      </c>
      <c r="L62" s="100">
        <f t="shared" si="6"/>
        <v>42215000</v>
      </c>
      <c r="M62" s="133">
        <f t="shared" si="11"/>
        <v>502073</v>
      </c>
    </row>
    <row r="63" spans="1:13" ht="24.95" customHeight="1">
      <c r="A63" s="49">
        <v>172</v>
      </c>
      <c r="B63" s="49">
        <f t="shared" si="5"/>
        <v>1720</v>
      </c>
      <c r="C63" s="49" t="s">
        <v>14</v>
      </c>
      <c r="D63" s="84">
        <f>VLOOKUP(A63,'底稿_前2年手收20%'!A:L,11,0)</f>
        <v>12367847</v>
      </c>
      <c r="E63" s="84">
        <f>VLOOKUP(A63,'底稿_前2年手收20%'!O:Z,11,0)</f>
        <v>12213856</v>
      </c>
      <c r="F63" s="61">
        <f t="shared" si="7"/>
        <v>12290852</v>
      </c>
      <c r="G63" s="84">
        <f>VLOOKUP(A63,'底稿_前2年手收20%'!A:L,12,0)</f>
        <v>5837649</v>
      </c>
      <c r="H63" s="84">
        <f>VLOOKUP(A63,'底稿_前2年手收20%'!O:Z,12,0)</f>
        <v>13497182</v>
      </c>
      <c r="I63" s="73">
        <f t="shared" si="8"/>
        <v>9667416</v>
      </c>
      <c r="J63" s="100">
        <f t="shared" si="9"/>
        <v>18205496</v>
      </c>
      <c r="K63" s="100">
        <f t="shared" si="10"/>
        <v>25711038</v>
      </c>
      <c r="L63" s="100">
        <f t="shared" si="6"/>
        <v>21958267</v>
      </c>
      <c r="M63" s="133">
        <f t="shared" si="11"/>
        <v>261155</v>
      </c>
    </row>
    <row r="64" spans="1:13" s="33" customFormat="1" ht="24.95" customHeight="1">
      <c r="A64" s="49">
        <v>173</v>
      </c>
      <c r="B64" s="49">
        <f t="shared" si="5"/>
        <v>1730</v>
      </c>
      <c r="C64" s="49" t="s">
        <v>15</v>
      </c>
      <c r="D64" s="84">
        <f>VLOOKUP(A64,'底稿_前2年手收20%'!A:L,11,0)</f>
        <v>17221580</v>
      </c>
      <c r="E64" s="84">
        <f>VLOOKUP(A64,'底稿_前2年手收20%'!O:Z,11,0)</f>
        <v>14640657</v>
      </c>
      <c r="F64" s="61">
        <f t="shared" si="7"/>
        <v>15931119</v>
      </c>
      <c r="G64" s="84">
        <f>VLOOKUP(A64,'底稿_前2年手收20%'!A:L,12,0)</f>
        <v>8438969</v>
      </c>
      <c r="H64" s="84">
        <f>VLOOKUP(A64,'底稿_前2年手收20%'!O:Z,12,0)</f>
        <v>14318861</v>
      </c>
      <c r="I64" s="73">
        <f t="shared" si="8"/>
        <v>11378915</v>
      </c>
      <c r="J64" s="100">
        <f t="shared" si="9"/>
        <v>25660549</v>
      </c>
      <c r="K64" s="100">
        <f t="shared" si="10"/>
        <v>28959518</v>
      </c>
      <c r="L64" s="100">
        <f t="shared" si="6"/>
        <v>27310034</v>
      </c>
      <c r="M64" s="133">
        <f t="shared" si="11"/>
        <v>324805</v>
      </c>
    </row>
    <row r="65" spans="1:13" ht="24.95" customHeight="1">
      <c r="A65" s="49">
        <v>174</v>
      </c>
      <c r="B65" s="49">
        <f t="shared" si="5"/>
        <v>1740</v>
      </c>
      <c r="C65" s="49" t="s">
        <v>16</v>
      </c>
      <c r="D65" s="84">
        <f>VLOOKUP(A65,'底稿_前2年手收20%'!A:L,11,0)</f>
        <v>35195094</v>
      </c>
      <c r="E65" s="84">
        <f>VLOOKUP(A65,'底稿_前2年手收20%'!O:Z,11,0)</f>
        <v>33554104</v>
      </c>
      <c r="F65" s="61">
        <f t="shared" si="7"/>
        <v>34374599</v>
      </c>
      <c r="G65" s="84">
        <f>VLOOKUP(A65,'底稿_前2年手收20%'!A:L,12,0)</f>
        <v>16184906</v>
      </c>
      <c r="H65" s="84">
        <f>VLOOKUP(A65,'底稿_前2年手收20%'!O:Z,12,0)</f>
        <v>51915896</v>
      </c>
      <c r="I65" s="73">
        <f t="shared" si="8"/>
        <v>34050401</v>
      </c>
      <c r="J65" s="100">
        <f t="shared" si="9"/>
        <v>51380000</v>
      </c>
      <c r="K65" s="100">
        <f t="shared" si="10"/>
        <v>85470000</v>
      </c>
      <c r="L65" s="100">
        <f t="shared" si="6"/>
        <v>68425000</v>
      </c>
      <c r="M65" s="133">
        <f t="shared" si="11"/>
        <v>813795</v>
      </c>
    </row>
    <row r="66" spans="1:13" s="33" customFormat="1" ht="24.95" customHeight="1">
      <c r="A66" s="49">
        <v>175</v>
      </c>
      <c r="B66" s="49">
        <f t="shared" si="5"/>
        <v>1750</v>
      </c>
      <c r="C66" s="49" t="s">
        <v>165</v>
      </c>
      <c r="D66" s="84">
        <f>VLOOKUP(A66,'底稿_前2年手收20%'!A:L,11,0)</f>
        <v>16706871</v>
      </c>
      <c r="E66" s="84">
        <f>VLOOKUP(A66,'底稿_前2年手收20%'!O:Z,11,0)</f>
        <v>17956708</v>
      </c>
      <c r="F66" s="61">
        <f t="shared" si="7"/>
        <v>17331790</v>
      </c>
      <c r="G66" s="84">
        <f>VLOOKUP(A66,'底稿_前2年手收20%'!A:L,12,0)</f>
        <v>18353129</v>
      </c>
      <c r="H66" s="84">
        <f>VLOOKUP(A66,'底稿_前2年手收20%'!O:Z,12,0)</f>
        <v>33928497</v>
      </c>
      <c r="I66" s="73">
        <f t="shared" si="8"/>
        <v>26140813</v>
      </c>
      <c r="J66" s="100">
        <f t="shared" si="9"/>
        <v>35060000</v>
      </c>
      <c r="K66" s="100">
        <f t="shared" si="10"/>
        <v>51885205</v>
      </c>
      <c r="L66" s="100">
        <f t="shared" si="6"/>
        <v>43472603</v>
      </c>
      <c r="M66" s="133">
        <f t="shared" si="11"/>
        <v>517030</v>
      </c>
    </row>
    <row r="67" spans="1:13" ht="24.95" customHeight="1">
      <c r="A67" s="49">
        <v>176</v>
      </c>
      <c r="B67" s="49">
        <f t="shared" si="5"/>
        <v>1760</v>
      </c>
      <c r="C67" s="49" t="s">
        <v>166</v>
      </c>
      <c r="D67" s="84">
        <f>VLOOKUP(A67,'底稿_前2年手收20%'!A:L,11,0)</f>
        <v>10481450</v>
      </c>
      <c r="E67" s="84">
        <f>VLOOKUP(A67,'底稿_前2年手收20%'!O:Z,11,0)</f>
        <v>18203583</v>
      </c>
      <c r="F67" s="61">
        <f t="shared" ref="F67:F69" si="12">ROUND(AVERAGE(D67:E67), 0)</f>
        <v>14342517</v>
      </c>
      <c r="G67" s="84">
        <f>VLOOKUP(A67,'底稿_前2年手收20%'!A:L,12,0)</f>
        <v>11004342</v>
      </c>
      <c r="H67" s="84">
        <f>VLOOKUP(A67,'底稿_前2年手收20%'!O:Z,12,0)</f>
        <v>19626417</v>
      </c>
      <c r="I67" s="73">
        <f t="shared" ref="I67:I69" si="13">ROUND(AVERAGE(G67:H67), 0)</f>
        <v>15315380</v>
      </c>
      <c r="J67" s="100">
        <f t="shared" ref="J67:J98" si="14">D67+G67</f>
        <v>21485792</v>
      </c>
      <c r="K67" s="100">
        <f t="shared" ref="K67:K98" si="15">E67+H67</f>
        <v>37830000</v>
      </c>
      <c r="L67" s="100">
        <f t="shared" si="6"/>
        <v>29657896</v>
      </c>
      <c r="M67" s="133">
        <f t="shared" ref="M67:M98" si="16">ROUND(L67*(M$1/L$186), 0)</f>
        <v>352729</v>
      </c>
    </row>
    <row r="68" spans="1:13" s="92" customFormat="1" ht="24.95" customHeight="1">
      <c r="A68" s="81">
        <v>177</v>
      </c>
      <c r="B68" s="81">
        <f t="shared" ref="B68:B131" si="17">A68*10</f>
        <v>1770</v>
      </c>
      <c r="C68" s="81" t="s">
        <v>647</v>
      </c>
      <c r="D68" s="338">
        <f>VLOOKUP(A68,'底稿_前2年手收20%'!A:L,11,0)</f>
        <v>2572113</v>
      </c>
      <c r="E68" s="338">
        <f>VLOOKUP(A68,'底稿_前2年手收20%'!O:Z,11,0)</f>
        <v>2169869</v>
      </c>
      <c r="F68" s="339">
        <f t="shared" si="12"/>
        <v>2370991</v>
      </c>
      <c r="G68" s="338">
        <f>VLOOKUP(A68,'底稿_前2年手收20%'!A:L,12,0)</f>
        <v>2907794</v>
      </c>
      <c r="H68" s="338">
        <f>VLOOKUP(A68,'底稿_前2年手收20%'!O:Z,12,0)</f>
        <v>4470131</v>
      </c>
      <c r="I68" s="340">
        <f t="shared" si="13"/>
        <v>3688963</v>
      </c>
      <c r="J68" s="315">
        <f t="shared" si="14"/>
        <v>5479907</v>
      </c>
      <c r="K68" s="315">
        <f t="shared" si="15"/>
        <v>6640000</v>
      </c>
      <c r="L68" s="100">
        <f t="shared" ref="L68:L131" si="18">ROUND(AVERAGE(J68:K68), 0)</f>
        <v>6059954</v>
      </c>
      <c r="M68" s="133">
        <f t="shared" si="16"/>
        <v>72073</v>
      </c>
    </row>
    <row r="69" spans="1:13" s="314" customFormat="1" ht="24.95" customHeight="1">
      <c r="A69" s="309">
        <v>178</v>
      </c>
      <c r="B69" s="309">
        <f t="shared" si="17"/>
        <v>1780</v>
      </c>
      <c r="C69" s="309" t="s">
        <v>17</v>
      </c>
      <c r="D69" s="310">
        <f>VLOOKUP(A69,'底稿_前2年手收20%'!A:L,11,0)</f>
        <v>20817889</v>
      </c>
      <c r="E69" s="310">
        <f>VLOOKUP(A69,'底稿_前2年手收20%'!O:Z,11,0)</f>
        <v>18602967</v>
      </c>
      <c r="F69" s="311">
        <f t="shared" si="12"/>
        <v>19710428</v>
      </c>
      <c r="G69" s="310">
        <f>VLOOKUP(A69,'底稿_前2年手收20%'!A:L,12,0)</f>
        <v>12542111</v>
      </c>
      <c r="H69" s="310">
        <f>VLOOKUP(A69,'底稿_前2年手收20%'!O:Z,12,0)</f>
        <v>32957033</v>
      </c>
      <c r="I69" s="312">
        <f t="shared" si="13"/>
        <v>22749572</v>
      </c>
      <c r="J69" s="313">
        <f t="shared" si="14"/>
        <v>33360000</v>
      </c>
      <c r="K69" s="313">
        <f t="shared" si="15"/>
        <v>51560000</v>
      </c>
      <c r="L69" s="100">
        <f t="shared" si="18"/>
        <v>42460000</v>
      </c>
      <c r="M69" s="133">
        <f t="shared" si="16"/>
        <v>504987</v>
      </c>
    </row>
    <row r="70" spans="1:13" s="314" customFormat="1" ht="24.95" customHeight="1">
      <c r="A70" s="309">
        <v>179</v>
      </c>
      <c r="B70" s="309">
        <f t="shared" ref="B70" si="19">A70*10</f>
        <v>1790</v>
      </c>
      <c r="C70" s="309" t="s">
        <v>167</v>
      </c>
      <c r="D70" s="310">
        <f>VLOOKUP(A70,'底稿_前2年手收20%'!A:L,11,0)</f>
        <v>20160971</v>
      </c>
      <c r="E70" s="310">
        <f>VLOOKUP(A70,'底稿_前2年手收20%'!O:Z,11,0)</f>
        <v>18201682</v>
      </c>
      <c r="F70" s="311">
        <f>E70</f>
        <v>18201682</v>
      </c>
      <c r="G70" s="310">
        <f>VLOOKUP(A70,'底稿_前2年手收20%'!A:L,12,0)</f>
        <v>15979029</v>
      </c>
      <c r="H70" s="310">
        <f>VLOOKUP(A70,'底稿_前2年手收20%'!O:Z,12,0)</f>
        <v>27965759</v>
      </c>
      <c r="I70" s="312">
        <f>H70</f>
        <v>27965759</v>
      </c>
      <c r="J70" s="313">
        <f t="shared" si="14"/>
        <v>36140000</v>
      </c>
      <c r="K70" s="313">
        <f t="shared" si="15"/>
        <v>46167441</v>
      </c>
      <c r="L70" s="100">
        <f t="shared" si="18"/>
        <v>41153721</v>
      </c>
      <c r="M70" s="133">
        <f t="shared" si="16"/>
        <v>489451</v>
      </c>
    </row>
    <row r="71" spans="1:13" s="314" customFormat="1" ht="24.95" customHeight="1">
      <c r="A71" s="309">
        <v>180</v>
      </c>
      <c r="B71" s="309">
        <f t="shared" si="17"/>
        <v>1800</v>
      </c>
      <c r="C71" s="309" t="s">
        <v>168</v>
      </c>
      <c r="D71" s="310">
        <f>VLOOKUP(A71,'底稿_前2年手收20%'!A:L,11,0)</f>
        <v>15852408</v>
      </c>
      <c r="E71" s="310">
        <f>VLOOKUP(A71,'底稿_前2年手收20%'!O:Z,11,0)</f>
        <v>18611316</v>
      </c>
      <c r="F71" s="311">
        <f t="shared" ref="F71:F102" si="20">ROUND(AVERAGE(D71:E71), 0)</f>
        <v>17231862</v>
      </c>
      <c r="G71" s="310">
        <f>VLOOKUP(A71,'底稿_前2年手收20%'!A:L,12,0)</f>
        <v>14638426</v>
      </c>
      <c r="H71" s="310">
        <f>VLOOKUP(A71,'底稿_前2年手收20%'!O:Z,12,0)</f>
        <v>46658684</v>
      </c>
      <c r="I71" s="312">
        <f t="shared" ref="I71:I102" si="21">ROUND(AVERAGE(G71:H71), 0)</f>
        <v>30648555</v>
      </c>
      <c r="J71" s="313">
        <f t="shared" si="14"/>
        <v>30490834</v>
      </c>
      <c r="K71" s="313">
        <f t="shared" si="15"/>
        <v>65270000</v>
      </c>
      <c r="L71" s="100">
        <f t="shared" si="18"/>
        <v>47880417</v>
      </c>
      <c r="M71" s="133">
        <f t="shared" si="16"/>
        <v>569454</v>
      </c>
    </row>
    <row r="72" spans="1:13" ht="24.95" customHeight="1">
      <c r="A72" s="49">
        <v>182</v>
      </c>
      <c r="B72" s="49">
        <f t="shared" si="17"/>
        <v>1820</v>
      </c>
      <c r="C72" s="49" t="s">
        <v>169</v>
      </c>
      <c r="D72" s="84">
        <f>VLOOKUP(A72,'底稿_前2年手收20%'!A:L,11,0)</f>
        <v>9002135</v>
      </c>
      <c r="E72" s="84">
        <f>VLOOKUP(A72,'底稿_前2年手收20%'!O:Z,11,0)</f>
        <v>8135303</v>
      </c>
      <c r="F72" s="61">
        <f t="shared" si="20"/>
        <v>8568719</v>
      </c>
      <c r="G72" s="84">
        <f>VLOOKUP(A72,'底稿_前2年手收20%'!A:L,12,0)</f>
        <v>9560942</v>
      </c>
      <c r="H72" s="84">
        <f>VLOOKUP(A72,'底稿_前2年手收20%'!O:Z,12,0)</f>
        <v>16256332</v>
      </c>
      <c r="I72" s="73">
        <f t="shared" si="21"/>
        <v>12908637</v>
      </c>
      <c r="J72" s="100">
        <f t="shared" si="14"/>
        <v>18563077</v>
      </c>
      <c r="K72" s="100">
        <f t="shared" si="15"/>
        <v>24391635</v>
      </c>
      <c r="L72" s="100">
        <f t="shared" si="18"/>
        <v>21477356</v>
      </c>
      <c r="M72" s="133">
        <f t="shared" si="16"/>
        <v>255436</v>
      </c>
    </row>
    <row r="73" spans="1:13" s="33" customFormat="1" ht="24.95" customHeight="1">
      <c r="A73" s="49">
        <v>183</v>
      </c>
      <c r="B73" s="49">
        <f t="shared" si="17"/>
        <v>1830</v>
      </c>
      <c r="C73" s="49" t="s">
        <v>18</v>
      </c>
      <c r="D73" s="84">
        <f>VLOOKUP(A73,'底稿_前2年手收20%'!A:L,11,0)</f>
        <v>8666976</v>
      </c>
      <c r="E73" s="84">
        <f>VLOOKUP(A73,'底稿_前2年手收20%'!O:Z,11,0)</f>
        <v>9320804</v>
      </c>
      <c r="F73" s="61">
        <f t="shared" si="20"/>
        <v>8993890</v>
      </c>
      <c r="G73" s="84">
        <f>VLOOKUP(A73,'底稿_前2年手收20%'!A:L,12,0)</f>
        <v>10376980</v>
      </c>
      <c r="H73" s="84">
        <f>VLOOKUP(A73,'底稿_前2年手收20%'!O:Z,12,0)</f>
        <v>16574637</v>
      </c>
      <c r="I73" s="73">
        <f t="shared" si="21"/>
        <v>13475809</v>
      </c>
      <c r="J73" s="100">
        <f t="shared" si="14"/>
        <v>19043956</v>
      </c>
      <c r="K73" s="100">
        <f t="shared" si="15"/>
        <v>25895441</v>
      </c>
      <c r="L73" s="100">
        <f t="shared" si="18"/>
        <v>22469699</v>
      </c>
      <c r="M73" s="133">
        <f t="shared" si="16"/>
        <v>267238</v>
      </c>
    </row>
    <row r="74" spans="1:13" ht="24.95" customHeight="1">
      <c r="A74" s="49">
        <v>184</v>
      </c>
      <c r="B74" s="49">
        <f t="shared" si="17"/>
        <v>1840</v>
      </c>
      <c r="C74" s="49" t="s">
        <v>19</v>
      </c>
      <c r="D74" s="84">
        <f>VLOOKUP(A74,'底稿_前2年手收20%'!A:L,11,0)</f>
        <v>12522894</v>
      </c>
      <c r="E74" s="84">
        <f>VLOOKUP(A74,'底稿_前2年手收20%'!O:Z,11,0)</f>
        <v>14963636</v>
      </c>
      <c r="F74" s="61">
        <f t="shared" si="20"/>
        <v>13743265</v>
      </c>
      <c r="G74" s="84">
        <f>VLOOKUP(A74,'底稿_前2年手收20%'!A:L,12,0)</f>
        <v>14437106</v>
      </c>
      <c r="H74" s="84">
        <f>VLOOKUP(A74,'底稿_前2年手收20%'!O:Z,12,0)</f>
        <v>31296364</v>
      </c>
      <c r="I74" s="73">
        <f t="shared" si="21"/>
        <v>22866735</v>
      </c>
      <c r="J74" s="100">
        <f t="shared" si="14"/>
        <v>26960000</v>
      </c>
      <c r="K74" s="100">
        <f t="shared" si="15"/>
        <v>46260000</v>
      </c>
      <c r="L74" s="100">
        <f t="shared" si="18"/>
        <v>36610000</v>
      </c>
      <c r="M74" s="133">
        <f t="shared" si="16"/>
        <v>435412</v>
      </c>
    </row>
    <row r="75" spans="1:13" s="33" customFormat="1" ht="24.95" customHeight="1">
      <c r="A75" s="49">
        <v>185</v>
      </c>
      <c r="B75" s="49">
        <f t="shared" si="17"/>
        <v>1850</v>
      </c>
      <c r="C75" s="49" t="s">
        <v>170</v>
      </c>
      <c r="D75" s="84">
        <f>VLOOKUP(A75,'底稿_前2年手收20%'!A:L,11,0)</f>
        <v>22021401</v>
      </c>
      <c r="E75" s="84">
        <f>VLOOKUP(A75,'底稿_前2年手收20%'!O:Z,11,0)</f>
        <v>20580287</v>
      </c>
      <c r="F75" s="61">
        <f t="shared" si="20"/>
        <v>21300844</v>
      </c>
      <c r="G75" s="84">
        <f>VLOOKUP(A75,'底稿_前2年手收20%'!A:L,12,0)</f>
        <v>19528599</v>
      </c>
      <c r="H75" s="84">
        <f>VLOOKUP(A75,'底稿_前2年手收20%'!O:Z,12,0)</f>
        <v>49209713</v>
      </c>
      <c r="I75" s="73">
        <f t="shared" si="21"/>
        <v>34369156</v>
      </c>
      <c r="J75" s="100">
        <f t="shared" si="14"/>
        <v>41550000</v>
      </c>
      <c r="K75" s="100">
        <f t="shared" si="15"/>
        <v>69790000</v>
      </c>
      <c r="L75" s="100">
        <f t="shared" si="18"/>
        <v>55670000</v>
      </c>
      <c r="M75" s="133">
        <f t="shared" si="16"/>
        <v>662097</v>
      </c>
    </row>
    <row r="76" spans="1:13" ht="24.95" customHeight="1">
      <c r="A76" s="49">
        <v>186</v>
      </c>
      <c r="B76" s="49">
        <f t="shared" si="17"/>
        <v>1860</v>
      </c>
      <c r="C76" s="49" t="s">
        <v>87</v>
      </c>
      <c r="D76" s="84">
        <f>VLOOKUP(A76,'底稿_前2年手收20%'!A:L,11,0)</f>
        <v>11210277</v>
      </c>
      <c r="E76" s="84">
        <f>VLOOKUP(A76,'底稿_前2年手收20%'!O:Z,11,0)</f>
        <v>11666813</v>
      </c>
      <c r="F76" s="61">
        <f t="shared" si="20"/>
        <v>11438545</v>
      </c>
      <c r="G76" s="84">
        <f>VLOOKUP(A76,'底稿_前2年手收20%'!A:L,12,0)</f>
        <v>15969723</v>
      </c>
      <c r="H76" s="84">
        <f>VLOOKUP(A76,'底稿_前2年手收20%'!O:Z,12,0)</f>
        <v>25454938</v>
      </c>
      <c r="I76" s="73">
        <f t="shared" si="21"/>
        <v>20712331</v>
      </c>
      <c r="J76" s="100">
        <f t="shared" si="14"/>
        <v>27180000</v>
      </c>
      <c r="K76" s="100">
        <f t="shared" si="15"/>
        <v>37121751</v>
      </c>
      <c r="L76" s="100">
        <f t="shared" si="18"/>
        <v>32150876</v>
      </c>
      <c r="M76" s="133">
        <f t="shared" si="16"/>
        <v>382378</v>
      </c>
    </row>
    <row r="77" spans="1:13" s="33" customFormat="1" ht="24.95" customHeight="1">
      <c r="A77" s="49">
        <v>187</v>
      </c>
      <c r="B77" s="49">
        <f t="shared" si="17"/>
        <v>1870</v>
      </c>
      <c r="C77" s="49" t="s">
        <v>171</v>
      </c>
      <c r="D77" s="84">
        <f>VLOOKUP(A77,'底稿_前2年手收20%'!A:L,11,0)</f>
        <v>20593697</v>
      </c>
      <c r="E77" s="84">
        <f>VLOOKUP(A77,'底稿_前2年手收20%'!O:Z,11,0)</f>
        <v>28462679</v>
      </c>
      <c r="F77" s="61">
        <f t="shared" si="20"/>
        <v>24528188</v>
      </c>
      <c r="G77" s="84">
        <f>VLOOKUP(A77,'底稿_前2年手收20%'!A:L,12,0)</f>
        <v>6956303</v>
      </c>
      <c r="H77" s="84">
        <f>VLOOKUP(A77,'底稿_前2年手收20%'!O:Z,12,0)</f>
        <v>19517321</v>
      </c>
      <c r="I77" s="73">
        <f t="shared" si="21"/>
        <v>13236812</v>
      </c>
      <c r="J77" s="100">
        <f t="shared" si="14"/>
        <v>27550000</v>
      </c>
      <c r="K77" s="100">
        <f t="shared" si="15"/>
        <v>47980000</v>
      </c>
      <c r="L77" s="100">
        <f t="shared" si="18"/>
        <v>37765000</v>
      </c>
      <c r="M77" s="133">
        <f t="shared" si="16"/>
        <v>449149</v>
      </c>
    </row>
    <row r="78" spans="1:13" ht="24.95" customHeight="1">
      <c r="A78" s="49">
        <v>189</v>
      </c>
      <c r="B78" s="49">
        <f t="shared" si="17"/>
        <v>1890</v>
      </c>
      <c r="C78" s="49" t="s">
        <v>172</v>
      </c>
      <c r="D78" s="84">
        <f>VLOOKUP(A78,'底稿_前2年手收20%'!A:L,11,0)</f>
        <v>26083800</v>
      </c>
      <c r="E78" s="84">
        <f>VLOOKUP(A78,'底稿_前2年手收20%'!O:Z,11,0)</f>
        <v>32622990</v>
      </c>
      <c r="F78" s="61">
        <f t="shared" si="20"/>
        <v>29353395</v>
      </c>
      <c r="G78" s="84">
        <f>VLOOKUP(A78,'底稿_前2年手收20%'!A:L,12,0)</f>
        <v>11686200</v>
      </c>
      <c r="H78" s="84">
        <f>VLOOKUP(A78,'底稿_前2年手收20%'!O:Z,12,0)</f>
        <v>29817010</v>
      </c>
      <c r="I78" s="73">
        <f t="shared" si="21"/>
        <v>20751605</v>
      </c>
      <c r="J78" s="100">
        <f t="shared" si="14"/>
        <v>37770000</v>
      </c>
      <c r="K78" s="100">
        <f t="shared" si="15"/>
        <v>62440000</v>
      </c>
      <c r="L78" s="100">
        <f t="shared" si="18"/>
        <v>50105000</v>
      </c>
      <c r="M78" s="133">
        <f t="shared" si="16"/>
        <v>595911</v>
      </c>
    </row>
    <row r="79" spans="1:13" s="33" customFormat="1" ht="24.95" customHeight="1">
      <c r="A79" s="49">
        <v>190</v>
      </c>
      <c r="B79" s="49">
        <f t="shared" si="17"/>
        <v>1900</v>
      </c>
      <c r="C79" s="49" t="s">
        <v>173</v>
      </c>
      <c r="D79" s="84">
        <f>VLOOKUP(A79,'底稿_前2年手收20%'!A:L,11,0)</f>
        <v>17437910</v>
      </c>
      <c r="E79" s="84">
        <f>VLOOKUP(A79,'底稿_前2年手收20%'!O:Z,11,0)</f>
        <v>25231760</v>
      </c>
      <c r="F79" s="61">
        <f t="shared" si="20"/>
        <v>21334835</v>
      </c>
      <c r="G79" s="84">
        <f>VLOOKUP(A79,'底稿_前2年手收20%'!A:L,12,0)</f>
        <v>12417148</v>
      </c>
      <c r="H79" s="84">
        <f>VLOOKUP(A79,'底稿_前2年手收20%'!O:Z,12,0)</f>
        <v>23034946</v>
      </c>
      <c r="I79" s="73">
        <f t="shared" si="21"/>
        <v>17726047</v>
      </c>
      <c r="J79" s="100">
        <f t="shared" si="14"/>
        <v>29855058</v>
      </c>
      <c r="K79" s="100">
        <f t="shared" si="15"/>
        <v>48266706</v>
      </c>
      <c r="L79" s="100">
        <f t="shared" si="18"/>
        <v>39060882</v>
      </c>
      <c r="M79" s="133">
        <f t="shared" si="16"/>
        <v>464561</v>
      </c>
    </row>
    <row r="80" spans="1:13" ht="24.95" customHeight="1">
      <c r="A80" s="49">
        <v>191</v>
      </c>
      <c r="B80" s="49">
        <f t="shared" si="17"/>
        <v>1910</v>
      </c>
      <c r="C80" s="49" t="s">
        <v>20</v>
      </c>
      <c r="D80" s="84">
        <f>VLOOKUP(A80,'底稿_前2年手收20%'!A:L,11,0)</f>
        <v>22634837</v>
      </c>
      <c r="E80" s="84">
        <f>VLOOKUP(A80,'底稿_前2年手收20%'!O:Z,11,0)</f>
        <v>29809163</v>
      </c>
      <c r="F80" s="61">
        <f t="shared" si="20"/>
        <v>26222000</v>
      </c>
      <c r="G80" s="84">
        <f>VLOOKUP(A80,'底稿_前2年手收20%'!A:L,12,0)</f>
        <v>17825163</v>
      </c>
      <c r="H80" s="84">
        <f>VLOOKUP(A80,'底稿_前2年手收20%'!O:Z,12,0)</f>
        <v>36203938</v>
      </c>
      <c r="I80" s="73">
        <f t="shared" si="21"/>
        <v>27014551</v>
      </c>
      <c r="J80" s="100">
        <f t="shared" si="14"/>
        <v>40460000</v>
      </c>
      <c r="K80" s="100">
        <f t="shared" si="15"/>
        <v>66013101</v>
      </c>
      <c r="L80" s="100">
        <f t="shared" si="18"/>
        <v>53236551</v>
      </c>
      <c r="M80" s="133">
        <f t="shared" si="16"/>
        <v>633156</v>
      </c>
    </row>
    <row r="81" spans="1:13" s="33" customFormat="1" ht="24.95" customHeight="1">
      <c r="A81" s="49">
        <v>192</v>
      </c>
      <c r="B81" s="49">
        <f t="shared" si="17"/>
        <v>1920</v>
      </c>
      <c r="C81" s="49" t="s">
        <v>174</v>
      </c>
      <c r="D81" s="84">
        <f>VLOOKUP(A81,'底稿_前2年手收20%'!A:L,11,0)</f>
        <v>17478462</v>
      </c>
      <c r="E81" s="84">
        <f>VLOOKUP(A81,'底稿_前2年手收20%'!O:Z,11,0)</f>
        <v>15965516</v>
      </c>
      <c r="F81" s="61">
        <f t="shared" si="20"/>
        <v>16721989</v>
      </c>
      <c r="G81" s="84">
        <f>VLOOKUP(A81,'底稿_前2年手收20%'!A:L,12,0)</f>
        <v>20101670</v>
      </c>
      <c r="H81" s="84">
        <f>VLOOKUP(A81,'底稿_前2年手收20%'!O:Z,12,0)</f>
        <v>40452589</v>
      </c>
      <c r="I81" s="73">
        <f t="shared" si="21"/>
        <v>30277130</v>
      </c>
      <c r="J81" s="100">
        <f t="shared" si="14"/>
        <v>37580132</v>
      </c>
      <c r="K81" s="100">
        <f t="shared" si="15"/>
        <v>56418105</v>
      </c>
      <c r="L81" s="100">
        <f t="shared" si="18"/>
        <v>46999119</v>
      </c>
      <c r="M81" s="133">
        <f t="shared" si="16"/>
        <v>558972</v>
      </c>
    </row>
    <row r="82" spans="1:13" ht="24.95" customHeight="1">
      <c r="A82" s="49">
        <v>193</v>
      </c>
      <c r="B82" s="49">
        <f t="shared" si="17"/>
        <v>1930</v>
      </c>
      <c r="C82" s="49" t="s">
        <v>21</v>
      </c>
      <c r="D82" s="84">
        <f>VLOOKUP(A82,'底稿_前2年手收20%'!A:L,11,0)</f>
        <v>18809802</v>
      </c>
      <c r="E82" s="84">
        <f>VLOOKUP(A82,'底稿_前2年手收20%'!O:Z,11,0)</f>
        <v>14630657</v>
      </c>
      <c r="F82" s="61">
        <f t="shared" si="20"/>
        <v>16720230</v>
      </c>
      <c r="G82" s="84">
        <f>VLOOKUP(A82,'底稿_前2年手收20%'!A:L,12,0)</f>
        <v>9179268</v>
      </c>
      <c r="H82" s="84">
        <f>VLOOKUP(A82,'底稿_前2年手收20%'!O:Z,12,0)</f>
        <v>27077105</v>
      </c>
      <c r="I82" s="73">
        <f t="shared" si="21"/>
        <v>18128187</v>
      </c>
      <c r="J82" s="100">
        <f t="shared" si="14"/>
        <v>27989070</v>
      </c>
      <c r="K82" s="100">
        <f t="shared" si="15"/>
        <v>41707762</v>
      </c>
      <c r="L82" s="100">
        <f t="shared" si="18"/>
        <v>34848416</v>
      </c>
      <c r="M82" s="133">
        <f t="shared" si="16"/>
        <v>414461</v>
      </c>
    </row>
    <row r="83" spans="1:13" s="33" customFormat="1" ht="24.95" customHeight="1">
      <c r="A83" s="49">
        <v>194</v>
      </c>
      <c r="B83" s="49">
        <f t="shared" si="17"/>
        <v>1940</v>
      </c>
      <c r="C83" s="49" t="s">
        <v>175</v>
      </c>
      <c r="D83" s="84">
        <f>VLOOKUP(A83,'底稿_前2年手收20%'!A:L,11,0)</f>
        <v>10936031</v>
      </c>
      <c r="E83" s="84">
        <f>VLOOKUP(A83,'底稿_前2年手收20%'!O:Z,11,0)</f>
        <v>10000007</v>
      </c>
      <c r="F83" s="61">
        <f t="shared" si="20"/>
        <v>10468019</v>
      </c>
      <c r="G83" s="84">
        <f>VLOOKUP(A83,'底稿_前2年手收20%'!A:L,12,0)</f>
        <v>8362319</v>
      </c>
      <c r="H83" s="84">
        <f>VLOOKUP(A83,'底稿_前2年手收20%'!O:Z,12,0)</f>
        <v>21699685</v>
      </c>
      <c r="I83" s="73">
        <f t="shared" si="21"/>
        <v>15031002</v>
      </c>
      <c r="J83" s="100">
        <f t="shared" si="14"/>
        <v>19298350</v>
      </c>
      <c r="K83" s="100">
        <f t="shared" si="15"/>
        <v>31699692</v>
      </c>
      <c r="L83" s="100">
        <f t="shared" si="18"/>
        <v>25499021</v>
      </c>
      <c r="M83" s="133">
        <f t="shared" si="16"/>
        <v>303266</v>
      </c>
    </row>
    <row r="84" spans="1:13" ht="24.75" customHeight="1">
      <c r="A84" s="49">
        <v>195</v>
      </c>
      <c r="B84" s="49">
        <f t="shared" si="17"/>
        <v>1950</v>
      </c>
      <c r="C84" s="49" t="s">
        <v>22</v>
      </c>
      <c r="D84" s="84">
        <f>VLOOKUP(A84,'底稿_前2年手收20%'!A:L,11,0)</f>
        <v>13277415</v>
      </c>
      <c r="E84" s="84">
        <f>VLOOKUP(A84,'底稿_前2年手收20%'!O:Z,11,0)</f>
        <v>15431882</v>
      </c>
      <c r="F84" s="61">
        <f t="shared" si="20"/>
        <v>14354649</v>
      </c>
      <c r="G84" s="84">
        <f>VLOOKUP(A84,'底稿_前2年手收20%'!A:L,12,0)</f>
        <v>8682675</v>
      </c>
      <c r="H84" s="84">
        <f>VLOOKUP(A84,'底稿_前2年手收20%'!O:Z,12,0)</f>
        <v>18117805</v>
      </c>
      <c r="I84" s="73">
        <f t="shared" si="21"/>
        <v>13400240</v>
      </c>
      <c r="J84" s="100">
        <f t="shared" si="14"/>
        <v>21960090</v>
      </c>
      <c r="K84" s="100">
        <f t="shared" si="15"/>
        <v>33549687</v>
      </c>
      <c r="L84" s="100">
        <f t="shared" si="18"/>
        <v>27754889</v>
      </c>
      <c r="M84" s="133">
        <f t="shared" si="16"/>
        <v>330096</v>
      </c>
    </row>
    <row r="85" spans="1:13" s="33" customFormat="1" ht="24.95" customHeight="1">
      <c r="A85" s="49">
        <v>196</v>
      </c>
      <c r="B85" s="49">
        <f t="shared" si="17"/>
        <v>1960</v>
      </c>
      <c r="C85" s="49" t="s">
        <v>88</v>
      </c>
      <c r="D85" s="84">
        <f>VLOOKUP(A85,'底稿_前2年手收20%'!A:L,11,0)</f>
        <v>14233587</v>
      </c>
      <c r="E85" s="84">
        <f>VLOOKUP(A85,'底稿_前2年手收20%'!O:Z,11,0)</f>
        <v>12353172</v>
      </c>
      <c r="F85" s="61">
        <f t="shared" si="20"/>
        <v>13293380</v>
      </c>
      <c r="G85" s="84">
        <f>VLOOKUP(A85,'底稿_前2年手收20%'!A:L,12,0)</f>
        <v>10547023</v>
      </c>
      <c r="H85" s="84">
        <f>VLOOKUP(A85,'底稿_前2年手收20%'!O:Z,12,0)</f>
        <v>17586813</v>
      </c>
      <c r="I85" s="73">
        <f t="shared" si="21"/>
        <v>14066918</v>
      </c>
      <c r="J85" s="100">
        <f t="shared" si="14"/>
        <v>24780610</v>
      </c>
      <c r="K85" s="100">
        <f t="shared" si="15"/>
        <v>29939985</v>
      </c>
      <c r="L85" s="100">
        <f t="shared" si="18"/>
        <v>27360298</v>
      </c>
      <c r="M85" s="133">
        <f t="shared" si="16"/>
        <v>325403</v>
      </c>
    </row>
    <row r="86" spans="1:13" ht="24.95" customHeight="1">
      <c r="A86" s="49">
        <v>197</v>
      </c>
      <c r="B86" s="49">
        <f t="shared" si="17"/>
        <v>1970</v>
      </c>
      <c r="C86" s="49" t="s">
        <v>23</v>
      </c>
      <c r="D86" s="84">
        <f>VLOOKUP(A86,'底稿_前2年手收20%'!A:L,11,0)</f>
        <v>6439810</v>
      </c>
      <c r="E86" s="84">
        <f>VLOOKUP(A86,'底稿_前2年手收20%'!O:Z,11,0)</f>
        <v>8379202</v>
      </c>
      <c r="F86" s="61">
        <f t="shared" si="20"/>
        <v>7409506</v>
      </c>
      <c r="G86" s="84">
        <f>VLOOKUP(A86,'底稿_前2年手收20%'!A:L,12,0)</f>
        <v>6570190</v>
      </c>
      <c r="H86" s="84">
        <f>VLOOKUP(A86,'底稿_前2年手收20%'!O:Z,12,0)</f>
        <v>16790798</v>
      </c>
      <c r="I86" s="73">
        <f t="shared" si="21"/>
        <v>11680494</v>
      </c>
      <c r="J86" s="100">
        <f t="shared" si="14"/>
        <v>13010000</v>
      </c>
      <c r="K86" s="100">
        <f t="shared" si="15"/>
        <v>25170000</v>
      </c>
      <c r="L86" s="100">
        <f t="shared" si="18"/>
        <v>19090000</v>
      </c>
      <c r="M86" s="133">
        <f t="shared" si="16"/>
        <v>227042</v>
      </c>
    </row>
    <row r="87" spans="1:13" ht="24.95" customHeight="1">
      <c r="A87" s="49">
        <v>199</v>
      </c>
      <c r="B87" s="49">
        <f t="shared" si="17"/>
        <v>1990</v>
      </c>
      <c r="C87" s="49" t="s">
        <v>24</v>
      </c>
      <c r="D87" s="84">
        <f>VLOOKUP(A87,'底稿_前2年手收20%'!A:L,11,0)</f>
        <v>12649876</v>
      </c>
      <c r="E87" s="84">
        <f>VLOOKUP(A87,'底稿_前2年手收20%'!O:Z,11,0)</f>
        <v>13890020</v>
      </c>
      <c r="F87" s="61">
        <f t="shared" si="20"/>
        <v>13269948</v>
      </c>
      <c r="G87" s="84">
        <f>VLOOKUP(A87,'底稿_前2年手收20%'!A:L,12,0)</f>
        <v>6090124</v>
      </c>
      <c r="H87" s="84">
        <f>VLOOKUP(A87,'底稿_前2年手收20%'!O:Z,12,0)</f>
        <v>20849980</v>
      </c>
      <c r="I87" s="73">
        <f t="shared" si="21"/>
        <v>13470052</v>
      </c>
      <c r="J87" s="100">
        <f t="shared" si="14"/>
        <v>18740000</v>
      </c>
      <c r="K87" s="100">
        <f t="shared" si="15"/>
        <v>34740000</v>
      </c>
      <c r="L87" s="100">
        <f t="shared" si="18"/>
        <v>26740000</v>
      </c>
      <c r="M87" s="133">
        <f t="shared" si="16"/>
        <v>318025</v>
      </c>
    </row>
    <row r="88" spans="1:13" s="33" customFormat="1" ht="24.95" customHeight="1">
      <c r="A88" s="49">
        <v>200</v>
      </c>
      <c r="B88" s="49">
        <f t="shared" si="17"/>
        <v>2000</v>
      </c>
      <c r="C88" s="49" t="s">
        <v>89</v>
      </c>
      <c r="D88" s="84">
        <f>VLOOKUP(A88,'底稿_前2年手收20%'!A:L,11,0)</f>
        <v>9830429</v>
      </c>
      <c r="E88" s="84">
        <f>VLOOKUP(A88,'底稿_前2年手收20%'!O:Z,11,0)</f>
        <v>8708904</v>
      </c>
      <c r="F88" s="61">
        <f t="shared" si="20"/>
        <v>9269667</v>
      </c>
      <c r="G88" s="84">
        <f>VLOOKUP(A88,'底稿_前2年手收20%'!A:L,12,0)</f>
        <v>13962806</v>
      </c>
      <c r="H88" s="84">
        <f>VLOOKUP(A88,'底稿_前2年手收20%'!O:Z,12,0)</f>
        <v>18555075</v>
      </c>
      <c r="I88" s="73">
        <f t="shared" si="21"/>
        <v>16258941</v>
      </c>
      <c r="J88" s="100">
        <f t="shared" si="14"/>
        <v>23793235</v>
      </c>
      <c r="K88" s="100">
        <f t="shared" si="15"/>
        <v>27263979</v>
      </c>
      <c r="L88" s="100">
        <f t="shared" si="18"/>
        <v>25528607</v>
      </c>
      <c r="M88" s="133">
        <f t="shared" si="16"/>
        <v>303618</v>
      </c>
    </row>
    <row r="89" spans="1:13" ht="24.95" customHeight="1">
      <c r="A89" s="49">
        <v>201</v>
      </c>
      <c r="B89" s="49">
        <f t="shared" si="17"/>
        <v>2010</v>
      </c>
      <c r="C89" s="49" t="s">
        <v>90</v>
      </c>
      <c r="D89" s="84">
        <f>VLOOKUP(A89,'底稿_前2年手收20%'!A:L,11,0)</f>
        <v>9168713</v>
      </c>
      <c r="E89" s="84">
        <f>VLOOKUP(A89,'底稿_前2年手收20%'!O:Z,11,0)</f>
        <v>11148383</v>
      </c>
      <c r="F89" s="61">
        <f t="shared" si="20"/>
        <v>10158548</v>
      </c>
      <c r="G89" s="84">
        <f>VLOOKUP(A89,'底稿_前2年手收20%'!A:L,12,0)</f>
        <v>17411287</v>
      </c>
      <c r="H89" s="84">
        <f>VLOOKUP(A89,'底稿_前2年手收20%'!O:Z,12,0)</f>
        <v>27178522</v>
      </c>
      <c r="I89" s="73">
        <f t="shared" si="21"/>
        <v>22294905</v>
      </c>
      <c r="J89" s="100">
        <f t="shared" si="14"/>
        <v>26580000</v>
      </c>
      <c r="K89" s="100">
        <f t="shared" si="15"/>
        <v>38326905</v>
      </c>
      <c r="L89" s="100">
        <f t="shared" si="18"/>
        <v>32453453</v>
      </c>
      <c r="M89" s="133">
        <f t="shared" si="16"/>
        <v>385977</v>
      </c>
    </row>
    <row r="90" spans="1:13" s="33" customFormat="1" ht="24.95" customHeight="1">
      <c r="A90" s="49">
        <v>211</v>
      </c>
      <c r="B90" s="49">
        <f t="shared" si="17"/>
        <v>2110</v>
      </c>
      <c r="C90" s="49" t="s">
        <v>25</v>
      </c>
      <c r="D90" s="84">
        <f>VLOOKUP(A90,'底稿_前2年手收20%'!A:L,11,0)</f>
        <v>11745743</v>
      </c>
      <c r="E90" s="84">
        <f>VLOOKUP(A90,'底稿_前2年手收20%'!O:Z,11,0)</f>
        <v>14892007</v>
      </c>
      <c r="F90" s="61">
        <f t="shared" si="20"/>
        <v>13318875</v>
      </c>
      <c r="G90" s="84">
        <f>VLOOKUP(A90,'底稿_前2年手收20%'!A:L,12,0)</f>
        <v>11454257</v>
      </c>
      <c r="H90" s="84">
        <f>VLOOKUP(A90,'底稿_前2年手收20%'!O:Z,12,0)</f>
        <v>28737993</v>
      </c>
      <c r="I90" s="73">
        <f t="shared" si="21"/>
        <v>20096125</v>
      </c>
      <c r="J90" s="100">
        <f t="shared" si="14"/>
        <v>23200000</v>
      </c>
      <c r="K90" s="100">
        <f t="shared" si="15"/>
        <v>43630000</v>
      </c>
      <c r="L90" s="100">
        <f t="shared" si="18"/>
        <v>33415000</v>
      </c>
      <c r="M90" s="133">
        <f t="shared" si="16"/>
        <v>397413</v>
      </c>
    </row>
    <row r="91" spans="1:13" ht="24.95" customHeight="1">
      <c r="A91" s="49">
        <v>220</v>
      </c>
      <c r="B91" s="49">
        <f t="shared" si="17"/>
        <v>2200</v>
      </c>
      <c r="C91" s="49" t="s">
        <v>26</v>
      </c>
      <c r="D91" s="84">
        <f>VLOOKUP(A91,'底稿_前2年手收20%'!A:L,11,0)</f>
        <v>8712229</v>
      </c>
      <c r="E91" s="84">
        <f>VLOOKUP(A91,'底稿_前2年手收20%'!O:Z,11,0)</f>
        <v>6740931</v>
      </c>
      <c r="F91" s="61">
        <f t="shared" si="20"/>
        <v>7726580</v>
      </c>
      <c r="G91" s="84">
        <f>VLOOKUP(A91,'底稿_前2年手收20%'!A:L,12,0)</f>
        <v>13217771</v>
      </c>
      <c r="H91" s="84">
        <f>VLOOKUP(A91,'底稿_前2年手收20%'!O:Z,12,0)</f>
        <v>24074826</v>
      </c>
      <c r="I91" s="73">
        <f t="shared" si="21"/>
        <v>18646299</v>
      </c>
      <c r="J91" s="100">
        <f t="shared" si="14"/>
        <v>21930000</v>
      </c>
      <c r="K91" s="100">
        <f t="shared" si="15"/>
        <v>30815757</v>
      </c>
      <c r="L91" s="100">
        <f t="shared" si="18"/>
        <v>26372879</v>
      </c>
      <c r="M91" s="133">
        <f t="shared" si="16"/>
        <v>313659</v>
      </c>
    </row>
    <row r="92" spans="1:13" s="33" customFormat="1" ht="24.95" customHeight="1">
      <c r="A92" s="49">
        <v>221</v>
      </c>
      <c r="B92" s="49">
        <f t="shared" si="17"/>
        <v>2210</v>
      </c>
      <c r="C92" s="49" t="s">
        <v>27</v>
      </c>
      <c r="D92" s="84">
        <f>VLOOKUP(A92,'底稿_前2年手收20%'!A:L,11,0)</f>
        <v>9264007</v>
      </c>
      <c r="E92" s="84">
        <f>VLOOKUP(A92,'底稿_前2年手收20%'!O:Z,11,0)</f>
        <v>10872785</v>
      </c>
      <c r="F92" s="61">
        <f t="shared" si="20"/>
        <v>10068396</v>
      </c>
      <c r="G92" s="84">
        <f>VLOOKUP(A92,'底稿_前2年手收20%'!A:L,12,0)</f>
        <v>12925993</v>
      </c>
      <c r="H92" s="84">
        <f>VLOOKUP(A92,'底稿_前2年手收20%'!O:Z,12,0)</f>
        <v>23317511</v>
      </c>
      <c r="I92" s="73">
        <f t="shared" si="21"/>
        <v>18121752</v>
      </c>
      <c r="J92" s="100">
        <f t="shared" si="14"/>
        <v>22190000</v>
      </c>
      <c r="K92" s="100">
        <f t="shared" si="15"/>
        <v>34190296</v>
      </c>
      <c r="L92" s="100">
        <f t="shared" si="18"/>
        <v>28190148</v>
      </c>
      <c r="M92" s="133">
        <f t="shared" si="16"/>
        <v>335272</v>
      </c>
    </row>
    <row r="93" spans="1:13" ht="24.95" customHeight="1">
      <c r="A93" s="49">
        <v>240</v>
      </c>
      <c r="B93" s="49">
        <f t="shared" si="17"/>
        <v>2400</v>
      </c>
      <c r="C93" s="49" t="s">
        <v>177</v>
      </c>
      <c r="D93" s="84">
        <f>VLOOKUP(A93,'底稿_前2年手收20%'!A:L,11,0)</f>
        <v>20563442</v>
      </c>
      <c r="E93" s="84">
        <f>VLOOKUP(A93,'底稿_前2年手收20%'!O:Z,11,0)</f>
        <v>25786484</v>
      </c>
      <c r="F93" s="61">
        <f t="shared" si="20"/>
        <v>23174963</v>
      </c>
      <c r="G93" s="84">
        <f>VLOOKUP(A93,'底稿_前2年手收20%'!A:L,12,0)</f>
        <v>24425207</v>
      </c>
      <c r="H93" s="84">
        <f>VLOOKUP(A93,'底稿_前2年手收20%'!O:Z,12,0)</f>
        <v>50253516</v>
      </c>
      <c r="I93" s="73">
        <f t="shared" si="21"/>
        <v>37339362</v>
      </c>
      <c r="J93" s="100">
        <f t="shared" si="14"/>
        <v>44988649</v>
      </c>
      <c r="K93" s="100">
        <f t="shared" si="15"/>
        <v>76040000</v>
      </c>
      <c r="L93" s="100">
        <f t="shared" si="18"/>
        <v>60514325</v>
      </c>
      <c r="M93" s="133">
        <f t="shared" si="16"/>
        <v>719712</v>
      </c>
    </row>
    <row r="94" spans="1:13" s="33" customFormat="1" ht="24.95" customHeight="1">
      <c r="A94" s="49">
        <v>241</v>
      </c>
      <c r="B94" s="49">
        <f t="shared" si="17"/>
        <v>2410</v>
      </c>
      <c r="C94" s="49" t="s">
        <v>91</v>
      </c>
      <c r="D94" s="84">
        <f>VLOOKUP(A94,'底稿_前2年手收20%'!A:L,11,0)</f>
        <v>26533909</v>
      </c>
      <c r="E94" s="84">
        <f>VLOOKUP(A94,'底稿_前2年手收20%'!O:Z,11,0)</f>
        <v>19762819</v>
      </c>
      <c r="F94" s="61">
        <f t="shared" si="20"/>
        <v>23148364</v>
      </c>
      <c r="G94" s="84">
        <f>VLOOKUP(A94,'底稿_前2年手收20%'!A:L,12,0)</f>
        <v>22826091</v>
      </c>
      <c r="H94" s="84">
        <f>VLOOKUP(A94,'底稿_前2年手收20%'!O:Z,12,0)</f>
        <v>43873161</v>
      </c>
      <c r="I94" s="73">
        <f t="shared" si="21"/>
        <v>33349626</v>
      </c>
      <c r="J94" s="100">
        <f t="shared" si="14"/>
        <v>49360000</v>
      </c>
      <c r="K94" s="100">
        <f t="shared" si="15"/>
        <v>63635980</v>
      </c>
      <c r="L94" s="100">
        <f t="shared" si="18"/>
        <v>56497990</v>
      </c>
      <c r="M94" s="133">
        <f t="shared" si="16"/>
        <v>671945</v>
      </c>
    </row>
    <row r="95" spans="1:13" ht="24.95" customHeight="1">
      <c r="A95" s="49">
        <v>242</v>
      </c>
      <c r="B95" s="49">
        <f t="shared" si="17"/>
        <v>2420</v>
      </c>
      <c r="C95" s="49" t="s">
        <v>28</v>
      </c>
      <c r="D95" s="84">
        <f>VLOOKUP(A95,'底稿_前2年手收20%'!A:L,11,0)</f>
        <v>23670014</v>
      </c>
      <c r="E95" s="84">
        <f>VLOOKUP(A95,'底稿_前2年手收20%'!O:Z,11,0)</f>
        <v>25266785</v>
      </c>
      <c r="F95" s="61">
        <f t="shared" si="20"/>
        <v>24468400</v>
      </c>
      <c r="G95" s="84">
        <f>VLOOKUP(A95,'底稿_前2年手收20%'!A:L,12,0)</f>
        <v>16891712</v>
      </c>
      <c r="H95" s="84">
        <f>VLOOKUP(A95,'底稿_前2年手收20%'!O:Z,12,0)</f>
        <v>40567856</v>
      </c>
      <c r="I95" s="73">
        <f t="shared" si="21"/>
        <v>28729784</v>
      </c>
      <c r="J95" s="100">
        <f t="shared" si="14"/>
        <v>40561726</v>
      </c>
      <c r="K95" s="100">
        <f t="shared" si="15"/>
        <v>65834641</v>
      </c>
      <c r="L95" s="100">
        <f t="shared" si="18"/>
        <v>53198184</v>
      </c>
      <c r="M95" s="133">
        <f t="shared" si="16"/>
        <v>632699</v>
      </c>
    </row>
    <row r="96" spans="1:13" s="33" customFormat="1" ht="24.95" customHeight="1">
      <c r="A96" s="49">
        <v>243</v>
      </c>
      <c r="B96" s="49">
        <f t="shared" si="17"/>
        <v>2430</v>
      </c>
      <c r="C96" s="49" t="s">
        <v>92</v>
      </c>
      <c r="D96" s="84">
        <f>VLOOKUP(A96,'底稿_前2年手收20%'!A:L,11,0)</f>
        <v>20187245</v>
      </c>
      <c r="E96" s="84">
        <f>VLOOKUP(A96,'底稿_前2年手收20%'!O:Z,11,0)</f>
        <v>22048154</v>
      </c>
      <c r="F96" s="61">
        <f t="shared" si="20"/>
        <v>21117700</v>
      </c>
      <c r="G96" s="84">
        <f>VLOOKUP(A96,'底稿_前2年手收20%'!A:L,12,0)</f>
        <v>15382755</v>
      </c>
      <c r="H96" s="84">
        <f>VLOOKUP(A96,'底稿_前2年手收20%'!O:Z,12,0)</f>
        <v>29351392</v>
      </c>
      <c r="I96" s="73">
        <f t="shared" si="21"/>
        <v>22367074</v>
      </c>
      <c r="J96" s="100">
        <f t="shared" si="14"/>
        <v>35570000</v>
      </c>
      <c r="K96" s="100">
        <f t="shared" si="15"/>
        <v>51399546</v>
      </c>
      <c r="L96" s="100">
        <f t="shared" si="18"/>
        <v>43484773</v>
      </c>
      <c r="M96" s="133">
        <f t="shared" si="16"/>
        <v>517175</v>
      </c>
    </row>
    <row r="97" spans="1:13" ht="24.95" customHeight="1">
      <c r="A97" s="49">
        <v>244</v>
      </c>
      <c r="B97" s="49">
        <f t="shared" si="17"/>
        <v>2440</v>
      </c>
      <c r="C97" s="49" t="s">
        <v>29</v>
      </c>
      <c r="D97" s="84">
        <f>VLOOKUP(A97,'底稿_前2年手收20%'!A:L,11,0)</f>
        <v>26853911</v>
      </c>
      <c r="E97" s="84">
        <f>VLOOKUP(A97,'底稿_前2年手收20%'!O:Z,11,0)</f>
        <v>38311209</v>
      </c>
      <c r="F97" s="61">
        <f t="shared" si="20"/>
        <v>32582560</v>
      </c>
      <c r="G97" s="84">
        <f>VLOOKUP(A97,'底稿_前2年手收20%'!A:L,12,0)</f>
        <v>12726089</v>
      </c>
      <c r="H97" s="84">
        <f>VLOOKUP(A97,'底稿_前2年手收20%'!O:Z,12,0)</f>
        <v>29948791</v>
      </c>
      <c r="I97" s="73">
        <f t="shared" si="21"/>
        <v>21337440</v>
      </c>
      <c r="J97" s="100">
        <f t="shared" si="14"/>
        <v>39580000</v>
      </c>
      <c r="K97" s="100">
        <f t="shared" si="15"/>
        <v>68260000</v>
      </c>
      <c r="L97" s="100">
        <f t="shared" si="18"/>
        <v>53920000</v>
      </c>
      <c r="M97" s="133">
        <f t="shared" si="16"/>
        <v>641284</v>
      </c>
    </row>
    <row r="98" spans="1:13" s="33" customFormat="1" ht="24.95" customHeight="1">
      <c r="A98" s="49">
        <v>245</v>
      </c>
      <c r="B98" s="49">
        <f t="shared" si="17"/>
        <v>2450</v>
      </c>
      <c r="C98" s="49" t="s">
        <v>93</v>
      </c>
      <c r="D98" s="84">
        <f>VLOOKUP(A98,'底稿_前2年手收20%'!A:L,11,0)</f>
        <v>8275211</v>
      </c>
      <c r="E98" s="84">
        <f>VLOOKUP(A98,'底稿_前2年手收20%'!O:Z,11,0)</f>
        <v>15577079</v>
      </c>
      <c r="F98" s="61">
        <f t="shared" si="20"/>
        <v>11926145</v>
      </c>
      <c r="G98" s="84">
        <f>VLOOKUP(A98,'底稿_前2年手收20%'!A:L,12,0)</f>
        <v>19794789</v>
      </c>
      <c r="H98" s="84">
        <f>VLOOKUP(A98,'底稿_前2年手收20%'!O:Z,12,0)</f>
        <v>32003933</v>
      </c>
      <c r="I98" s="73">
        <f t="shared" si="21"/>
        <v>25899361</v>
      </c>
      <c r="J98" s="100">
        <f t="shared" si="14"/>
        <v>28070000</v>
      </c>
      <c r="K98" s="100">
        <f t="shared" si="15"/>
        <v>47581012</v>
      </c>
      <c r="L98" s="100">
        <f t="shared" si="18"/>
        <v>37825506</v>
      </c>
      <c r="M98" s="133">
        <f t="shared" si="16"/>
        <v>449868</v>
      </c>
    </row>
    <row r="99" spans="1:13" ht="24.95" customHeight="1">
      <c r="A99" s="49">
        <v>246</v>
      </c>
      <c r="B99" s="49">
        <f t="shared" si="17"/>
        <v>2460</v>
      </c>
      <c r="C99" s="49" t="s">
        <v>178</v>
      </c>
      <c r="D99" s="84">
        <f>VLOOKUP(A99,'底稿_前2年手收20%'!A:L,11,0)</f>
        <v>12000472</v>
      </c>
      <c r="E99" s="84">
        <f>VLOOKUP(A99,'底稿_前2年手收20%'!O:Z,11,0)</f>
        <v>22008544</v>
      </c>
      <c r="F99" s="61">
        <f t="shared" si="20"/>
        <v>17004508</v>
      </c>
      <c r="G99" s="84">
        <f>VLOOKUP(A99,'底稿_前2年手收20%'!A:L,12,0)</f>
        <v>16109528</v>
      </c>
      <c r="H99" s="84">
        <f>VLOOKUP(A99,'底稿_前2年手收20%'!O:Z,12,0)</f>
        <v>27860606</v>
      </c>
      <c r="I99" s="73">
        <f t="shared" si="21"/>
        <v>21985067</v>
      </c>
      <c r="J99" s="100">
        <f t="shared" ref="J99:J130" si="22">D99+G99</f>
        <v>28110000</v>
      </c>
      <c r="K99" s="100">
        <f t="shared" ref="K99:K130" si="23">E99+H99</f>
        <v>49869150</v>
      </c>
      <c r="L99" s="100">
        <f t="shared" si="18"/>
        <v>38989575</v>
      </c>
      <c r="M99" s="133">
        <f t="shared" ref="M99:M130" si="24">ROUND(L99*(M$1/L$186), 0)</f>
        <v>463713</v>
      </c>
    </row>
    <row r="100" spans="1:13" s="33" customFormat="1" ht="24.95" customHeight="1">
      <c r="A100" s="49">
        <v>247</v>
      </c>
      <c r="B100" s="49">
        <f t="shared" si="17"/>
        <v>2470</v>
      </c>
      <c r="C100" s="49" t="s">
        <v>179</v>
      </c>
      <c r="D100" s="84">
        <f>VLOOKUP(A100,'底稿_前2年手收20%'!A:L,11,0)</f>
        <v>13175547</v>
      </c>
      <c r="E100" s="84">
        <f>VLOOKUP(A100,'底稿_前2年手收20%'!O:Z,11,0)</f>
        <v>15431584</v>
      </c>
      <c r="F100" s="61">
        <f t="shared" si="20"/>
        <v>14303566</v>
      </c>
      <c r="G100" s="84">
        <f>VLOOKUP(A100,'底稿_前2年手收20%'!A:L,12,0)</f>
        <v>18104453</v>
      </c>
      <c r="H100" s="84">
        <f>VLOOKUP(A100,'底稿_前2年手收20%'!O:Z,12,0)</f>
        <v>38298416</v>
      </c>
      <c r="I100" s="73">
        <f t="shared" si="21"/>
        <v>28201435</v>
      </c>
      <c r="J100" s="100">
        <f t="shared" si="22"/>
        <v>31280000</v>
      </c>
      <c r="K100" s="100">
        <f t="shared" si="23"/>
        <v>53730000</v>
      </c>
      <c r="L100" s="100">
        <f t="shared" si="18"/>
        <v>42505000</v>
      </c>
      <c r="M100" s="133">
        <f t="shared" si="24"/>
        <v>505523</v>
      </c>
    </row>
    <row r="101" spans="1:13" ht="24.95" customHeight="1">
      <c r="A101" s="49">
        <v>248</v>
      </c>
      <c r="B101" s="49">
        <f t="shared" si="17"/>
        <v>2480</v>
      </c>
      <c r="C101" s="49" t="s">
        <v>94</v>
      </c>
      <c r="D101" s="84">
        <f>VLOOKUP(A101,'底稿_前2年手收20%'!A:L,11,0)</f>
        <v>15280795</v>
      </c>
      <c r="E101" s="84">
        <f>VLOOKUP(A101,'底稿_前2年手收20%'!O:Z,11,0)</f>
        <v>17285007</v>
      </c>
      <c r="F101" s="61">
        <f t="shared" si="20"/>
        <v>16282901</v>
      </c>
      <c r="G101" s="84">
        <f>VLOOKUP(A101,'底稿_前2年手收20%'!A:L,12,0)</f>
        <v>16229205</v>
      </c>
      <c r="H101" s="84">
        <f>VLOOKUP(A101,'底稿_前2年手收20%'!O:Z,12,0)</f>
        <v>25806173</v>
      </c>
      <c r="I101" s="73">
        <f t="shared" si="21"/>
        <v>21017689</v>
      </c>
      <c r="J101" s="100">
        <f t="shared" si="22"/>
        <v>31510000</v>
      </c>
      <c r="K101" s="100">
        <f t="shared" si="23"/>
        <v>43091180</v>
      </c>
      <c r="L101" s="100">
        <f t="shared" si="18"/>
        <v>37300590</v>
      </c>
      <c r="M101" s="133">
        <f t="shared" si="24"/>
        <v>443625</v>
      </c>
    </row>
    <row r="102" spans="1:13" s="33" customFormat="1" ht="24.95" customHeight="1">
      <c r="A102" s="49">
        <v>249</v>
      </c>
      <c r="B102" s="49">
        <f t="shared" si="17"/>
        <v>2490</v>
      </c>
      <c r="C102" s="49" t="s">
        <v>30</v>
      </c>
      <c r="D102" s="84">
        <f>VLOOKUP(A102,'底稿_前2年手收20%'!A:L,11,0)</f>
        <v>5720392</v>
      </c>
      <c r="E102" s="84">
        <f>VLOOKUP(A102,'底稿_前2年手收20%'!O:Z,11,0)</f>
        <v>11007323</v>
      </c>
      <c r="F102" s="61">
        <f t="shared" si="20"/>
        <v>8363858</v>
      </c>
      <c r="G102" s="84">
        <f>VLOOKUP(A102,'底稿_前2年手收20%'!A:L,12,0)</f>
        <v>15899608</v>
      </c>
      <c r="H102" s="84">
        <f>VLOOKUP(A102,'底稿_前2年手收20%'!O:Z,12,0)</f>
        <v>25502677</v>
      </c>
      <c r="I102" s="73">
        <f t="shared" si="21"/>
        <v>20701143</v>
      </c>
      <c r="J102" s="100">
        <f t="shared" si="22"/>
        <v>21620000</v>
      </c>
      <c r="K102" s="100">
        <f t="shared" si="23"/>
        <v>36510000</v>
      </c>
      <c r="L102" s="100">
        <f t="shared" si="18"/>
        <v>29065000</v>
      </c>
      <c r="M102" s="133">
        <f t="shared" si="24"/>
        <v>345677</v>
      </c>
    </row>
    <row r="103" spans="1:13" ht="24.95" customHeight="1">
      <c r="A103" s="49">
        <v>250</v>
      </c>
      <c r="B103" s="49">
        <f t="shared" si="17"/>
        <v>2500</v>
      </c>
      <c r="C103" s="49" t="s">
        <v>180</v>
      </c>
      <c r="D103" s="84">
        <f>VLOOKUP(A103,'底稿_前2年手收20%'!A:L,11,0)</f>
        <v>6306967</v>
      </c>
      <c r="E103" s="84">
        <f>VLOOKUP(A103,'底稿_前2年手收20%'!O:Z,11,0)</f>
        <v>5449614</v>
      </c>
      <c r="F103" s="61">
        <f t="shared" ref="F103:F134" si="25">ROUND(AVERAGE(D103:E103), 0)</f>
        <v>5878291</v>
      </c>
      <c r="G103" s="84">
        <f>VLOOKUP(A103,'底稿_前2年手收20%'!A:L,12,0)</f>
        <v>11843033</v>
      </c>
      <c r="H103" s="84">
        <f>VLOOKUP(A103,'底稿_前2年手收20%'!O:Z,12,0)</f>
        <v>25580386</v>
      </c>
      <c r="I103" s="73">
        <f t="shared" ref="I103:I134" si="26">ROUND(AVERAGE(G103:H103), 0)</f>
        <v>18711710</v>
      </c>
      <c r="J103" s="100">
        <f t="shared" si="22"/>
        <v>18150000</v>
      </c>
      <c r="K103" s="100">
        <f t="shared" si="23"/>
        <v>31030000</v>
      </c>
      <c r="L103" s="100">
        <f t="shared" si="18"/>
        <v>24590000</v>
      </c>
      <c r="M103" s="133">
        <f t="shared" si="24"/>
        <v>292455</v>
      </c>
    </row>
    <row r="104" spans="1:13" s="33" customFormat="1" ht="24.75" customHeight="1">
      <c r="A104" s="49">
        <v>251</v>
      </c>
      <c r="B104" s="49">
        <f t="shared" si="17"/>
        <v>2510</v>
      </c>
      <c r="C104" s="49" t="s">
        <v>181</v>
      </c>
      <c r="D104" s="84">
        <f>VLOOKUP(A104,'底稿_前2年手收20%'!A:L,11,0)</f>
        <v>4096757</v>
      </c>
      <c r="E104" s="84">
        <f>VLOOKUP(A104,'底稿_前2年手收20%'!O:Z,11,0)</f>
        <v>4819644</v>
      </c>
      <c r="F104" s="61">
        <f t="shared" si="25"/>
        <v>4458201</v>
      </c>
      <c r="G104" s="84">
        <f>VLOOKUP(A104,'底稿_前2年手收20%'!A:L,12,0)</f>
        <v>16173243</v>
      </c>
      <c r="H104" s="84">
        <f>VLOOKUP(A104,'底稿_前2年手收20%'!O:Z,12,0)</f>
        <v>26762881</v>
      </c>
      <c r="I104" s="73">
        <f t="shared" si="26"/>
        <v>21468062</v>
      </c>
      <c r="J104" s="100">
        <f t="shared" si="22"/>
        <v>20270000</v>
      </c>
      <c r="K104" s="100">
        <f t="shared" si="23"/>
        <v>31582525</v>
      </c>
      <c r="L104" s="100">
        <f t="shared" si="18"/>
        <v>25926263</v>
      </c>
      <c r="M104" s="133">
        <f t="shared" si="24"/>
        <v>308347</v>
      </c>
    </row>
    <row r="105" spans="1:13" ht="24.95" customHeight="1">
      <c r="A105" s="49">
        <v>252</v>
      </c>
      <c r="B105" s="49">
        <f t="shared" si="17"/>
        <v>2520</v>
      </c>
      <c r="C105" s="49" t="s">
        <v>95</v>
      </c>
      <c r="D105" s="84">
        <f>VLOOKUP(A105,'底稿_前2年手收20%'!A:L,11,0)</f>
        <v>17251539</v>
      </c>
      <c r="E105" s="84">
        <f>VLOOKUP(A105,'底稿_前2年手收20%'!O:Z,11,0)</f>
        <v>15239774</v>
      </c>
      <c r="F105" s="61">
        <f t="shared" si="25"/>
        <v>16245657</v>
      </c>
      <c r="G105" s="84">
        <f>VLOOKUP(A105,'底稿_前2年手收20%'!A:L,12,0)</f>
        <v>11068336</v>
      </c>
      <c r="H105" s="84">
        <f>VLOOKUP(A105,'底稿_前2年手收20%'!O:Z,12,0)</f>
        <v>20634141</v>
      </c>
      <c r="I105" s="73">
        <f t="shared" si="26"/>
        <v>15851239</v>
      </c>
      <c r="J105" s="100">
        <f t="shared" si="22"/>
        <v>28319875</v>
      </c>
      <c r="K105" s="100">
        <f t="shared" si="23"/>
        <v>35873915</v>
      </c>
      <c r="L105" s="100">
        <f t="shared" si="18"/>
        <v>32096895</v>
      </c>
      <c r="M105" s="133">
        <f t="shared" si="24"/>
        <v>381736</v>
      </c>
    </row>
    <row r="106" spans="1:13" s="33" customFormat="1" ht="24.95" customHeight="1">
      <c r="A106" s="49">
        <v>260</v>
      </c>
      <c r="B106" s="49">
        <f t="shared" si="17"/>
        <v>2600</v>
      </c>
      <c r="C106" s="49" t="s">
        <v>96</v>
      </c>
      <c r="D106" s="84">
        <f>VLOOKUP(A106,'底稿_前2年手收20%'!A:L,11,0)</f>
        <v>21481813</v>
      </c>
      <c r="E106" s="84">
        <f>VLOOKUP(A106,'底稿_前2年手收20%'!O:Z,11,0)</f>
        <v>17362103</v>
      </c>
      <c r="F106" s="61">
        <f t="shared" si="25"/>
        <v>19421958</v>
      </c>
      <c r="G106" s="84">
        <f>VLOOKUP(A106,'底稿_前2年手收20%'!A:L,12,0)</f>
        <v>15958187</v>
      </c>
      <c r="H106" s="84">
        <f>VLOOKUP(A106,'底稿_前2年手收20%'!O:Z,12,0)</f>
        <v>46607897</v>
      </c>
      <c r="I106" s="73">
        <f t="shared" si="26"/>
        <v>31283042</v>
      </c>
      <c r="J106" s="100">
        <f t="shared" si="22"/>
        <v>37440000</v>
      </c>
      <c r="K106" s="100">
        <f t="shared" si="23"/>
        <v>63970000</v>
      </c>
      <c r="L106" s="100">
        <f t="shared" si="18"/>
        <v>50705000</v>
      </c>
      <c r="M106" s="133">
        <f t="shared" si="24"/>
        <v>603047</v>
      </c>
    </row>
    <row r="107" spans="1:13" ht="24.95" customHeight="1">
      <c r="A107" s="49">
        <v>262</v>
      </c>
      <c r="B107" s="49">
        <f t="shared" si="17"/>
        <v>2620</v>
      </c>
      <c r="C107" s="49" t="s">
        <v>97</v>
      </c>
      <c r="D107" s="84">
        <f>VLOOKUP(A107,'底稿_前2年手收20%'!A:L,11,0)</f>
        <v>11919608</v>
      </c>
      <c r="E107" s="84">
        <f>VLOOKUP(A107,'底稿_前2年手收20%'!O:Z,11,0)</f>
        <v>12973617</v>
      </c>
      <c r="F107" s="61">
        <f t="shared" si="25"/>
        <v>12446613</v>
      </c>
      <c r="G107" s="84">
        <f>VLOOKUP(A107,'底稿_前2年手收20%'!A:L,12,0)</f>
        <v>16290392</v>
      </c>
      <c r="H107" s="84">
        <f>VLOOKUP(A107,'底稿_前2年手收20%'!O:Z,12,0)</f>
        <v>34646383</v>
      </c>
      <c r="I107" s="73">
        <f t="shared" si="26"/>
        <v>25468388</v>
      </c>
      <c r="J107" s="100">
        <f t="shared" si="22"/>
        <v>28210000</v>
      </c>
      <c r="K107" s="100">
        <f t="shared" si="23"/>
        <v>47620000</v>
      </c>
      <c r="L107" s="100">
        <f t="shared" si="18"/>
        <v>37915000</v>
      </c>
      <c r="M107" s="133">
        <f t="shared" si="24"/>
        <v>450932</v>
      </c>
    </row>
    <row r="108" spans="1:13" s="319" customFormat="1" ht="24.95" customHeight="1">
      <c r="A108" s="316">
        <v>268</v>
      </c>
      <c r="B108" s="316">
        <f t="shared" si="17"/>
        <v>2680</v>
      </c>
      <c r="C108" s="316" t="s">
        <v>1282</v>
      </c>
      <c r="D108" s="317">
        <f>VLOOKUP(A108,'底稿_前2年手收20%'!A:L,11,0)</f>
        <v>3267187</v>
      </c>
      <c r="E108" s="317">
        <f>VLOOKUP(A108,'底稿_前2年手收20%'!O:Z,11,0)</f>
        <v>2483405</v>
      </c>
      <c r="F108" s="318">
        <f t="shared" si="25"/>
        <v>2875296</v>
      </c>
      <c r="G108" s="317">
        <f>VLOOKUP(A108,'底稿_前2年手收20%'!A:L,12,0)</f>
        <v>2795971</v>
      </c>
      <c r="H108" s="317">
        <f>VLOOKUP(A108,'底稿_前2年手收20%'!O:Z,12,0)</f>
        <v>6746595</v>
      </c>
      <c r="I108" s="341">
        <f t="shared" si="26"/>
        <v>4771283</v>
      </c>
      <c r="J108" s="315">
        <f t="shared" si="22"/>
        <v>6063158</v>
      </c>
      <c r="K108" s="315">
        <f t="shared" si="23"/>
        <v>9230000</v>
      </c>
      <c r="L108" s="100">
        <f t="shared" si="18"/>
        <v>7646579</v>
      </c>
      <c r="M108" s="133">
        <f t="shared" si="24"/>
        <v>90943</v>
      </c>
    </row>
    <row r="109" spans="1:13" ht="24.95" customHeight="1">
      <c r="A109" s="49">
        <v>300</v>
      </c>
      <c r="B109" s="49">
        <f t="shared" si="17"/>
        <v>3000</v>
      </c>
      <c r="C109" s="49" t="s">
        <v>98</v>
      </c>
      <c r="D109" s="84">
        <f>VLOOKUP(A109,'底稿_前2年手收20%'!A:L,11,0)</f>
        <v>19157534</v>
      </c>
      <c r="E109" s="84">
        <f>VLOOKUP(A109,'底稿_前2年手收20%'!O:Z,11,0)</f>
        <v>21645692</v>
      </c>
      <c r="F109" s="61">
        <f t="shared" si="25"/>
        <v>20401613</v>
      </c>
      <c r="G109" s="84">
        <f>VLOOKUP(A109,'底稿_前2年手收20%'!A:L,12,0)</f>
        <v>18937459</v>
      </c>
      <c r="H109" s="84">
        <f>VLOOKUP(A109,'底稿_前2年手收20%'!O:Z,12,0)</f>
        <v>37447901</v>
      </c>
      <c r="I109" s="73">
        <f t="shared" si="26"/>
        <v>28192680</v>
      </c>
      <c r="J109" s="100">
        <f t="shared" si="22"/>
        <v>38094993</v>
      </c>
      <c r="K109" s="100">
        <f t="shared" si="23"/>
        <v>59093593</v>
      </c>
      <c r="L109" s="100">
        <f t="shared" si="18"/>
        <v>48594293</v>
      </c>
      <c r="M109" s="133">
        <f t="shared" si="24"/>
        <v>577944</v>
      </c>
    </row>
    <row r="110" spans="1:13" s="33" customFormat="1" ht="24.95" customHeight="1">
      <c r="A110" s="49">
        <v>301</v>
      </c>
      <c r="B110" s="49">
        <f t="shared" si="17"/>
        <v>3010</v>
      </c>
      <c r="C110" s="49" t="s">
        <v>99</v>
      </c>
      <c r="D110" s="84">
        <f>VLOOKUP(A110,'底稿_前2年手收20%'!A:L,11,0)</f>
        <v>12792577</v>
      </c>
      <c r="E110" s="84">
        <f>VLOOKUP(A110,'底稿_前2年手收20%'!O:Z,11,0)</f>
        <v>13047858</v>
      </c>
      <c r="F110" s="61">
        <f t="shared" si="25"/>
        <v>12920218</v>
      </c>
      <c r="G110" s="84">
        <f>VLOOKUP(A110,'底稿_前2年手收20%'!A:L,12,0)</f>
        <v>18647423</v>
      </c>
      <c r="H110" s="84">
        <f>VLOOKUP(A110,'底稿_前2年手收20%'!O:Z,12,0)</f>
        <v>39472142</v>
      </c>
      <c r="I110" s="73">
        <f t="shared" si="26"/>
        <v>29059783</v>
      </c>
      <c r="J110" s="100">
        <f t="shared" si="22"/>
        <v>31440000</v>
      </c>
      <c r="K110" s="100">
        <f t="shared" si="23"/>
        <v>52520000</v>
      </c>
      <c r="L110" s="100">
        <f t="shared" si="18"/>
        <v>41980000</v>
      </c>
      <c r="M110" s="133">
        <f t="shared" si="24"/>
        <v>499279</v>
      </c>
    </row>
    <row r="111" spans="1:13" ht="24.95" customHeight="1">
      <c r="A111" s="49">
        <v>302</v>
      </c>
      <c r="B111" s="49">
        <f t="shared" si="17"/>
        <v>3020</v>
      </c>
      <c r="C111" s="49" t="s">
        <v>31</v>
      </c>
      <c r="D111" s="84">
        <f>VLOOKUP(A111,'底稿_前2年手收20%'!A:L,11,0)</f>
        <v>13888031</v>
      </c>
      <c r="E111" s="84">
        <f>VLOOKUP(A111,'底稿_前2年手收20%'!O:Z,11,0)</f>
        <v>13509979</v>
      </c>
      <c r="F111" s="61">
        <f t="shared" si="25"/>
        <v>13699005</v>
      </c>
      <c r="G111" s="84">
        <f>VLOOKUP(A111,'底稿_前2年手收20%'!A:L,12,0)</f>
        <v>9831969</v>
      </c>
      <c r="H111" s="84">
        <f>VLOOKUP(A111,'底稿_前2年手收20%'!O:Z,12,0)</f>
        <v>14925295</v>
      </c>
      <c r="I111" s="73">
        <f t="shared" si="26"/>
        <v>12378632</v>
      </c>
      <c r="J111" s="100">
        <f t="shared" si="22"/>
        <v>23720000</v>
      </c>
      <c r="K111" s="100">
        <f t="shared" si="23"/>
        <v>28435274</v>
      </c>
      <c r="L111" s="100">
        <f t="shared" si="18"/>
        <v>26077637</v>
      </c>
      <c r="M111" s="133">
        <f t="shared" si="24"/>
        <v>310148</v>
      </c>
    </row>
    <row r="112" spans="1:13" s="33" customFormat="1" ht="24.95" customHeight="1">
      <c r="A112" s="49">
        <v>310</v>
      </c>
      <c r="B112" s="49">
        <f t="shared" si="17"/>
        <v>3100</v>
      </c>
      <c r="C112" s="49" t="s">
        <v>32</v>
      </c>
      <c r="D112" s="84">
        <f>VLOOKUP(A112,'底稿_前2年手收20%'!A:L,11,0)</f>
        <v>13722731</v>
      </c>
      <c r="E112" s="84">
        <f>VLOOKUP(A112,'底稿_前2年手收20%'!O:Z,11,0)</f>
        <v>12632127</v>
      </c>
      <c r="F112" s="61">
        <f t="shared" si="25"/>
        <v>13177429</v>
      </c>
      <c r="G112" s="84">
        <f>VLOOKUP(A112,'底稿_前2年手收20%'!A:L,12,0)</f>
        <v>15487269</v>
      </c>
      <c r="H112" s="84">
        <f>VLOOKUP(A112,'底稿_前2年手收20%'!O:Z,12,0)</f>
        <v>31388939</v>
      </c>
      <c r="I112" s="73">
        <f t="shared" si="26"/>
        <v>23438104</v>
      </c>
      <c r="J112" s="100">
        <f t="shared" si="22"/>
        <v>29210000</v>
      </c>
      <c r="K112" s="100">
        <f t="shared" si="23"/>
        <v>44021066</v>
      </c>
      <c r="L112" s="100">
        <f t="shared" si="18"/>
        <v>36615533</v>
      </c>
      <c r="M112" s="133">
        <f t="shared" si="24"/>
        <v>435478</v>
      </c>
    </row>
    <row r="113" spans="1:13" ht="24.95" customHeight="1">
      <c r="A113" s="49">
        <v>313</v>
      </c>
      <c r="B113" s="49">
        <f t="shared" si="17"/>
        <v>3130</v>
      </c>
      <c r="C113" s="49" t="s">
        <v>182</v>
      </c>
      <c r="D113" s="84">
        <f>VLOOKUP(A113,'底稿_前2年手收20%'!A:L,11,0)</f>
        <v>7305931</v>
      </c>
      <c r="E113" s="84">
        <f>VLOOKUP(A113,'底稿_前2年手收20%'!O:Z,11,0)</f>
        <v>5858393</v>
      </c>
      <c r="F113" s="61">
        <f t="shared" si="25"/>
        <v>6582162</v>
      </c>
      <c r="G113" s="84">
        <f>VLOOKUP(A113,'底稿_前2年手收20%'!A:L,12,0)</f>
        <v>8034069</v>
      </c>
      <c r="H113" s="84">
        <f>VLOOKUP(A113,'底稿_前2年手收20%'!O:Z,12,0)</f>
        <v>17052910</v>
      </c>
      <c r="I113" s="73">
        <f t="shared" si="26"/>
        <v>12543490</v>
      </c>
      <c r="J113" s="100">
        <f t="shared" si="22"/>
        <v>15340000</v>
      </c>
      <c r="K113" s="100">
        <f t="shared" si="23"/>
        <v>22911303</v>
      </c>
      <c r="L113" s="100">
        <f t="shared" si="18"/>
        <v>19125652</v>
      </c>
      <c r="M113" s="133">
        <f t="shared" si="24"/>
        <v>227466</v>
      </c>
    </row>
    <row r="114" spans="1:13" s="33" customFormat="1" ht="24.95" customHeight="1">
      <c r="A114" s="49">
        <v>320</v>
      </c>
      <c r="B114" s="49">
        <f t="shared" si="17"/>
        <v>3200</v>
      </c>
      <c r="C114" s="49" t="s">
        <v>183</v>
      </c>
      <c r="D114" s="84">
        <f>VLOOKUP(A114,'底稿_前2年手收20%'!A:L,11,0)</f>
        <v>16097245</v>
      </c>
      <c r="E114" s="84">
        <f>VLOOKUP(A114,'底稿_前2年手收20%'!O:Z,11,0)</f>
        <v>19143043</v>
      </c>
      <c r="F114" s="61">
        <f t="shared" si="25"/>
        <v>17620144</v>
      </c>
      <c r="G114" s="84">
        <f>VLOOKUP(A114,'底稿_前2年手收20%'!A:L,12,0)</f>
        <v>14822755</v>
      </c>
      <c r="H114" s="84">
        <f>VLOOKUP(A114,'底稿_前2年手收20%'!O:Z,12,0)</f>
        <v>34466957</v>
      </c>
      <c r="I114" s="73">
        <f t="shared" si="26"/>
        <v>24644856</v>
      </c>
      <c r="J114" s="100">
        <f t="shared" si="22"/>
        <v>30920000</v>
      </c>
      <c r="K114" s="100">
        <f t="shared" si="23"/>
        <v>53610000</v>
      </c>
      <c r="L114" s="100">
        <f t="shared" si="18"/>
        <v>42265000</v>
      </c>
      <c r="M114" s="133">
        <f t="shared" si="24"/>
        <v>502668</v>
      </c>
    </row>
    <row r="115" spans="1:13" ht="24.95" customHeight="1">
      <c r="A115" s="49">
        <v>321</v>
      </c>
      <c r="B115" s="49">
        <f t="shared" si="17"/>
        <v>3210</v>
      </c>
      <c r="C115" s="49" t="s">
        <v>184</v>
      </c>
      <c r="D115" s="84">
        <f>VLOOKUP(A115,'底稿_前2年手收20%'!A:L,11,0)</f>
        <v>16739630</v>
      </c>
      <c r="E115" s="84">
        <f>VLOOKUP(A115,'底稿_前2年手收20%'!O:Z,11,0)</f>
        <v>15957304</v>
      </c>
      <c r="F115" s="61">
        <f t="shared" si="25"/>
        <v>16348467</v>
      </c>
      <c r="G115" s="84">
        <f>VLOOKUP(A115,'底稿_前2年手收20%'!A:L,12,0)</f>
        <v>20070370</v>
      </c>
      <c r="H115" s="84">
        <f>VLOOKUP(A115,'底稿_前2年手收20%'!O:Z,12,0)</f>
        <v>23963240</v>
      </c>
      <c r="I115" s="73">
        <f t="shared" si="26"/>
        <v>22016805</v>
      </c>
      <c r="J115" s="100">
        <f t="shared" si="22"/>
        <v>36810000</v>
      </c>
      <c r="K115" s="100">
        <f t="shared" si="23"/>
        <v>39920544</v>
      </c>
      <c r="L115" s="100">
        <f t="shared" si="18"/>
        <v>38365272</v>
      </c>
      <c r="M115" s="133">
        <f t="shared" si="24"/>
        <v>456288</v>
      </c>
    </row>
    <row r="116" spans="1:13" s="33" customFormat="1" ht="24.95" customHeight="1">
      <c r="A116" s="49">
        <v>322</v>
      </c>
      <c r="B116" s="49">
        <f t="shared" si="17"/>
        <v>3220</v>
      </c>
      <c r="C116" s="49" t="s">
        <v>34</v>
      </c>
      <c r="D116" s="84">
        <f>VLOOKUP(A116,'底稿_前2年手收20%'!A:L,11,0)</f>
        <v>13331510</v>
      </c>
      <c r="E116" s="84">
        <f>VLOOKUP(A116,'底稿_前2年手收20%'!O:Z,11,0)</f>
        <v>17469590</v>
      </c>
      <c r="F116" s="61">
        <f t="shared" si="25"/>
        <v>15400550</v>
      </c>
      <c r="G116" s="84">
        <f>VLOOKUP(A116,'底稿_前2年手收20%'!A:L,12,0)</f>
        <v>10828490</v>
      </c>
      <c r="H116" s="84">
        <f>VLOOKUP(A116,'底稿_前2年手收20%'!O:Z,12,0)</f>
        <v>19231358</v>
      </c>
      <c r="I116" s="73">
        <f t="shared" si="26"/>
        <v>15029924</v>
      </c>
      <c r="J116" s="100">
        <f t="shared" si="22"/>
        <v>24160000</v>
      </c>
      <c r="K116" s="100">
        <f t="shared" si="23"/>
        <v>36700948</v>
      </c>
      <c r="L116" s="100">
        <f t="shared" si="18"/>
        <v>30430474</v>
      </c>
      <c r="M116" s="133">
        <f t="shared" si="24"/>
        <v>361917</v>
      </c>
    </row>
    <row r="117" spans="1:13" ht="24.95" customHeight="1">
      <c r="A117" s="49">
        <v>323</v>
      </c>
      <c r="B117" s="49">
        <f t="shared" si="17"/>
        <v>3230</v>
      </c>
      <c r="C117" s="49" t="s">
        <v>185</v>
      </c>
      <c r="D117" s="84">
        <f>VLOOKUP(A117,'底稿_前2年手收20%'!A:L,11,0)</f>
        <v>16784119</v>
      </c>
      <c r="E117" s="84">
        <f>VLOOKUP(A117,'底稿_前2年手收20%'!O:Z,11,0)</f>
        <v>12149356</v>
      </c>
      <c r="F117" s="61">
        <f t="shared" si="25"/>
        <v>14466738</v>
      </c>
      <c r="G117" s="84">
        <f>VLOOKUP(A117,'底稿_前2年手收20%'!A:L,12,0)</f>
        <v>6525881</v>
      </c>
      <c r="H117" s="84">
        <f>VLOOKUP(A117,'底稿_前2年手收20%'!O:Z,12,0)</f>
        <v>19170331</v>
      </c>
      <c r="I117" s="73">
        <f t="shared" si="26"/>
        <v>12848106</v>
      </c>
      <c r="J117" s="100">
        <f t="shared" si="22"/>
        <v>23310000</v>
      </c>
      <c r="K117" s="100">
        <f t="shared" si="23"/>
        <v>31319687</v>
      </c>
      <c r="L117" s="100">
        <f t="shared" si="18"/>
        <v>27314844</v>
      </c>
      <c r="M117" s="133">
        <f t="shared" si="24"/>
        <v>324862</v>
      </c>
    </row>
    <row r="118" spans="1:13" s="33" customFormat="1" ht="24.95" customHeight="1">
      <c r="A118" s="49">
        <v>351</v>
      </c>
      <c r="B118" s="49">
        <f t="shared" si="17"/>
        <v>3510</v>
      </c>
      <c r="C118" s="49" t="s">
        <v>100</v>
      </c>
      <c r="D118" s="84">
        <f>VLOOKUP(A118,'底稿_前2年手收20%'!A:L,11,0)</f>
        <v>7039268</v>
      </c>
      <c r="E118" s="84">
        <f>VLOOKUP(A118,'底稿_前2年手收20%'!O:Z,11,0)</f>
        <v>7242267</v>
      </c>
      <c r="F118" s="61">
        <f t="shared" si="25"/>
        <v>7140768</v>
      </c>
      <c r="G118" s="84">
        <f>VLOOKUP(A118,'底稿_前2年手收20%'!A:L,12,0)</f>
        <v>14670732</v>
      </c>
      <c r="H118" s="84">
        <f>VLOOKUP(A118,'底稿_前2年手收20%'!O:Z,12,0)</f>
        <v>29967733</v>
      </c>
      <c r="I118" s="73">
        <f t="shared" si="26"/>
        <v>22319233</v>
      </c>
      <c r="J118" s="100">
        <f t="shared" si="22"/>
        <v>21710000</v>
      </c>
      <c r="K118" s="100">
        <f t="shared" si="23"/>
        <v>37210000</v>
      </c>
      <c r="L118" s="100">
        <f t="shared" si="18"/>
        <v>29460000</v>
      </c>
      <c r="M118" s="133">
        <f t="shared" si="24"/>
        <v>350375</v>
      </c>
    </row>
    <row r="119" spans="1:13" ht="24.95" customHeight="1">
      <c r="A119" s="49">
        <v>400</v>
      </c>
      <c r="B119" s="49">
        <f t="shared" si="17"/>
        <v>4000</v>
      </c>
      <c r="C119" s="49" t="s">
        <v>35</v>
      </c>
      <c r="D119" s="84">
        <f>VLOOKUP(A119,'底稿_前2年手收20%'!A:L,11,0)</f>
        <v>20617458</v>
      </c>
      <c r="E119" s="84">
        <f>VLOOKUP(A119,'底稿_前2年手收20%'!O:Z,11,0)</f>
        <v>22638737</v>
      </c>
      <c r="F119" s="61">
        <f t="shared" si="25"/>
        <v>21628098</v>
      </c>
      <c r="G119" s="84">
        <f>VLOOKUP(A119,'底稿_前2年手收20%'!A:L,12,0)</f>
        <v>29572542</v>
      </c>
      <c r="H119" s="84">
        <f>VLOOKUP(A119,'底稿_前2年手收20%'!O:Z,12,0)</f>
        <v>60541263</v>
      </c>
      <c r="I119" s="73">
        <f t="shared" si="26"/>
        <v>45056903</v>
      </c>
      <c r="J119" s="100">
        <f t="shared" si="22"/>
        <v>50190000</v>
      </c>
      <c r="K119" s="100">
        <f t="shared" si="23"/>
        <v>83180000</v>
      </c>
      <c r="L119" s="100">
        <f t="shared" si="18"/>
        <v>66685000</v>
      </c>
      <c r="M119" s="133">
        <f t="shared" si="24"/>
        <v>793101</v>
      </c>
    </row>
    <row r="120" spans="1:13" s="33" customFormat="1" ht="24.95" customHeight="1">
      <c r="A120" s="49">
        <v>401</v>
      </c>
      <c r="B120" s="49">
        <f t="shared" si="17"/>
        <v>4010</v>
      </c>
      <c r="C120" s="49" t="s">
        <v>36</v>
      </c>
      <c r="D120" s="84">
        <f>VLOOKUP(A120,'底稿_前2年手收20%'!A:L,11,0)</f>
        <v>15229541</v>
      </c>
      <c r="E120" s="84">
        <f>VLOOKUP(A120,'底稿_前2年手收20%'!O:Z,11,0)</f>
        <v>23037158</v>
      </c>
      <c r="F120" s="61">
        <f t="shared" si="25"/>
        <v>19133350</v>
      </c>
      <c r="G120" s="84">
        <f>VLOOKUP(A120,'底稿_前2年手收20%'!A:L,12,0)</f>
        <v>17780459</v>
      </c>
      <c r="H120" s="84">
        <f>VLOOKUP(A120,'底稿_前2年手收20%'!O:Z,12,0)</f>
        <v>29826991</v>
      </c>
      <c r="I120" s="73">
        <f t="shared" si="26"/>
        <v>23803725</v>
      </c>
      <c r="J120" s="100">
        <f t="shared" si="22"/>
        <v>33010000</v>
      </c>
      <c r="K120" s="100">
        <f t="shared" si="23"/>
        <v>52864149</v>
      </c>
      <c r="L120" s="100">
        <f t="shared" si="18"/>
        <v>42937075</v>
      </c>
      <c r="M120" s="133">
        <f t="shared" si="24"/>
        <v>510661</v>
      </c>
    </row>
    <row r="121" spans="1:13" ht="24.95" customHeight="1">
      <c r="A121" s="49">
        <v>402</v>
      </c>
      <c r="B121" s="49">
        <f t="shared" si="17"/>
        <v>4020</v>
      </c>
      <c r="C121" s="49" t="s">
        <v>37</v>
      </c>
      <c r="D121" s="84">
        <f>VLOOKUP(A121,'底稿_前2年手收20%'!A:L,11,0)</f>
        <v>15404450</v>
      </c>
      <c r="E121" s="84">
        <f>VLOOKUP(A121,'底稿_前2年手收20%'!O:Z,11,0)</f>
        <v>12776695</v>
      </c>
      <c r="F121" s="61">
        <f t="shared" si="25"/>
        <v>14090573</v>
      </c>
      <c r="G121" s="84">
        <f>VLOOKUP(A121,'底稿_前2年手收20%'!A:L,12,0)</f>
        <v>20965550</v>
      </c>
      <c r="H121" s="84">
        <f>VLOOKUP(A121,'底稿_前2年手收20%'!O:Z,12,0)</f>
        <v>48533305</v>
      </c>
      <c r="I121" s="73">
        <f t="shared" si="26"/>
        <v>34749428</v>
      </c>
      <c r="J121" s="100">
        <f t="shared" si="22"/>
        <v>36370000</v>
      </c>
      <c r="K121" s="100">
        <f t="shared" si="23"/>
        <v>61310000</v>
      </c>
      <c r="L121" s="100">
        <f t="shared" si="18"/>
        <v>48840000</v>
      </c>
      <c r="M121" s="133">
        <f t="shared" si="24"/>
        <v>580866</v>
      </c>
    </row>
    <row r="122" spans="1:13" s="33" customFormat="1" ht="24.95" customHeight="1">
      <c r="A122" s="49">
        <v>403</v>
      </c>
      <c r="B122" s="49">
        <f t="shared" si="17"/>
        <v>4030</v>
      </c>
      <c r="C122" s="49" t="s">
        <v>186</v>
      </c>
      <c r="D122" s="84">
        <f>VLOOKUP(A122,'底稿_前2年手收20%'!A:L,11,0)</f>
        <v>21430049</v>
      </c>
      <c r="E122" s="84">
        <f>VLOOKUP(A122,'底稿_前2年手收20%'!O:Z,11,0)</f>
        <v>21586539</v>
      </c>
      <c r="F122" s="61">
        <f t="shared" si="25"/>
        <v>21508294</v>
      </c>
      <c r="G122" s="84">
        <f>VLOOKUP(A122,'底稿_前2年手收20%'!A:L,12,0)</f>
        <v>13979951</v>
      </c>
      <c r="H122" s="84">
        <f>VLOOKUP(A122,'底稿_前2年手收20%'!O:Z,12,0)</f>
        <v>38353461</v>
      </c>
      <c r="I122" s="73">
        <f t="shared" si="26"/>
        <v>26166706</v>
      </c>
      <c r="J122" s="100">
        <f t="shared" si="22"/>
        <v>35410000</v>
      </c>
      <c r="K122" s="100">
        <f t="shared" si="23"/>
        <v>59940000</v>
      </c>
      <c r="L122" s="100">
        <f t="shared" si="18"/>
        <v>47675000</v>
      </c>
      <c r="M122" s="133">
        <f t="shared" si="24"/>
        <v>567011</v>
      </c>
    </row>
    <row r="123" spans="1:13" ht="24.95" customHeight="1">
      <c r="A123" s="49">
        <v>420</v>
      </c>
      <c r="B123" s="49">
        <f t="shared" si="17"/>
        <v>4200</v>
      </c>
      <c r="C123" s="49" t="s">
        <v>38</v>
      </c>
      <c r="D123" s="84">
        <f>VLOOKUP(A123,'底稿_前2年手收20%'!A:L,11,0)</f>
        <v>34734633</v>
      </c>
      <c r="E123" s="84">
        <f>VLOOKUP(A123,'底稿_前2年手收20%'!O:Z,11,0)</f>
        <v>51490492</v>
      </c>
      <c r="F123" s="61">
        <f t="shared" si="25"/>
        <v>43112563</v>
      </c>
      <c r="G123" s="84">
        <f>VLOOKUP(A123,'底稿_前2年手收20%'!A:L,12,0)</f>
        <v>31085367</v>
      </c>
      <c r="H123" s="84">
        <f>VLOOKUP(A123,'底稿_前2年手收20%'!O:Z,12,0)</f>
        <v>50449563</v>
      </c>
      <c r="I123" s="73">
        <f t="shared" si="26"/>
        <v>40767465</v>
      </c>
      <c r="J123" s="100">
        <f t="shared" si="22"/>
        <v>65820000</v>
      </c>
      <c r="K123" s="100">
        <f t="shared" si="23"/>
        <v>101940055</v>
      </c>
      <c r="L123" s="100">
        <f t="shared" si="18"/>
        <v>83880028</v>
      </c>
      <c r="M123" s="133">
        <f t="shared" si="24"/>
        <v>997606</v>
      </c>
    </row>
    <row r="124" spans="1:13" s="33" customFormat="1" ht="24.95" customHeight="1">
      <c r="A124" s="49">
        <v>422</v>
      </c>
      <c r="B124" s="49">
        <f t="shared" si="17"/>
        <v>4220</v>
      </c>
      <c r="C124" s="49" t="s">
        <v>101</v>
      </c>
      <c r="D124" s="84">
        <f>VLOOKUP(A124,'底稿_前2年手收20%'!A:L,11,0)</f>
        <v>16362140</v>
      </c>
      <c r="E124" s="84">
        <f>VLOOKUP(A124,'底稿_前2年手收20%'!O:Z,11,0)</f>
        <v>22678277</v>
      </c>
      <c r="F124" s="61">
        <f t="shared" si="25"/>
        <v>19520209</v>
      </c>
      <c r="G124" s="84">
        <f>VLOOKUP(A124,'底稿_前2年手收20%'!A:L,12,0)</f>
        <v>21357860</v>
      </c>
      <c r="H124" s="84">
        <f>VLOOKUP(A124,'底稿_前2年手收20%'!O:Z,12,0)</f>
        <v>43371723</v>
      </c>
      <c r="I124" s="73">
        <f t="shared" si="26"/>
        <v>32364792</v>
      </c>
      <c r="J124" s="100">
        <f t="shared" si="22"/>
        <v>37720000</v>
      </c>
      <c r="K124" s="100">
        <f t="shared" si="23"/>
        <v>66050000</v>
      </c>
      <c r="L124" s="100">
        <f t="shared" si="18"/>
        <v>51885000</v>
      </c>
      <c r="M124" s="133">
        <f t="shared" si="24"/>
        <v>617081</v>
      </c>
    </row>
    <row r="125" spans="1:13" ht="24.95" customHeight="1">
      <c r="A125" s="49">
        <v>423</v>
      </c>
      <c r="B125" s="49">
        <f t="shared" si="17"/>
        <v>4230</v>
      </c>
      <c r="C125" s="49" t="s">
        <v>187</v>
      </c>
      <c r="D125" s="84">
        <f>VLOOKUP(A125,'底稿_前2年手收20%'!A:L,11,0)</f>
        <v>14949614</v>
      </c>
      <c r="E125" s="84">
        <f>VLOOKUP(A125,'底稿_前2年手收20%'!O:Z,11,0)</f>
        <v>18185889</v>
      </c>
      <c r="F125" s="61">
        <f t="shared" si="25"/>
        <v>16567752</v>
      </c>
      <c r="G125" s="84">
        <f>VLOOKUP(A125,'底稿_前2年手收20%'!A:L,12,0)</f>
        <v>14640386</v>
      </c>
      <c r="H125" s="84">
        <f>VLOOKUP(A125,'底稿_前2年手收20%'!O:Z,12,0)</f>
        <v>31894111</v>
      </c>
      <c r="I125" s="73">
        <f t="shared" si="26"/>
        <v>23267249</v>
      </c>
      <c r="J125" s="100">
        <f t="shared" si="22"/>
        <v>29590000</v>
      </c>
      <c r="K125" s="100">
        <f t="shared" si="23"/>
        <v>50080000</v>
      </c>
      <c r="L125" s="100">
        <f t="shared" si="18"/>
        <v>39835000</v>
      </c>
      <c r="M125" s="133">
        <f t="shared" si="24"/>
        <v>473768</v>
      </c>
    </row>
    <row r="126" spans="1:13" s="33" customFormat="1" ht="24.95" customHeight="1">
      <c r="A126" s="49">
        <v>424</v>
      </c>
      <c r="B126" s="49">
        <f t="shared" si="17"/>
        <v>4240</v>
      </c>
      <c r="C126" s="49" t="s">
        <v>188</v>
      </c>
      <c r="D126" s="84">
        <f>VLOOKUP(A126,'底稿_前2年手收20%'!A:L,11,0)</f>
        <v>26048753</v>
      </c>
      <c r="E126" s="84">
        <f>VLOOKUP(A126,'底稿_前2年手收20%'!O:Z,11,0)</f>
        <v>29696673</v>
      </c>
      <c r="F126" s="61">
        <f t="shared" si="25"/>
        <v>27872713</v>
      </c>
      <c r="G126" s="84">
        <f>VLOOKUP(A126,'底稿_前2年手收20%'!A:L,12,0)</f>
        <v>20231247</v>
      </c>
      <c r="H126" s="84">
        <f>VLOOKUP(A126,'底稿_前2年手收20%'!O:Z,12,0)</f>
        <v>51453327</v>
      </c>
      <c r="I126" s="73">
        <f t="shared" si="26"/>
        <v>35842287</v>
      </c>
      <c r="J126" s="100">
        <f t="shared" si="22"/>
        <v>46280000</v>
      </c>
      <c r="K126" s="100">
        <f t="shared" si="23"/>
        <v>81150000</v>
      </c>
      <c r="L126" s="100">
        <f t="shared" si="18"/>
        <v>63715000</v>
      </c>
      <c r="M126" s="133">
        <f t="shared" si="24"/>
        <v>757778</v>
      </c>
    </row>
    <row r="127" spans="1:13" ht="24.95" customHeight="1">
      <c r="A127" s="49">
        <v>425</v>
      </c>
      <c r="B127" s="49">
        <f t="shared" si="17"/>
        <v>4250</v>
      </c>
      <c r="C127" s="49" t="s">
        <v>39</v>
      </c>
      <c r="D127" s="84">
        <f>VLOOKUP(A127,'底稿_前2年手收20%'!A:L,11,0)</f>
        <v>26120657</v>
      </c>
      <c r="E127" s="84">
        <f>VLOOKUP(A127,'底稿_前2年手收20%'!O:Z,11,0)</f>
        <v>25411409</v>
      </c>
      <c r="F127" s="61">
        <f t="shared" si="25"/>
        <v>25766033</v>
      </c>
      <c r="G127" s="84">
        <f>VLOOKUP(A127,'底稿_前2年手收20%'!A:L,12,0)</f>
        <v>15509343</v>
      </c>
      <c r="H127" s="84">
        <f>VLOOKUP(A127,'底稿_前2年手收20%'!O:Z,12,0)</f>
        <v>33554444</v>
      </c>
      <c r="I127" s="73">
        <f t="shared" si="26"/>
        <v>24531894</v>
      </c>
      <c r="J127" s="100">
        <f t="shared" si="22"/>
        <v>41630000</v>
      </c>
      <c r="K127" s="100">
        <f t="shared" si="23"/>
        <v>58965853</v>
      </c>
      <c r="L127" s="100">
        <f t="shared" si="18"/>
        <v>50297927</v>
      </c>
      <c r="M127" s="133">
        <f t="shared" si="24"/>
        <v>598206</v>
      </c>
    </row>
    <row r="128" spans="1:13" s="33" customFormat="1" ht="24.95" customHeight="1">
      <c r="A128" s="49">
        <v>426</v>
      </c>
      <c r="B128" s="49">
        <f t="shared" si="17"/>
        <v>4260</v>
      </c>
      <c r="C128" s="49" t="s">
        <v>189</v>
      </c>
      <c r="D128" s="84">
        <f>VLOOKUP(A128,'底稿_前2年手收20%'!A:L,11,0)</f>
        <v>16561186</v>
      </c>
      <c r="E128" s="84">
        <f>VLOOKUP(A128,'底稿_前2年手收20%'!O:Z,11,0)</f>
        <v>19139047</v>
      </c>
      <c r="F128" s="61">
        <f t="shared" si="25"/>
        <v>17850117</v>
      </c>
      <c r="G128" s="84">
        <f>VLOOKUP(A128,'底稿_前2年手收20%'!A:L,12,0)</f>
        <v>14718814</v>
      </c>
      <c r="H128" s="84">
        <f>VLOOKUP(A128,'底稿_前2年手收20%'!O:Z,12,0)</f>
        <v>32563497</v>
      </c>
      <c r="I128" s="73">
        <f t="shared" si="26"/>
        <v>23641156</v>
      </c>
      <c r="J128" s="100">
        <f t="shared" si="22"/>
        <v>31280000</v>
      </c>
      <c r="K128" s="100">
        <f t="shared" si="23"/>
        <v>51702544</v>
      </c>
      <c r="L128" s="100">
        <f t="shared" si="18"/>
        <v>41491272</v>
      </c>
      <c r="M128" s="133">
        <f t="shared" si="24"/>
        <v>493466</v>
      </c>
    </row>
    <row r="129" spans="1:13" ht="24.95" customHeight="1">
      <c r="A129" s="49">
        <v>427</v>
      </c>
      <c r="B129" s="49">
        <f t="shared" si="17"/>
        <v>4270</v>
      </c>
      <c r="C129" s="49" t="s">
        <v>190</v>
      </c>
      <c r="D129" s="84">
        <f>VLOOKUP(A129,'底稿_前2年手收20%'!A:L,11,0)</f>
        <v>17523675</v>
      </c>
      <c r="E129" s="84">
        <f>VLOOKUP(A129,'底稿_前2年手收20%'!O:Z,11,0)</f>
        <v>19693405</v>
      </c>
      <c r="F129" s="61">
        <f t="shared" si="25"/>
        <v>18608540</v>
      </c>
      <c r="G129" s="84">
        <f>VLOOKUP(A129,'底稿_前2年手收20%'!A:L,12,0)</f>
        <v>18396325</v>
      </c>
      <c r="H129" s="84">
        <f>VLOOKUP(A129,'底稿_前2年手收20%'!O:Z,12,0)</f>
        <v>34476278</v>
      </c>
      <c r="I129" s="73">
        <f t="shared" si="26"/>
        <v>26436302</v>
      </c>
      <c r="J129" s="100">
        <f t="shared" si="22"/>
        <v>35920000</v>
      </c>
      <c r="K129" s="100">
        <f t="shared" si="23"/>
        <v>54169683</v>
      </c>
      <c r="L129" s="100">
        <f t="shared" si="18"/>
        <v>45044842</v>
      </c>
      <c r="M129" s="133">
        <f t="shared" si="24"/>
        <v>535729</v>
      </c>
    </row>
    <row r="130" spans="1:13" s="33" customFormat="1" ht="24.95" customHeight="1">
      <c r="A130" s="49">
        <v>429</v>
      </c>
      <c r="B130" s="49">
        <f t="shared" si="17"/>
        <v>4290</v>
      </c>
      <c r="C130" s="49" t="s">
        <v>191</v>
      </c>
      <c r="D130" s="84">
        <f>VLOOKUP(A130,'底稿_前2年手收20%'!A:L,11,0)</f>
        <v>11477772</v>
      </c>
      <c r="E130" s="84">
        <f>VLOOKUP(A130,'底稿_前2年手收20%'!O:Z,11,0)</f>
        <v>10415204</v>
      </c>
      <c r="F130" s="61">
        <f t="shared" si="25"/>
        <v>10946488</v>
      </c>
      <c r="G130" s="84">
        <f>VLOOKUP(A130,'底稿_前2年手收20%'!A:L,12,0)</f>
        <v>12272228</v>
      </c>
      <c r="H130" s="84">
        <f>VLOOKUP(A130,'底稿_前2年手收20%'!O:Z,12,0)</f>
        <v>33234796</v>
      </c>
      <c r="I130" s="73">
        <f t="shared" si="26"/>
        <v>22753512</v>
      </c>
      <c r="J130" s="100">
        <f t="shared" si="22"/>
        <v>23750000</v>
      </c>
      <c r="K130" s="100">
        <f t="shared" si="23"/>
        <v>43650000</v>
      </c>
      <c r="L130" s="100">
        <f t="shared" si="18"/>
        <v>33700000</v>
      </c>
      <c r="M130" s="133">
        <f t="shared" si="24"/>
        <v>400802</v>
      </c>
    </row>
    <row r="131" spans="1:13" ht="24.95" customHeight="1">
      <c r="A131" s="49">
        <v>430</v>
      </c>
      <c r="B131" s="49">
        <f t="shared" si="17"/>
        <v>4300</v>
      </c>
      <c r="C131" s="49" t="s">
        <v>40</v>
      </c>
      <c r="D131" s="84">
        <f>VLOOKUP(A131,'底稿_前2年手收20%'!A:L,11,0)</f>
        <v>8266869</v>
      </c>
      <c r="E131" s="84">
        <f>VLOOKUP(A131,'底稿_前2年手收20%'!O:Z,11,0)</f>
        <v>11655961</v>
      </c>
      <c r="F131" s="61">
        <f t="shared" si="25"/>
        <v>9961415</v>
      </c>
      <c r="G131" s="84">
        <f>VLOOKUP(A131,'底稿_前2年手收20%'!A:L,12,0)</f>
        <v>16823131</v>
      </c>
      <c r="H131" s="84">
        <f>VLOOKUP(A131,'底稿_前2年手收20%'!O:Z,12,0)</f>
        <v>24707844</v>
      </c>
      <c r="I131" s="73">
        <f t="shared" si="26"/>
        <v>20765488</v>
      </c>
      <c r="J131" s="100">
        <f t="shared" ref="J131:J162" si="27">D131+G131</f>
        <v>25090000</v>
      </c>
      <c r="K131" s="100">
        <f t="shared" ref="K131:K162" si="28">E131+H131</f>
        <v>36363805</v>
      </c>
      <c r="L131" s="100">
        <f t="shared" si="18"/>
        <v>30726903</v>
      </c>
      <c r="M131" s="133">
        <f t="shared" ref="M131:M162" si="29">ROUND(L131*(M$1/L$186), 0)</f>
        <v>365443</v>
      </c>
    </row>
    <row r="132" spans="1:13" s="33" customFormat="1" ht="24.95" customHeight="1">
      <c r="A132" s="49">
        <v>431</v>
      </c>
      <c r="B132" s="49">
        <f t="shared" ref="B132:B185" si="30">A132*10</f>
        <v>4310</v>
      </c>
      <c r="C132" s="49" t="s">
        <v>102</v>
      </c>
      <c r="D132" s="84">
        <f>VLOOKUP(A132,'底稿_前2年手收20%'!A:L,11,0)</f>
        <v>7911043</v>
      </c>
      <c r="E132" s="84">
        <f>VLOOKUP(A132,'底稿_前2年手收20%'!O:Z,11,0)</f>
        <v>5283890</v>
      </c>
      <c r="F132" s="61">
        <f t="shared" si="25"/>
        <v>6597467</v>
      </c>
      <c r="G132" s="84">
        <f>VLOOKUP(A132,'底稿_前2年手收20%'!A:L,12,0)</f>
        <v>8868957</v>
      </c>
      <c r="H132" s="84">
        <f>VLOOKUP(A132,'底稿_前2年手收20%'!O:Z,12,0)</f>
        <v>24236110</v>
      </c>
      <c r="I132" s="73">
        <f t="shared" si="26"/>
        <v>16552534</v>
      </c>
      <c r="J132" s="100">
        <f t="shared" si="27"/>
        <v>16780000</v>
      </c>
      <c r="K132" s="100">
        <f t="shared" si="28"/>
        <v>29520000</v>
      </c>
      <c r="L132" s="100">
        <f t="shared" ref="L132:L185" si="31">ROUND(AVERAGE(J132:K132), 0)</f>
        <v>23150000</v>
      </c>
      <c r="M132" s="133">
        <f t="shared" si="29"/>
        <v>275329</v>
      </c>
    </row>
    <row r="133" spans="1:13" ht="24.95" customHeight="1">
      <c r="A133" s="49">
        <v>451</v>
      </c>
      <c r="B133" s="49">
        <f t="shared" si="30"/>
        <v>4510</v>
      </c>
      <c r="C133" s="49" t="s">
        <v>103</v>
      </c>
      <c r="D133" s="84">
        <f>VLOOKUP(A133,'底稿_前2年手收20%'!A:L,11,0)</f>
        <v>7907676</v>
      </c>
      <c r="E133" s="84">
        <f>VLOOKUP(A133,'底稿_前2年手收20%'!O:Z,11,0)</f>
        <v>7536414</v>
      </c>
      <c r="F133" s="61">
        <f t="shared" si="25"/>
        <v>7722045</v>
      </c>
      <c r="G133" s="84">
        <f>VLOOKUP(A133,'底稿_前2年手收20%'!A:L,12,0)</f>
        <v>20732324</v>
      </c>
      <c r="H133" s="84">
        <f>VLOOKUP(A133,'底稿_前2年手收20%'!O:Z,12,0)</f>
        <v>29012928</v>
      </c>
      <c r="I133" s="73">
        <f t="shared" si="26"/>
        <v>24872626</v>
      </c>
      <c r="J133" s="100">
        <f t="shared" si="27"/>
        <v>28640000</v>
      </c>
      <c r="K133" s="100">
        <f t="shared" si="28"/>
        <v>36549342</v>
      </c>
      <c r="L133" s="100">
        <f t="shared" si="31"/>
        <v>32594671</v>
      </c>
      <c r="M133" s="133">
        <f t="shared" si="29"/>
        <v>387657</v>
      </c>
    </row>
    <row r="134" spans="1:13" s="33" customFormat="1" ht="24.95" customHeight="1">
      <c r="A134" s="49">
        <v>500</v>
      </c>
      <c r="B134" s="49">
        <f t="shared" si="30"/>
        <v>5000</v>
      </c>
      <c r="C134" s="49" t="s">
        <v>41</v>
      </c>
      <c r="D134" s="84">
        <f>VLOOKUP(A134,'底稿_前2年手收20%'!A:L,11,0)</f>
        <v>14101249</v>
      </c>
      <c r="E134" s="84">
        <f>VLOOKUP(A134,'底稿_前2年手收20%'!O:Z,11,0)</f>
        <v>16002802</v>
      </c>
      <c r="F134" s="61">
        <f t="shared" si="25"/>
        <v>15052026</v>
      </c>
      <c r="G134" s="84">
        <f>VLOOKUP(A134,'底稿_前2年手收20%'!A:L,12,0)</f>
        <v>13718751</v>
      </c>
      <c r="H134" s="84">
        <f>VLOOKUP(A134,'底稿_前2年手收20%'!O:Z,12,0)</f>
        <v>33097198</v>
      </c>
      <c r="I134" s="73">
        <f t="shared" si="26"/>
        <v>23407975</v>
      </c>
      <c r="J134" s="100">
        <f t="shared" si="27"/>
        <v>27820000</v>
      </c>
      <c r="K134" s="100">
        <f t="shared" si="28"/>
        <v>49100000</v>
      </c>
      <c r="L134" s="100">
        <f t="shared" si="31"/>
        <v>38460000</v>
      </c>
      <c r="M134" s="133">
        <f t="shared" si="29"/>
        <v>457414</v>
      </c>
    </row>
    <row r="135" spans="1:13" ht="24.95" customHeight="1">
      <c r="A135" s="49">
        <v>501</v>
      </c>
      <c r="B135" s="49">
        <f t="shared" si="30"/>
        <v>5010</v>
      </c>
      <c r="C135" s="49" t="s">
        <v>192</v>
      </c>
      <c r="D135" s="84">
        <f>VLOOKUP(A135,'底稿_前2年手收20%'!A:L,11,0)</f>
        <v>9316122</v>
      </c>
      <c r="E135" s="84">
        <f>VLOOKUP(A135,'底稿_前2年手收20%'!O:Z,11,0)</f>
        <v>11699359</v>
      </c>
      <c r="F135" s="61">
        <f t="shared" ref="F135:F166" si="32">ROUND(AVERAGE(D135:E135), 0)</f>
        <v>10507741</v>
      </c>
      <c r="G135" s="84">
        <f>VLOOKUP(A135,'底稿_前2年手收20%'!A:L,12,0)</f>
        <v>18933878</v>
      </c>
      <c r="H135" s="84">
        <f>VLOOKUP(A135,'底稿_前2年手收20%'!O:Z,12,0)</f>
        <v>35830630</v>
      </c>
      <c r="I135" s="73">
        <f t="shared" ref="I135:I166" si="33">ROUND(AVERAGE(G135:H135), 0)</f>
        <v>27382254</v>
      </c>
      <c r="J135" s="100">
        <f t="shared" si="27"/>
        <v>28250000</v>
      </c>
      <c r="K135" s="100">
        <f t="shared" si="28"/>
        <v>47529989</v>
      </c>
      <c r="L135" s="100">
        <f t="shared" si="31"/>
        <v>37889995</v>
      </c>
      <c r="M135" s="133">
        <f t="shared" si="29"/>
        <v>450635</v>
      </c>
    </row>
    <row r="136" spans="1:13" s="33" customFormat="1" ht="24.75" customHeight="1">
      <c r="A136" s="49">
        <v>520</v>
      </c>
      <c r="B136" s="49">
        <f t="shared" si="30"/>
        <v>5200</v>
      </c>
      <c r="C136" s="49" t="s">
        <v>193</v>
      </c>
      <c r="D136" s="84">
        <f>VLOOKUP(A136,'底稿_前2年手收20%'!A:L,11,0)</f>
        <v>18331427</v>
      </c>
      <c r="E136" s="84">
        <f>VLOOKUP(A136,'底稿_前2年手收20%'!O:Z,11,0)</f>
        <v>16001729</v>
      </c>
      <c r="F136" s="61">
        <f t="shared" si="32"/>
        <v>17166578</v>
      </c>
      <c r="G136" s="84">
        <f>VLOOKUP(A136,'底稿_前2年手收20%'!A:L,12,0)</f>
        <v>27318573</v>
      </c>
      <c r="H136" s="84">
        <f>VLOOKUP(A136,'底稿_前2年手收20%'!O:Z,12,0)</f>
        <v>40164469</v>
      </c>
      <c r="I136" s="73">
        <f t="shared" si="33"/>
        <v>33741521</v>
      </c>
      <c r="J136" s="100">
        <f t="shared" si="27"/>
        <v>45650000</v>
      </c>
      <c r="K136" s="100">
        <f t="shared" si="28"/>
        <v>56166198</v>
      </c>
      <c r="L136" s="100">
        <f t="shared" si="31"/>
        <v>50908099</v>
      </c>
      <c r="M136" s="133">
        <f t="shared" si="29"/>
        <v>605463</v>
      </c>
    </row>
    <row r="137" spans="1:13" ht="24.95" customHeight="1">
      <c r="A137" s="49">
        <v>521</v>
      </c>
      <c r="B137" s="49">
        <f t="shared" si="30"/>
        <v>5210</v>
      </c>
      <c r="C137" s="49" t="s">
        <v>194</v>
      </c>
      <c r="D137" s="84">
        <f>VLOOKUP(A137,'底稿_前2年手收20%'!A:L,11,0)</f>
        <v>32926943</v>
      </c>
      <c r="E137" s="84">
        <f>VLOOKUP(A137,'底稿_前2年手收20%'!O:Z,11,0)</f>
        <v>31339546</v>
      </c>
      <c r="F137" s="61">
        <f t="shared" si="32"/>
        <v>32133245</v>
      </c>
      <c r="G137" s="84">
        <f>VLOOKUP(A137,'底稿_前2年手收20%'!A:L,12,0)</f>
        <v>32653057</v>
      </c>
      <c r="H137" s="84">
        <f>VLOOKUP(A137,'底稿_前2年手收20%'!O:Z,12,0)</f>
        <v>60456188</v>
      </c>
      <c r="I137" s="73">
        <f t="shared" si="33"/>
        <v>46554623</v>
      </c>
      <c r="J137" s="100">
        <f t="shared" si="27"/>
        <v>65580000</v>
      </c>
      <c r="K137" s="100">
        <f t="shared" si="28"/>
        <v>91795734</v>
      </c>
      <c r="L137" s="100">
        <f t="shared" si="31"/>
        <v>78687867</v>
      </c>
      <c r="M137" s="133">
        <f t="shared" si="29"/>
        <v>935854</v>
      </c>
    </row>
    <row r="138" spans="1:13" s="33" customFormat="1" ht="24.95" customHeight="1">
      <c r="A138" s="49">
        <v>522</v>
      </c>
      <c r="B138" s="49">
        <f t="shared" si="30"/>
        <v>5220</v>
      </c>
      <c r="C138" s="49" t="s">
        <v>42</v>
      </c>
      <c r="D138" s="84">
        <f>VLOOKUP(A138,'底稿_前2年手收20%'!A:L,11,0)</f>
        <v>32958677</v>
      </c>
      <c r="E138" s="84">
        <f>VLOOKUP(A138,'底稿_前2年手收20%'!O:Z,11,0)</f>
        <v>39987205</v>
      </c>
      <c r="F138" s="61">
        <f t="shared" si="32"/>
        <v>36472941</v>
      </c>
      <c r="G138" s="84">
        <f>VLOOKUP(A138,'底稿_前2年手收20%'!A:L,12,0)</f>
        <v>27851323</v>
      </c>
      <c r="H138" s="84">
        <f>VLOOKUP(A138,'底稿_前2年手收20%'!O:Z,12,0)</f>
        <v>62112795</v>
      </c>
      <c r="I138" s="73">
        <f t="shared" si="33"/>
        <v>44982059</v>
      </c>
      <c r="J138" s="100">
        <f t="shared" si="27"/>
        <v>60810000</v>
      </c>
      <c r="K138" s="100">
        <f t="shared" si="28"/>
        <v>102100000</v>
      </c>
      <c r="L138" s="100">
        <f t="shared" si="31"/>
        <v>81455000</v>
      </c>
      <c r="M138" s="133">
        <f t="shared" si="29"/>
        <v>968765</v>
      </c>
    </row>
    <row r="139" spans="1:13" ht="24.95" customHeight="1">
      <c r="A139" s="49">
        <v>523</v>
      </c>
      <c r="B139" s="49">
        <f t="shared" si="30"/>
        <v>5230</v>
      </c>
      <c r="C139" s="49" t="s">
        <v>104</v>
      </c>
      <c r="D139" s="84">
        <f>VLOOKUP(A139,'底稿_前2年手收20%'!A:L,11,0)</f>
        <v>10567054</v>
      </c>
      <c r="E139" s="84">
        <f>VLOOKUP(A139,'底稿_前2年手收20%'!O:Z,11,0)</f>
        <v>13843239</v>
      </c>
      <c r="F139" s="61">
        <f t="shared" si="32"/>
        <v>12205147</v>
      </c>
      <c r="G139" s="84">
        <f>VLOOKUP(A139,'底稿_前2年手收20%'!A:L,12,0)</f>
        <v>23402946</v>
      </c>
      <c r="H139" s="84">
        <f>VLOOKUP(A139,'底稿_前2年手收20%'!O:Z,12,0)</f>
        <v>44956761</v>
      </c>
      <c r="I139" s="73">
        <f t="shared" si="33"/>
        <v>34179854</v>
      </c>
      <c r="J139" s="100">
        <f t="shared" si="27"/>
        <v>33970000</v>
      </c>
      <c r="K139" s="100">
        <f t="shared" si="28"/>
        <v>58800000</v>
      </c>
      <c r="L139" s="100">
        <f t="shared" si="31"/>
        <v>46385000</v>
      </c>
      <c r="M139" s="133">
        <f t="shared" si="29"/>
        <v>551668</v>
      </c>
    </row>
    <row r="140" spans="1:13" s="33" customFormat="1" ht="24.95" customHeight="1">
      <c r="A140" s="49">
        <v>524</v>
      </c>
      <c r="B140" s="49">
        <f t="shared" si="30"/>
        <v>5240</v>
      </c>
      <c r="C140" s="49" t="s">
        <v>43</v>
      </c>
      <c r="D140" s="84">
        <f>VLOOKUP(A140,'底稿_前2年手收20%'!A:L,11,0)</f>
        <v>10908444</v>
      </c>
      <c r="E140" s="84">
        <f>VLOOKUP(A140,'底稿_前2年手收20%'!O:Z,11,0)</f>
        <v>18268533</v>
      </c>
      <c r="F140" s="61">
        <f t="shared" si="32"/>
        <v>14588489</v>
      </c>
      <c r="G140" s="84">
        <f>VLOOKUP(A140,'底稿_前2年手收20%'!A:L,12,0)</f>
        <v>17441556</v>
      </c>
      <c r="H140" s="84">
        <f>VLOOKUP(A140,'底稿_前2年手收20%'!O:Z,12,0)</f>
        <v>29753020</v>
      </c>
      <c r="I140" s="73">
        <f t="shared" si="33"/>
        <v>23597288</v>
      </c>
      <c r="J140" s="100">
        <f t="shared" si="27"/>
        <v>28350000</v>
      </c>
      <c r="K140" s="100">
        <f t="shared" si="28"/>
        <v>48021553</v>
      </c>
      <c r="L140" s="100">
        <f t="shared" si="31"/>
        <v>38185777</v>
      </c>
      <c r="M140" s="133">
        <f t="shared" si="29"/>
        <v>454153</v>
      </c>
    </row>
    <row r="141" spans="1:13" ht="24.95" customHeight="1">
      <c r="A141" s="49">
        <v>540</v>
      </c>
      <c r="B141" s="49">
        <f t="shared" si="30"/>
        <v>5400</v>
      </c>
      <c r="C141" s="49" t="s">
        <v>44</v>
      </c>
      <c r="D141" s="84">
        <f>VLOOKUP(A141,'底稿_前2年手收20%'!A:L,11,0)</f>
        <v>8405960</v>
      </c>
      <c r="E141" s="84">
        <f>VLOOKUP(A141,'底稿_前2年手收20%'!O:Z,11,0)</f>
        <v>8665750</v>
      </c>
      <c r="F141" s="61">
        <f t="shared" si="32"/>
        <v>8535855</v>
      </c>
      <c r="G141" s="84">
        <f>VLOOKUP(A141,'底稿_前2年手收20%'!A:L,12,0)</f>
        <v>12403197</v>
      </c>
      <c r="H141" s="84">
        <f>VLOOKUP(A141,'底稿_前2年手收20%'!O:Z,12,0)</f>
        <v>27993644</v>
      </c>
      <c r="I141" s="73">
        <f t="shared" si="33"/>
        <v>20198421</v>
      </c>
      <c r="J141" s="100">
        <f t="shared" si="27"/>
        <v>20809157</v>
      </c>
      <c r="K141" s="100">
        <f t="shared" si="28"/>
        <v>36659394</v>
      </c>
      <c r="L141" s="100">
        <f t="shared" si="31"/>
        <v>28734276</v>
      </c>
      <c r="M141" s="133">
        <f t="shared" si="29"/>
        <v>341744</v>
      </c>
    </row>
    <row r="142" spans="1:13" s="33" customFormat="1" ht="24.95" customHeight="1">
      <c r="A142" s="49">
        <v>541</v>
      </c>
      <c r="B142" s="49">
        <f t="shared" si="30"/>
        <v>5410</v>
      </c>
      <c r="C142" s="49" t="s">
        <v>105</v>
      </c>
      <c r="D142" s="84">
        <f>VLOOKUP(A142,'底稿_前2年手收20%'!A:L,11,0)</f>
        <v>9037300</v>
      </c>
      <c r="E142" s="84">
        <f>VLOOKUP(A142,'底稿_前2年手收20%'!O:Z,11,0)</f>
        <v>9989582</v>
      </c>
      <c r="F142" s="61">
        <f t="shared" si="32"/>
        <v>9513441</v>
      </c>
      <c r="G142" s="84">
        <f>VLOOKUP(A142,'底稿_前2年手收20%'!A:L,12,0)</f>
        <v>25462700</v>
      </c>
      <c r="H142" s="84">
        <f>VLOOKUP(A142,'底稿_前2年手收20%'!O:Z,12,0)</f>
        <v>49270418</v>
      </c>
      <c r="I142" s="73">
        <f t="shared" si="33"/>
        <v>37366559</v>
      </c>
      <c r="J142" s="100">
        <f t="shared" si="27"/>
        <v>34500000</v>
      </c>
      <c r="K142" s="100">
        <f t="shared" si="28"/>
        <v>59260000</v>
      </c>
      <c r="L142" s="100">
        <f t="shared" si="31"/>
        <v>46880000</v>
      </c>
      <c r="M142" s="133">
        <f t="shared" si="29"/>
        <v>557555</v>
      </c>
    </row>
    <row r="143" spans="1:13" ht="24.95" customHeight="1">
      <c r="A143" s="49">
        <v>542</v>
      </c>
      <c r="B143" s="49">
        <f t="shared" si="30"/>
        <v>5420</v>
      </c>
      <c r="C143" s="49" t="s">
        <v>45</v>
      </c>
      <c r="D143" s="84">
        <f>VLOOKUP(A143,'底稿_前2年手收20%'!A:L,11,0)</f>
        <v>8913839</v>
      </c>
      <c r="E143" s="84">
        <f>VLOOKUP(A143,'底稿_前2年手收20%'!O:Z,11,0)</f>
        <v>9343755</v>
      </c>
      <c r="F143" s="61">
        <f t="shared" si="32"/>
        <v>9128797</v>
      </c>
      <c r="G143" s="84">
        <f>VLOOKUP(A143,'底稿_前2年手收20%'!A:L,12,0)</f>
        <v>14071963</v>
      </c>
      <c r="H143" s="84">
        <f>VLOOKUP(A143,'底稿_前2年手收20%'!O:Z,12,0)</f>
        <v>26146161</v>
      </c>
      <c r="I143" s="73">
        <f t="shared" si="33"/>
        <v>20109062</v>
      </c>
      <c r="J143" s="100">
        <f t="shared" si="27"/>
        <v>22985802</v>
      </c>
      <c r="K143" s="100">
        <f t="shared" si="28"/>
        <v>35489916</v>
      </c>
      <c r="L143" s="100">
        <f t="shared" si="31"/>
        <v>29237859</v>
      </c>
      <c r="M143" s="133">
        <f t="shared" si="29"/>
        <v>347733</v>
      </c>
    </row>
    <row r="144" spans="1:13" s="33" customFormat="1" ht="24.95" customHeight="1">
      <c r="A144" s="49">
        <v>600</v>
      </c>
      <c r="B144" s="49">
        <f t="shared" si="30"/>
        <v>6000</v>
      </c>
      <c r="C144" s="49" t="s">
        <v>46</v>
      </c>
      <c r="D144" s="84">
        <f>VLOOKUP(A144,'底稿_前2年手收20%'!A:L,11,0)</f>
        <v>11217109</v>
      </c>
      <c r="E144" s="84">
        <f>VLOOKUP(A144,'底稿_前2年手收20%'!O:Z,11,0)</f>
        <v>16002404</v>
      </c>
      <c r="F144" s="61">
        <f t="shared" si="32"/>
        <v>13609757</v>
      </c>
      <c r="G144" s="84">
        <f>VLOOKUP(A144,'底稿_前2年手收20%'!A:L,12,0)</f>
        <v>24092891</v>
      </c>
      <c r="H144" s="84">
        <f>VLOOKUP(A144,'底稿_前2年手收20%'!O:Z,12,0)</f>
        <v>43597596</v>
      </c>
      <c r="I144" s="73">
        <f t="shared" si="33"/>
        <v>33845244</v>
      </c>
      <c r="J144" s="100">
        <f t="shared" si="27"/>
        <v>35310000</v>
      </c>
      <c r="K144" s="100">
        <f t="shared" si="28"/>
        <v>59600000</v>
      </c>
      <c r="L144" s="100">
        <f t="shared" si="31"/>
        <v>47455000</v>
      </c>
      <c r="M144" s="133">
        <f t="shared" si="29"/>
        <v>564394</v>
      </c>
    </row>
    <row r="145" spans="1:13" ht="24.95" customHeight="1">
      <c r="A145" s="49">
        <v>601</v>
      </c>
      <c r="B145" s="49">
        <f t="shared" si="30"/>
        <v>6010</v>
      </c>
      <c r="C145" s="49" t="s">
        <v>195</v>
      </c>
      <c r="D145" s="84">
        <f>VLOOKUP(A145,'底稿_前2年手收20%'!A:L,11,0)</f>
        <v>16973465</v>
      </c>
      <c r="E145" s="84">
        <f>VLOOKUP(A145,'底稿_前2年手收20%'!O:Z,11,0)</f>
        <v>23049827</v>
      </c>
      <c r="F145" s="61">
        <f t="shared" si="32"/>
        <v>20011646</v>
      </c>
      <c r="G145" s="84">
        <f>VLOOKUP(A145,'底稿_前2年手收20%'!A:L,12,0)</f>
        <v>17786535</v>
      </c>
      <c r="H145" s="84">
        <f>VLOOKUP(A145,'底稿_前2年手收20%'!O:Z,12,0)</f>
        <v>36010173</v>
      </c>
      <c r="I145" s="73">
        <f t="shared" si="33"/>
        <v>26898354</v>
      </c>
      <c r="J145" s="100">
        <f t="shared" si="27"/>
        <v>34760000</v>
      </c>
      <c r="K145" s="100">
        <f t="shared" si="28"/>
        <v>59060000</v>
      </c>
      <c r="L145" s="100">
        <f t="shared" si="31"/>
        <v>46910000</v>
      </c>
      <c r="M145" s="133">
        <f t="shared" si="29"/>
        <v>557912</v>
      </c>
    </row>
    <row r="146" spans="1:13" s="33" customFormat="1" ht="24.95" customHeight="1">
      <c r="A146" s="49">
        <v>602</v>
      </c>
      <c r="B146" s="49">
        <f t="shared" si="30"/>
        <v>6020</v>
      </c>
      <c r="C146" s="49" t="s">
        <v>47</v>
      </c>
      <c r="D146" s="84">
        <f>VLOOKUP(A146,'底稿_前2年手收20%'!A:L,11,0)</f>
        <v>6424532</v>
      </c>
      <c r="E146" s="84">
        <f>VLOOKUP(A146,'底稿_前2年手收20%'!O:Z,11,0)</f>
        <v>7882549</v>
      </c>
      <c r="F146" s="61">
        <f t="shared" si="32"/>
        <v>7153541</v>
      </c>
      <c r="G146" s="84">
        <f>VLOOKUP(A146,'底稿_前2年手收20%'!A:L,12,0)</f>
        <v>15755468</v>
      </c>
      <c r="H146" s="84">
        <f>VLOOKUP(A146,'底稿_前2年手收20%'!O:Z,12,0)</f>
        <v>30527451</v>
      </c>
      <c r="I146" s="73">
        <f t="shared" si="33"/>
        <v>23141460</v>
      </c>
      <c r="J146" s="100">
        <f t="shared" si="27"/>
        <v>22180000</v>
      </c>
      <c r="K146" s="100">
        <f t="shared" si="28"/>
        <v>38410000</v>
      </c>
      <c r="L146" s="100">
        <f t="shared" si="31"/>
        <v>30295000</v>
      </c>
      <c r="M146" s="133">
        <f t="shared" si="29"/>
        <v>360306</v>
      </c>
    </row>
    <row r="147" spans="1:13" ht="24.95" customHeight="1">
      <c r="A147" s="49">
        <v>620</v>
      </c>
      <c r="B147" s="49">
        <f t="shared" si="30"/>
        <v>6200</v>
      </c>
      <c r="C147" s="49" t="s">
        <v>106</v>
      </c>
      <c r="D147" s="84">
        <f>VLOOKUP(A147,'底稿_前2年手收20%'!A:L,11,0)</f>
        <v>15502812</v>
      </c>
      <c r="E147" s="84">
        <f>VLOOKUP(A147,'底稿_前2年手收20%'!O:Z,11,0)</f>
        <v>19173199</v>
      </c>
      <c r="F147" s="61">
        <f t="shared" si="32"/>
        <v>17338006</v>
      </c>
      <c r="G147" s="84">
        <f>VLOOKUP(A147,'底稿_前2年手收20%'!A:L,12,0)</f>
        <v>17057188</v>
      </c>
      <c r="H147" s="84">
        <f>VLOOKUP(A147,'底稿_前2年手收20%'!O:Z,12,0)</f>
        <v>30046400</v>
      </c>
      <c r="I147" s="73">
        <f t="shared" si="33"/>
        <v>23551794</v>
      </c>
      <c r="J147" s="100">
        <f t="shared" si="27"/>
        <v>32560000</v>
      </c>
      <c r="K147" s="100">
        <f t="shared" si="28"/>
        <v>49219599</v>
      </c>
      <c r="L147" s="100">
        <f t="shared" si="31"/>
        <v>40889800</v>
      </c>
      <c r="M147" s="133">
        <f t="shared" si="29"/>
        <v>486313</v>
      </c>
    </row>
    <row r="148" spans="1:13" s="33" customFormat="1" ht="24.95" customHeight="1">
      <c r="A148" s="49">
        <v>621</v>
      </c>
      <c r="B148" s="49">
        <f t="shared" si="30"/>
        <v>6210</v>
      </c>
      <c r="C148" s="49" t="s">
        <v>49</v>
      </c>
      <c r="D148" s="84">
        <f>VLOOKUP(A148,'底稿_前2年手收20%'!A:L,11,0)</f>
        <v>19168125</v>
      </c>
      <c r="E148" s="84">
        <f>VLOOKUP(A148,'底稿_前2年手收20%'!O:Z,11,0)</f>
        <v>16089520</v>
      </c>
      <c r="F148" s="61">
        <f t="shared" si="32"/>
        <v>17628823</v>
      </c>
      <c r="G148" s="84">
        <f>VLOOKUP(A148,'底稿_前2年手收20%'!A:L,12,0)</f>
        <v>28101875</v>
      </c>
      <c r="H148" s="84">
        <f>VLOOKUP(A148,'底稿_前2年手收20%'!O:Z,12,0)</f>
        <v>56286513</v>
      </c>
      <c r="I148" s="73">
        <f t="shared" si="33"/>
        <v>42194194</v>
      </c>
      <c r="J148" s="100">
        <f t="shared" si="27"/>
        <v>47270000</v>
      </c>
      <c r="K148" s="100">
        <f t="shared" si="28"/>
        <v>72376033</v>
      </c>
      <c r="L148" s="100">
        <f t="shared" si="31"/>
        <v>59823017</v>
      </c>
      <c r="M148" s="133">
        <f t="shared" si="29"/>
        <v>711490</v>
      </c>
    </row>
    <row r="149" spans="1:13" ht="24.95" customHeight="1">
      <c r="A149" s="49">
        <v>622</v>
      </c>
      <c r="B149" s="49">
        <f t="shared" si="30"/>
        <v>6220</v>
      </c>
      <c r="C149" s="49" t="s">
        <v>107</v>
      </c>
      <c r="D149" s="84">
        <f>VLOOKUP(A149,'底稿_前2年手收20%'!A:L,11,0)</f>
        <v>14101670</v>
      </c>
      <c r="E149" s="84">
        <f>VLOOKUP(A149,'底稿_前2年手收20%'!O:Z,11,0)</f>
        <v>16172205</v>
      </c>
      <c r="F149" s="61">
        <f t="shared" si="32"/>
        <v>15136938</v>
      </c>
      <c r="G149" s="84">
        <f>VLOOKUP(A149,'底稿_前2年手收20%'!A:L,12,0)</f>
        <v>25348330</v>
      </c>
      <c r="H149" s="84">
        <f>VLOOKUP(A149,'底稿_前2年手收20%'!O:Z,12,0)</f>
        <v>34283688</v>
      </c>
      <c r="I149" s="73">
        <f t="shared" si="33"/>
        <v>29816009</v>
      </c>
      <c r="J149" s="100">
        <f t="shared" si="27"/>
        <v>39450000</v>
      </c>
      <c r="K149" s="100">
        <f t="shared" si="28"/>
        <v>50455893</v>
      </c>
      <c r="L149" s="100">
        <f t="shared" si="31"/>
        <v>44952947</v>
      </c>
      <c r="M149" s="133">
        <f t="shared" si="29"/>
        <v>534637</v>
      </c>
    </row>
    <row r="150" spans="1:13" s="33" customFormat="1" ht="24.95" customHeight="1">
      <c r="A150" s="49">
        <v>640</v>
      </c>
      <c r="B150" s="49">
        <f t="shared" si="30"/>
        <v>6400</v>
      </c>
      <c r="C150" s="49" t="s">
        <v>50</v>
      </c>
      <c r="D150" s="84">
        <f>VLOOKUP(A150,'底稿_前2年手收20%'!A:L,11,0)</f>
        <v>22897415</v>
      </c>
      <c r="E150" s="84">
        <f>VLOOKUP(A150,'底稿_前2年手收20%'!O:Z,11,0)</f>
        <v>26424388</v>
      </c>
      <c r="F150" s="61">
        <f t="shared" si="32"/>
        <v>24660902</v>
      </c>
      <c r="G150" s="84">
        <f>VLOOKUP(A150,'底稿_前2年手收20%'!A:L,12,0)</f>
        <v>29572585</v>
      </c>
      <c r="H150" s="84">
        <f>VLOOKUP(A150,'底稿_前2年手收20%'!O:Z,12,0)</f>
        <v>59145612</v>
      </c>
      <c r="I150" s="73">
        <f t="shared" si="33"/>
        <v>44359099</v>
      </c>
      <c r="J150" s="100">
        <f t="shared" si="27"/>
        <v>52470000</v>
      </c>
      <c r="K150" s="100">
        <f t="shared" si="28"/>
        <v>85570000</v>
      </c>
      <c r="L150" s="100">
        <f t="shared" si="31"/>
        <v>69020000</v>
      </c>
      <c r="M150" s="133">
        <f t="shared" si="29"/>
        <v>820872</v>
      </c>
    </row>
    <row r="151" spans="1:13" ht="24.95" customHeight="1">
      <c r="A151" s="49">
        <v>642</v>
      </c>
      <c r="B151" s="49">
        <f t="shared" si="30"/>
        <v>6420</v>
      </c>
      <c r="C151" s="49" t="s">
        <v>196</v>
      </c>
      <c r="D151" s="84">
        <f>VLOOKUP(A151,'底稿_前2年手收20%'!A:L,11,0)</f>
        <v>12175017</v>
      </c>
      <c r="E151" s="84">
        <f>VLOOKUP(A151,'底稿_前2年手收20%'!O:Z,11,0)</f>
        <v>16585137</v>
      </c>
      <c r="F151" s="61">
        <f t="shared" si="32"/>
        <v>14380077</v>
      </c>
      <c r="G151" s="84">
        <f>VLOOKUP(A151,'底稿_前2年手收20%'!A:L,12,0)</f>
        <v>37064983</v>
      </c>
      <c r="H151" s="84">
        <f>VLOOKUP(A151,'底稿_前2年手收20%'!O:Z,12,0)</f>
        <v>64434863</v>
      </c>
      <c r="I151" s="73">
        <f t="shared" si="33"/>
        <v>50749923</v>
      </c>
      <c r="J151" s="100">
        <f t="shared" si="27"/>
        <v>49240000</v>
      </c>
      <c r="K151" s="100">
        <f t="shared" si="28"/>
        <v>81020000</v>
      </c>
      <c r="L151" s="100">
        <f t="shared" si="31"/>
        <v>65130000</v>
      </c>
      <c r="M151" s="133">
        <f t="shared" si="29"/>
        <v>774607</v>
      </c>
    </row>
    <row r="152" spans="1:13" s="33" customFormat="1" ht="24.95" customHeight="1">
      <c r="A152" s="49">
        <v>643</v>
      </c>
      <c r="B152" s="49">
        <f t="shared" si="30"/>
        <v>6430</v>
      </c>
      <c r="C152" s="49" t="s">
        <v>197</v>
      </c>
      <c r="D152" s="84">
        <f>VLOOKUP(A152,'底稿_前2年手收20%'!A:L,11,0)</f>
        <v>8361633</v>
      </c>
      <c r="E152" s="84">
        <f>VLOOKUP(A152,'底稿_前2年手收20%'!O:Z,11,0)</f>
        <v>11657813</v>
      </c>
      <c r="F152" s="61">
        <f t="shared" si="32"/>
        <v>10009723</v>
      </c>
      <c r="G152" s="84">
        <f>VLOOKUP(A152,'底稿_前2年手收20%'!A:L,12,0)</f>
        <v>11698332</v>
      </c>
      <c r="H152" s="84">
        <f>VLOOKUP(A152,'底稿_前2年手收20%'!O:Z,12,0)</f>
        <v>31542187</v>
      </c>
      <c r="I152" s="73">
        <f t="shared" si="33"/>
        <v>21620260</v>
      </c>
      <c r="J152" s="100">
        <f t="shared" si="27"/>
        <v>20059965</v>
      </c>
      <c r="K152" s="100">
        <f t="shared" si="28"/>
        <v>43200000</v>
      </c>
      <c r="L152" s="100">
        <f t="shared" si="31"/>
        <v>31629983</v>
      </c>
      <c r="M152" s="133">
        <f t="shared" si="29"/>
        <v>376183</v>
      </c>
    </row>
    <row r="153" spans="1:13" ht="24.95" customHeight="1">
      <c r="A153" s="49">
        <v>644</v>
      </c>
      <c r="B153" s="49">
        <f t="shared" si="30"/>
        <v>6440</v>
      </c>
      <c r="C153" s="49" t="s">
        <v>51</v>
      </c>
      <c r="D153" s="84">
        <f>VLOOKUP(A153,'底稿_前2年手收20%'!A:L,11,0)</f>
        <v>16704555</v>
      </c>
      <c r="E153" s="84">
        <f>VLOOKUP(A153,'底稿_前2年手收20%'!O:Z,11,0)</f>
        <v>19313846</v>
      </c>
      <c r="F153" s="61">
        <f t="shared" si="32"/>
        <v>18009201</v>
      </c>
      <c r="G153" s="84">
        <f>VLOOKUP(A153,'底稿_前2年手收20%'!A:L,12,0)</f>
        <v>18705445</v>
      </c>
      <c r="H153" s="84">
        <f>VLOOKUP(A153,'底稿_前2年手收20%'!O:Z,12,0)</f>
        <v>26397184</v>
      </c>
      <c r="I153" s="73">
        <f t="shared" si="33"/>
        <v>22551315</v>
      </c>
      <c r="J153" s="100">
        <f t="shared" si="27"/>
        <v>35410000</v>
      </c>
      <c r="K153" s="100">
        <f t="shared" si="28"/>
        <v>45711030</v>
      </c>
      <c r="L153" s="100">
        <f t="shared" si="31"/>
        <v>40560515</v>
      </c>
      <c r="M153" s="133">
        <f t="shared" si="29"/>
        <v>482396</v>
      </c>
    </row>
    <row r="154" spans="1:13" s="33" customFormat="1" ht="24.95" customHeight="1">
      <c r="A154" s="49">
        <v>645</v>
      </c>
      <c r="B154" s="49">
        <f t="shared" si="30"/>
        <v>6450</v>
      </c>
      <c r="C154" s="49" t="s">
        <v>198</v>
      </c>
      <c r="D154" s="84">
        <f>VLOOKUP(A154,'底稿_前2年手收20%'!A:L,11,0)</f>
        <v>18180200</v>
      </c>
      <c r="E154" s="84">
        <f>VLOOKUP(A154,'底稿_前2年手收20%'!O:Z,11,0)</f>
        <v>22683448</v>
      </c>
      <c r="F154" s="61">
        <f t="shared" si="32"/>
        <v>20431824</v>
      </c>
      <c r="G154" s="84">
        <f>VLOOKUP(A154,'底稿_前2年手收20%'!A:L,12,0)</f>
        <v>19829800</v>
      </c>
      <c r="H154" s="84">
        <f>VLOOKUP(A154,'底稿_前2年手收20%'!O:Z,12,0)</f>
        <v>28392406</v>
      </c>
      <c r="I154" s="73">
        <f t="shared" si="33"/>
        <v>24111103</v>
      </c>
      <c r="J154" s="100">
        <f t="shared" si="27"/>
        <v>38010000</v>
      </c>
      <c r="K154" s="100">
        <f t="shared" si="28"/>
        <v>51075854</v>
      </c>
      <c r="L154" s="100">
        <f t="shared" si="31"/>
        <v>44542927</v>
      </c>
      <c r="M154" s="133">
        <f t="shared" si="29"/>
        <v>529760</v>
      </c>
    </row>
    <row r="155" spans="1:13" ht="24.95" customHeight="1">
      <c r="A155" s="49">
        <v>646</v>
      </c>
      <c r="B155" s="49">
        <f t="shared" si="30"/>
        <v>6460</v>
      </c>
      <c r="C155" s="49" t="s">
        <v>199</v>
      </c>
      <c r="D155" s="84">
        <f>VLOOKUP(A155,'底稿_前2年手收20%'!A:L,11,0)</f>
        <v>12774666</v>
      </c>
      <c r="E155" s="84">
        <f>VLOOKUP(A155,'底稿_前2年手收20%'!O:Z,11,0)</f>
        <v>13460063</v>
      </c>
      <c r="F155" s="61">
        <f t="shared" si="32"/>
        <v>13117365</v>
      </c>
      <c r="G155" s="84">
        <f>VLOOKUP(A155,'底稿_前2年手收20%'!A:L,12,0)</f>
        <v>12585334</v>
      </c>
      <c r="H155" s="84">
        <f>VLOOKUP(A155,'底稿_前2年手收20%'!O:Z,12,0)</f>
        <v>22515176</v>
      </c>
      <c r="I155" s="73">
        <f t="shared" si="33"/>
        <v>17550255</v>
      </c>
      <c r="J155" s="100">
        <f t="shared" si="27"/>
        <v>25360000</v>
      </c>
      <c r="K155" s="100">
        <f t="shared" si="28"/>
        <v>35975239</v>
      </c>
      <c r="L155" s="100">
        <f t="shared" si="31"/>
        <v>30667620</v>
      </c>
      <c r="M155" s="133">
        <f t="shared" si="29"/>
        <v>364738</v>
      </c>
    </row>
    <row r="156" spans="1:13" s="33" customFormat="1" ht="24.95" customHeight="1">
      <c r="A156" s="49">
        <v>647</v>
      </c>
      <c r="B156" s="49">
        <f t="shared" si="30"/>
        <v>6470</v>
      </c>
      <c r="C156" s="49" t="s">
        <v>108</v>
      </c>
      <c r="D156" s="84">
        <f>VLOOKUP(A156,'底稿_前2年手收20%'!A:L,11,0)</f>
        <v>13379543</v>
      </c>
      <c r="E156" s="84">
        <f>VLOOKUP(A156,'底稿_前2年手收20%'!O:Z,11,0)</f>
        <v>15466059</v>
      </c>
      <c r="F156" s="61">
        <f t="shared" si="32"/>
        <v>14422801</v>
      </c>
      <c r="G156" s="84">
        <f>VLOOKUP(A156,'底稿_前2年手收20%'!A:L,12,0)</f>
        <v>19940457</v>
      </c>
      <c r="H156" s="84">
        <f>VLOOKUP(A156,'底稿_前2年手收20%'!O:Z,12,0)</f>
        <v>38109338</v>
      </c>
      <c r="I156" s="73">
        <f t="shared" si="33"/>
        <v>29024898</v>
      </c>
      <c r="J156" s="100">
        <f t="shared" si="27"/>
        <v>33320000</v>
      </c>
      <c r="K156" s="100">
        <f t="shared" si="28"/>
        <v>53575397</v>
      </c>
      <c r="L156" s="100">
        <f t="shared" si="31"/>
        <v>43447699</v>
      </c>
      <c r="M156" s="133">
        <f t="shared" si="29"/>
        <v>516734</v>
      </c>
    </row>
    <row r="157" spans="1:13" ht="24.95" customHeight="1">
      <c r="A157" s="49">
        <v>648</v>
      </c>
      <c r="B157" s="49">
        <f t="shared" si="30"/>
        <v>6480</v>
      </c>
      <c r="C157" s="49" t="s">
        <v>200</v>
      </c>
      <c r="D157" s="84">
        <f>VLOOKUP(A157,'底稿_前2年手收20%'!A:L,11,0)</f>
        <v>14012575</v>
      </c>
      <c r="E157" s="84">
        <f>VLOOKUP(A157,'底稿_前2年手收20%'!O:Z,11,0)</f>
        <v>18473756</v>
      </c>
      <c r="F157" s="61">
        <f t="shared" si="32"/>
        <v>16243166</v>
      </c>
      <c r="G157" s="84">
        <f>VLOOKUP(A157,'底稿_前2年手收20%'!A:L,12,0)</f>
        <v>11147425</v>
      </c>
      <c r="H157" s="84">
        <f>VLOOKUP(A157,'底稿_前2年手收20%'!O:Z,12,0)</f>
        <v>24627491</v>
      </c>
      <c r="I157" s="73">
        <f t="shared" si="33"/>
        <v>17887458</v>
      </c>
      <c r="J157" s="100">
        <f t="shared" si="27"/>
        <v>25160000</v>
      </c>
      <c r="K157" s="100">
        <f t="shared" si="28"/>
        <v>43101247</v>
      </c>
      <c r="L157" s="100">
        <f t="shared" si="31"/>
        <v>34130624</v>
      </c>
      <c r="M157" s="133">
        <f t="shared" si="29"/>
        <v>405924</v>
      </c>
    </row>
    <row r="158" spans="1:13" s="33" customFormat="1" ht="24.95" customHeight="1">
      <c r="A158" s="49">
        <v>681</v>
      </c>
      <c r="B158" s="49">
        <f t="shared" si="30"/>
        <v>6810</v>
      </c>
      <c r="C158" s="49" t="s">
        <v>52</v>
      </c>
      <c r="D158" s="84">
        <f>VLOOKUP(A158,'底稿_前2年手收20%'!A:L,11,0)</f>
        <v>12122230</v>
      </c>
      <c r="E158" s="84">
        <f>VLOOKUP(A158,'底稿_前2年手收20%'!O:Z,11,0)</f>
        <v>12022904</v>
      </c>
      <c r="F158" s="61">
        <f t="shared" si="32"/>
        <v>12072567</v>
      </c>
      <c r="G158" s="84">
        <f>VLOOKUP(A158,'底稿_前2年手收20%'!A:L,12,0)</f>
        <v>14071458</v>
      </c>
      <c r="H158" s="84">
        <f>VLOOKUP(A158,'底稿_前2年手收20%'!O:Z,12,0)</f>
        <v>24583135</v>
      </c>
      <c r="I158" s="73">
        <f t="shared" si="33"/>
        <v>19327297</v>
      </c>
      <c r="J158" s="100">
        <f t="shared" si="27"/>
        <v>26193688</v>
      </c>
      <c r="K158" s="100">
        <f t="shared" si="28"/>
        <v>36606039</v>
      </c>
      <c r="L158" s="100">
        <f t="shared" si="31"/>
        <v>31399864</v>
      </c>
      <c r="M158" s="133">
        <f t="shared" si="29"/>
        <v>373446</v>
      </c>
    </row>
    <row r="159" spans="1:13" ht="24.95" customHeight="1">
      <c r="A159" s="49">
        <v>700</v>
      </c>
      <c r="B159" s="49">
        <f t="shared" si="30"/>
        <v>7000</v>
      </c>
      <c r="C159" s="49" t="s">
        <v>201</v>
      </c>
      <c r="D159" s="84">
        <f>VLOOKUP(A159,'底稿_前2年手收20%'!A:L,11,0)</f>
        <v>19017402</v>
      </c>
      <c r="E159" s="84">
        <f>VLOOKUP(A159,'底稿_前2年手收20%'!O:Z,11,0)</f>
        <v>31537903</v>
      </c>
      <c r="F159" s="61">
        <f t="shared" si="32"/>
        <v>25277653</v>
      </c>
      <c r="G159" s="84">
        <f>VLOOKUP(A159,'底稿_前2年手收20%'!A:L,12,0)</f>
        <v>23112598</v>
      </c>
      <c r="H159" s="84">
        <f>VLOOKUP(A159,'底稿_前2年手收20%'!O:Z,12,0)</f>
        <v>42242097</v>
      </c>
      <c r="I159" s="73">
        <f t="shared" si="33"/>
        <v>32677348</v>
      </c>
      <c r="J159" s="100">
        <f t="shared" si="27"/>
        <v>42130000</v>
      </c>
      <c r="K159" s="100">
        <f t="shared" si="28"/>
        <v>73780000</v>
      </c>
      <c r="L159" s="100">
        <f t="shared" si="31"/>
        <v>57955000</v>
      </c>
      <c r="M159" s="133">
        <f t="shared" si="29"/>
        <v>689273</v>
      </c>
    </row>
    <row r="160" spans="1:13" s="92" customFormat="1" ht="24.95" customHeight="1">
      <c r="A160" s="81">
        <v>701</v>
      </c>
      <c r="B160" s="49">
        <f t="shared" si="30"/>
        <v>7010</v>
      </c>
      <c r="C160" s="81" t="s">
        <v>202</v>
      </c>
      <c r="D160" s="84">
        <f>VLOOKUP(A160,'底稿_前2年手收20%'!A:L,11,0)</f>
        <v>8687934</v>
      </c>
      <c r="E160" s="84">
        <f>VLOOKUP(A160,'底稿_前2年手收20%'!O:Z,11,0)</f>
        <v>10343258</v>
      </c>
      <c r="F160" s="61">
        <f t="shared" si="32"/>
        <v>9515596</v>
      </c>
      <c r="G160" s="84">
        <f>VLOOKUP(A160,'底稿_前2年手收20%'!A:L,12,0)</f>
        <v>14852066</v>
      </c>
      <c r="H160" s="84">
        <f>VLOOKUP(A160,'底稿_前2年手收20%'!O:Z,12,0)</f>
        <v>28147366</v>
      </c>
      <c r="I160" s="73">
        <f t="shared" si="33"/>
        <v>21499716</v>
      </c>
      <c r="J160" s="100">
        <f t="shared" si="27"/>
        <v>23540000</v>
      </c>
      <c r="K160" s="100">
        <f t="shared" si="28"/>
        <v>38490624</v>
      </c>
      <c r="L160" s="100">
        <f t="shared" si="31"/>
        <v>31015312</v>
      </c>
      <c r="M160" s="133">
        <f t="shared" si="29"/>
        <v>368873</v>
      </c>
    </row>
    <row r="161" spans="1:13" ht="24.95" customHeight="1">
      <c r="A161" s="49">
        <v>702</v>
      </c>
      <c r="B161" s="49">
        <f t="shared" si="30"/>
        <v>7020</v>
      </c>
      <c r="C161" s="49" t="s">
        <v>203</v>
      </c>
      <c r="D161" s="84">
        <f>VLOOKUP(A161,'底稿_前2年手收20%'!A:L,11,0)</f>
        <v>8130300</v>
      </c>
      <c r="E161" s="84">
        <f>VLOOKUP(A161,'底稿_前2年手收20%'!O:Z,11,0)</f>
        <v>6472379</v>
      </c>
      <c r="F161" s="61">
        <f t="shared" si="32"/>
        <v>7301340</v>
      </c>
      <c r="G161" s="84">
        <f>VLOOKUP(A161,'底稿_前2年手收20%'!A:L,12,0)</f>
        <v>13409700</v>
      </c>
      <c r="H161" s="84">
        <f>VLOOKUP(A161,'底稿_前2年手收20%'!O:Z,12,0)</f>
        <v>31207621</v>
      </c>
      <c r="I161" s="73">
        <f t="shared" si="33"/>
        <v>22308661</v>
      </c>
      <c r="J161" s="100">
        <f t="shared" si="27"/>
        <v>21540000</v>
      </c>
      <c r="K161" s="100">
        <f t="shared" si="28"/>
        <v>37680000</v>
      </c>
      <c r="L161" s="100">
        <f t="shared" si="31"/>
        <v>29610000</v>
      </c>
      <c r="M161" s="133">
        <f t="shared" si="29"/>
        <v>352159</v>
      </c>
    </row>
    <row r="162" spans="1:13" s="33" customFormat="1" ht="24.95" customHeight="1">
      <c r="A162" s="49">
        <v>703</v>
      </c>
      <c r="B162" s="49">
        <f t="shared" si="30"/>
        <v>7030</v>
      </c>
      <c r="C162" s="49" t="s">
        <v>53</v>
      </c>
      <c r="D162" s="84">
        <f>VLOOKUP(A162,'底稿_前2年手收20%'!A:L,11,0)</f>
        <v>10050769</v>
      </c>
      <c r="E162" s="84">
        <f>VLOOKUP(A162,'底稿_前2年手收20%'!O:Z,11,0)</f>
        <v>8254382</v>
      </c>
      <c r="F162" s="61">
        <f t="shared" si="32"/>
        <v>9152576</v>
      </c>
      <c r="G162" s="84">
        <f>VLOOKUP(A162,'底稿_前2年手收20%'!A:L,12,0)</f>
        <v>14199231</v>
      </c>
      <c r="H162" s="84">
        <f>VLOOKUP(A162,'底稿_前2年手收20%'!O:Z,12,0)</f>
        <v>19424242</v>
      </c>
      <c r="I162" s="73">
        <f t="shared" si="33"/>
        <v>16811737</v>
      </c>
      <c r="J162" s="100">
        <f t="shared" si="27"/>
        <v>24250000</v>
      </c>
      <c r="K162" s="100">
        <f t="shared" si="28"/>
        <v>27678624</v>
      </c>
      <c r="L162" s="100">
        <f t="shared" si="31"/>
        <v>25964312</v>
      </c>
      <c r="M162" s="133">
        <f t="shared" si="29"/>
        <v>308800</v>
      </c>
    </row>
    <row r="163" spans="1:13" ht="24.95" customHeight="1">
      <c r="A163" s="49">
        <v>704</v>
      </c>
      <c r="B163" s="49">
        <f t="shared" si="30"/>
        <v>7040</v>
      </c>
      <c r="C163" s="49" t="s">
        <v>54</v>
      </c>
      <c r="D163" s="84">
        <f>VLOOKUP(A163,'底稿_前2年手收20%'!A:L,11,0)</f>
        <v>8822002</v>
      </c>
      <c r="E163" s="84">
        <f>VLOOKUP(A163,'底稿_前2年手收20%'!O:Z,11,0)</f>
        <v>9247785</v>
      </c>
      <c r="F163" s="61">
        <f t="shared" si="32"/>
        <v>9034894</v>
      </c>
      <c r="G163" s="84">
        <f>VLOOKUP(A163,'底稿_前2年手收20%'!A:L,12,0)</f>
        <v>12967998</v>
      </c>
      <c r="H163" s="84">
        <f>VLOOKUP(A163,'底稿_前2年手收20%'!O:Z,12,0)</f>
        <v>27302215</v>
      </c>
      <c r="I163" s="73">
        <f t="shared" si="33"/>
        <v>20135107</v>
      </c>
      <c r="J163" s="100">
        <f t="shared" ref="J163:J186" si="34">D163+G163</f>
        <v>21790000</v>
      </c>
      <c r="K163" s="100">
        <f t="shared" ref="K163:K186" si="35">E163+H163</f>
        <v>36550000</v>
      </c>
      <c r="L163" s="100">
        <f t="shared" si="31"/>
        <v>29170000</v>
      </c>
      <c r="M163" s="133">
        <f t="shared" ref="M163:M185" si="36">ROUND(L163*(M$1/L$186), 0)</f>
        <v>346926</v>
      </c>
    </row>
    <row r="164" spans="1:13" s="33" customFormat="1" ht="24.95" customHeight="1">
      <c r="A164" s="49">
        <v>705</v>
      </c>
      <c r="B164" s="49">
        <f t="shared" si="30"/>
        <v>7050</v>
      </c>
      <c r="C164" s="49" t="s">
        <v>109</v>
      </c>
      <c r="D164" s="84">
        <f>VLOOKUP(A164,'底稿_前2年手收20%'!A:L,11,0)</f>
        <v>9289357</v>
      </c>
      <c r="E164" s="84">
        <f>VLOOKUP(A164,'底稿_前2年手收20%'!O:Z,11,0)</f>
        <v>11963576</v>
      </c>
      <c r="F164" s="61">
        <f t="shared" si="32"/>
        <v>10626467</v>
      </c>
      <c r="G164" s="84">
        <f>VLOOKUP(A164,'底稿_前2年手收20%'!A:L,12,0)</f>
        <v>11790643</v>
      </c>
      <c r="H164" s="84">
        <f>VLOOKUP(A164,'底稿_前2年手收20%'!O:Z,12,0)</f>
        <v>20378719</v>
      </c>
      <c r="I164" s="73">
        <f t="shared" si="33"/>
        <v>16084681</v>
      </c>
      <c r="J164" s="100">
        <f t="shared" si="34"/>
        <v>21080000</v>
      </c>
      <c r="K164" s="100">
        <f t="shared" si="35"/>
        <v>32342295</v>
      </c>
      <c r="L164" s="100">
        <f t="shared" si="31"/>
        <v>26711148</v>
      </c>
      <c r="M164" s="133">
        <f t="shared" si="36"/>
        <v>317682</v>
      </c>
    </row>
    <row r="165" spans="1:13" ht="24.95" customHeight="1">
      <c r="A165" s="49">
        <v>706</v>
      </c>
      <c r="B165" s="49">
        <f t="shared" si="30"/>
        <v>7060</v>
      </c>
      <c r="C165" s="49" t="s">
        <v>55</v>
      </c>
      <c r="D165" s="84">
        <f>VLOOKUP(A165,'底稿_前2年手收20%'!A:L,11,0)</f>
        <v>10836474</v>
      </c>
      <c r="E165" s="84">
        <f>VLOOKUP(A165,'底稿_前2年手收20%'!O:Z,11,0)</f>
        <v>13087653</v>
      </c>
      <c r="F165" s="61">
        <f t="shared" si="32"/>
        <v>11962064</v>
      </c>
      <c r="G165" s="84">
        <f>VLOOKUP(A165,'底稿_前2年手收20%'!A:L,12,0)</f>
        <v>21263526</v>
      </c>
      <c r="H165" s="84">
        <f>VLOOKUP(A165,'底稿_前2年手收20%'!O:Z,12,0)</f>
        <v>32733458</v>
      </c>
      <c r="I165" s="73">
        <f t="shared" si="33"/>
        <v>26998492</v>
      </c>
      <c r="J165" s="100">
        <f t="shared" si="34"/>
        <v>32100000</v>
      </c>
      <c r="K165" s="100">
        <f t="shared" si="35"/>
        <v>45821111</v>
      </c>
      <c r="L165" s="100">
        <f t="shared" si="31"/>
        <v>38960556</v>
      </c>
      <c r="M165" s="133">
        <f t="shared" si="36"/>
        <v>463368</v>
      </c>
    </row>
    <row r="166" spans="1:13" s="33" customFormat="1" ht="24.95" customHeight="1">
      <c r="A166" s="49">
        <v>707</v>
      </c>
      <c r="B166" s="49">
        <f t="shared" si="30"/>
        <v>7070</v>
      </c>
      <c r="C166" s="49" t="s">
        <v>110</v>
      </c>
      <c r="D166" s="84">
        <f>VLOOKUP(A166,'底稿_前2年手收20%'!A:L,11,0)</f>
        <v>6346992</v>
      </c>
      <c r="E166" s="84">
        <f>VLOOKUP(A166,'底稿_前2年手收20%'!O:Z,11,0)</f>
        <v>5945322</v>
      </c>
      <c r="F166" s="61">
        <f t="shared" si="32"/>
        <v>6146157</v>
      </c>
      <c r="G166" s="84">
        <f>VLOOKUP(A166,'底稿_前2年手收20%'!A:L,12,0)</f>
        <v>11176139</v>
      </c>
      <c r="H166" s="84">
        <f>VLOOKUP(A166,'底稿_前2年手收20%'!O:Z,12,0)</f>
        <v>23744678</v>
      </c>
      <c r="I166" s="73">
        <f t="shared" si="33"/>
        <v>17460409</v>
      </c>
      <c r="J166" s="100">
        <f t="shared" si="34"/>
        <v>17523131</v>
      </c>
      <c r="K166" s="100">
        <f t="shared" si="35"/>
        <v>29690000</v>
      </c>
      <c r="L166" s="100">
        <f t="shared" si="31"/>
        <v>23606566</v>
      </c>
      <c r="M166" s="133">
        <f t="shared" si="36"/>
        <v>280759</v>
      </c>
    </row>
    <row r="167" spans="1:13" ht="24.95" customHeight="1">
      <c r="A167" s="49">
        <v>708</v>
      </c>
      <c r="B167" s="49">
        <f t="shared" si="30"/>
        <v>7080</v>
      </c>
      <c r="C167" s="49" t="s">
        <v>56</v>
      </c>
      <c r="D167" s="84">
        <f>VLOOKUP(A167,'底稿_前2年手收20%'!A:L,11,0)</f>
        <v>14365597</v>
      </c>
      <c r="E167" s="84">
        <f>VLOOKUP(A167,'底稿_前2年手收20%'!O:Z,11,0)</f>
        <v>12195057</v>
      </c>
      <c r="F167" s="61">
        <f t="shared" ref="F167:F186" si="37">ROUND(AVERAGE(D167:E167), 0)</f>
        <v>13280327</v>
      </c>
      <c r="G167" s="84">
        <f>VLOOKUP(A167,'底稿_前2年手收20%'!A:L,12,0)</f>
        <v>13934403</v>
      </c>
      <c r="H167" s="84">
        <f>VLOOKUP(A167,'底稿_前2年手收20%'!O:Z,12,0)</f>
        <v>20510904</v>
      </c>
      <c r="I167" s="73">
        <f t="shared" ref="I167:I186" si="38">ROUND(AVERAGE(G167:H167), 0)</f>
        <v>17222654</v>
      </c>
      <c r="J167" s="100">
        <f t="shared" si="34"/>
        <v>28300000</v>
      </c>
      <c r="K167" s="100">
        <f t="shared" si="35"/>
        <v>32705961</v>
      </c>
      <c r="L167" s="100">
        <f t="shared" si="31"/>
        <v>30502981</v>
      </c>
      <c r="M167" s="133">
        <f t="shared" si="36"/>
        <v>362780</v>
      </c>
    </row>
    <row r="168" spans="1:13" s="33" customFormat="1" ht="24.95" customHeight="1">
      <c r="A168" s="49">
        <v>709</v>
      </c>
      <c r="B168" s="49">
        <f t="shared" si="30"/>
        <v>7090</v>
      </c>
      <c r="C168" s="49" t="s">
        <v>204</v>
      </c>
      <c r="D168" s="84">
        <f>VLOOKUP(A168,'底稿_前2年手收20%'!A:L,11,0)</f>
        <v>5444635</v>
      </c>
      <c r="E168" s="84">
        <f>VLOOKUP(A168,'底稿_前2年手收20%'!O:Z,11,0)</f>
        <v>6965824</v>
      </c>
      <c r="F168" s="61">
        <f t="shared" si="37"/>
        <v>6205230</v>
      </c>
      <c r="G168" s="84">
        <f>VLOOKUP(A168,'底稿_前2年手收20%'!A:L,12,0)</f>
        <v>21555365</v>
      </c>
      <c r="H168" s="84">
        <f>VLOOKUP(A168,'底稿_前2年手收20%'!O:Z,12,0)</f>
        <v>39524176</v>
      </c>
      <c r="I168" s="73">
        <f t="shared" si="38"/>
        <v>30539771</v>
      </c>
      <c r="J168" s="100">
        <f t="shared" si="34"/>
        <v>27000000</v>
      </c>
      <c r="K168" s="100">
        <f t="shared" si="35"/>
        <v>46490000</v>
      </c>
      <c r="L168" s="100">
        <f t="shared" si="31"/>
        <v>36745000</v>
      </c>
      <c r="M168" s="133">
        <f t="shared" si="36"/>
        <v>437017</v>
      </c>
    </row>
    <row r="169" spans="1:13" ht="24.95" customHeight="1">
      <c r="A169" s="49">
        <v>710</v>
      </c>
      <c r="B169" s="49">
        <f t="shared" si="30"/>
        <v>7100</v>
      </c>
      <c r="C169" s="49" t="s">
        <v>111</v>
      </c>
      <c r="D169" s="84">
        <f>VLOOKUP(A169,'底稿_前2年手收20%'!A:L,11,0)</f>
        <v>11722244</v>
      </c>
      <c r="E169" s="84">
        <f>VLOOKUP(A169,'底稿_前2年手收20%'!O:Z,11,0)</f>
        <v>14577565</v>
      </c>
      <c r="F169" s="61">
        <f t="shared" si="37"/>
        <v>13149905</v>
      </c>
      <c r="G169" s="84">
        <f>VLOOKUP(A169,'底稿_前2年手收20%'!A:L,12,0)</f>
        <v>24147756</v>
      </c>
      <c r="H169" s="84">
        <f>VLOOKUP(A169,'底稿_前2年手收20%'!O:Z,12,0)</f>
        <v>39240969</v>
      </c>
      <c r="I169" s="73">
        <f t="shared" si="38"/>
        <v>31694363</v>
      </c>
      <c r="J169" s="100">
        <f t="shared" si="34"/>
        <v>35870000</v>
      </c>
      <c r="K169" s="100">
        <f t="shared" si="35"/>
        <v>53818534</v>
      </c>
      <c r="L169" s="100">
        <f t="shared" si="31"/>
        <v>44844267</v>
      </c>
      <c r="M169" s="133">
        <f t="shared" si="36"/>
        <v>533344</v>
      </c>
    </row>
    <row r="170" spans="1:13" s="92" customFormat="1" ht="24.95" customHeight="1">
      <c r="A170" s="81">
        <v>711</v>
      </c>
      <c r="B170" s="49">
        <f t="shared" si="30"/>
        <v>7110</v>
      </c>
      <c r="C170" s="81" t="s">
        <v>205</v>
      </c>
      <c r="D170" s="84">
        <f>VLOOKUP(A170,'底稿_前2年手收20%'!A:L,11,0)</f>
        <v>13754097</v>
      </c>
      <c r="E170" s="84">
        <f>VLOOKUP(A170,'底稿_前2年手收20%'!O:Z,11,0)</f>
        <v>13668229</v>
      </c>
      <c r="F170" s="61">
        <f t="shared" si="37"/>
        <v>13711163</v>
      </c>
      <c r="G170" s="84">
        <f>VLOOKUP(A170,'底稿_前2年手收20%'!A:L,12,0)</f>
        <v>14425903</v>
      </c>
      <c r="H170" s="84">
        <f>VLOOKUP(A170,'底稿_前2年手收20%'!O:Z,12,0)</f>
        <v>31825702</v>
      </c>
      <c r="I170" s="73">
        <f t="shared" si="38"/>
        <v>23125803</v>
      </c>
      <c r="J170" s="100">
        <f t="shared" si="34"/>
        <v>28180000</v>
      </c>
      <c r="K170" s="100">
        <f t="shared" si="35"/>
        <v>45493931</v>
      </c>
      <c r="L170" s="100">
        <f t="shared" si="31"/>
        <v>36836966</v>
      </c>
      <c r="M170" s="133">
        <f t="shared" si="36"/>
        <v>438111</v>
      </c>
    </row>
    <row r="171" spans="1:13" ht="24.95" customHeight="1">
      <c r="A171" s="49">
        <v>712</v>
      </c>
      <c r="B171" s="49">
        <f t="shared" si="30"/>
        <v>7120</v>
      </c>
      <c r="C171" s="49" t="s">
        <v>206</v>
      </c>
      <c r="D171" s="84">
        <f>VLOOKUP(A171,'底稿_前2年手收20%'!A:L,11,0)</f>
        <v>2387807</v>
      </c>
      <c r="E171" s="84">
        <f>VLOOKUP(A171,'底稿_前2年手收20%'!O:Z,11,0)</f>
        <v>2631216</v>
      </c>
      <c r="F171" s="61">
        <f t="shared" si="37"/>
        <v>2509512</v>
      </c>
      <c r="G171" s="84">
        <f>VLOOKUP(A171,'底稿_前2年手收20%'!A:L,12,0)</f>
        <v>9112193</v>
      </c>
      <c r="H171" s="84">
        <f>VLOOKUP(A171,'底稿_前2年手收20%'!O:Z,12,0)</f>
        <v>16138784</v>
      </c>
      <c r="I171" s="73">
        <f t="shared" si="38"/>
        <v>12625489</v>
      </c>
      <c r="J171" s="100">
        <f t="shared" si="34"/>
        <v>11500000</v>
      </c>
      <c r="K171" s="100">
        <f t="shared" si="35"/>
        <v>18770000</v>
      </c>
      <c r="L171" s="100">
        <f t="shared" si="31"/>
        <v>15135000</v>
      </c>
      <c r="M171" s="133">
        <f t="shared" si="36"/>
        <v>180004</v>
      </c>
    </row>
    <row r="172" spans="1:13" s="33" customFormat="1" ht="24.95" customHeight="1">
      <c r="A172" s="49">
        <v>719</v>
      </c>
      <c r="B172" s="49">
        <f t="shared" si="30"/>
        <v>7190</v>
      </c>
      <c r="C172" s="49" t="s">
        <v>59</v>
      </c>
      <c r="D172" s="84">
        <f>VLOOKUP(A172,'底稿_前2年手收20%'!A:L,11,0)</f>
        <v>14547320</v>
      </c>
      <c r="E172" s="84">
        <f>VLOOKUP(A172,'底稿_前2年手收20%'!O:Z,11,0)</f>
        <v>12915064</v>
      </c>
      <c r="F172" s="61">
        <f t="shared" si="37"/>
        <v>13731192</v>
      </c>
      <c r="G172" s="84">
        <f>VLOOKUP(A172,'底稿_前2年手收20%'!A:L,12,0)</f>
        <v>22182680</v>
      </c>
      <c r="H172" s="84">
        <f>VLOOKUP(A172,'底稿_前2年手收20%'!O:Z,12,0)</f>
        <v>49844936</v>
      </c>
      <c r="I172" s="73">
        <f t="shared" si="38"/>
        <v>36013808</v>
      </c>
      <c r="J172" s="100">
        <f t="shared" si="34"/>
        <v>36730000</v>
      </c>
      <c r="K172" s="100">
        <f t="shared" si="35"/>
        <v>62760000</v>
      </c>
      <c r="L172" s="100">
        <f t="shared" si="31"/>
        <v>49745000</v>
      </c>
      <c r="M172" s="133">
        <f t="shared" si="36"/>
        <v>591630</v>
      </c>
    </row>
    <row r="173" spans="1:13" ht="24.95" customHeight="1">
      <c r="A173" s="49">
        <v>720</v>
      </c>
      <c r="B173" s="49">
        <f t="shared" si="30"/>
        <v>7200</v>
      </c>
      <c r="C173" s="49" t="s">
        <v>112</v>
      </c>
      <c r="D173" s="84">
        <f>VLOOKUP(A173,'底稿_前2年手收20%'!A:L,11,0)</f>
        <v>18988763</v>
      </c>
      <c r="E173" s="84">
        <f>VLOOKUP(A173,'底稿_前2年手收20%'!O:Z,11,0)</f>
        <v>17064772</v>
      </c>
      <c r="F173" s="61">
        <f t="shared" si="37"/>
        <v>18026768</v>
      </c>
      <c r="G173" s="84">
        <f>VLOOKUP(A173,'底稿_前2年手收20%'!A:L,12,0)</f>
        <v>11831237</v>
      </c>
      <c r="H173" s="84">
        <f>VLOOKUP(A173,'底稿_前2年手收20%'!O:Z,12,0)</f>
        <v>36465228</v>
      </c>
      <c r="I173" s="73">
        <f t="shared" si="38"/>
        <v>24148233</v>
      </c>
      <c r="J173" s="100">
        <f t="shared" si="34"/>
        <v>30820000</v>
      </c>
      <c r="K173" s="100">
        <f t="shared" si="35"/>
        <v>53530000</v>
      </c>
      <c r="L173" s="100">
        <f t="shared" si="31"/>
        <v>42175000</v>
      </c>
      <c r="M173" s="133">
        <f t="shared" si="36"/>
        <v>501598</v>
      </c>
    </row>
    <row r="174" spans="1:13" s="33" customFormat="1" ht="24.95" customHeight="1">
      <c r="A174" s="49">
        <v>721</v>
      </c>
      <c r="B174" s="49">
        <f t="shared" si="30"/>
        <v>7210</v>
      </c>
      <c r="C174" s="49" t="s">
        <v>60</v>
      </c>
      <c r="D174" s="84">
        <f>VLOOKUP(A174,'底稿_前2年手收20%'!A:L,11,0)</f>
        <v>16518176</v>
      </c>
      <c r="E174" s="84">
        <f>VLOOKUP(A174,'底稿_前2年手收20%'!O:Z,11,0)</f>
        <v>16396108</v>
      </c>
      <c r="F174" s="61">
        <f t="shared" si="37"/>
        <v>16457142</v>
      </c>
      <c r="G174" s="84">
        <f>VLOOKUP(A174,'底稿_前2年手收20%'!A:L,12,0)</f>
        <v>9166992</v>
      </c>
      <c r="H174" s="84">
        <f>VLOOKUP(A174,'底稿_前2年手收20%'!O:Z,12,0)</f>
        <v>28633892</v>
      </c>
      <c r="I174" s="73">
        <f t="shared" si="38"/>
        <v>18900442</v>
      </c>
      <c r="J174" s="100">
        <f t="shared" si="34"/>
        <v>25685168</v>
      </c>
      <c r="K174" s="100">
        <f t="shared" si="35"/>
        <v>45030000</v>
      </c>
      <c r="L174" s="100">
        <f t="shared" si="31"/>
        <v>35357584</v>
      </c>
      <c r="M174" s="133">
        <f t="shared" si="36"/>
        <v>420517</v>
      </c>
    </row>
    <row r="175" spans="1:13" ht="24.95" customHeight="1">
      <c r="A175" s="49">
        <v>722</v>
      </c>
      <c r="B175" s="49">
        <f t="shared" si="30"/>
        <v>7220</v>
      </c>
      <c r="C175" s="49" t="s">
        <v>61</v>
      </c>
      <c r="D175" s="84">
        <f>VLOOKUP(A175,'底稿_前2年手收20%'!A:L,11,0)</f>
        <v>6402884</v>
      </c>
      <c r="E175" s="84">
        <f>VLOOKUP(A175,'底稿_前2年手收20%'!O:Z,11,0)</f>
        <v>5674245</v>
      </c>
      <c r="F175" s="61">
        <f t="shared" si="37"/>
        <v>6038565</v>
      </c>
      <c r="G175" s="84">
        <f>VLOOKUP(A175,'底稿_前2年手收20%'!A:L,12,0)</f>
        <v>9543186</v>
      </c>
      <c r="H175" s="84">
        <f>VLOOKUP(A175,'底稿_前2年手收20%'!O:Z,12,0)</f>
        <v>18153209</v>
      </c>
      <c r="I175" s="73">
        <f t="shared" si="38"/>
        <v>13848198</v>
      </c>
      <c r="J175" s="100">
        <f t="shared" si="34"/>
        <v>15946070</v>
      </c>
      <c r="K175" s="100">
        <f t="shared" si="35"/>
        <v>23827454</v>
      </c>
      <c r="L175" s="100">
        <f t="shared" si="31"/>
        <v>19886762</v>
      </c>
      <c r="M175" s="133">
        <f t="shared" si="36"/>
        <v>236518</v>
      </c>
    </row>
    <row r="176" spans="1:13" s="33" customFormat="1" ht="24.95" customHeight="1">
      <c r="A176" s="49">
        <v>751</v>
      </c>
      <c r="B176" s="49">
        <f t="shared" si="30"/>
        <v>7510</v>
      </c>
      <c r="C176" s="49" t="s">
        <v>62</v>
      </c>
      <c r="D176" s="84">
        <f>VLOOKUP(A176,'底稿_前2年手收20%'!A:L,11,0)</f>
        <v>5469442</v>
      </c>
      <c r="E176" s="84">
        <f>VLOOKUP(A176,'底稿_前2年手收20%'!O:Z,11,0)</f>
        <v>5737857</v>
      </c>
      <c r="F176" s="61">
        <f t="shared" si="37"/>
        <v>5603650</v>
      </c>
      <c r="G176" s="84">
        <f>VLOOKUP(A176,'底稿_前2年手收20%'!A:L,12,0)</f>
        <v>17924774</v>
      </c>
      <c r="H176" s="84">
        <f>VLOOKUP(A176,'底稿_前2年手收20%'!O:Z,12,0)</f>
        <v>25110451</v>
      </c>
      <c r="I176" s="73">
        <f t="shared" si="38"/>
        <v>21517613</v>
      </c>
      <c r="J176" s="100">
        <f t="shared" si="34"/>
        <v>23394216</v>
      </c>
      <c r="K176" s="100">
        <f t="shared" si="35"/>
        <v>30848308</v>
      </c>
      <c r="L176" s="100">
        <f t="shared" si="31"/>
        <v>27121262</v>
      </c>
      <c r="M176" s="133">
        <f t="shared" si="36"/>
        <v>322560</v>
      </c>
    </row>
    <row r="177" spans="1:13" ht="24.95" customHeight="1">
      <c r="A177" s="49">
        <v>752</v>
      </c>
      <c r="B177" s="49">
        <f t="shared" si="30"/>
        <v>7520</v>
      </c>
      <c r="C177" s="49" t="s">
        <v>63</v>
      </c>
      <c r="D177" s="84">
        <f>VLOOKUP(A177,'底稿_前2年手收20%'!A:L,11,0)</f>
        <v>10021444</v>
      </c>
      <c r="E177" s="84">
        <f>VLOOKUP(A177,'底稿_前2年手收20%'!O:Z,11,0)</f>
        <v>14253701</v>
      </c>
      <c r="F177" s="61">
        <f t="shared" si="37"/>
        <v>12137573</v>
      </c>
      <c r="G177" s="84">
        <f>VLOOKUP(A177,'底稿_前2年手收20%'!A:L,12,0)</f>
        <v>19838556</v>
      </c>
      <c r="H177" s="84">
        <f>VLOOKUP(A177,'底稿_前2年手收20%'!O:Z,12,0)</f>
        <v>35926299</v>
      </c>
      <c r="I177" s="73">
        <f t="shared" si="38"/>
        <v>27882428</v>
      </c>
      <c r="J177" s="100">
        <f t="shared" si="34"/>
        <v>29860000</v>
      </c>
      <c r="K177" s="100">
        <f t="shared" si="35"/>
        <v>50180000</v>
      </c>
      <c r="L177" s="100">
        <f t="shared" si="31"/>
        <v>40020000</v>
      </c>
      <c r="M177" s="133">
        <f t="shared" si="36"/>
        <v>475968</v>
      </c>
    </row>
    <row r="178" spans="1:13" s="33" customFormat="1" ht="24.95" customHeight="1">
      <c r="A178" s="49">
        <v>753</v>
      </c>
      <c r="B178" s="49">
        <f t="shared" si="30"/>
        <v>7530</v>
      </c>
      <c r="C178" s="49" t="s">
        <v>207</v>
      </c>
      <c r="D178" s="84">
        <f>VLOOKUP(A178,'底稿_前2年手收20%'!A:L,11,0)</f>
        <v>10907651</v>
      </c>
      <c r="E178" s="84">
        <f>VLOOKUP(A178,'底稿_前2年手收20%'!O:Z,11,0)</f>
        <v>20274803</v>
      </c>
      <c r="F178" s="61">
        <f t="shared" si="37"/>
        <v>15591227</v>
      </c>
      <c r="G178" s="84">
        <f>VLOOKUP(A178,'底稿_前2年手收20%'!A:L,12,0)</f>
        <v>11312349</v>
      </c>
      <c r="H178" s="84">
        <f>VLOOKUP(A178,'底稿_前2年手收20%'!O:Z,12,0)</f>
        <v>17995197</v>
      </c>
      <c r="I178" s="73">
        <f t="shared" si="38"/>
        <v>14653773</v>
      </c>
      <c r="J178" s="100">
        <f t="shared" si="34"/>
        <v>22220000</v>
      </c>
      <c r="K178" s="100">
        <f t="shared" si="35"/>
        <v>38270000</v>
      </c>
      <c r="L178" s="100">
        <f t="shared" si="31"/>
        <v>30245000</v>
      </c>
      <c r="M178" s="133">
        <f t="shared" si="36"/>
        <v>359711</v>
      </c>
    </row>
    <row r="179" spans="1:13" s="92" customFormat="1" ht="24.95" customHeight="1">
      <c r="A179" s="81">
        <v>760</v>
      </c>
      <c r="B179" s="81">
        <f t="shared" si="30"/>
        <v>7600</v>
      </c>
      <c r="C179" s="81" t="s">
        <v>64</v>
      </c>
      <c r="D179" s="338">
        <f>D188+D189</f>
        <v>10845463</v>
      </c>
      <c r="E179" s="338">
        <f>E188+E189</f>
        <v>14435571</v>
      </c>
      <c r="F179" s="339">
        <f t="shared" si="37"/>
        <v>12640517</v>
      </c>
      <c r="G179" s="338">
        <f>G188+G189</f>
        <v>30564630</v>
      </c>
      <c r="H179" s="338">
        <f>H188+H189</f>
        <v>46689479</v>
      </c>
      <c r="I179" s="340">
        <f t="shared" si="38"/>
        <v>38627055</v>
      </c>
      <c r="J179" s="315">
        <f t="shared" si="34"/>
        <v>41410093</v>
      </c>
      <c r="K179" s="315">
        <f t="shared" si="35"/>
        <v>61125050</v>
      </c>
      <c r="L179" s="315">
        <f t="shared" si="31"/>
        <v>51267572</v>
      </c>
      <c r="M179" s="434">
        <f t="shared" si="36"/>
        <v>609738</v>
      </c>
    </row>
    <row r="180" spans="1:13" ht="24.95" customHeight="1">
      <c r="A180" s="49">
        <v>800</v>
      </c>
      <c r="B180" s="49">
        <f t="shared" si="30"/>
        <v>8000</v>
      </c>
      <c r="C180" s="49" t="s">
        <v>66</v>
      </c>
      <c r="D180" s="84">
        <f>VLOOKUP(A180,'底稿_前2年手收20%'!A:L,11,0)</f>
        <v>17087300</v>
      </c>
      <c r="E180" s="84">
        <f>VLOOKUP(A180,'底稿_前2年手收20%'!O:Z,11,0)</f>
        <v>15175898</v>
      </c>
      <c r="F180" s="61">
        <f t="shared" si="37"/>
        <v>16131599</v>
      </c>
      <c r="G180" s="84">
        <f>VLOOKUP(A180,'底稿_前2年手收20%'!A:L,12,0)</f>
        <v>15172700</v>
      </c>
      <c r="H180" s="84">
        <f>VLOOKUP(A180,'底稿_前2年手收20%'!O:Z,12,0)</f>
        <v>34814592</v>
      </c>
      <c r="I180" s="73">
        <f t="shared" si="38"/>
        <v>24993646</v>
      </c>
      <c r="J180" s="100">
        <f t="shared" si="34"/>
        <v>32260000</v>
      </c>
      <c r="K180" s="100">
        <f t="shared" si="35"/>
        <v>49990490</v>
      </c>
      <c r="L180" s="100">
        <f t="shared" si="31"/>
        <v>41125245</v>
      </c>
      <c r="M180" s="133">
        <f t="shared" si="36"/>
        <v>489113</v>
      </c>
    </row>
    <row r="181" spans="1:13" s="33" customFormat="1" ht="24.95" customHeight="1">
      <c r="A181" s="49">
        <v>801</v>
      </c>
      <c r="B181" s="49">
        <f t="shared" si="30"/>
        <v>8010</v>
      </c>
      <c r="C181" s="49" t="s">
        <v>67</v>
      </c>
      <c r="D181" s="84">
        <f>VLOOKUP(A181,'底稿_前2年手收20%'!A:L,11,0)</f>
        <v>16499753</v>
      </c>
      <c r="E181" s="84">
        <f>VLOOKUP(A181,'底稿_前2年手收20%'!O:Z,11,0)</f>
        <v>15677731</v>
      </c>
      <c r="F181" s="61">
        <f t="shared" si="37"/>
        <v>16088742</v>
      </c>
      <c r="G181" s="84">
        <f>VLOOKUP(A181,'底稿_前2年手收20%'!A:L,12,0)</f>
        <v>27830247</v>
      </c>
      <c r="H181" s="84">
        <f>VLOOKUP(A181,'底稿_前2年手收20%'!O:Z,12,0)</f>
        <v>57552269</v>
      </c>
      <c r="I181" s="73">
        <f t="shared" si="38"/>
        <v>42691258</v>
      </c>
      <c r="J181" s="100">
        <f t="shared" si="34"/>
        <v>44330000</v>
      </c>
      <c r="K181" s="100">
        <f t="shared" si="35"/>
        <v>73230000</v>
      </c>
      <c r="L181" s="100">
        <f t="shared" si="31"/>
        <v>58780000</v>
      </c>
      <c r="M181" s="133">
        <f t="shared" si="36"/>
        <v>699085</v>
      </c>
    </row>
    <row r="182" spans="1:13" s="92" customFormat="1" ht="24.95" customHeight="1">
      <c r="A182" s="81">
        <v>802</v>
      </c>
      <c r="B182" s="81">
        <f t="shared" si="30"/>
        <v>8020</v>
      </c>
      <c r="C182" s="81" t="s">
        <v>68</v>
      </c>
      <c r="D182" s="338">
        <f>D192+D193</f>
        <v>16611517</v>
      </c>
      <c r="E182" s="338">
        <f>E192+E193</f>
        <v>22713608</v>
      </c>
      <c r="F182" s="339">
        <f t="shared" si="37"/>
        <v>19662563</v>
      </c>
      <c r="G182" s="338">
        <f>G192+G193</f>
        <v>34728483</v>
      </c>
      <c r="H182" s="338">
        <f>H192+H193</f>
        <v>57961191</v>
      </c>
      <c r="I182" s="340">
        <f t="shared" si="38"/>
        <v>46344837</v>
      </c>
      <c r="J182" s="315">
        <f t="shared" si="34"/>
        <v>51340000</v>
      </c>
      <c r="K182" s="315">
        <f t="shared" si="35"/>
        <v>80674799</v>
      </c>
      <c r="L182" s="315">
        <f t="shared" si="31"/>
        <v>66007400</v>
      </c>
      <c r="M182" s="434">
        <f t="shared" si="36"/>
        <v>785042</v>
      </c>
    </row>
    <row r="183" spans="1:13" ht="25.5" customHeight="1">
      <c r="A183" s="49">
        <v>820</v>
      </c>
      <c r="B183" s="49">
        <f t="shared" si="30"/>
        <v>8200</v>
      </c>
      <c r="C183" s="49" t="s">
        <v>70</v>
      </c>
      <c r="D183" s="84">
        <f>VLOOKUP(A183,'底稿_前2年手收20%'!A:L,11,0)</f>
        <v>12136905</v>
      </c>
      <c r="E183" s="84">
        <f>VLOOKUP(A183,'底稿_前2年手收20%'!O:Z,11,0)</f>
        <v>15521974</v>
      </c>
      <c r="F183" s="61">
        <f t="shared" si="37"/>
        <v>13829440</v>
      </c>
      <c r="G183" s="84">
        <f>VLOOKUP(A183,'底稿_前2年手收20%'!A:L,12,0)</f>
        <v>16633095</v>
      </c>
      <c r="H183" s="84">
        <f>VLOOKUP(A183,'底稿_前2年手收20%'!O:Z,12,0)</f>
        <v>31428026</v>
      </c>
      <c r="I183" s="73">
        <f t="shared" si="38"/>
        <v>24030561</v>
      </c>
      <c r="J183" s="100">
        <f t="shared" si="34"/>
        <v>28770000</v>
      </c>
      <c r="K183" s="100">
        <f t="shared" si="35"/>
        <v>46950000</v>
      </c>
      <c r="L183" s="100">
        <f t="shared" si="31"/>
        <v>37860000</v>
      </c>
      <c r="M183" s="133">
        <f t="shared" si="36"/>
        <v>450278</v>
      </c>
    </row>
    <row r="184" spans="1:13" s="33" customFormat="1" ht="24.75" customHeight="1">
      <c r="A184" s="49">
        <v>830</v>
      </c>
      <c r="B184" s="49">
        <f t="shared" si="30"/>
        <v>8300</v>
      </c>
      <c r="C184" s="49" t="s">
        <v>71</v>
      </c>
      <c r="D184" s="84">
        <f>VLOOKUP(A184,'底稿_前2年手收20%'!A:L,11,0)</f>
        <v>9195123</v>
      </c>
      <c r="E184" s="84">
        <f>VLOOKUP(A184,'底稿_前2年手收20%'!O:Z,11,0)</f>
        <v>9661962</v>
      </c>
      <c r="F184" s="61">
        <f t="shared" si="37"/>
        <v>9428543</v>
      </c>
      <c r="G184" s="84">
        <f>VLOOKUP(A184,'底稿_前2年手收20%'!A:L,12,0)</f>
        <v>7814783</v>
      </c>
      <c r="H184" s="84">
        <f>VLOOKUP(A184,'底稿_前2年手收20%'!O:Z,12,0)</f>
        <v>11280767</v>
      </c>
      <c r="I184" s="73">
        <f t="shared" si="38"/>
        <v>9547775</v>
      </c>
      <c r="J184" s="100">
        <f t="shared" si="34"/>
        <v>17009906</v>
      </c>
      <c r="K184" s="100">
        <f t="shared" si="35"/>
        <v>20942729</v>
      </c>
      <c r="L184" s="100">
        <f t="shared" si="31"/>
        <v>18976318</v>
      </c>
      <c r="M184" s="133">
        <f t="shared" si="36"/>
        <v>225690</v>
      </c>
    </row>
    <row r="185" spans="1:13" ht="24.95" customHeight="1">
      <c r="A185" s="49">
        <v>888</v>
      </c>
      <c r="B185" s="49">
        <f t="shared" si="30"/>
        <v>8880</v>
      </c>
      <c r="C185" s="49" t="s">
        <v>209</v>
      </c>
      <c r="D185" s="84">
        <f>VLOOKUP(A185,'底稿_前2年手收20%'!A:L,11,0)</f>
        <v>5811548</v>
      </c>
      <c r="E185" s="84">
        <f>VLOOKUP(A185,'底稿_前2年手收20%'!O:Z,11,0)</f>
        <v>6168872</v>
      </c>
      <c r="F185" s="61">
        <f t="shared" si="37"/>
        <v>5990210</v>
      </c>
      <c r="G185" s="84">
        <f>VLOOKUP(A185,'底稿_前2年手收20%'!A:L,12,0)</f>
        <v>2148670</v>
      </c>
      <c r="H185" s="84">
        <f>VLOOKUP(A185,'底稿_前2年手收20%'!O:Z,12,0)</f>
        <v>5048465</v>
      </c>
      <c r="I185" s="73">
        <f t="shared" si="38"/>
        <v>3598568</v>
      </c>
      <c r="J185" s="100">
        <f t="shared" si="34"/>
        <v>7960218</v>
      </c>
      <c r="K185" s="100">
        <f t="shared" si="35"/>
        <v>11217337</v>
      </c>
      <c r="L185" s="100">
        <f t="shared" si="31"/>
        <v>9588778</v>
      </c>
      <c r="M185" s="133">
        <f t="shared" si="36"/>
        <v>114042</v>
      </c>
    </row>
    <row r="186" spans="1:13" ht="24.95" customHeight="1">
      <c r="A186" s="578"/>
      <c r="B186" s="578"/>
      <c r="C186" s="578"/>
      <c r="D186" s="60">
        <f>SUM(D3:D185)</f>
        <v>2964116662</v>
      </c>
      <c r="E186" s="60">
        <f>SUM(E3:E185)</f>
        <v>3310260839</v>
      </c>
      <c r="F186" s="61">
        <f t="shared" si="37"/>
        <v>3137188751</v>
      </c>
      <c r="G186" s="60">
        <f>SUM(G3:G185)</f>
        <v>2817334021</v>
      </c>
      <c r="H186" s="60">
        <f>SUM(H3:H185)</f>
        <v>5565344208</v>
      </c>
      <c r="I186" s="73">
        <f t="shared" si="38"/>
        <v>4191339115</v>
      </c>
      <c r="J186" s="100">
        <f t="shared" si="34"/>
        <v>5781450683</v>
      </c>
      <c r="K186" s="100">
        <f t="shared" si="35"/>
        <v>8875605047</v>
      </c>
      <c r="L186" s="100">
        <f>SUM(L3:L185)</f>
        <v>7328527897</v>
      </c>
      <c r="M186" s="133">
        <f>SUM(M3:M185)</f>
        <v>87160004</v>
      </c>
    </row>
    <row r="188" spans="1:13" s="92" customFormat="1">
      <c r="A188" s="433">
        <v>760</v>
      </c>
      <c r="B188" s="433">
        <v>7600</v>
      </c>
      <c r="C188" s="92" t="s">
        <v>64</v>
      </c>
      <c r="D188" s="92">
        <v>5317229</v>
      </c>
      <c r="E188" s="92">
        <v>6165408</v>
      </c>
      <c r="F188" s="92">
        <v>5741319</v>
      </c>
      <c r="G188" s="92">
        <v>18002864</v>
      </c>
      <c r="H188" s="92">
        <v>23699642</v>
      </c>
      <c r="I188" s="92">
        <v>20851253</v>
      </c>
      <c r="J188" s="319">
        <v>23320093</v>
      </c>
      <c r="K188" s="319">
        <v>29865050</v>
      </c>
      <c r="L188" s="319">
        <v>26592572</v>
      </c>
      <c r="M188" s="319" t="e">
        <v>#REF!</v>
      </c>
    </row>
    <row r="189" spans="1:13" s="92" customFormat="1">
      <c r="A189" s="433">
        <v>765</v>
      </c>
      <c r="B189" s="433">
        <v>7650</v>
      </c>
      <c r="C189" s="92" t="s">
        <v>65</v>
      </c>
      <c r="D189" s="92">
        <v>5528234</v>
      </c>
      <c r="E189" s="92">
        <v>8270163</v>
      </c>
      <c r="F189" s="92">
        <v>6899199</v>
      </c>
      <c r="G189" s="92">
        <v>12561766</v>
      </c>
      <c r="H189" s="92">
        <v>22989837</v>
      </c>
      <c r="I189" s="92">
        <v>17775802</v>
      </c>
      <c r="J189" s="319">
        <v>18090000</v>
      </c>
      <c r="K189" s="319">
        <v>31260000</v>
      </c>
      <c r="L189" s="319">
        <v>24675000</v>
      </c>
      <c r="M189" s="319" t="e">
        <v>#REF!</v>
      </c>
    </row>
    <row r="192" spans="1:13" s="92" customFormat="1">
      <c r="A192" s="433">
        <v>802</v>
      </c>
      <c r="B192" s="433">
        <v>8020</v>
      </c>
      <c r="C192" s="92" t="s">
        <v>68</v>
      </c>
      <c r="D192" s="92">
        <v>9884291</v>
      </c>
      <c r="E192" s="92">
        <v>12494173</v>
      </c>
      <c r="F192" s="92">
        <v>11189232</v>
      </c>
      <c r="G192" s="92">
        <v>19905709</v>
      </c>
      <c r="H192" s="92">
        <v>35886608</v>
      </c>
      <c r="I192" s="92">
        <v>27896159</v>
      </c>
      <c r="J192" s="319">
        <v>29790000</v>
      </c>
      <c r="K192" s="319">
        <v>48380781</v>
      </c>
      <c r="L192" s="319">
        <v>39085391</v>
      </c>
      <c r="M192" s="319" t="e">
        <v>#REF!</v>
      </c>
    </row>
    <row r="193" spans="1:13" s="92" customFormat="1">
      <c r="A193" s="433">
        <v>813</v>
      </c>
      <c r="B193" s="433">
        <v>8130</v>
      </c>
      <c r="C193" s="92" t="s">
        <v>69</v>
      </c>
      <c r="D193" s="92">
        <v>6727226</v>
      </c>
      <c r="E193" s="92">
        <v>10219435</v>
      </c>
      <c r="F193" s="92">
        <v>8473331</v>
      </c>
      <c r="G193" s="92">
        <v>14822774</v>
      </c>
      <c r="H193" s="92">
        <v>22074583</v>
      </c>
      <c r="I193" s="92">
        <v>18448679</v>
      </c>
      <c r="J193" s="319">
        <v>21550000</v>
      </c>
      <c r="K193" s="319">
        <v>32294018</v>
      </c>
      <c r="L193" s="319">
        <v>26922009</v>
      </c>
      <c r="M193" s="319" t="e">
        <v>#REF!</v>
      </c>
    </row>
  </sheetData>
  <mergeCells count="4">
    <mergeCell ref="A186:C186"/>
    <mergeCell ref="D1:F1"/>
    <mergeCell ref="G1:I1"/>
    <mergeCell ref="J1:L1"/>
  </mergeCells>
  <phoneticPr fontId="13" type="noConversion"/>
  <printOptions horizontalCentered="1"/>
  <pageMargins left="0.35433070866141736" right="0.35433070866141736" top="0.59055118110236227" bottom="0.59055118110236227" header="0.51181102362204722" footer="0.51181102362204722"/>
  <pageSetup paperSize="8" scale="76" fitToHeight="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201"/>
  <sheetViews>
    <sheetView topLeftCell="J1" zoomScaleNormal="100" workbookViewId="0">
      <selection activeCell="O16" sqref="O16"/>
    </sheetView>
  </sheetViews>
  <sheetFormatPr defaultRowHeight="16.5"/>
  <cols>
    <col min="1" max="1" width="7.5" style="93" bestFit="1" customWidth="1"/>
    <col min="2" max="2" width="13.875" bestFit="1" customWidth="1"/>
    <col min="3" max="3" width="9" bestFit="1" customWidth="1"/>
    <col min="4" max="4" width="7.5" bestFit="1" customWidth="1"/>
    <col min="5" max="5" width="21.75" style="37" customWidth="1"/>
    <col min="6" max="6" width="16.25" style="124" bestFit="1" customWidth="1"/>
    <col min="7" max="7" width="14.75" style="37" bestFit="1" customWidth="1"/>
    <col min="8" max="8" width="16.375" style="217" customWidth="1"/>
    <col min="9" max="9" width="14.75" customWidth="1"/>
    <col min="10" max="12" width="13.875" style="178" customWidth="1"/>
    <col min="15" max="15" width="7.5" style="93" bestFit="1" customWidth="1"/>
    <col min="16" max="16" width="13.875" bestFit="1" customWidth="1"/>
    <col min="17" max="17" width="10.625" customWidth="1"/>
    <col min="18" max="18" width="7.5" bestFit="1" customWidth="1"/>
    <col min="19" max="19" width="21.75" style="37" customWidth="1"/>
    <col min="20" max="20" width="16.25" style="124" bestFit="1" customWidth="1"/>
    <col min="21" max="21" width="14.75" style="37" bestFit="1" customWidth="1"/>
    <col min="22" max="22" width="17" style="217" bestFit="1" customWidth="1"/>
    <col min="23" max="23" width="14.75" customWidth="1"/>
    <col min="24" max="26" width="13.875" style="178" customWidth="1"/>
  </cols>
  <sheetData>
    <row r="1" spans="1:26" ht="17.25" thickBot="1">
      <c r="A1" s="93">
        <v>1</v>
      </c>
      <c r="B1">
        <v>2</v>
      </c>
      <c r="C1">
        <v>3</v>
      </c>
      <c r="D1">
        <v>4</v>
      </c>
      <c r="E1">
        <v>5</v>
      </c>
      <c r="F1">
        <v>6</v>
      </c>
      <c r="G1">
        <v>7</v>
      </c>
      <c r="H1" s="217">
        <v>8</v>
      </c>
      <c r="I1">
        <v>9</v>
      </c>
      <c r="J1" s="217">
        <v>10</v>
      </c>
      <c r="K1">
        <v>11</v>
      </c>
      <c r="L1" s="217">
        <v>12</v>
      </c>
      <c r="O1" s="93">
        <v>1</v>
      </c>
      <c r="P1">
        <v>2</v>
      </c>
      <c r="Q1">
        <v>3</v>
      </c>
      <c r="R1">
        <v>4</v>
      </c>
      <c r="S1">
        <v>10</v>
      </c>
      <c r="T1" s="93">
        <v>6</v>
      </c>
      <c r="U1" s="95">
        <v>10</v>
      </c>
      <c r="V1">
        <v>8</v>
      </c>
      <c r="W1">
        <v>9</v>
      </c>
      <c r="X1">
        <v>10</v>
      </c>
      <c r="Y1" s="93">
        <v>11</v>
      </c>
      <c r="Z1">
        <v>12</v>
      </c>
    </row>
    <row r="2" spans="1:26" ht="17.25" hidden="1" thickBot="1"/>
    <row r="3" spans="1:26" ht="17.25" hidden="1" thickBot="1"/>
    <row r="4" spans="1:26" ht="17.25" hidden="1" thickBot="1">
      <c r="A4" s="91"/>
      <c r="B4" s="86" t="s">
        <v>426</v>
      </c>
      <c r="C4" s="86"/>
      <c r="D4" s="85"/>
      <c r="E4" s="90"/>
      <c r="F4" s="125"/>
      <c r="G4" s="90"/>
      <c r="H4" s="218"/>
      <c r="I4" s="89"/>
      <c r="J4" s="179"/>
      <c r="K4" s="179"/>
      <c r="L4" s="179"/>
      <c r="O4" s="91"/>
      <c r="P4" s="86" t="s">
        <v>426</v>
      </c>
      <c r="Q4" s="86"/>
      <c r="R4" s="85"/>
      <c r="S4" s="90"/>
      <c r="T4" s="125"/>
      <c r="U4" s="90"/>
      <c r="V4" s="218"/>
      <c r="W4" s="89"/>
      <c r="X4" s="179"/>
      <c r="Y4" s="179"/>
      <c r="Z4" s="179"/>
    </row>
    <row r="5" spans="1:26">
      <c r="A5" s="303" t="s">
        <v>1283</v>
      </c>
      <c r="B5" s="85"/>
      <c r="C5" s="85"/>
      <c r="D5" s="85"/>
      <c r="E5" s="175"/>
      <c r="F5" s="127"/>
      <c r="G5" s="90"/>
      <c r="H5" s="216" t="s">
        <v>642</v>
      </c>
      <c r="I5" s="85"/>
      <c r="J5" s="179"/>
      <c r="K5" s="179"/>
      <c r="L5" s="179"/>
      <c r="O5" s="91" t="s">
        <v>1658</v>
      </c>
      <c r="P5" s="85"/>
      <c r="Q5" s="85"/>
      <c r="R5" s="85"/>
      <c r="S5" s="175" t="s">
        <v>1882</v>
      </c>
      <c r="T5" s="127"/>
      <c r="U5" s="90"/>
      <c r="V5" s="216" t="s">
        <v>642</v>
      </c>
      <c r="W5" s="85"/>
      <c r="X5" s="179"/>
      <c r="Y5" s="179"/>
      <c r="Z5" s="179"/>
    </row>
    <row r="6" spans="1:26" ht="16.5" customHeight="1">
      <c r="A6" s="91"/>
      <c r="B6" s="583" t="s">
        <v>427</v>
      </c>
      <c r="C6" s="583" t="s">
        <v>428</v>
      </c>
      <c r="D6" s="85"/>
      <c r="E6" s="128" t="s">
        <v>892</v>
      </c>
      <c r="F6" s="129" t="s">
        <v>893</v>
      </c>
      <c r="G6" s="90" t="s">
        <v>894</v>
      </c>
      <c r="H6" s="216" t="s">
        <v>416</v>
      </c>
      <c r="I6" s="85"/>
      <c r="J6" s="585"/>
      <c r="K6" s="585"/>
      <c r="L6" s="585"/>
      <c r="O6" s="91"/>
      <c r="P6" s="583" t="s">
        <v>427</v>
      </c>
      <c r="Q6" s="583" t="s">
        <v>428</v>
      </c>
      <c r="R6" s="85"/>
      <c r="S6" s="128" t="s">
        <v>892</v>
      </c>
      <c r="T6" s="129" t="s">
        <v>893</v>
      </c>
      <c r="U6" s="90" t="s">
        <v>894</v>
      </c>
      <c r="V6" s="216" t="s">
        <v>416</v>
      </c>
      <c r="W6" s="85"/>
      <c r="X6" s="585"/>
      <c r="Y6" s="585"/>
      <c r="Z6" s="585"/>
    </row>
    <row r="7" spans="1:26" ht="48" customHeight="1">
      <c r="A7" s="91"/>
      <c r="B7" s="584"/>
      <c r="C7" s="584"/>
      <c r="D7" s="85"/>
      <c r="E7" s="128"/>
      <c r="F7" s="129"/>
      <c r="G7" s="90"/>
      <c r="H7" s="215"/>
      <c r="I7" s="87" t="s">
        <v>429</v>
      </c>
      <c r="J7" s="180" t="s">
        <v>434</v>
      </c>
      <c r="K7" s="180" t="s">
        <v>430</v>
      </c>
      <c r="L7" s="180" t="s">
        <v>431</v>
      </c>
      <c r="O7" s="91"/>
      <c r="P7" s="584"/>
      <c r="Q7" s="584"/>
      <c r="R7" s="85"/>
      <c r="S7" s="128"/>
      <c r="T7" s="129"/>
      <c r="U7" s="90"/>
      <c r="V7" s="215"/>
      <c r="W7" s="87" t="s">
        <v>429</v>
      </c>
      <c r="X7" s="180" t="s">
        <v>434</v>
      </c>
      <c r="Y7" s="180" t="s">
        <v>430</v>
      </c>
      <c r="Z7" s="180" t="s">
        <v>431</v>
      </c>
    </row>
    <row r="8" spans="1:26">
      <c r="A8" s="91">
        <v>100</v>
      </c>
      <c r="B8" s="88">
        <v>1000</v>
      </c>
      <c r="C8" s="88" t="s">
        <v>131</v>
      </c>
      <c r="D8" s="85" t="s">
        <v>0</v>
      </c>
      <c r="E8" s="128">
        <f>VLOOKUP(A8,'113分行業績'!A:L,12,0)</f>
        <v>15914908</v>
      </c>
      <c r="F8" s="129">
        <f>G8-E8</f>
        <v>35880767.909999996</v>
      </c>
      <c r="G8" s="90">
        <f>VLOOKUP(A8,'113分行業績'!A:AU,47,0)</f>
        <v>51795675.909999996</v>
      </c>
      <c r="H8" s="215">
        <f>VLOOKUP(A8,'113分行業績'!A:AV,48,0)</f>
        <v>54720000</v>
      </c>
      <c r="I8" s="177">
        <f>IF(ISERROR(G8/H8), 0, G8/H8)</f>
        <v>0.94655840478801168</v>
      </c>
      <c r="J8" s="181">
        <f>ROUND(MIN(G8,H8), 0)</f>
        <v>51795676</v>
      </c>
      <c r="K8" s="181">
        <f>IF(ISERROR(ROUND(J8*(F8/G8), 0)), 0, ROUND(J8*(F8/G8), 0))</f>
        <v>35880768</v>
      </c>
      <c r="L8" s="181">
        <f>J8-K8</f>
        <v>15914908</v>
      </c>
      <c r="O8" s="91">
        <v>100</v>
      </c>
      <c r="P8" s="88">
        <v>1000</v>
      </c>
      <c r="Q8" s="88" t="s">
        <v>131</v>
      </c>
      <c r="R8" s="85" t="s">
        <v>0</v>
      </c>
      <c r="S8" s="128">
        <f>VLOOKUP(O8,'114分行業績'!A:L,12,0)</f>
        <v>61411318</v>
      </c>
      <c r="T8" s="129">
        <f>U8-S8</f>
        <v>35541686.609999999</v>
      </c>
      <c r="U8" s="90">
        <f>VLOOKUP(O8,'114分行業績'!A:AU,47,0)</f>
        <v>96953004.609999999</v>
      </c>
      <c r="V8" s="215">
        <f>VLOOKUP(O8,'114分行業績'!A:AV,48,0)</f>
        <v>78160000</v>
      </c>
      <c r="W8" s="177">
        <f>IF(ISERROR(U8/V8), 0, U8/V8)</f>
        <v>1.2404427406601843</v>
      </c>
      <c r="X8" s="181">
        <f>ROUND(MIN(U8,V8), 0)</f>
        <v>78160000</v>
      </c>
      <c r="Y8" s="181">
        <f>IF(ISERROR(ROUND(X8*(T8/U8), 0)), 0, ROUND(X8*(T8/U8), 0))</f>
        <v>28652420</v>
      </c>
      <c r="Z8" s="181">
        <f>X8-Y8</f>
        <v>49507580</v>
      </c>
    </row>
    <row r="9" spans="1:26">
      <c r="A9" s="91">
        <v>101</v>
      </c>
      <c r="B9" s="88">
        <v>1010</v>
      </c>
      <c r="C9" s="88" t="s">
        <v>132</v>
      </c>
      <c r="D9" s="85" t="s">
        <v>0</v>
      </c>
      <c r="E9" s="128">
        <f>VLOOKUP(A9,'113分行業績'!A:L,12,0)</f>
        <v>4620909</v>
      </c>
      <c r="F9" s="129">
        <f t="shared" ref="F9:F72" si="0">G9-E9</f>
        <v>8523850.2899999991</v>
      </c>
      <c r="G9" s="90">
        <f>VLOOKUP(A9,'113分行業績'!A:AU,47,0)</f>
        <v>13144759.289999999</v>
      </c>
      <c r="H9" s="215">
        <f>VLOOKUP(A9,'113分行業績'!A:AV,48,0)</f>
        <v>23550000</v>
      </c>
      <c r="I9" s="177">
        <f t="shared" ref="I9:I72" si="1">IF(ISERROR(G9/H9), 0, G9/H9)</f>
        <v>0.55816387643312093</v>
      </c>
      <c r="J9" s="181">
        <f t="shared" ref="J9:J72" si="2">ROUND(MIN(G9,H9), 0)</f>
        <v>13144759</v>
      </c>
      <c r="K9" s="181">
        <f t="shared" ref="K9:K72" si="3">IF(ISERROR(ROUND(J9*(F9/G9), 0)), 0, ROUND(J9*(F9/G9), 0))</f>
        <v>8523850</v>
      </c>
      <c r="L9" s="181">
        <f t="shared" ref="L9:L72" si="4">J9-K9</f>
        <v>4620909</v>
      </c>
      <c r="O9" s="91">
        <v>101</v>
      </c>
      <c r="P9" s="88">
        <v>1010</v>
      </c>
      <c r="Q9" s="88" t="s">
        <v>132</v>
      </c>
      <c r="R9" s="85" t="s">
        <v>0</v>
      </c>
      <c r="S9" s="128">
        <f>VLOOKUP(O9,'114分行業績'!A:L,12,0)</f>
        <v>11158809</v>
      </c>
      <c r="T9" s="129">
        <f t="shared" ref="T9:T72" si="5">U9-S9</f>
        <v>9492255.0500000007</v>
      </c>
      <c r="U9" s="90">
        <f>VLOOKUP(O9,'114分行業績'!A:AU,47,0)</f>
        <v>20651064.050000001</v>
      </c>
      <c r="V9" s="215">
        <f>VLOOKUP(O9,'114分行業績'!A:AV,48,0)</f>
        <v>29230000</v>
      </c>
      <c r="W9" s="177">
        <f t="shared" ref="W9:W72" si="6">IF(ISERROR(U9/V9), 0, U9/V9)</f>
        <v>0.70650236229900787</v>
      </c>
      <c r="X9" s="181">
        <f t="shared" ref="X9:X72" si="7">ROUND(MIN(U9,V9), 0)</f>
        <v>20651064</v>
      </c>
      <c r="Y9" s="181">
        <f t="shared" ref="Y9:Y72" si="8">IF(ISERROR(ROUND(X9*(T9/U9), 0)), 0, ROUND(X9*(T9/U9), 0))</f>
        <v>9492255</v>
      </c>
      <c r="Z9" s="181">
        <f t="shared" ref="Z9:Z72" si="9">X9-Y9</f>
        <v>11158809</v>
      </c>
    </row>
    <row r="10" spans="1:26">
      <c r="A10" s="91">
        <v>103</v>
      </c>
      <c r="B10" s="88">
        <v>1030</v>
      </c>
      <c r="C10" s="88" t="s">
        <v>133</v>
      </c>
      <c r="D10" s="85" t="s">
        <v>0</v>
      </c>
      <c r="E10" s="128">
        <f>VLOOKUP(A10,'113分行業績'!A:L,12,0)</f>
        <v>11366871</v>
      </c>
      <c r="F10" s="129">
        <f t="shared" si="0"/>
        <v>15239814.18</v>
      </c>
      <c r="G10" s="90">
        <f>VLOOKUP(A10,'113分行業績'!A:AU,47,0)</f>
        <v>26606685.18</v>
      </c>
      <c r="H10" s="215">
        <f>VLOOKUP(A10,'113分行業績'!A:AV,48,0)</f>
        <v>25910000</v>
      </c>
      <c r="I10" s="177">
        <f t="shared" si="1"/>
        <v>1.026888659976843</v>
      </c>
      <c r="J10" s="181">
        <f t="shared" si="2"/>
        <v>25910000</v>
      </c>
      <c r="K10" s="181">
        <f t="shared" si="3"/>
        <v>14840766</v>
      </c>
      <c r="L10" s="181">
        <f t="shared" si="4"/>
        <v>11069234</v>
      </c>
      <c r="O10" s="91">
        <v>103</v>
      </c>
      <c r="P10" s="88">
        <v>1030</v>
      </c>
      <c r="Q10" s="88" t="s">
        <v>133</v>
      </c>
      <c r="R10" s="85" t="s">
        <v>0</v>
      </c>
      <c r="S10" s="128">
        <f>VLOOKUP(O10,'114分行業績'!A:L,12,0)</f>
        <v>17502647</v>
      </c>
      <c r="T10" s="129">
        <f t="shared" si="5"/>
        <v>16596616.369999997</v>
      </c>
      <c r="U10" s="90">
        <f>VLOOKUP(O10,'114分行業績'!A:AU,47,0)</f>
        <v>34099263.369999997</v>
      </c>
      <c r="V10" s="215">
        <f>VLOOKUP(O10,'114分行業績'!A:AV,48,0)</f>
        <v>39690000</v>
      </c>
      <c r="W10" s="177">
        <f t="shared" si="6"/>
        <v>0.8591399186192995</v>
      </c>
      <c r="X10" s="181">
        <f t="shared" si="7"/>
        <v>34099263</v>
      </c>
      <c r="Y10" s="181">
        <f t="shared" si="8"/>
        <v>16596616</v>
      </c>
      <c r="Z10" s="181">
        <f t="shared" si="9"/>
        <v>17502647</v>
      </c>
    </row>
    <row r="11" spans="1:26">
      <c r="A11" s="91">
        <v>104</v>
      </c>
      <c r="B11" s="88">
        <v>1040</v>
      </c>
      <c r="C11" s="88" t="s">
        <v>134</v>
      </c>
      <c r="D11" s="85" t="s">
        <v>0</v>
      </c>
      <c r="E11" s="128">
        <f>VLOOKUP(A11,'113分行業績'!A:L,12,0)</f>
        <v>19923815</v>
      </c>
      <c r="F11" s="129">
        <f t="shared" si="0"/>
        <v>30367637.810000002</v>
      </c>
      <c r="G11" s="90">
        <f>VLOOKUP(A11,'113分行業績'!A:AU,47,0)</f>
        <v>50291452.810000002</v>
      </c>
      <c r="H11" s="215">
        <f>VLOOKUP(A11,'113分行業績'!A:AV,48,0)</f>
        <v>38120000</v>
      </c>
      <c r="I11" s="177">
        <f t="shared" si="1"/>
        <v>1.3192930957502624</v>
      </c>
      <c r="J11" s="181">
        <f t="shared" si="2"/>
        <v>38120000</v>
      </c>
      <c r="K11" s="181">
        <f t="shared" si="3"/>
        <v>23018113</v>
      </c>
      <c r="L11" s="181">
        <f t="shared" si="4"/>
        <v>15101887</v>
      </c>
      <c r="O11" s="91">
        <v>104</v>
      </c>
      <c r="P11" s="88">
        <v>1040</v>
      </c>
      <c r="Q11" s="88" t="s">
        <v>134</v>
      </c>
      <c r="R11" s="85" t="s">
        <v>0</v>
      </c>
      <c r="S11" s="128">
        <f>VLOOKUP(O11,'114分行業績'!A:L,12,0)</f>
        <v>28569894</v>
      </c>
      <c r="T11" s="129">
        <f t="shared" si="5"/>
        <v>33069318.450000003</v>
      </c>
      <c r="U11" s="90">
        <f>VLOOKUP(O11,'114分行業績'!A:AU,47,0)</f>
        <v>61639212.450000003</v>
      </c>
      <c r="V11" s="215">
        <f>VLOOKUP(O11,'114分行業績'!A:AV,48,0)</f>
        <v>64940000</v>
      </c>
      <c r="W11" s="177">
        <f t="shared" si="6"/>
        <v>0.94917173467816451</v>
      </c>
      <c r="X11" s="181">
        <f t="shared" si="7"/>
        <v>61639212</v>
      </c>
      <c r="Y11" s="181">
        <f t="shared" si="8"/>
        <v>33069318</v>
      </c>
      <c r="Z11" s="181">
        <f t="shared" si="9"/>
        <v>28569894</v>
      </c>
    </row>
    <row r="12" spans="1:26">
      <c r="A12" s="91">
        <v>105</v>
      </c>
      <c r="B12" s="88">
        <v>1050</v>
      </c>
      <c r="C12" s="88" t="s">
        <v>135</v>
      </c>
      <c r="D12" s="85" t="s">
        <v>0</v>
      </c>
      <c r="E12" s="128">
        <f>VLOOKUP(A12,'113分行業績'!A:L,12,0)</f>
        <v>6570842</v>
      </c>
      <c r="F12" s="129">
        <f t="shared" si="0"/>
        <v>26199702.809999999</v>
      </c>
      <c r="G12" s="90">
        <f>VLOOKUP(A12,'113分行業績'!A:AU,47,0)</f>
        <v>32770544.809999999</v>
      </c>
      <c r="H12" s="215">
        <f>VLOOKUP(A12,'113分行業績'!A:AV,48,0)</f>
        <v>30270000</v>
      </c>
      <c r="I12" s="177">
        <f t="shared" si="1"/>
        <v>1.082608021473406</v>
      </c>
      <c r="J12" s="181">
        <f t="shared" si="2"/>
        <v>30270000</v>
      </c>
      <c r="K12" s="181">
        <f t="shared" si="3"/>
        <v>24200544</v>
      </c>
      <c r="L12" s="181">
        <f t="shared" si="4"/>
        <v>6069456</v>
      </c>
      <c r="O12" s="91">
        <v>105</v>
      </c>
      <c r="P12" s="88">
        <v>1050</v>
      </c>
      <c r="Q12" s="88" t="s">
        <v>135</v>
      </c>
      <c r="R12" s="85" t="s">
        <v>0</v>
      </c>
      <c r="S12" s="128">
        <f>VLOOKUP(O12,'114分行業績'!A:L,12,0)</f>
        <v>9682864</v>
      </c>
      <c r="T12" s="129">
        <f t="shared" si="5"/>
        <v>26120559.880000003</v>
      </c>
      <c r="U12" s="90">
        <f>VLOOKUP(O12,'114分行業績'!A:AU,47,0)</f>
        <v>35803423.880000003</v>
      </c>
      <c r="V12" s="215">
        <f>VLOOKUP(O12,'114分行業績'!A:AV,48,0)</f>
        <v>48860000</v>
      </c>
      <c r="W12" s="177">
        <f t="shared" si="6"/>
        <v>0.73277576504298003</v>
      </c>
      <c r="X12" s="181">
        <f t="shared" si="7"/>
        <v>35803424</v>
      </c>
      <c r="Y12" s="181">
        <f t="shared" si="8"/>
        <v>26120560</v>
      </c>
      <c r="Z12" s="181">
        <f t="shared" si="9"/>
        <v>9682864</v>
      </c>
    </row>
    <row r="13" spans="1:26">
      <c r="A13" s="91">
        <v>106</v>
      </c>
      <c r="B13" s="88">
        <v>1060</v>
      </c>
      <c r="C13" s="88" t="s">
        <v>136</v>
      </c>
      <c r="D13" s="85" t="s">
        <v>0</v>
      </c>
      <c r="E13" s="128">
        <f>VLOOKUP(A13,'113分行業績'!A:L,12,0)</f>
        <v>28306332</v>
      </c>
      <c r="F13" s="129">
        <f t="shared" si="0"/>
        <v>31542152.109999999</v>
      </c>
      <c r="G13" s="90">
        <f>VLOOKUP(A13,'113分行業績'!A:AU,47,0)</f>
        <v>59848484.109999999</v>
      </c>
      <c r="H13" s="215">
        <f>VLOOKUP(A13,'113分行業績'!A:AV,48,0)</f>
        <v>52390000</v>
      </c>
      <c r="I13" s="177">
        <f t="shared" si="1"/>
        <v>1.1423646518419546</v>
      </c>
      <c r="J13" s="181">
        <f t="shared" si="2"/>
        <v>52390000</v>
      </c>
      <c r="K13" s="181">
        <f t="shared" si="3"/>
        <v>27611282</v>
      </c>
      <c r="L13" s="181">
        <f t="shared" si="4"/>
        <v>24778718</v>
      </c>
      <c r="O13" s="91">
        <v>106</v>
      </c>
      <c r="P13" s="88">
        <v>1060</v>
      </c>
      <c r="Q13" s="88" t="s">
        <v>136</v>
      </c>
      <c r="R13" s="85" t="s">
        <v>0</v>
      </c>
      <c r="S13" s="128">
        <f>VLOOKUP(O13,'114分行業績'!A:L,12,0)</f>
        <v>37796544</v>
      </c>
      <c r="T13" s="129">
        <f t="shared" si="5"/>
        <v>29012977.740000002</v>
      </c>
      <c r="U13" s="90">
        <f>VLOOKUP(O13,'114分行業績'!A:AU,47,0)</f>
        <v>66809521.740000002</v>
      </c>
      <c r="V13" s="215">
        <f>VLOOKUP(O13,'114分行業績'!A:AV,48,0)</f>
        <v>85510000</v>
      </c>
      <c r="W13" s="177">
        <f t="shared" si="6"/>
        <v>0.78130653420652563</v>
      </c>
      <c r="X13" s="181">
        <f t="shared" si="7"/>
        <v>66809522</v>
      </c>
      <c r="Y13" s="181">
        <f t="shared" si="8"/>
        <v>29012978</v>
      </c>
      <c r="Z13" s="181">
        <f t="shared" si="9"/>
        <v>37796544</v>
      </c>
    </row>
    <row r="14" spans="1:26">
      <c r="A14" s="91">
        <v>107</v>
      </c>
      <c r="B14" s="88">
        <v>1070</v>
      </c>
      <c r="C14" s="88" t="s">
        <v>73</v>
      </c>
      <c r="D14" s="85" t="s">
        <v>0</v>
      </c>
      <c r="E14" s="128">
        <f>VLOOKUP(A14,'113分行業績'!A:L,12,0)</f>
        <v>44887472</v>
      </c>
      <c r="F14" s="129">
        <f t="shared" si="0"/>
        <v>46964531.150000006</v>
      </c>
      <c r="G14" s="90">
        <f>VLOOKUP(A14,'113分行業績'!A:AU,47,0)</f>
        <v>91852003.150000006</v>
      </c>
      <c r="H14" s="215">
        <f>VLOOKUP(A14,'113分行業績'!A:AV,48,0)</f>
        <v>60880000</v>
      </c>
      <c r="I14" s="177">
        <f t="shared" si="1"/>
        <v>1.5087385537122209</v>
      </c>
      <c r="J14" s="181">
        <f t="shared" si="2"/>
        <v>60880000</v>
      </c>
      <c r="K14" s="181">
        <f t="shared" si="3"/>
        <v>31128343</v>
      </c>
      <c r="L14" s="181">
        <f t="shared" si="4"/>
        <v>29751657</v>
      </c>
      <c r="O14" s="91">
        <v>107</v>
      </c>
      <c r="P14" s="88">
        <v>1070</v>
      </c>
      <c r="Q14" s="88" t="s">
        <v>73</v>
      </c>
      <c r="R14" s="85" t="s">
        <v>0</v>
      </c>
      <c r="S14" s="128">
        <f>VLOOKUP(O14,'114分行業績'!A:L,12,0)</f>
        <v>56947060</v>
      </c>
      <c r="T14" s="129">
        <f t="shared" si="5"/>
        <v>48296959.25</v>
      </c>
      <c r="U14" s="90">
        <f>VLOOKUP(O14,'114分行業績'!A:AU,47,0)</f>
        <v>105244019.25</v>
      </c>
      <c r="V14" s="215">
        <f>VLOOKUP(O14,'114分行業績'!A:AV,48,0)</f>
        <v>105180000</v>
      </c>
      <c r="W14" s="177">
        <f t="shared" si="6"/>
        <v>1.0006086637193383</v>
      </c>
      <c r="X14" s="181">
        <f t="shared" si="7"/>
        <v>105180000</v>
      </c>
      <c r="Y14" s="181">
        <f t="shared" si="8"/>
        <v>48267581</v>
      </c>
      <c r="Z14" s="181">
        <f t="shared" si="9"/>
        <v>56912419</v>
      </c>
    </row>
    <row r="15" spans="1:26">
      <c r="A15" s="91">
        <v>108</v>
      </c>
      <c r="B15" s="88">
        <v>1080</v>
      </c>
      <c r="C15" s="88" t="s">
        <v>1</v>
      </c>
      <c r="D15" s="85" t="s">
        <v>0</v>
      </c>
      <c r="E15" s="128">
        <f>VLOOKUP(A15,'113分行業績'!A:L,12,0)</f>
        <v>16336254</v>
      </c>
      <c r="F15" s="129">
        <f t="shared" si="0"/>
        <v>46887300.689999998</v>
      </c>
      <c r="G15" s="90">
        <f>VLOOKUP(A15,'113分行業績'!A:AU,47,0)</f>
        <v>63223554.689999998</v>
      </c>
      <c r="H15" s="215">
        <f>VLOOKUP(A15,'113分行業績'!A:AV,48,0)</f>
        <v>68440000</v>
      </c>
      <c r="I15" s="177">
        <f t="shared" si="1"/>
        <v>0.92378075233781409</v>
      </c>
      <c r="J15" s="181">
        <f t="shared" si="2"/>
        <v>63223555</v>
      </c>
      <c r="K15" s="181">
        <f t="shared" si="3"/>
        <v>46887301</v>
      </c>
      <c r="L15" s="181">
        <f t="shared" si="4"/>
        <v>16336254</v>
      </c>
      <c r="O15" s="91">
        <v>108</v>
      </c>
      <c r="P15" s="88">
        <v>1080</v>
      </c>
      <c r="Q15" s="88" t="s">
        <v>1</v>
      </c>
      <c r="R15" s="85" t="s">
        <v>0</v>
      </c>
      <c r="S15" s="128">
        <f>VLOOKUP(O15,'114分行業績'!A:L,12,0)</f>
        <v>40053066</v>
      </c>
      <c r="T15" s="129">
        <f t="shared" si="5"/>
        <v>36371813.700000003</v>
      </c>
      <c r="U15" s="90">
        <f>VLOOKUP(O15,'114分行業績'!A:AU,47,0)</f>
        <v>76424879.700000003</v>
      </c>
      <c r="V15" s="215">
        <f>VLOOKUP(O15,'114分行業績'!A:AV,48,0)</f>
        <v>115000000</v>
      </c>
      <c r="W15" s="177">
        <f t="shared" si="6"/>
        <v>0.66456417130434786</v>
      </c>
      <c r="X15" s="181">
        <f t="shared" si="7"/>
        <v>76424880</v>
      </c>
      <c r="Y15" s="181">
        <f t="shared" si="8"/>
        <v>36371814</v>
      </c>
      <c r="Z15" s="181">
        <f t="shared" si="9"/>
        <v>40053066</v>
      </c>
    </row>
    <row r="16" spans="1:26">
      <c r="A16" s="91">
        <v>109</v>
      </c>
      <c r="B16" s="88">
        <v>1090</v>
      </c>
      <c r="C16" s="88" t="s">
        <v>2</v>
      </c>
      <c r="D16" s="85" t="s">
        <v>0</v>
      </c>
      <c r="E16" s="128">
        <f>VLOOKUP(A16,'113分行業績'!A:L,12,0)</f>
        <v>3508853</v>
      </c>
      <c r="F16" s="129">
        <f t="shared" si="0"/>
        <v>12794732.289999999</v>
      </c>
      <c r="G16" s="90">
        <f>VLOOKUP(A16,'113分行業績'!A:AU,47,0)</f>
        <v>16303585.289999999</v>
      </c>
      <c r="H16" s="215">
        <f>VLOOKUP(A16,'113分行業績'!A:AV,48,0)</f>
        <v>25160000</v>
      </c>
      <c r="I16" s="177">
        <f t="shared" si="1"/>
        <v>0.64799623569157394</v>
      </c>
      <c r="J16" s="181">
        <f t="shared" si="2"/>
        <v>16303585</v>
      </c>
      <c r="K16" s="181">
        <f t="shared" si="3"/>
        <v>12794732</v>
      </c>
      <c r="L16" s="181">
        <f t="shared" si="4"/>
        <v>3508853</v>
      </c>
      <c r="O16" s="91">
        <v>109</v>
      </c>
      <c r="P16" s="88">
        <v>1090</v>
      </c>
      <c r="Q16" s="88" t="s">
        <v>2</v>
      </c>
      <c r="R16" s="85" t="s">
        <v>0</v>
      </c>
      <c r="S16" s="128">
        <f>VLOOKUP(O16,'114分行業績'!A:L,12,0)</f>
        <v>8049644</v>
      </c>
      <c r="T16" s="129">
        <f t="shared" si="5"/>
        <v>11821722.030000001</v>
      </c>
      <c r="U16" s="90">
        <f>VLOOKUP(O16,'114分行業績'!A:AU,47,0)</f>
        <v>19871366.030000001</v>
      </c>
      <c r="V16" s="215">
        <f>VLOOKUP(O16,'114分行業績'!A:AV,48,0)</f>
        <v>30930000</v>
      </c>
      <c r="W16" s="177">
        <f t="shared" si="6"/>
        <v>0.64246252925961855</v>
      </c>
      <c r="X16" s="181">
        <f t="shared" si="7"/>
        <v>19871366</v>
      </c>
      <c r="Y16" s="181">
        <f t="shared" si="8"/>
        <v>11821722</v>
      </c>
      <c r="Z16" s="181">
        <f t="shared" si="9"/>
        <v>8049644</v>
      </c>
    </row>
    <row r="17" spans="1:26">
      <c r="A17" s="91">
        <v>110</v>
      </c>
      <c r="B17" s="88">
        <v>1100</v>
      </c>
      <c r="C17" s="88" t="s">
        <v>74</v>
      </c>
      <c r="D17" s="85" t="s">
        <v>0</v>
      </c>
      <c r="E17" s="128">
        <f>VLOOKUP(A17,'113分行業績'!A:L,12,0)</f>
        <v>20040887</v>
      </c>
      <c r="F17" s="129">
        <f t="shared" si="0"/>
        <v>13061292.550000001</v>
      </c>
      <c r="G17" s="90">
        <f>VLOOKUP(A17,'113分行業績'!A:AU,47,0)</f>
        <v>33102179.550000001</v>
      </c>
      <c r="H17" s="215">
        <f>VLOOKUP(A17,'113分行業績'!A:AV,48,0)</f>
        <v>29630000</v>
      </c>
      <c r="I17" s="177">
        <f t="shared" si="1"/>
        <v>1.1171845950050625</v>
      </c>
      <c r="J17" s="181">
        <f t="shared" si="2"/>
        <v>29630000</v>
      </c>
      <c r="K17" s="181">
        <f t="shared" si="3"/>
        <v>11691257</v>
      </c>
      <c r="L17" s="181">
        <f t="shared" si="4"/>
        <v>17938743</v>
      </c>
      <c r="O17" s="91">
        <v>110</v>
      </c>
      <c r="P17" s="88">
        <v>1100</v>
      </c>
      <c r="Q17" s="88" t="s">
        <v>74</v>
      </c>
      <c r="R17" s="85" t="s">
        <v>0</v>
      </c>
      <c r="S17" s="128">
        <f>VLOOKUP(O17,'114分行業績'!A:L,12,0)</f>
        <v>25934084</v>
      </c>
      <c r="T17" s="129">
        <f t="shared" si="5"/>
        <v>11801297.840000004</v>
      </c>
      <c r="U17" s="90">
        <f>VLOOKUP(O17,'114分行業績'!A:AU,47,0)</f>
        <v>37735381.840000004</v>
      </c>
      <c r="V17" s="215">
        <f>VLOOKUP(O17,'114分行業績'!A:AV,48,0)</f>
        <v>51170000</v>
      </c>
      <c r="W17" s="177">
        <f t="shared" si="6"/>
        <v>0.7374512769200704</v>
      </c>
      <c r="X17" s="181">
        <f t="shared" si="7"/>
        <v>37735382</v>
      </c>
      <c r="Y17" s="181">
        <f t="shared" si="8"/>
        <v>11801298</v>
      </c>
      <c r="Z17" s="181">
        <f t="shared" si="9"/>
        <v>25934084</v>
      </c>
    </row>
    <row r="18" spans="1:26">
      <c r="A18" s="91">
        <v>111</v>
      </c>
      <c r="B18" s="88">
        <v>1110</v>
      </c>
      <c r="C18" s="88" t="s">
        <v>75</v>
      </c>
      <c r="D18" s="85" t="s">
        <v>0</v>
      </c>
      <c r="E18" s="128">
        <f>VLOOKUP(A18,'113分行業績'!A:L,12,0)</f>
        <v>10069556</v>
      </c>
      <c r="F18" s="129">
        <f t="shared" si="0"/>
        <v>48130221.200000003</v>
      </c>
      <c r="G18" s="90">
        <f>VLOOKUP(A18,'113分行業績'!A:AU,47,0)</f>
        <v>58199777.200000003</v>
      </c>
      <c r="H18" s="215">
        <f>VLOOKUP(A18,'113分行業績'!A:AV,48,0)</f>
        <v>53550000</v>
      </c>
      <c r="I18" s="177">
        <f t="shared" si="1"/>
        <v>1.0868305732959851</v>
      </c>
      <c r="J18" s="181">
        <f t="shared" si="2"/>
        <v>53550000</v>
      </c>
      <c r="K18" s="181">
        <f t="shared" si="3"/>
        <v>44284935</v>
      </c>
      <c r="L18" s="181">
        <f t="shared" si="4"/>
        <v>9265065</v>
      </c>
      <c r="O18" s="91">
        <v>111</v>
      </c>
      <c r="P18" s="88">
        <v>1110</v>
      </c>
      <c r="Q18" s="88" t="s">
        <v>75</v>
      </c>
      <c r="R18" s="85" t="s">
        <v>0</v>
      </c>
      <c r="S18" s="128">
        <f>VLOOKUP(O18,'114分行業績'!A:L,12,0)</f>
        <v>19885486</v>
      </c>
      <c r="T18" s="129">
        <f t="shared" si="5"/>
        <v>43181345.280000001</v>
      </c>
      <c r="U18" s="90">
        <f>VLOOKUP(O18,'114分行業績'!A:AU,47,0)</f>
        <v>63066831.280000001</v>
      </c>
      <c r="V18" s="215">
        <f>VLOOKUP(O18,'114分行業績'!A:AV,48,0)</f>
        <v>87800000</v>
      </c>
      <c r="W18" s="177">
        <f t="shared" si="6"/>
        <v>0.71830103963553538</v>
      </c>
      <c r="X18" s="181">
        <f t="shared" si="7"/>
        <v>63066831</v>
      </c>
      <c r="Y18" s="181">
        <f t="shared" si="8"/>
        <v>43181345</v>
      </c>
      <c r="Z18" s="181">
        <f t="shared" si="9"/>
        <v>19885486</v>
      </c>
    </row>
    <row r="19" spans="1:26" ht="22.5">
      <c r="A19" s="91">
        <v>112</v>
      </c>
      <c r="B19" s="88">
        <v>1120</v>
      </c>
      <c r="C19" s="88" t="s">
        <v>137</v>
      </c>
      <c r="D19" s="85" t="s">
        <v>0</v>
      </c>
      <c r="E19" s="128">
        <f>VLOOKUP(A19,'113分行業績'!A:L,12,0)</f>
        <v>7447026</v>
      </c>
      <c r="F19" s="129">
        <f t="shared" si="0"/>
        <v>27692044.009999998</v>
      </c>
      <c r="G19" s="90">
        <f>VLOOKUP(A19,'113分行業績'!A:AU,47,0)</f>
        <v>35139070.009999998</v>
      </c>
      <c r="H19" s="215">
        <f>VLOOKUP(A19,'113分行業績'!A:AV,48,0)</f>
        <v>49390000</v>
      </c>
      <c r="I19" s="177">
        <f t="shared" si="1"/>
        <v>0.71146122717149218</v>
      </c>
      <c r="J19" s="181">
        <f t="shared" si="2"/>
        <v>35139070</v>
      </c>
      <c r="K19" s="181">
        <f t="shared" si="3"/>
        <v>27692044</v>
      </c>
      <c r="L19" s="181">
        <f t="shared" si="4"/>
        <v>7447026</v>
      </c>
      <c r="O19" s="91">
        <v>112</v>
      </c>
      <c r="P19" s="88">
        <v>1120</v>
      </c>
      <c r="Q19" s="88" t="s">
        <v>137</v>
      </c>
      <c r="R19" s="85" t="s">
        <v>0</v>
      </c>
      <c r="S19" s="128">
        <f>VLOOKUP(O19,'114分行業績'!A:L,12,0)</f>
        <v>18216884</v>
      </c>
      <c r="T19" s="129">
        <f t="shared" si="5"/>
        <v>24919008.450000003</v>
      </c>
      <c r="U19" s="90">
        <f>VLOOKUP(O19,'114分行業績'!A:AU,47,0)</f>
        <v>43135892.450000003</v>
      </c>
      <c r="V19" s="215">
        <f>VLOOKUP(O19,'114分行業績'!A:AV,48,0)</f>
        <v>57240000</v>
      </c>
      <c r="W19" s="177">
        <f t="shared" si="6"/>
        <v>0.75359700296995114</v>
      </c>
      <c r="X19" s="181">
        <f t="shared" si="7"/>
        <v>43135892</v>
      </c>
      <c r="Y19" s="181">
        <f t="shared" si="8"/>
        <v>24919008</v>
      </c>
      <c r="Z19" s="181">
        <f t="shared" si="9"/>
        <v>18216884</v>
      </c>
    </row>
    <row r="20" spans="1:26">
      <c r="A20" s="91">
        <v>113</v>
      </c>
      <c r="B20" s="88">
        <v>1130</v>
      </c>
      <c r="C20" s="88" t="s">
        <v>3</v>
      </c>
      <c r="D20" s="85" t="s">
        <v>0</v>
      </c>
      <c r="E20" s="128">
        <f>VLOOKUP(A20,'113分行業績'!A:L,12,0)</f>
        <v>26232605</v>
      </c>
      <c r="F20" s="129">
        <f t="shared" si="0"/>
        <v>53283103.310000002</v>
      </c>
      <c r="G20" s="90">
        <f>VLOOKUP(A20,'113分行業績'!A:AU,47,0)</f>
        <v>79515708.310000002</v>
      </c>
      <c r="H20" s="215">
        <f>VLOOKUP(A20,'113分行業績'!A:AV,48,0)</f>
        <v>46170000</v>
      </c>
      <c r="I20" s="177">
        <f t="shared" si="1"/>
        <v>1.7222375635694174</v>
      </c>
      <c r="J20" s="181">
        <f t="shared" si="2"/>
        <v>46170000</v>
      </c>
      <c r="K20" s="181">
        <f t="shared" si="3"/>
        <v>30938301</v>
      </c>
      <c r="L20" s="181">
        <f t="shared" si="4"/>
        <v>15231699</v>
      </c>
      <c r="O20" s="91">
        <v>113</v>
      </c>
      <c r="P20" s="88">
        <v>1130</v>
      </c>
      <c r="Q20" s="88" t="s">
        <v>3</v>
      </c>
      <c r="R20" s="85" t="s">
        <v>0</v>
      </c>
      <c r="S20" s="128">
        <f>VLOOKUP(O20,'114分行業績'!A:L,12,0)</f>
        <v>25955445</v>
      </c>
      <c r="T20" s="129">
        <f t="shared" si="5"/>
        <v>40481070.549999997</v>
      </c>
      <c r="U20" s="90">
        <f>VLOOKUP(O20,'114分行業績'!A:AU,47,0)</f>
        <v>66436515.549999997</v>
      </c>
      <c r="V20" s="215">
        <f>VLOOKUP(O20,'114分行業績'!A:AV,48,0)</f>
        <v>78670000</v>
      </c>
      <c r="W20" s="177">
        <f t="shared" si="6"/>
        <v>0.84449619359349182</v>
      </c>
      <c r="X20" s="181">
        <f t="shared" si="7"/>
        <v>66436516</v>
      </c>
      <c r="Y20" s="181">
        <f t="shared" si="8"/>
        <v>40481071</v>
      </c>
      <c r="Z20" s="181">
        <f t="shared" si="9"/>
        <v>25955445</v>
      </c>
    </row>
    <row r="21" spans="1:26">
      <c r="A21" s="91">
        <v>114</v>
      </c>
      <c r="B21" s="88">
        <v>1140</v>
      </c>
      <c r="C21" s="88" t="s">
        <v>138</v>
      </c>
      <c r="D21" s="85" t="s">
        <v>0</v>
      </c>
      <c r="E21" s="128">
        <f>VLOOKUP(A21,'113分行業績'!A:L,12,0)</f>
        <v>26115592</v>
      </c>
      <c r="F21" s="129">
        <f t="shared" si="0"/>
        <v>22330534.159999996</v>
      </c>
      <c r="G21" s="90">
        <f>VLOOKUP(A21,'113分行業績'!A:AU,47,0)</f>
        <v>48446126.159999996</v>
      </c>
      <c r="H21" s="215">
        <f>VLOOKUP(A21,'113分行業績'!A:AV,48,0)</f>
        <v>41820000</v>
      </c>
      <c r="I21" s="177">
        <f t="shared" si="1"/>
        <v>1.1584439540889526</v>
      </c>
      <c r="J21" s="181">
        <f t="shared" si="2"/>
        <v>41820000</v>
      </c>
      <c r="K21" s="181">
        <f t="shared" si="3"/>
        <v>19276318</v>
      </c>
      <c r="L21" s="181">
        <f t="shared" si="4"/>
        <v>22543682</v>
      </c>
      <c r="O21" s="91">
        <v>114</v>
      </c>
      <c r="P21" s="88">
        <v>1140</v>
      </c>
      <c r="Q21" s="88" t="s">
        <v>138</v>
      </c>
      <c r="R21" s="85" t="s">
        <v>0</v>
      </c>
      <c r="S21" s="128">
        <f>VLOOKUP(O21,'114分行業績'!A:L,12,0)</f>
        <v>33881599</v>
      </c>
      <c r="T21" s="129">
        <f t="shared" si="5"/>
        <v>26958919.380000003</v>
      </c>
      <c r="U21" s="90">
        <f>VLOOKUP(O21,'114分行業績'!A:AU,47,0)</f>
        <v>60840518.380000003</v>
      </c>
      <c r="V21" s="215">
        <f>VLOOKUP(O21,'114分行業績'!A:AV,48,0)</f>
        <v>71770000</v>
      </c>
      <c r="W21" s="177">
        <f t="shared" si="6"/>
        <v>0.84771517876550095</v>
      </c>
      <c r="X21" s="181">
        <f t="shared" si="7"/>
        <v>60840518</v>
      </c>
      <c r="Y21" s="181">
        <f t="shared" si="8"/>
        <v>26958919</v>
      </c>
      <c r="Z21" s="181">
        <f t="shared" si="9"/>
        <v>33881599</v>
      </c>
    </row>
    <row r="22" spans="1:26">
      <c r="A22" s="91">
        <v>115</v>
      </c>
      <c r="B22" s="88">
        <v>1150</v>
      </c>
      <c r="C22" s="88" t="s">
        <v>139</v>
      </c>
      <c r="D22" s="85" t="s">
        <v>0</v>
      </c>
      <c r="E22" s="128">
        <f>VLOOKUP(A22,'113分行業績'!A:L,12,0)</f>
        <v>27891215</v>
      </c>
      <c r="F22" s="129">
        <f t="shared" si="0"/>
        <v>15555855.43</v>
      </c>
      <c r="G22" s="90">
        <f>VLOOKUP(A22,'113分行業績'!A:AU,47,0)</f>
        <v>43447070.43</v>
      </c>
      <c r="H22" s="215">
        <f>VLOOKUP(A22,'113分行業績'!A:AV,48,0)</f>
        <v>33910000</v>
      </c>
      <c r="I22" s="177">
        <f t="shared" si="1"/>
        <v>1.281246547626069</v>
      </c>
      <c r="J22" s="181">
        <f t="shared" si="2"/>
        <v>33910000</v>
      </c>
      <c r="K22" s="181">
        <f t="shared" si="3"/>
        <v>12141188</v>
      </c>
      <c r="L22" s="181">
        <f t="shared" si="4"/>
        <v>21768812</v>
      </c>
      <c r="O22" s="91">
        <v>115</v>
      </c>
      <c r="P22" s="88">
        <v>1150</v>
      </c>
      <c r="Q22" s="88" t="s">
        <v>139</v>
      </c>
      <c r="R22" s="85" t="s">
        <v>0</v>
      </c>
      <c r="S22" s="128">
        <f>VLOOKUP(O22,'114分行業績'!A:L,12,0)</f>
        <v>60220415</v>
      </c>
      <c r="T22" s="129">
        <f t="shared" si="5"/>
        <v>18907078.859999999</v>
      </c>
      <c r="U22" s="90">
        <f>VLOOKUP(O22,'114分行業績'!A:AU,47,0)</f>
        <v>79127493.859999999</v>
      </c>
      <c r="V22" s="215">
        <f>VLOOKUP(O22,'114分行業績'!A:AV,48,0)</f>
        <v>55680000</v>
      </c>
      <c r="W22" s="177">
        <f t="shared" si="6"/>
        <v>1.4211115994971264</v>
      </c>
      <c r="X22" s="181">
        <f t="shared" si="7"/>
        <v>55680000</v>
      </c>
      <c r="Y22" s="181">
        <f t="shared" si="8"/>
        <v>13304429</v>
      </c>
      <c r="Z22" s="181">
        <f t="shared" si="9"/>
        <v>42375571</v>
      </c>
    </row>
    <row r="23" spans="1:26">
      <c r="A23" s="91">
        <v>116</v>
      </c>
      <c r="B23" s="88">
        <v>1160</v>
      </c>
      <c r="C23" s="88" t="s">
        <v>140</v>
      </c>
      <c r="D23" s="85" t="s">
        <v>0</v>
      </c>
      <c r="E23" s="128">
        <f>VLOOKUP(A23,'113分行業績'!A:L,12,0)</f>
        <v>8876349</v>
      </c>
      <c r="F23" s="129">
        <f t="shared" si="0"/>
        <v>18669052.309999999</v>
      </c>
      <c r="G23" s="90">
        <f>VLOOKUP(A23,'113分行業績'!A:AU,47,0)</f>
        <v>27545401.309999999</v>
      </c>
      <c r="H23" s="215">
        <f>VLOOKUP(A23,'113分行業績'!A:AV,48,0)</f>
        <v>30180000</v>
      </c>
      <c r="I23" s="177">
        <f t="shared" si="1"/>
        <v>0.91270382074221335</v>
      </c>
      <c r="J23" s="181">
        <f t="shared" si="2"/>
        <v>27545401</v>
      </c>
      <c r="K23" s="181">
        <f t="shared" si="3"/>
        <v>18669052</v>
      </c>
      <c r="L23" s="181">
        <f t="shared" si="4"/>
        <v>8876349</v>
      </c>
      <c r="O23" s="91">
        <v>116</v>
      </c>
      <c r="P23" s="88">
        <v>1160</v>
      </c>
      <c r="Q23" s="88" t="s">
        <v>140</v>
      </c>
      <c r="R23" s="85" t="s">
        <v>0</v>
      </c>
      <c r="S23" s="128">
        <f>VLOOKUP(O23,'114分行業績'!A:L,12,0)</f>
        <v>22331143</v>
      </c>
      <c r="T23" s="129">
        <f t="shared" si="5"/>
        <v>12626351.710000001</v>
      </c>
      <c r="U23" s="90">
        <f>VLOOKUP(O23,'114分行業績'!A:AU,47,0)</f>
        <v>34957494.710000001</v>
      </c>
      <c r="V23" s="215">
        <f>VLOOKUP(O23,'114分行業績'!A:AV,48,0)</f>
        <v>42730000</v>
      </c>
      <c r="W23" s="177">
        <f t="shared" si="6"/>
        <v>0.81810191223964435</v>
      </c>
      <c r="X23" s="181">
        <f t="shared" si="7"/>
        <v>34957495</v>
      </c>
      <c r="Y23" s="181">
        <f t="shared" si="8"/>
        <v>12626352</v>
      </c>
      <c r="Z23" s="181">
        <f t="shared" si="9"/>
        <v>22331143</v>
      </c>
    </row>
    <row r="24" spans="1:26" ht="22.5">
      <c r="A24" s="91">
        <v>117</v>
      </c>
      <c r="B24" s="88">
        <v>1170</v>
      </c>
      <c r="C24" s="88" t="s">
        <v>399</v>
      </c>
      <c r="D24" s="85" t="s">
        <v>0</v>
      </c>
      <c r="E24" s="128">
        <f>VLOOKUP(A24,'113分行業績'!A:L,12,0)</f>
        <v>15147969</v>
      </c>
      <c r="F24" s="129">
        <f t="shared" si="0"/>
        <v>28964311.090000004</v>
      </c>
      <c r="G24" s="90">
        <f>VLOOKUP(A24,'113分行業績'!A:AU,47,0)</f>
        <v>44112280.090000004</v>
      </c>
      <c r="H24" s="215">
        <f>VLOOKUP(A24,'113分行業績'!A:AV,48,0)</f>
        <v>38830000</v>
      </c>
      <c r="I24" s="177">
        <f t="shared" si="1"/>
        <v>1.1360360569147567</v>
      </c>
      <c r="J24" s="181">
        <f t="shared" si="2"/>
        <v>38830000</v>
      </c>
      <c r="K24" s="181">
        <f t="shared" si="3"/>
        <v>25495943</v>
      </c>
      <c r="L24" s="181">
        <f t="shared" si="4"/>
        <v>13334057</v>
      </c>
      <c r="O24" s="91">
        <v>117</v>
      </c>
      <c r="P24" s="88">
        <v>1170</v>
      </c>
      <c r="Q24" s="88" t="s">
        <v>399</v>
      </c>
      <c r="R24" s="85" t="s">
        <v>0</v>
      </c>
      <c r="S24" s="128">
        <f>VLOOKUP(O24,'114分行業績'!A:L,12,0)</f>
        <v>33665351</v>
      </c>
      <c r="T24" s="129">
        <f t="shared" si="5"/>
        <v>31229609.060000002</v>
      </c>
      <c r="U24" s="90">
        <f>VLOOKUP(O24,'114分行業績'!A:AU,47,0)</f>
        <v>64894960.060000002</v>
      </c>
      <c r="V24" s="215">
        <f>VLOOKUP(O24,'114分行業績'!A:AV,48,0)</f>
        <v>63530000</v>
      </c>
      <c r="W24" s="177">
        <f t="shared" si="6"/>
        <v>1.0214852834881158</v>
      </c>
      <c r="X24" s="181">
        <f t="shared" si="7"/>
        <v>63530000</v>
      </c>
      <c r="Y24" s="181">
        <f t="shared" si="8"/>
        <v>30572745</v>
      </c>
      <c r="Z24" s="181">
        <f t="shared" si="9"/>
        <v>32957255</v>
      </c>
    </row>
    <row r="25" spans="1:26">
      <c r="A25" s="91">
        <v>118</v>
      </c>
      <c r="B25" s="88">
        <v>1180</v>
      </c>
      <c r="C25" s="88" t="s">
        <v>141</v>
      </c>
      <c r="D25" s="85" t="s">
        <v>0</v>
      </c>
      <c r="E25" s="128">
        <f>VLOOKUP(A25,'113分行業績'!A:L,12,0)</f>
        <v>10541237</v>
      </c>
      <c r="F25" s="129">
        <f t="shared" si="0"/>
        <v>28715669.049999997</v>
      </c>
      <c r="G25" s="90">
        <f>VLOOKUP(A25,'113分行業績'!A:AU,47,0)</f>
        <v>39256906.049999997</v>
      </c>
      <c r="H25" s="215">
        <f>VLOOKUP(A25,'113分行業績'!A:AV,48,0)</f>
        <v>42640000</v>
      </c>
      <c r="I25" s="177">
        <f t="shared" si="1"/>
        <v>0.92065914751407119</v>
      </c>
      <c r="J25" s="181">
        <f t="shared" si="2"/>
        <v>39256906</v>
      </c>
      <c r="K25" s="181">
        <f t="shared" si="3"/>
        <v>28715669</v>
      </c>
      <c r="L25" s="181">
        <f t="shared" si="4"/>
        <v>10541237</v>
      </c>
      <c r="O25" s="91">
        <v>118</v>
      </c>
      <c r="P25" s="88">
        <v>1180</v>
      </c>
      <c r="Q25" s="88" t="s">
        <v>141</v>
      </c>
      <c r="R25" s="85" t="s">
        <v>0</v>
      </c>
      <c r="S25" s="128">
        <f>VLOOKUP(O25,'114分行業績'!A:L,12,0)</f>
        <v>20719152</v>
      </c>
      <c r="T25" s="129">
        <f t="shared" si="5"/>
        <v>31349724.299999997</v>
      </c>
      <c r="U25" s="90">
        <f>VLOOKUP(O25,'114分行業績'!A:AU,47,0)</f>
        <v>52068876.299999997</v>
      </c>
      <c r="V25" s="215">
        <f>VLOOKUP(O25,'114分行業績'!A:AV,48,0)</f>
        <v>63430000</v>
      </c>
      <c r="W25" s="177">
        <f t="shared" si="6"/>
        <v>0.82088721898155437</v>
      </c>
      <c r="X25" s="181">
        <f t="shared" si="7"/>
        <v>52068876</v>
      </c>
      <c r="Y25" s="181">
        <f t="shared" si="8"/>
        <v>31349724</v>
      </c>
      <c r="Z25" s="181">
        <f t="shared" si="9"/>
        <v>20719152</v>
      </c>
    </row>
    <row r="26" spans="1:26">
      <c r="A26" s="91">
        <v>119</v>
      </c>
      <c r="B26" s="88">
        <v>1190</v>
      </c>
      <c r="C26" s="88" t="s">
        <v>76</v>
      </c>
      <c r="D26" s="85" t="s">
        <v>0</v>
      </c>
      <c r="E26" s="128">
        <f>VLOOKUP(A26,'113分行業績'!A:L,12,0)</f>
        <v>9787248</v>
      </c>
      <c r="F26" s="129">
        <f t="shared" si="0"/>
        <v>18578762.690000001</v>
      </c>
      <c r="G26" s="90">
        <f>VLOOKUP(A26,'113分行業績'!A:AU,47,0)</f>
        <v>28366010.690000001</v>
      </c>
      <c r="H26" s="215">
        <f>VLOOKUP(A26,'113分行業績'!A:AV,48,0)</f>
        <v>25320000</v>
      </c>
      <c r="I26" s="177">
        <f t="shared" si="1"/>
        <v>1.1203005801737758</v>
      </c>
      <c r="J26" s="181">
        <f t="shared" si="2"/>
        <v>25320000</v>
      </c>
      <c r="K26" s="181">
        <f t="shared" si="3"/>
        <v>16583730</v>
      </c>
      <c r="L26" s="181">
        <f t="shared" si="4"/>
        <v>8736270</v>
      </c>
      <c r="O26" s="91">
        <v>119</v>
      </c>
      <c r="P26" s="88">
        <v>1190</v>
      </c>
      <c r="Q26" s="88" t="s">
        <v>76</v>
      </c>
      <c r="R26" s="85" t="s">
        <v>0</v>
      </c>
      <c r="S26" s="128">
        <f>VLOOKUP(O26,'114分行業績'!A:L,12,0)</f>
        <v>22666067</v>
      </c>
      <c r="T26" s="129">
        <f t="shared" si="5"/>
        <v>14931503.460000001</v>
      </c>
      <c r="U26" s="90">
        <f>VLOOKUP(O26,'114分行業績'!A:AU,47,0)</f>
        <v>37597570.460000001</v>
      </c>
      <c r="V26" s="215">
        <f>VLOOKUP(O26,'114分行業績'!A:AV,48,0)</f>
        <v>43360000</v>
      </c>
      <c r="W26" s="177">
        <f t="shared" si="6"/>
        <v>0.86710263976014768</v>
      </c>
      <c r="X26" s="181">
        <f t="shared" si="7"/>
        <v>37597570</v>
      </c>
      <c r="Y26" s="181">
        <f t="shared" si="8"/>
        <v>14931503</v>
      </c>
      <c r="Z26" s="181">
        <f t="shared" si="9"/>
        <v>22666067</v>
      </c>
    </row>
    <row r="27" spans="1:26" ht="22.5">
      <c r="A27" s="91">
        <v>120</v>
      </c>
      <c r="B27" s="88">
        <v>1200</v>
      </c>
      <c r="C27" s="88" t="s">
        <v>142</v>
      </c>
      <c r="D27" s="85" t="s">
        <v>0</v>
      </c>
      <c r="E27" s="128">
        <f>VLOOKUP(A27,'113分行業績'!A:L,12,0)</f>
        <v>30921214</v>
      </c>
      <c r="F27" s="129">
        <f t="shared" si="0"/>
        <v>45305076.489999995</v>
      </c>
      <c r="G27" s="90">
        <f>VLOOKUP(A27,'113分行業績'!A:AU,47,0)</f>
        <v>76226290.489999995</v>
      </c>
      <c r="H27" s="215">
        <f>VLOOKUP(A27,'113分行業績'!A:AV,48,0)</f>
        <v>49600000</v>
      </c>
      <c r="I27" s="177">
        <f t="shared" si="1"/>
        <v>1.536820372782258</v>
      </c>
      <c r="J27" s="181">
        <f t="shared" si="2"/>
        <v>49600000</v>
      </c>
      <c r="K27" s="181">
        <f t="shared" si="3"/>
        <v>29479747</v>
      </c>
      <c r="L27" s="181">
        <f t="shared" si="4"/>
        <v>20120253</v>
      </c>
      <c r="O27" s="91">
        <v>120</v>
      </c>
      <c r="P27" s="88">
        <v>1200</v>
      </c>
      <c r="Q27" s="88" t="s">
        <v>142</v>
      </c>
      <c r="R27" s="85" t="s">
        <v>0</v>
      </c>
      <c r="S27" s="128">
        <f>VLOOKUP(O27,'114分行業績'!A:L,12,0)</f>
        <v>52531350</v>
      </c>
      <c r="T27" s="129">
        <f t="shared" si="5"/>
        <v>33713179.599999994</v>
      </c>
      <c r="U27" s="90">
        <f>VLOOKUP(O27,'114分行業績'!A:AU,47,0)</f>
        <v>86244529.599999994</v>
      </c>
      <c r="V27" s="215">
        <f>VLOOKUP(O27,'114分行業績'!A:AV,48,0)</f>
        <v>80680000</v>
      </c>
      <c r="W27" s="177">
        <f t="shared" si="6"/>
        <v>1.0689703718393653</v>
      </c>
      <c r="X27" s="181">
        <f t="shared" si="7"/>
        <v>80680000</v>
      </c>
      <c r="Y27" s="181">
        <f t="shared" si="8"/>
        <v>31537993</v>
      </c>
      <c r="Z27" s="181">
        <f t="shared" si="9"/>
        <v>49142007</v>
      </c>
    </row>
    <row r="28" spans="1:26">
      <c r="A28" s="91">
        <v>121</v>
      </c>
      <c r="B28" s="88">
        <v>1210</v>
      </c>
      <c r="C28" s="88" t="s">
        <v>4</v>
      </c>
      <c r="D28" s="85" t="s">
        <v>0</v>
      </c>
      <c r="E28" s="128">
        <f>VLOOKUP(A28,'113分行業績'!A:L,12,0)</f>
        <v>9305294</v>
      </c>
      <c r="F28" s="129">
        <f t="shared" si="0"/>
        <v>22202811.079999998</v>
      </c>
      <c r="G28" s="90">
        <f>VLOOKUP(A28,'113分行業績'!A:AU,47,0)</f>
        <v>31508105.079999998</v>
      </c>
      <c r="H28" s="215">
        <f>VLOOKUP(A28,'113分行業績'!A:AV,48,0)</f>
        <v>36790000</v>
      </c>
      <c r="I28" s="177">
        <f t="shared" si="1"/>
        <v>0.85643123348736061</v>
      </c>
      <c r="J28" s="181">
        <f t="shared" si="2"/>
        <v>31508105</v>
      </c>
      <c r="K28" s="181">
        <f t="shared" si="3"/>
        <v>22202811</v>
      </c>
      <c r="L28" s="181">
        <f t="shared" si="4"/>
        <v>9305294</v>
      </c>
      <c r="O28" s="91">
        <v>121</v>
      </c>
      <c r="P28" s="88">
        <v>1210</v>
      </c>
      <c r="Q28" s="88" t="s">
        <v>4</v>
      </c>
      <c r="R28" s="85" t="s">
        <v>0</v>
      </c>
      <c r="S28" s="128">
        <f>VLOOKUP(O28,'114分行業績'!A:L,12,0)</f>
        <v>40341562</v>
      </c>
      <c r="T28" s="129">
        <f t="shared" si="5"/>
        <v>23146266.520000003</v>
      </c>
      <c r="U28" s="90">
        <f>VLOOKUP(O28,'114分行業績'!A:AU,47,0)</f>
        <v>63487828.520000003</v>
      </c>
      <c r="V28" s="215">
        <f>VLOOKUP(O28,'114分行業績'!A:AV,48,0)</f>
        <v>62700000</v>
      </c>
      <c r="W28" s="177">
        <f t="shared" si="6"/>
        <v>1.0125650481658692</v>
      </c>
      <c r="X28" s="181">
        <f t="shared" si="7"/>
        <v>62700000</v>
      </c>
      <c r="Y28" s="181">
        <f t="shared" si="8"/>
        <v>22859042</v>
      </c>
      <c r="Z28" s="181">
        <f t="shared" si="9"/>
        <v>39840958</v>
      </c>
    </row>
    <row r="29" spans="1:26">
      <c r="A29" s="91">
        <v>122</v>
      </c>
      <c r="B29" s="88">
        <v>1220</v>
      </c>
      <c r="C29" s="88" t="s">
        <v>77</v>
      </c>
      <c r="D29" s="85" t="s">
        <v>0</v>
      </c>
      <c r="E29" s="128">
        <f>VLOOKUP(A29,'113分行業績'!A:L,12,0)</f>
        <v>17571228</v>
      </c>
      <c r="F29" s="129">
        <f t="shared" si="0"/>
        <v>25601856.090000004</v>
      </c>
      <c r="G29" s="90">
        <f>VLOOKUP(A29,'113分行業績'!A:AU,47,0)</f>
        <v>43173084.090000004</v>
      </c>
      <c r="H29" s="215">
        <f>VLOOKUP(A29,'113分行業績'!A:AV,48,0)</f>
        <v>40640000</v>
      </c>
      <c r="I29" s="177">
        <f t="shared" si="1"/>
        <v>1.0623298250492126</v>
      </c>
      <c r="J29" s="181">
        <f t="shared" si="2"/>
        <v>40640000</v>
      </c>
      <c r="K29" s="181">
        <f t="shared" si="3"/>
        <v>24099724</v>
      </c>
      <c r="L29" s="181">
        <f t="shared" si="4"/>
        <v>16540276</v>
      </c>
      <c r="O29" s="91">
        <v>122</v>
      </c>
      <c r="P29" s="88">
        <v>1220</v>
      </c>
      <c r="Q29" s="88" t="s">
        <v>77</v>
      </c>
      <c r="R29" s="85" t="s">
        <v>0</v>
      </c>
      <c r="S29" s="128">
        <f>VLOOKUP(O29,'114分行業績'!A:L,12,0)</f>
        <v>38426498</v>
      </c>
      <c r="T29" s="129">
        <f t="shared" si="5"/>
        <v>24510853.950000003</v>
      </c>
      <c r="U29" s="90">
        <f>VLOOKUP(O29,'114分行業績'!A:AU,47,0)</f>
        <v>62937351.950000003</v>
      </c>
      <c r="V29" s="215">
        <f>VLOOKUP(O29,'114分行業績'!A:AV,48,0)</f>
        <v>69440000</v>
      </c>
      <c r="W29" s="177">
        <f t="shared" si="6"/>
        <v>0.90635587485599078</v>
      </c>
      <c r="X29" s="181">
        <f t="shared" si="7"/>
        <v>62937352</v>
      </c>
      <c r="Y29" s="181">
        <f t="shared" si="8"/>
        <v>24510854</v>
      </c>
      <c r="Z29" s="181">
        <f t="shared" si="9"/>
        <v>38426498</v>
      </c>
    </row>
    <row r="30" spans="1:26">
      <c r="A30" s="91">
        <v>123</v>
      </c>
      <c r="B30" s="88">
        <v>1230</v>
      </c>
      <c r="C30" s="88" t="s">
        <v>5</v>
      </c>
      <c r="D30" s="85" t="s">
        <v>0</v>
      </c>
      <c r="E30" s="128">
        <f>VLOOKUP(A30,'113分行業績'!A:L,12,0)</f>
        <v>18473803</v>
      </c>
      <c r="F30" s="129">
        <f t="shared" si="0"/>
        <v>22773728.509999998</v>
      </c>
      <c r="G30" s="90">
        <f>VLOOKUP(A30,'113分行業績'!A:AU,47,0)</f>
        <v>41247531.509999998</v>
      </c>
      <c r="H30" s="215">
        <f>VLOOKUP(A30,'113分行業績'!A:AV,48,0)</f>
        <v>44200000</v>
      </c>
      <c r="I30" s="177">
        <f t="shared" si="1"/>
        <v>0.93320207036199088</v>
      </c>
      <c r="J30" s="181">
        <f t="shared" si="2"/>
        <v>41247532</v>
      </c>
      <c r="K30" s="181">
        <f t="shared" si="3"/>
        <v>22773729</v>
      </c>
      <c r="L30" s="181">
        <f t="shared" si="4"/>
        <v>18473803</v>
      </c>
      <c r="O30" s="91">
        <v>123</v>
      </c>
      <c r="P30" s="88">
        <v>1230</v>
      </c>
      <c r="Q30" s="88" t="s">
        <v>5</v>
      </c>
      <c r="R30" s="85" t="s">
        <v>0</v>
      </c>
      <c r="S30" s="128">
        <f>VLOOKUP(O30,'114分行業績'!A:L,12,0)</f>
        <v>26572945</v>
      </c>
      <c r="T30" s="129">
        <f t="shared" si="5"/>
        <v>39892477.159999996</v>
      </c>
      <c r="U30" s="90">
        <f>VLOOKUP(O30,'114分行業績'!A:AU,47,0)</f>
        <v>66465422.159999996</v>
      </c>
      <c r="V30" s="215">
        <f>VLOOKUP(O30,'114分行業績'!A:AV,48,0)</f>
        <v>81340000</v>
      </c>
      <c r="W30" s="177">
        <f t="shared" si="6"/>
        <v>0.81713083550528642</v>
      </c>
      <c r="X30" s="181">
        <f t="shared" si="7"/>
        <v>66465422</v>
      </c>
      <c r="Y30" s="181">
        <f t="shared" si="8"/>
        <v>39892477</v>
      </c>
      <c r="Z30" s="181">
        <f t="shared" si="9"/>
        <v>26572945</v>
      </c>
    </row>
    <row r="31" spans="1:26">
      <c r="A31" s="91">
        <v>124</v>
      </c>
      <c r="B31" s="88">
        <v>1240</v>
      </c>
      <c r="C31" s="88" t="s">
        <v>143</v>
      </c>
      <c r="D31" s="85" t="s">
        <v>0</v>
      </c>
      <c r="E31" s="128">
        <f>VLOOKUP(A31,'113分行業績'!A:L,12,0)</f>
        <v>5499380</v>
      </c>
      <c r="F31" s="129">
        <f t="shared" si="0"/>
        <v>16855592.84</v>
      </c>
      <c r="G31" s="90">
        <f>VLOOKUP(A31,'113分行業績'!A:AU,47,0)</f>
        <v>22354972.84</v>
      </c>
      <c r="H31" s="215">
        <f>VLOOKUP(A31,'113分行業績'!A:AV,48,0)</f>
        <v>28690000</v>
      </c>
      <c r="I31" s="177">
        <f t="shared" si="1"/>
        <v>0.77919040920181248</v>
      </c>
      <c r="J31" s="181">
        <f t="shared" si="2"/>
        <v>22354973</v>
      </c>
      <c r="K31" s="181">
        <f t="shared" si="3"/>
        <v>16855593</v>
      </c>
      <c r="L31" s="181">
        <f t="shared" si="4"/>
        <v>5499380</v>
      </c>
      <c r="O31" s="91">
        <v>124</v>
      </c>
      <c r="P31" s="88">
        <v>1240</v>
      </c>
      <c r="Q31" s="88" t="s">
        <v>143</v>
      </c>
      <c r="R31" s="85" t="s">
        <v>0</v>
      </c>
      <c r="S31" s="128">
        <f>VLOOKUP(O31,'114分行業績'!A:L,12,0)</f>
        <v>11910007</v>
      </c>
      <c r="T31" s="129">
        <f t="shared" si="5"/>
        <v>22182820.719999999</v>
      </c>
      <c r="U31" s="90">
        <f>VLOOKUP(O31,'114分行業績'!A:AU,47,0)</f>
        <v>34092827.719999999</v>
      </c>
      <c r="V31" s="215">
        <f>VLOOKUP(O31,'114分行業績'!A:AV,48,0)</f>
        <v>37660000</v>
      </c>
      <c r="W31" s="177">
        <f t="shared" si="6"/>
        <v>0.90527954646840147</v>
      </c>
      <c r="X31" s="181">
        <f t="shared" si="7"/>
        <v>34092828</v>
      </c>
      <c r="Y31" s="181">
        <f t="shared" si="8"/>
        <v>22182821</v>
      </c>
      <c r="Z31" s="181">
        <f t="shared" si="9"/>
        <v>11910007</v>
      </c>
    </row>
    <row r="32" spans="1:26">
      <c r="A32" s="91">
        <v>125</v>
      </c>
      <c r="B32" s="88">
        <v>1250</v>
      </c>
      <c r="C32" s="88" t="s">
        <v>144</v>
      </c>
      <c r="D32" s="85" t="s">
        <v>0</v>
      </c>
      <c r="E32" s="128">
        <f>VLOOKUP(A32,'113分行業績'!A:L,12,0)</f>
        <v>11323918</v>
      </c>
      <c r="F32" s="129">
        <f t="shared" si="0"/>
        <v>28765994.530000001</v>
      </c>
      <c r="G32" s="90">
        <f>VLOOKUP(A32,'113分行業績'!A:AU,47,0)</f>
        <v>40089912.530000001</v>
      </c>
      <c r="H32" s="215">
        <f>VLOOKUP(A32,'113分行業績'!A:AV,48,0)</f>
        <v>41460000</v>
      </c>
      <c r="I32" s="177">
        <f t="shared" si="1"/>
        <v>0.9669539925229137</v>
      </c>
      <c r="J32" s="181">
        <f t="shared" si="2"/>
        <v>40089913</v>
      </c>
      <c r="K32" s="181">
        <f t="shared" si="3"/>
        <v>28765995</v>
      </c>
      <c r="L32" s="181">
        <f t="shared" si="4"/>
        <v>11323918</v>
      </c>
      <c r="O32" s="91">
        <v>125</v>
      </c>
      <c r="P32" s="88">
        <v>1250</v>
      </c>
      <c r="Q32" s="88" t="s">
        <v>144</v>
      </c>
      <c r="R32" s="85" t="s">
        <v>0</v>
      </c>
      <c r="S32" s="128">
        <f>VLOOKUP(O32,'114分行業績'!A:L,12,0)</f>
        <v>23851709</v>
      </c>
      <c r="T32" s="129">
        <f t="shared" si="5"/>
        <v>22620312.25</v>
      </c>
      <c r="U32" s="90">
        <f>VLOOKUP(O32,'114分行業績'!A:AU,47,0)</f>
        <v>46472021.25</v>
      </c>
      <c r="V32" s="215">
        <f>VLOOKUP(O32,'114分行業績'!A:AV,48,0)</f>
        <v>70110000</v>
      </c>
      <c r="W32" s="177">
        <f t="shared" si="6"/>
        <v>0.66284440522036803</v>
      </c>
      <c r="X32" s="181">
        <f t="shared" si="7"/>
        <v>46472021</v>
      </c>
      <c r="Y32" s="181">
        <f t="shared" si="8"/>
        <v>22620312</v>
      </c>
      <c r="Z32" s="181">
        <f t="shared" si="9"/>
        <v>23851709</v>
      </c>
    </row>
    <row r="33" spans="1:26">
      <c r="A33" s="91">
        <v>126</v>
      </c>
      <c r="B33" s="88">
        <v>1260</v>
      </c>
      <c r="C33" s="88" t="s">
        <v>145</v>
      </c>
      <c r="D33" s="85" t="s">
        <v>0</v>
      </c>
      <c r="E33" s="128">
        <f>VLOOKUP(A33,'113分行業績'!A:L,12,0)</f>
        <v>5675526</v>
      </c>
      <c r="F33" s="129">
        <f t="shared" si="0"/>
        <v>50577402.130000003</v>
      </c>
      <c r="G33" s="90">
        <f>VLOOKUP(A33,'113分行業績'!A:AU,47,0)</f>
        <v>56252928.130000003</v>
      </c>
      <c r="H33" s="215">
        <f>VLOOKUP(A33,'113分行業績'!A:AV,48,0)</f>
        <v>45900000</v>
      </c>
      <c r="I33" s="177">
        <f t="shared" si="1"/>
        <v>1.2255539897603487</v>
      </c>
      <c r="J33" s="181">
        <f t="shared" si="2"/>
        <v>45900000</v>
      </c>
      <c r="K33" s="181">
        <f t="shared" si="3"/>
        <v>41269012</v>
      </c>
      <c r="L33" s="181">
        <f t="shared" si="4"/>
        <v>4630988</v>
      </c>
      <c r="O33" s="91">
        <v>126</v>
      </c>
      <c r="P33" s="88">
        <v>1260</v>
      </c>
      <c r="Q33" s="88" t="s">
        <v>145</v>
      </c>
      <c r="R33" s="85" t="s">
        <v>0</v>
      </c>
      <c r="S33" s="128">
        <f>VLOOKUP(O33,'114分行業績'!A:L,12,0)</f>
        <v>17469802</v>
      </c>
      <c r="T33" s="129">
        <f t="shared" si="5"/>
        <v>63551183.480000004</v>
      </c>
      <c r="U33" s="90">
        <f>VLOOKUP(O33,'114分行業績'!A:AU,47,0)</f>
        <v>81020985.480000004</v>
      </c>
      <c r="V33" s="215">
        <f>VLOOKUP(O33,'114分行業績'!A:AV,48,0)</f>
        <v>80260000</v>
      </c>
      <c r="W33" s="177">
        <f t="shared" si="6"/>
        <v>1.0094815036132569</v>
      </c>
      <c r="X33" s="181">
        <f t="shared" si="7"/>
        <v>80260000</v>
      </c>
      <c r="Y33" s="181">
        <f t="shared" si="8"/>
        <v>62954282</v>
      </c>
      <c r="Z33" s="181">
        <f t="shared" si="9"/>
        <v>17305718</v>
      </c>
    </row>
    <row r="34" spans="1:26">
      <c r="A34" s="91">
        <v>127</v>
      </c>
      <c r="B34" s="88">
        <v>1270</v>
      </c>
      <c r="C34" s="88" t="s">
        <v>146</v>
      </c>
      <c r="D34" s="85" t="s">
        <v>0</v>
      </c>
      <c r="E34" s="128">
        <f>VLOOKUP(A34,'113分行業績'!A:L,12,0)</f>
        <v>15445251</v>
      </c>
      <c r="F34" s="129">
        <f t="shared" si="0"/>
        <v>23862156.960000001</v>
      </c>
      <c r="G34" s="90">
        <f>VLOOKUP(A34,'113分行業績'!A:AU,47,0)</f>
        <v>39307407.960000001</v>
      </c>
      <c r="H34" s="215">
        <f>VLOOKUP(A34,'113分行業績'!A:AV,48,0)</f>
        <v>35900000</v>
      </c>
      <c r="I34" s="177">
        <f t="shared" si="1"/>
        <v>1.0949138707520891</v>
      </c>
      <c r="J34" s="181">
        <f t="shared" si="2"/>
        <v>35900000</v>
      </c>
      <c r="K34" s="181">
        <f t="shared" si="3"/>
        <v>21793638</v>
      </c>
      <c r="L34" s="181">
        <f t="shared" si="4"/>
        <v>14106362</v>
      </c>
      <c r="O34" s="91">
        <v>127</v>
      </c>
      <c r="P34" s="88">
        <v>1270</v>
      </c>
      <c r="Q34" s="88" t="s">
        <v>146</v>
      </c>
      <c r="R34" s="85" t="s">
        <v>0</v>
      </c>
      <c r="S34" s="128">
        <f>VLOOKUP(O34,'114分行業績'!A:L,12,0)</f>
        <v>32039459</v>
      </c>
      <c r="T34" s="129">
        <f t="shared" si="5"/>
        <v>25319763.649999999</v>
      </c>
      <c r="U34" s="90">
        <f>VLOOKUP(O34,'114分行業績'!A:AU,47,0)</f>
        <v>57359222.649999999</v>
      </c>
      <c r="V34" s="215">
        <f>VLOOKUP(O34,'114分行業績'!A:AV,48,0)</f>
        <v>61660000</v>
      </c>
      <c r="W34" s="177">
        <f t="shared" si="6"/>
        <v>0.93025012406746677</v>
      </c>
      <c r="X34" s="181">
        <f t="shared" si="7"/>
        <v>57359223</v>
      </c>
      <c r="Y34" s="181">
        <f t="shared" si="8"/>
        <v>25319764</v>
      </c>
      <c r="Z34" s="181">
        <f t="shared" si="9"/>
        <v>32039459</v>
      </c>
    </row>
    <row r="35" spans="1:26">
      <c r="A35" s="91">
        <v>128</v>
      </c>
      <c r="B35" s="88">
        <v>1280</v>
      </c>
      <c r="C35" s="88" t="s">
        <v>78</v>
      </c>
      <c r="D35" s="85" t="s">
        <v>0</v>
      </c>
      <c r="E35" s="128">
        <f>VLOOKUP(A35,'113分行業績'!A:L,12,0)</f>
        <v>15150376</v>
      </c>
      <c r="F35" s="129">
        <f t="shared" si="0"/>
        <v>10528292.07</v>
      </c>
      <c r="G35" s="90">
        <f>VLOOKUP(A35,'113分行業績'!A:AU,47,0)</f>
        <v>25678668.07</v>
      </c>
      <c r="H35" s="215">
        <f>VLOOKUP(A35,'113分行業績'!A:AV,48,0)</f>
        <v>26240000</v>
      </c>
      <c r="I35" s="177">
        <f t="shared" si="1"/>
        <v>0.97860777705792679</v>
      </c>
      <c r="J35" s="181">
        <f t="shared" si="2"/>
        <v>25678668</v>
      </c>
      <c r="K35" s="181">
        <f t="shared" si="3"/>
        <v>10528292</v>
      </c>
      <c r="L35" s="181">
        <f t="shared" si="4"/>
        <v>15150376</v>
      </c>
      <c r="O35" s="91">
        <v>128</v>
      </c>
      <c r="P35" s="88">
        <v>1280</v>
      </c>
      <c r="Q35" s="88" t="s">
        <v>78</v>
      </c>
      <c r="R35" s="85" t="s">
        <v>0</v>
      </c>
      <c r="S35" s="128">
        <f>VLOOKUP(O35,'114分行業績'!A:L,12,0)</f>
        <v>16907478</v>
      </c>
      <c r="T35" s="129">
        <f t="shared" si="5"/>
        <v>24512490.840000004</v>
      </c>
      <c r="U35" s="90">
        <f>VLOOKUP(O35,'114分行業績'!A:AU,47,0)</f>
        <v>41419968.840000004</v>
      </c>
      <c r="V35" s="215">
        <f>VLOOKUP(O35,'114分行業績'!A:AV,48,0)</f>
        <v>40530000</v>
      </c>
      <c r="W35" s="177">
        <f t="shared" si="6"/>
        <v>1.0219582738712065</v>
      </c>
      <c r="X35" s="181">
        <f t="shared" si="7"/>
        <v>40530000</v>
      </c>
      <c r="Y35" s="181">
        <f t="shared" si="8"/>
        <v>23985804</v>
      </c>
      <c r="Z35" s="181">
        <f t="shared" si="9"/>
        <v>16544196</v>
      </c>
    </row>
    <row r="36" spans="1:26">
      <c r="A36" s="91">
        <v>129</v>
      </c>
      <c r="B36" s="88">
        <v>1290</v>
      </c>
      <c r="C36" s="88" t="s">
        <v>79</v>
      </c>
      <c r="D36" s="85" t="s">
        <v>0</v>
      </c>
      <c r="E36" s="128">
        <f>VLOOKUP(A36,'113分行業績'!A:L,12,0)</f>
        <v>14275859</v>
      </c>
      <c r="F36" s="129">
        <f t="shared" si="0"/>
        <v>23850392.329999998</v>
      </c>
      <c r="G36" s="90">
        <f>VLOOKUP(A36,'113分行業績'!A:AU,47,0)</f>
        <v>38126251.329999998</v>
      </c>
      <c r="H36" s="215">
        <f>VLOOKUP(A36,'113分行業績'!A:AV,48,0)</f>
        <v>32130000</v>
      </c>
      <c r="I36" s="177">
        <f t="shared" si="1"/>
        <v>1.1866246912542795</v>
      </c>
      <c r="J36" s="181">
        <f t="shared" si="2"/>
        <v>32130000</v>
      </c>
      <c r="K36" s="181">
        <f t="shared" si="3"/>
        <v>20099356</v>
      </c>
      <c r="L36" s="181">
        <f t="shared" si="4"/>
        <v>12030644</v>
      </c>
      <c r="O36" s="91">
        <v>129</v>
      </c>
      <c r="P36" s="88">
        <v>1290</v>
      </c>
      <c r="Q36" s="88" t="s">
        <v>79</v>
      </c>
      <c r="R36" s="85" t="s">
        <v>0</v>
      </c>
      <c r="S36" s="128">
        <f>VLOOKUP(O36,'114分行業績'!A:L,12,0)</f>
        <v>26898596</v>
      </c>
      <c r="T36" s="129">
        <f t="shared" si="5"/>
        <v>22973234.490000002</v>
      </c>
      <c r="U36" s="90">
        <f>VLOOKUP(O36,'114分行業績'!A:AU,47,0)</f>
        <v>49871830.490000002</v>
      </c>
      <c r="V36" s="215">
        <f>VLOOKUP(O36,'114分行業績'!A:AV,48,0)</f>
        <v>53820000</v>
      </c>
      <c r="W36" s="177">
        <f t="shared" si="6"/>
        <v>0.92664122054998144</v>
      </c>
      <c r="X36" s="181">
        <f t="shared" si="7"/>
        <v>49871830</v>
      </c>
      <c r="Y36" s="181">
        <f t="shared" si="8"/>
        <v>22973234</v>
      </c>
      <c r="Z36" s="181">
        <f t="shared" si="9"/>
        <v>26898596</v>
      </c>
    </row>
    <row r="37" spans="1:26">
      <c r="A37" s="91">
        <v>130</v>
      </c>
      <c r="B37" s="88">
        <v>1300</v>
      </c>
      <c r="C37" s="88" t="s">
        <v>147</v>
      </c>
      <c r="D37" s="85" t="s">
        <v>0</v>
      </c>
      <c r="E37" s="128">
        <f>VLOOKUP(A37,'113分行業績'!A:L,12,0)</f>
        <v>5526135</v>
      </c>
      <c r="F37" s="129">
        <f t="shared" si="0"/>
        <v>9067336.2100000009</v>
      </c>
      <c r="G37" s="90">
        <f>VLOOKUP(A37,'113分行業績'!A:AU,47,0)</f>
        <v>14593471.210000001</v>
      </c>
      <c r="H37" s="215">
        <f>VLOOKUP(A37,'113分行業績'!A:AV,48,0)</f>
        <v>28190000</v>
      </c>
      <c r="I37" s="177">
        <f t="shared" si="1"/>
        <v>0.51768255445193334</v>
      </c>
      <c r="J37" s="181">
        <f t="shared" si="2"/>
        <v>14593471</v>
      </c>
      <c r="K37" s="181">
        <f t="shared" si="3"/>
        <v>9067336</v>
      </c>
      <c r="L37" s="181">
        <f t="shared" si="4"/>
        <v>5526135</v>
      </c>
      <c r="O37" s="91">
        <v>130</v>
      </c>
      <c r="P37" s="88">
        <v>1300</v>
      </c>
      <c r="Q37" s="88" t="s">
        <v>147</v>
      </c>
      <c r="R37" s="85" t="s">
        <v>0</v>
      </c>
      <c r="S37" s="128">
        <f>VLOOKUP(O37,'114分行業績'!A:L,12,0)</f>
        <v>19795862</v>
      </c>
      <c r="T37" s="129">
        <f t="shared" si="5"/>
        <v>12932022.170000002</v>
      </c>
      <c r="U37" s="90">
        <f>VLOOKUP(O37,'114分行業績'!A:AU,47,0)</f>
        <v>32727884.170000002</v>
      </c>
      <c r="V37" s="215">
        <f>VLOOKUP(O37,'114分行業績'!A:AV,48,0)</f>
        <v>40350000</v>
      </c>
      <c r="W37" s="177">
        <f t="shared" si="6"/>
        <v>0.81109997942998768</v>
      </c>
      <c r="X37" s="181">
        <f t="shared" si="7"/>
        <v>32727884</v>
      </c>
      <c r="Y37" s="181">
        <f t="shared" si="8"/>
        <v>12932022</v>
      </c>
      <c r="Z37" s="181">
        <f t="shared" si="9"/>
        <v>19795862</v>
      </c>
    </row>
    <row r="38" spans="1:26">
      <c r="A38" s="91">
        <v>132</v>
      </c>
      <c r="B38" s="88">
        <v>1320</v>
      </c>
      <c r="C38" s="88" t="s">
        <v>6</v>
      </c>
      <c r="D38" s="85" t="s">
        <v>0</v>
      </c>
      <c r="E38" s="128">
        <f>VLOOKUP(A38,'113分行業績'!A:L,12,0)</f>
        <v>5975418</v>
      </c>
      <c r="F38" s="129">
        <f t="shared" si="0"/>
        <v>9199226.3499999996</v>
      </c>
      <c r="G38" s="90">
        <f>VLOOKUP(A38,'113分行業績'!A:AU,47,0)</f>
        <v>15174644.35</v>
      </c>
      <c r="H38" s="215">
        <f>VLOOKUP(A38,'113分行業績'!A:AV,48,0)</f>
        <v>14730000</v>
      </c>
      <c r="I38" s="177">
        <f t="shared" si="1"/>
        <v>1.0301863102511881</v>
      </c>
      <c r="J38" s="181">
        <f t="shared" si="2"/>
        <v>14730000</v>
      </c>
      <c r="K38" s="181">
        <f t="shared" si="3"/>
        <v>8929672</v>
      </c>
      <c r="L38" s="181">
        <f t="shared" si="4"/>
        <v>5800328</v>
      </c>
      <c r="O38" s="91">
        <v>132</v>
      </c>
      <c r="P38" s="88">
        <v>1320</v>
      </c>
      <c r="Q38" s="88" t="s">
        <v>6</v>
      </c>
      <c r="R38" s="85" t="s">
        <v>0</v>
      </c>
      <c r="S38" s="128">
        <f>VLOOKUP(O38,'114分行業績'!A:L,12,0)</f>
        <v>9939466</v>
      </c>
      <c r="T38" s="129">
        <f t="shared" si="5"/>
        <v>10844800.510000002</v>
      </c>
      <c r="U38" s="90">
        <f>VLOOKUP(O38,'114分行業績'!A:AU,47,0)</f>
        <v>20784266.510000002</v>
      </c>
      <c r="V38" s="215">
        <f>VLOOKUP(O38,'114分行業績'!A:AV,48,0)</f>
        <v>21970000</v>
      </c>
      <c r="W38" s="177">
        <f t="shared" si="6"/>
        <v>0.94602942694583525</v>
      </c>
      <c r="X38" s="181">
        <f t="shared" si="7"/>
        <v>20784267</v>
      </c>
      <c r="Y38" s="181">
        <f t="shared" si="8"/>
        <v>10844801</v>
      </c>
      <c r="Z38" s="181">
        <f t="shared" si="9"/>
        <v>9939466</v>
      </c>
    </row>
    <row r="39" spans="1:26">
      <c r="A39" s="91">
        <v>133</v>
      </c>
      <c r="B39" s="88">
        <v>1330</v>
      </c>
      <c r="C39" s="88" t="s">
        <v>148</v>
      </c>
      <c r="D39" s="85" t="s">
        <v>0</v>
      </c>
      <c r="E39" s="128">
        <f>VLOOKUP(A39,'113分行業績'!A:L,12,0)</f>
        <v>7875393</v>
      </c>
      <c r="F39" s="129">
        <f t="shared" si="0"/>
        <v>19271897.629999999</v>
      </c>
      <c r="G39" s="90">
        <f>VLOOKUP(A39,'113分行業績'!A:AU,47,0)</f>
        <v>27147290.629999999</v>
      </c>
      <c r="H39" s="215">
        <f>VLOOKUP(A39,'113分行業績'!A:AV,48,0)</f>
        <v>23260000</v>
      </c>
      <c r="I39" s="177">
        <f t="shared" si="1"/>
        <v>1.1671234148753225</v>
      </c>
      <c r="J39" s="181">
        <f t="shared" si="2"/>
        <v>23260000</v>
      </c>
      <c r="K39" s="181">
        <f t="shared" si="3"/>
        <v>16512305</v>
      </c>
      <c r="L39" s="181">
        <f t="shared" si="4"/>
        <v>6747695</v>
      </c>
      <c r="O39" s="91">
        <v>133</v>
      </c>
      <c r="P39" s="88">
        <v>1330</v>
      </c>
      <c r="Q39" s="88" t="s">
        <v>148</v>
      </c>
      <c r="R39" s="85" t="s">
        <v>0</v>
      </c>
      <c r="S39" s="128">
        <f>VLOOKUP(O39,'114分行業績'!A:L,12,0)</f>
        <v>9258069</v>
      </c>
      <c r="T39" s="129">
        <f t="shared" si="5"/>
        <v>14957373.359999999</v>
      </c>
      <c r="U39" s="90">
        <f>VLOOKUP(O39,'114分行業績'!A:AU,47,0)</f>
        <v>24215442.359999999</v>
      </c>
      <c r="V39" s="215">
        <f>VLOOKUP(O39,'114分行業績'!A:AV,48,0)</f>
        <v>41960000</v>
      </c>
      <c r="W39" s="177">
        <f t="shared" si="6"/>
        <v>0.57710777788369871</v>
      </c>
      <c r="X39" s="181">
        <f t="shared" si="7"/>
        <v>24215442</v>
      </c>
      <c r="Y39" s="181">
        <f t="shared" si="8"/>
        <v>14957373</v>
      </c>
      <c r="Z39" s="181">
        <f t="shared" si="9"/>
        <v>9258069</v>
      </c>
    </row>
    <row r="40" spans="1:26">
      <c r="A40" s="91">
        <v>134</v>
      </c>
      <c r="B40" s="88">
        <v>1340</v>
      </c>
      <c r="C40" s="88" t="s">
        <v>149</v>
      </c>
      <c r="D40" s="85" t="s">
        <v>7</v>
      </c>
      <c r="E40" s="128">
        <f>VLOOKUP(A40,'113分行業績'!A:L,12,0)</f>
        <v>26139430</v>
      </c>
      <c r="F40" s="129">
        <f t="shared" si="0"/>
        <v>8481003.1199999973</v>
      </c>
      <c r="G40" s="90">
        <f>VLOOKUP(A40,'113分行業績'!A:AU,47,0)</f>
        <v>34620433.119999997</v>
      </c>
      <c r="H40" s="215">
        <f>VLOOKUP(A40,'113分行業績'!A:AV,48,0)</f>
        <v>37250000</v>
      </c>
      <c r="I40" s="177">
        <f t="shared" si="1"/>
        <v>0.92940760053691263</v>
      </c>
      <c r="J40" s="181">
        <f t="shared" si="2"/>
        <v>34620433</v>
      </c>
      <c r="K40" s="181">
        <f t="shared" si="3"/>
        <v>8481003</v>
      </c>
      <c r="L40" s="181">
        <f t="shared" si="4"/>
        <v>26139430</v>
      </c>
      <c r="O40" s="91">
        <v>134</v>
      </c>
      <c r="P40" s="88">
        <v>1340</v>
      </c>
      <c r="Q40" s="88" t="s">
        <v>149</v>
      </c>
      <c r="R40" s="85" t="s">
        <v>7</v>
      </c>
      <c r="S40" s="128">
        <f>VLOOKUP(O40,'114分行業績'!A:L,12,0)</f>
        <v>30356847</v>
      </c>
      <c r="T40" s="129">
        <f t="shared" si="5"/>
        <v>11632694.880000003</v>
      </c>
      <c r="U40" s="90">
        <f>VLOOKUP(O40,'114分行業績'!A:AU,47,0)</f>
        <v>41989541.880000003</v>
      </c>
      <c r="V40" s="215">
        <f>VLOOKUP(O40,'114分行業績'!A:AV,48,0)</f>
        <v>62670000</v>
      </c>
      <c r="W40" s="177">
        <f t="shared" si="6"/>
        <v>0.67001024222115846</v>
      </c>
      <c r="X40" s="181">
        <f t="shared" si="7"/>
        <v>41989542</v>
      </c>
      <c r="Y40" s="181">
        <f t="shared" si="8"/>
        <v>11632695</v>
      </c>
      <c r="Z40" s="181">
        <f t="shared" si="9"/>
        <v>30356847</v>
      </c>
    </row>
    <row r="41" spans="1:26">
      <c r="A41" s="91">
        <v>136</v>
      </c>
      <c r="B41" s="88">
        <v>1360</v>
      </c>
      <c r="C41" s="88" t="s">
        <v>150</v>
      </c>
      <c r="D41" s="85" t="s">
        <v>0</v>
      </c>
      <c r="E41" s="128">
        <f>VLOOKUP(A41,'113分行業績'!A:L,12,0)</f>
        <v>11262271</v>
      </c>
      <c r="F41" s="129">
        <f t="shared" si="0"/>
        <v>7460909.2199999988</v>
      </c>
      <c r="G41" s="90">
        <f>VLOOKUP(A41,'113分行業績'!A:AU,47,0)</f>
        <v>18723180.219999999</v>
      </c>
      <c r="H41" s="215">
        <f>VLOOKUP(A41,'113分行業績'!A:AV,48,0)</f>
        <v>14330000</v>
      </c>
      <c r="I41" s="177">
        <f t="shared" si="1"/>
        <v>1.3065722414515002</v>
      </c>
      <c r="J41" s="181">
        <f t="shared" si="2"/>
        <v>14330000</v>
      </c>
      <c r="K41" s="181">
        <f t="shared" si="3"/>
        <v>5710292</v>
      </c>
      <c r="L41" s="181">
        <f t="shared" si="4"/>
        <v>8619708</v>
      </c>
      <c r="O41" s="91">
        <v>136</v>
      </c>
      <c r="P41" s="88">
        <v>1360</v>
      </c>
      <c r="Q41" s="88" t="s">
        <v>150</v>
      </c>
      <c r="R41" s="85" t="s">
        <v>0</v>
      </c>
      <c r="S41" s="128">
        <f>VLOOKUP(O41,'114分行業績'!A:L,12,0)</f>
        <v>24290783</v>
      </c>
      <c r="T41" s="129">
        <f t="shared" si="5"/>
        <v>10745472.780000001</v>
      </c>
      <c r="U41" s="90">
        <f>VLOOKUP(O41,'114分行業績'!A:AU,47,0)</f>
        <v>35036255.780000001</v>
      </c>
      <c r="V41" s="215">
        <f>VLOOKUP(O41,'114分行業績'!A:AV,48,0)</f>
        <v>24950000</v>
      </c>
      <c r="W41" s="177">
        <f t="shared" si="6"/>
        <v>1.4042587486973948</v>
      </c>
      <c r="X41" s="181">
        <f t="shared" si="7"/>
        <v>24950000</v>
      </c>
      <c r="Y41" s="181">
        <f t="shared" si="8"/>
        <v>7652060</v>
      </c>
      <c r="Z41" s="181">
        <f t="shared" si="9"/>
        <v>17297940</v>
      </c>
    </row>
    <row r="42" spans="1:26">
      <c r="A42" s="91">
        <v>137</v>
      </c>
      <c r="B42" s="88">
        <v>1370</v>
      </c>
      <c r="C42" s="88" t="s">
        <v>151</v>
      </c>
      <c r="D42" s="85" t="s">
        <v>7</v>
      </c>
      <c r="E42" s="128">
        <f>VLOOKUP(A42,'113分行業績'!A:L,12,0)</f>
        <v>8761399</v>
      </c>
      <c r="F42" s="129">
        <f t="shared" si="0"/>
        <v>13308374.530000001</v>
      </c>
      <c r="G42" s="90">
        <f>VLOOKUP(A42,'113分行業績'!A:AU,47,0)</f>
        <v>22069773.530000001</v>
      </c>
      <c r="H42" s="215">
        <f>VLOOKUP(A42,'113分行業績'!A:AV,48,0)</f>
        <v>22240000</v>
      </c>
      <c r="I42" s="177">
        <f t="shared" si="1"/>
        <v>0.99234593210431665</v>
      </c>
      <c r="J42" s="181">
        <f t="shared" si="2"/>
        <v>22069774</v>
      </c>
      <c r="K42" s="181">
        <f t="shared" si="3"/>
        <v>13308375</v>
      </c>
      <c r="L42" s="181">
        <f t="shared" si="4"/>
        <v>8761399</v>
      </c>
      <c r="O42" s="91">
        <v>137</v>
      </c>
      <c r="P42" s="88">
        <v>1370</v>
      </c>
      <c r="Q42" s="88" t="s">
        <v>151</v>
      </c>
      <c r="R42" s="85" t="s">
        <v>7</v>
      </c>
      <c r="S42" s="128">
        <f>VLOOKUP(O42,'114分行業績'!A:L,12,0)</f>
        <v>29262455</v>
      </c>
      <c r="T42" s="129">
        <f t="shared" si="5"/>
        <v>12122887.149999999</v>
      </c>
      <c r="U42" s="90">
        <f>VLOOKUP(O42,'114分行業績'!A:AU,47,0)</f>
        <v>41385342.149999999</v>
      </c>
      <c r="V42" s="215">
        <f>VLOOKUP(O42,'114分行業績'!A:AV,48,0)</f>
        <v>37670000</v>
      </c>
      <c r="W42" s="177">
        <f t="shared" si="6"/>
        <v>1.0986286740111495</v>
      </c>
      <c r="X42" s="181">
        <f t="shared" si="7"/>
        <v>37670000</v>
      </c>
      <c r="Y42" s="181">
        <f t="shared" si="8"/>
        <v>11034563</v>
      </c>
      <c r="Z42" s="181">
        <f t="shared" si="9"/>
        <v>26635437</v>
      </c>
    </row>
    <row r="43" spans="1:26">
      <c r="A43" s="91">
        <v>143</v>
      </c>
      <c r="B43" s="88">
        <v>1430</v>
      </c>
      <c r="C43" s="88" t="s">
        <v>80</v>
      </c>
      <c r="D43" s="85" t="s">
        <v>7</v>
      </c>
      <c r="E43" s="128">
        <f>VLOOKUP(A43,'113分行業績'!A:L,12,0)</f>
        <v>18307124</v>
      </c>
      <c r="F43" s="129">
        <f t="shared" si="0"/>
        <v>19602375.229999997</v>
      </c>
      <c r="G43" s="90">
        <f>VLOOKUP(A43,'113分行業績'!A:AU,47,0)</f>
        <v>37909499.229999997</v>
      </c>
      <c r="H43" s="215">
        <f>VLOOKUP(A43,'113分行業績'!A:AV,48,0)</f>
        <v>20500000</v>
      </c>
      <c r="I43" s="177">
        <f t="shared" si="1"/>
        <v>1.8492438648780487</v>
      </c>
      <c r="J43" s="181">
        <f t="shared" si="2"/>
        <v>20500000</v>
      </c>
      <c r="K43" s="181">
        <f t="shared" si="3"/>
        <v>10600211</v>
      </c>
      <c r="L43" s="181">
        <f t="shared" si="4"/>
        <v>9899789</v>
      </c>
      <c r="O43" s="91">
        <v>143</v>
      </c>
      <c r="P43" s="88">
        <v>1430</v>
      </c>
      <c r="Q43" s="88" t="s">
        <v>80</v>
      </c>
      <c r="R43" s="85" t="s">
        <v>7</v>
      </c>
      <c r="S43" s="128">
        <f>VLOOKUP(O43,'114分行業績'!A:L,12,0)</f>
        <v>27890613</v>
      </c>
      <c r="T43" s="129">
        <f t="shared" si="5"/>
        <v>12964014.560000002</v>
      </c>
      <c r="U43" s="90">
        <f>VLOOKUP(O43,'114分行業績'!A:AU,47,0)</f>
        <v>40854627.560000002</v>
      </c>
      <c r="V43" s="215">
        <f>VLOOKUP(O43,'114分行業績'!A:AV,48,0)</f>
        <v>35820000</v>
      </c>
      <c r="W43" s="177">
        <f t="shared" si="6"/>
        <v>1.1405535332216639</v>
      </c>
      <c r="X43" s="181">
        <f t="shared" si="7"/>
        <v>35820000</v>
      </c>
      <c r="Y43" s="181">
        <f t="shared" si="8"/>
        <v>11366424</v>
      </c>
      <c r="Z43" s="181">
        <f t="shared" si="9"/>
        <v>24453576</v>
      </c>
    </row>
    <row r="44" spans="1:26">
      <c r="A44" s="91">
        <v>145</v>
      </c>
      <c r="B44" s="88">
        <v>1450</v>
      </c>
      <c r="C44" s="88" t="s">
        <v>81</v>
      </c>
      <c r="D44" s="85" t="s">
        <v>0</v>
      </c>
      <c r="E44" s="128">
        <f>VLOOKUP(A44,'113分行業績'!A:L,12,0)</f>
        <v>3922522</v>
      </c>
      <c r="F44" s="129">
        <f t="shared" si="0"/>
        <v>8729245.0500000007</v>
      </c>
      <c r="G44" s="90">
        <f>VLOOKUP(A44,'113分行業績'!A:AU,47,0)</f>
        <v>12651767.050000001</v>
      </c>
      <c r="H44" s="215">
        <f>VLOOKUP(A44,'113分行業績'!A:AV,48,0)</f>
        <v>17860000</v>
      </c>
      <c r="I44" s="177">
        <f t="shared" si="1"/>
        <v>0.70838561310190373</v>
      </c>
      <c r="J44" s="181">
        <f t="shared" si="2"/>
        <v>12651767</v>
      </c>
      <c r="K44" s="181">
        <f t="shared" si="3"/>
        <v>8729245</v>
      </c>
      <c r="L44" s="181">
        <f t="shared" si="4"/>
        <v>3922522</v>
      </c>
      <c r="O44" s="91">
        <v>145</v>
      </c>
      <c r="P44" s="88">
        <v>1450</v>
      </c>
      <c r="Q44" s="88" t="s">
        <v>81</v>
      </c>
      <c r="R44" s="85" t="s">
        <v>0</v>
      </c>
      <c r="S44" s="128">
        <f>VLOOKUP(O44,'114分行業績'!A:L,12,0)</f>
        <v>9981151</v>
      </c>
      <c r="T44" s="129">
        <f t="shared" si="5"/>
        <v>11223738.710000001</v>
      </c>
      <c r="U44" s="90">
        <f>VLOOKUP(O44,'114分行業績'!A:AU,47,0)</f>
        <v>21204889.710000001</v>
      </c>
      <c r="V44" s="215">
        <f>VLOOKUP(O44,'114分行業績'!A:AV,48,0)</f>
        <v>25810000</v>
      </c>
      <c r="W44" s="177">
        <f t="shared" si="6"/>
        <v>0.82157650949244487</v>
      </c>
      <c r="X44" s="181">
        <f t="shared" si="7"/>
        <v>21204890</v>
      </c>
      <c r="Y44" s="181">
        <f t="shared" si="8"/>
        <v>11223739</v>
      </c>
      <c r="Z44" s="181">
        <f t="shared" si="9"/>
        <v>9981151</v>
      </c>
    </row>
    <row r="45" spans="1:26">
      <c r="A45" s="91">
        <v>147</v>
      </c>
      <c r="B45" s="88">
        <v>1470</v>
      </c>
      <c r="C45" s="88" t="s">
        <v>152</v>
      </c>
      <c r="D45" s="85" t="s">
        <v>0</v>
      </c>
      <c r="E45" s="128">
        <f>VLOOKUP(A45,'113分行業績'!A:L,12,0)</f>
        <v>14870839</v>
      </c>
      <c r="F45" s="129">
        <f t="shared" si="0"/>
        <v>20117663.530000001</v>
      </c>
      <c r="G45" s="90">
        <f>VLOOKUP(A45,'113分行業績'!A:AU,47,0)</f>
        <v>34988502.530000001</v>
      </c>
      <c r="H45" s="215">
        <f>VLOOKUP(A45,'113分行業績'!A:AV,48,0)</f>
        <v>37510000</v>
      </c>
      <c r="I45" s="177">
        <f t="shared" si="1"/>
        <v>0.93277799333511069</v>
      </c>
      <c r="J45" s="181">
        <f t="shared" si="2"/>
        <v>34988503</v>
      </c>
      <c r="K45" s="181">
        <f t="shared" si="3"/>
        <v>20117664</v>
      </c>
      <c r="L45" s="181">
        <f t="shared" si="4"/>
        <v>14870839</v>
      </c>
      <c r="O45" s="91">
        <v>147</v>
      </c>
      <c r="P45" s="88">
        <v>1470</v>
      </c>
      <c r="Q45" s="88" t="s">
        <v>152</v>
      </c>
      <c r="R45" s="85" t="s">
        <v>0</v>
      </c>
      <c r="S45" s="128">
        <f>VLOOKUP(O45,'114分行業績'!A:L,12,0)</f>
        <v>22015085</v>
      </c>
      <c r="T45" s="129">
        <f t="shared" si="5"/>
        <v>23437464.670000002</v>
      </c>
      <c r="U45" s="90">
        <f>VLOOKUP(O45,'114分行業績'!A:AU,47,0)</f>
        <v>45452549.670000002</v>
      </c>
      <c r="V45" s="215">
        <f>VLOOKUP(O45,'114分行業績'!A:AV,48,0)</f>
        <v>56680000</v>
      </c>
      <c r="W45" s="177">
        <f t="shared" si="6"/>
        <v>0.80191513179251939</v>
      </c>
      <c r="X45" s="181">
        <f t="shared" si="7"/>
        <v>45452550</v>
      </c>
      <c r="Y45" s="181">
        <f t="shared" si="8"/>
        <v>23437465</v>
      </c>
      <c r="Z45" s="181">
        <f t="shared" si="9"/>
        <v>22015085</v>
      </c>
    </row>
    <row r="46" spans="1:26">
      <c r="A46" s="91">
        <v>148</v>
      </c>
      <c r="B46" s="88">
        <v>1480</v>
      </c>
      <c r="C46" s="88" t="s">
        <v>82</v>
      </c>
      <c r="D46" s="85" t="s">
        <v>0</v>
      </c>
      <c r="E46" s="128">
        <f>VLOOKUP(A46,'113分行業績'!A:L,12,0)</f>
        <v>7538265</v>
      </c>
      <c r="F46" s="129">
        <f t="shared" si="0"/>
        <v>14501198.75</v>
      </c>
      <c r="G46" s="90">
        <f>VLOOKUP(A46,'113分行業績'!A:AU,47,0)</f>
        <v>22039463.75</v>
      </c>
      <c r="H46" s="215">
        <f>VLOOKUP(A46,'113分行業績'!A:AV,48,0)</f>
        <v>25160000</v>
      </c>
      <c r="I46" s="177">
        <f t="shared" si="1"/>
        <v>0.87597232710651829</v>
      </c>
      <c r="J46" s="181">
        <f t="shared" si="2"/>
        <v>22039464</v>
      </c>
      <c r="K46" s="181">
        <f t="shared" si="3"/>
        <v>14501199</v>
      </c>
      <c r="L46" s="181">
        <f t="shared" si="4"/>
        <v>7538265</v>
      </c>
      <c r="O46" s="91">
        <v>148</v>
      </c>
      <c r="P46" s="88">
        <v>1480</v>
      </c>
      <c r="Q46" s="88" t="s">
        <v>82</v>
      </c>
      <c r="R46" s="85" t="s">
        <v>0</v>
      </c>
      <c r="S46" s="128">
        <f>VLOOKUP(O46,'114分行業績'!A:L,12,0)</f>
        <v>14651110</v>
      </c>
      <c r="T46" s="129">
        <f t="shared" si="5"/>
        <v>16725168.050000001</v>
      </c>
      <c r="U46" s="90">
        <f>VLOOKUP(O46,'114分行業績'!A:AU,47,0)</f>
        <v>31376278.050000001</v>
      </c>
      <c r="V46" s="215">
        <f>VLOOKUP(O46,'114分行業績'!A:AV,48,0)</f>
        <v>38130000</v>
      </c>
      <c r="W46" s="177">
        <f t="shared" si="6"/>
        <v>0.82287642407553108</v>
      </c>
      <c r="X46" s="181">
        <f t="shared" si="7"/>
        <v>31376278</v>
      </c>
      <c r="Y46" s="181">
        <f t="shared" si="8"/>
        <v>16725168</v>
      </c>
      <c r="Z46" s="181">
        <f t="shared" si="9"/>
        <v>14651110</v>
      </c>
    </row>
    <row r="47" spans="1:26">
      <c r="A47" s="91">
        <v>149</v>
      </c>
      <c r="B47" s="88">
        <v>1490</v>
      </c>
      <c r="C47" s="88" t="s">
        <v>153</v>
      </c>
      <c r="D47" s="85" t="s">
        <v>0</v>
      </c>
      <c r="E47" s="128">
        <f>VLOOKUP(A47,'113分行業績'!A:L,12,0)</f>
        <v>8711822</v>
      </c>
      <c r="F47" s="129">
        <f t="shared" si="0"/>
        <v>21672346.91</v>
      </c>
      <c r="G47" s="90">
        <f>VLOOKUP(A47,'113分行業績'!A:AU,47,0)</f>
        <v>30384168.91</v>
      </c>
      <c r="H47" s="215">
        <f>VLOOKUP(A47,'113分行業績'!A:AV,48,0)</f>
        <v>32700000</v>
      </c>
      <c r="I47" s="177">
        <f t="shared" si="1"/>
        <v>0.92917947737003059</v>
      </c>
      <c r="J47" s="181">
        <f t="shared" si="2"/>
        <v>30384169</v>
      </c>
      <c r="K47" s="181">
        <f t="shared" si="3"/>
        <v>21672347</v>
      </c>
      <c r="L47" s="181">
        <f t="shared" si="4"/>
        <v>8711822</v>
      </c>
      <c r="O47" s="91">
        <v>149</v>
      </c>
      <c r="P47" s="88">
        <v>1490</v>
      </c>
      <c r="Q47" s="88" t="s">
        <v>153</v>
      </c>
      <c r="R47" s="85" t="s">
        <v>0</v>
      </c>
      <c r="S47" s="128">
        <f>VLOOKUP(O47,'114分行業績'!A:L,12,0)</f>
        <v>22473299</v>
      </c>
      <c r="T47" s="129">
        <f t="shared" si="5"/>
        <v>15724250.43</v>
      </c>
      <c r="U47" s="90">
        <f>VLOOKUP(O47,'114分行業績'!A:AU,47,0)</f>
        <v>38197549.43</v>
      </c>
      <c r="V47" s="215">
        <f>VLOOKUP(O47,'114分行業績'!A:AV,48,0)</f>
        <v>53280000</v>
      </c>
      <c r="W47" s="177">
        <f t="shared" si="6"/>
        <v>0.71692097278528533</v>
      </c>
      <c r="X47" s="181">
        <f t="shared" si="7"/>
        <v>38197549</v>
      </c>
      <c r="Y47" s="181">
        <f t="shared" si="8"/>
        <v>15724250</v>
      </c>
      <c r="Z47" s="181">
        <f t="shared" si="9"/>
        <v>22473299</v>
      </c>
    </row>
    <row r="48" spans="1:26">
      <c r="A48" s="91">
        <v>151</v>
      </c>
      <c r="B48" s="88">
        <v>1510</v>
      </c>
      <c r="C48" s="88" t="s">
        <v>154</v>
      </c>
      <c r="D48" s="85" t="s">
        <v>7</v>
      </c>
      <c r="E48" s="128">
        <f>VLOOKUP(A48,'113分行業績'!A:L,12,0)</f>
        <v>15115554</v>
      </c>
      <c r="F48" s="129">
        <f t="shared" si="0"/>
        <v>19957810.310000002</v>
      </c>
      <c r="G48" s="90">
        <f>VLOOKUP(A48,'113分行業績'!A:AU,47,0)</f>
        <v>35073364.310000002</v>
      </c>
      <c r="H48" s="215">
        <f>VLOOKUP(A48,'113分行業績'!A:AV,48,0)</f>
        <v>41030000</v>
      </c>
      <c r="I48" s="177">
        <f t="shared" si="1"/>
        <v>0.85482243017304416</v>
      </c>
      <c r="J48" s="181">
        <f t="shared" si="2"/>
        <v>35073364</v>
      </c>
      <c r="K48" s="181">
        <f t="shared" si="3"/>
        <v>19957810</v>
      </c>
      <c r="L48" s="181">
        <f t="shared" si="4"/>
        <v>15115554</v>
      </c>
      <c r="O48" s="91">
        <v>151</v>
      </c>
      <c r="P48" s="88">
        <v>1510</v>
      </c>
      <c r="Q48" s="88" t="s">
        <v>154</v>
      </c>
      <c r="R48" s="85" t="s">
        <v>7</v>
      </c>
      <c r="S48" s="128">
        <f>VLOOKUP(O48,'114分行業績'!A:L,12,0)</f>
        <v>56689558</v>
      </c>
      <c r="T48" s="129">
        <f t="shared" si="5"/>
        <v>25943305.590000004</v>
      </c>
      <c r="U48" s="90">
        <f>VLOOKUP(O48,'114分行業績'!A:AU,47,0)</f>
        <v>82632863.590000004</v>
      </c>
      <c r="V48" s="215">
        <f>VLOOKUP(O48,'114分行業績'!A:AV,48,0)</f>
        <v>64790000</v>
      </c>
      <c r="W48" s="177">
        <f t="shared" si="6"/>
        <v>1.2753953324587128</v>
      </c>
      <c r="X48" s="181">
        <f t="shared" si="7"/>
        <v>64790000</v>
      </c>
      <c r="Y48" s="181">
        <f t="shared" si="8"/>
        <v>20341384</v>
      </c>
      <c r="Z48" s="181">
        <f t="shared" si="9"/>
        <v>44448616</v>
      </c>
    </row>
    <row r="49" spans="1:26">
      <c r="A49" s="91">
        <v>152</v>
      </c>
      <c r="B49" s="88">
        <v>1520</v>
      </c>
      <c r="C49" s="88" t="s">
        <v>155</v>
      </c>
      <c r="D49" s="85" t="s">
        <v>0</v>
      </c>
      <c r="E49" s="128">
        <f>VLOOKUP(A49,'113分行業績'!A:L,12,0)</f>
        <v>12529477</v>
      </c>
      <c r="F49" s="129">
        <f t="shared" si="0"/>
        <v>27285046.82</v>
      </c>
      <c r="G49" s="90">
        <f>VLOOKUP(A49,'113分行業績'!A:AU,47,0)</f>
        <v>39814523.82</v>
      </c>
      <c r="H49" s="215">
        <f>VLOOKUP(A49,'113分行業績'!A:AV,48,0)</f>
        <v>43620000</v>
      </c>
      <c r="I49" s="177">
        <f t="shared" si="1"/>
        <v>0.91275845529573596</v>
      </c>
      <c r="J49" s="181">
        <f t="shared" si="2"/>
        <v>39814524</v>
      </c>
      <c r="K49" s="181">
        <f t="shared" si="3"/>
        <v>27285047</v>
      </c>
      <c r="L49" s="181">
        <f t="shared" si="4"/>
        <v>12529477</v>
      </c>
      <c r="O49" s="91">
        <v>152</v>
      </c>
      <c r="P49" s="88">
        <v>1520</v>
      </c>
      <c r="Q49" s="88" t="s">
        <v>155</v>
      </c>
      <c r="R49" s="85" t="s">
        <v>0</v>
      </c>
      <c r="S49" s="128">
        <f>VLOOKUP(O49,'114分行業績'!A:L,12,0)</f>
        <v>29987925</v>
      </c>
      <c r="T49" s="129">
        <f t="shared" si="5"/>
        <v>22946412.780000001</v>
      </c>
      <c r="U49" s="90">
        <f>VLOOKUP(O49,'114分行業績'!A:AU,47,0)</f>
        <v>52934337.780000001</v>
      </c>
      <c r="V49" s="215">
        <f>VLOOKUP(O49,'114分行業績'!A:AV,48,0)</f>
        <v>65710000</v>
      </c>
      <c r="W49" s="177">
        <f t="shared" si="6"/>
        <v>0.80557506893927866</v>
      </c>
      <c r="X49" s="181">
        <f t="shared" si="7"/>
        <v>52934338</v>
      </c>
      <c r="Y49" s="181">
        <f t="shared" si="8"/>
        <v>22946413</v>
      </c>
      <c r="Z49" s="181">
        <f t="shared" si="9"/>
        <v>29987925</v>
      </c>
    </row>
    <row r="50" spans="1:26">
      <c r="A50" s="91">
        <v>153</v>
      </c>
      <c r="B50" s="88">
        <v>1530</v>
      </c>
      <c r="C50" s="88" t="s">
        <v>156</v>
      </c>
      <c r="D50" s="85" t="s">
        <v>0</v>
      </c>
      <c r="E50" s="128">
        <f>VLOOKUP(A50,'113分行業績'!A:L,12,0)</f>
        <v>26214572</v>
      </c>
      <c r="F50" s="129">
        <f t="shared" si="0"/>
        <v>16996743.409999996</v>
      </c>
      <c r="G50" s="90">
        <f>VLOOKUP(A50,'113分行業績'!A:AU,47,0)</f>
        <v>43211315.409999996</v>
      </c>
      <c r="H50" s="215">
        <f>VLOOKUP(A50,'113分行業績'!A:AV,48,0)</f>
        <v>37680000</v>
      </c>
      <c r="I50" s="177">
        <f t="shared" si="1"/>
        <v>1.1467971180997876</v>
      </c>
      <c r="J50" s="181">
        <f t="shared" si="2"/>
        <v>37680000</v>
      </c>
      <c r="K50" s="181">
        <f t="shared" si="3"/>
        <v>14821055</v>
      </c>
      <c r="L50" s="181">
        <f t="shared" si="4"/>
        <v>22858945</v>
      </c>
      <c r="O50" s="91">
        <v>153</v>
      </c>
      <c r="P50" s="88">
        <v>1530</v>
      </c>
      <c r="Q50" s="88" t="s">
        <v>156</v>
      </c>
      <c r="R50" s="85" t="s">
        <v>0</v>
      </c>
      <c r="S50" s="128">
        <f>VLOOKUP(O50,'114分行業績'!A:L,12,0)</f>
        <v>39959515</v>
      </c>
      <c r="T50" s="129">
        <f t="shared" si="5"/>
        <v>18126967.890000001</v>
      </c>
      <c r="U50" s="90">
        <f>VLOOKUP(O50,'114分行業績'!A:AU,47,0)</f>
        <v>58086482.890000001</v>
      </c>
      <c r="V50" s="215">
        <f>VLOOKUP(O50,'114分行業績'!A:AV,48,0)</f>
        <v>63330000</v>
      </c>
      <c r="W50" s="177">
        <f t="shared" si="6"/>
        <v>0.91720326685615028</v>
      </c>
      <c r="X50" s="181">
        <f t="shared" si="7"/>
        <v>58086483</v>
      </c>
      <c r="Y50" s="181">
        <f t="shared" si="8"/>
        <v>18126968</v>
      </c>
      <c r="Z50" s="181">
        <f t="shared" si="9"/>
        <v>39959515</v>
      </c>
    </row>
    <row r="51" spans="1:26">
      <c r="A51" s="91">
        <v>154</v>
      </c>
      <c r="B51" s="88">
        <v>1540</v>
      </c>
      <c r="C51" s="88" t="s">
        <v>8</v>
      </c>
      <c r="D51" s="85" t="s">
        <v>0</v>
      </c>
      <c r="E51" s="128">
        <f>VLOOKUP(A51,'113分行業績'!A:L,12,0)</f>
        <v>6193475</v>
      </c>
      <c r="F51" s="129">
        <f t="shared" si="0"/>
        <v>16130836.84</v>
      </c>
      <c r="G51" s="90">
        <f>VLOOKUP(A51,'113分行業績'!A:AU,47,0)</f>
        <v>22324311.84</v>
      </c>
      <c r="H51" s="215">
        <f>VLOOKUP(A51,'113分行業績'!A:AV,48,0)</f>
        <v>16850000</v>
      </c>
      <c r="I51" s="177">
        <f t="shared" si="1"/>
        <v>1.3248849756676557</v>
      </c>
      <c r="J51" s="181">
        <f t="shared" si="2"/>
        <v>16850000</v>
      </c>
      <c r="K51" s="181">
        <f t="shared" si="3"/>
        <v>12175273</v>
      </c>
      <c r="L51" s="181">
        <f t="shared" si="4"/>
        <v>4674727</v>
      </c>
      <c r="O51" s="91">
        <v>154</v>
      </c>
      <c r="P51" s="88">
        <v>1540</v>
      </c>
      <c r="Q51" s="88" t="s">
        <v>8</v>
      </c>
      <c r="R51" s="85" t="s">
        <v>0</v>
      </c>
      <c r="S51" s="128">
        <f>VLOOKUP(O51,'114分行業績'!A:L,12,0)</f>
        <v>11937632</v>
      </c>
      <c r="T51" s="129">
        <f t="shared" si="5"/>
        <v>12459892.120000001</v>
      </c>
      <c r="U51" s="90">
        <f>VLOOKUP(O51,'114分行業績'!A:AU,47,0)</f>
        <v>24397524.120000001</v>
      </c>
      <c r="V51" s="215">
        <f>VLOOKUP(O51,'114分行業績'!A:AV,48,0)</f>
        <v>31450000</v>
      </c>
      <c r="W51" s="177">
        <f t="shared" si="6"/>
        <v>0.77575593386327513</v>
      </c>
      <c r="X51" s="181">
        <f t="shared" si="7"/>
        <v>24397524</v>
      </c>
      <c r="Y51" s="181">
        <f t="shared" si="8"/>
        <v>12459892</v>
      </c>
      <c r="Z51" s="181">
        <f t="shared" si="9"/>
        <v>11937632</v>
      </c>
    </row>
    <row r="52" spans="1:26">
      <c r="A52" s="91">
        <v>156</v>
      </c>
      <c r="B52" s="88">
        <v>1560</v>
      </c>
      <c r="C52" s="88" t="s">
        <v>157</v>
      </c>
      <c r="D52" s="85" t="s">
        <v>0</v>
      </c>
      <c r="E52" s="128">
        <f>VLOOKUP(A52,'113分行業績'!A:L,12,0)</f>
        <v>7327731</v>
      </c>
      <c r="F52" s="129">
        <f t="shared" si="0"/>
        <v>16786707.629999999</v>
      </c>
      <c r="G52" s="90">
        <f>VLOOKUP(A52,'113分行業績'!A:AU,47,0)</f>
        <v>24114438.629999999</v>
      </c>
      <c r="H52" s="215">
        <f>VLOOKUP(A52,'113分行業績'!A:AV,48,0)</f>
        <v>26350000</v>
      </c>
      <c r="I52" s="177">
        <f t="shared" si="1"/>
        <v>0.91515896129032259</v>
      </c>
      <c r="J52" s="181">
        <f t="shared" si="2"/>
        <v>24114439</v>
      </c>
      <c r="K52" s="181">
        <f t="shared" si="3"/>
        <v>16786708</v>
      </c>
      <c r="L52" s="181">
        <f t="shared" si="4"/>
        <v>7327731</v>
      </c>
      <c r="O52" s="91">
        <v>156</v>
      </c>
      <c r="P52" s="88">
        <v>1560</v>
      </c>
      <c r="Q52" s="88" t="s">
        <v>157</v>
      </c>
      <c r="R52" s="85" t="s">
        <v>0</v>
      </c>
      <c r="S52" s="128">
        <f>VLOOKUP(O52,'114分行業績'!A:L,12,0)</f>
        <v>11479371</v>
      </c>
      <c r="T52" s="129">
        <f t="shared" si="5"/>
        <v>24889810.009999998</v>
      </c>
      <c r="U52" s="90">
        <f>VLOOKUP(O52,'114分行業績'!A:AU,47,0)</f>
        <v>36369181.009999998</v>
      </c>
      <c r="V52" s="215">
        <f>VLOOKUP(O52,'114分行業績'!A:AV,48,0)</f>
        <v>43730000</v>
      </c>
      <c r="W52" s="177">
        <f t="shared" si="6"/>
        <v>0.83167576057626336</v>
      </c>
      <c r="X52" s="181">
        <f t="shared" si="7"/>
        <v>36369181</v>
      </c>
      <c r="Y52" s="181">
        <f t="shared" si="8"/>
        <v>24889810</v>
      </c>
      <c r="Z52" s="181">
        <f t="shared" si="9"/>
        <v>11479371</v>
      </c>
    </row>
    <row r="53" spans="1:26">
      <c r="A53" s="91">
        <v>157</v>
      </c>
      <c r="B53" s="88">
        <v>1570</v>
      </c>
      <c r="C53" s="88" t="s">
        <v>158</v>
      </c>
      <c r="D53" s="85" t="s">
        <v>0</v>
      </c>
      <c r="E53" s="128">
        <f>VLOOKUP(A53,'113分行業績'!A:L,12,0)</f>
        <v>4416306</v>
      </c>
      <c r="F53" s="129">
        <f t="shared" si="0"/>
        <v>14248697.59</v>
      </c>
      <c r="G53" s="90">
        <f>VLOOKUP(A53,'113分行業績'!A:AU,47,0)</f>
        <v>18665003.59</v>
      </c>
      <c r="H53" s="215">
        <f>VLOOKUP(A53,'113分行業績'!A:AV,48,0)</f>
        <v>24810000</v>
      </c>
      <c r="I53" s="177">
        <f t="shared" si="1"/>
        <v>0.75231775856509475</v>
      </c>
      <c r="J53" s="181">
        <f t="shared" si="2"/>
        <v>18665004</v>
      </c>
      <c r="K53" s="181">
        <f t="shared" si="3"/>
        <v>14248698</v>
      </c>
      <c r="L53" s="181">
        <f t="shared" si="4"/>
        <v>4416306</v>
      </c>
      <c r="O53" s="91">
        <v>157</v>
      </c>
      <c r="P53" s="88">
        <v>1570</v>
      </c>
      <c r="Q53" s="88" t="s">
        <v>158</v>
      </c>
      <c r="R53" s="85" t="s">
        <v>0</v>
      </c>
      <c r="S53" s="128">
        <f>VLOOKUP(O53,'114分行業績'!A:L,12,0)</f>
        <v>11554038</v>
      </c>
      <c r="T53" s="129">
        <f t="shared" si="5"/>
        <v>15132740.829999998</v>
      </c>
      <c r="U53" s="90">
        <f>VLOOKUP(O53,'114分行業績'!A:AU,47,0)</f>
        <v>26686778.829999998</v>
      </c>
      <c r="V53" s="215">
        <f>VLOOKUP(O53,'114分行業績'!A:AV,48,0)</f>
        <v>31710000</v>
      </c>
      <c r="W53" s="177">
        <f t="shared" si="6"/>
        <v>0.84158873636076936</v>
      </c>
      <c r="X53" s="181">
        <f t="shared" si="7"/>
        <v>26686779</v>
      </c>
      <c r="Y53" s="181">
        <f t="shared" si="8"/>
        <v>15132741</v>
      </c>
      <c r="Z53" s="181">
        <f t="shared" si="9"/>
        <v>11554038</v>
      </c>
    </row>
    <row r="54" spans="1:26">
      <c r="A54" s="91">
        <v>158</v>
      </c>
      <c r="B54" s="88">
        <v>1580</v>
      </c>
      <c r="C54" s="88" t="s">
        <v>159</v>
      </c>
      <c r="D54" s="85" t="s">
        <v>7</v>
      </c>
      <c r="E54" s="128">
        <f>VLOOKUP(A54,'113分行業績'!A:L,12,0)</f>
        <v>27443456</v>
      </c>
      <c r="F54" s="129">
        <f t="shared" si="0"/>
        <v>27046609.719999999</v>
      </c>
      <c r="G54" s="90">
        <f>VLOOKUP(A54,'113分行業績'!A:AU,47,0)</f>
        <v>54490065.719999999</v>
      </c>
      <c r="H54" s="215">
        <f>VLOOKUP(A54,'113分行業績'!A:AV,48,0)</f>
        <v>35890000</v>
      </c>
      <c r="I54" s="177">
        <f t="shared" si="1"/>
        <v>1.5182520401225967</v>
      </c>
      <c r="J54" s="181">
        <f t="shared" si="2"/>
        <v>35890000</v>
      </c>
      <c r="K54" s="181">
        <f t="shared" si="3"/>
        <v>17814308</v>
      </c>
      <c r="L54" s="181">
        <f t="shared" si="4"/>
        <v>18075692</v>
      </c>
      <c r="O54" s="91">
        <v>158</v>
      </c>
      <c r="P54" s="88">
        <v>1580</v>
      </c>
      <c r="Q54" s="88" t="s">
        <v>159</v>
      </c>
      <c r="R54" s="85" t="s">
        <v>7</v>
      </c>
      <c r="S54" s="128">
        <f>VLOOKUP(O54,'114分行業績'!A:L,12,0)</f>
        <v>33282435</v>
      </c>
      <c r="T54" s="129">
        <f t="shared" si="5"/>
        <v>24652181.880000003</v>
      </c>
      <c r="U54" s="90">
        <f>VLOOKUP(O54,'114分行業績'!A:AU,47,0)</f>
        <v>57934616.880000003</v>
      </c>
      <c r="V54" s="215">
        <f>VLOOKUP(O54,'114分行業績'!A:AV,48,0)</f>
        <v>59350000</v>
      </c>
      <c r="W54" s="177">
        <f t="shared" si="6"/>
        <v>0.97615192721145749</v>
      </c>
      <c r="X54" s="181">
        <f t="shared" si="7"/>
        <v>57934617</v>
      </c>
      <c r="Y54" s="181">
        <f t="shared" si="8"/>
        <v>24652182</v>
      </c>
      <c r="Z54" s="181">
        <f t="shared" si="9"/>
        <v>33282435</v>
      </c>
    </row>
    <row r="55" spans="1:26">
      <c r="A55" s="91">
        <v>159</v>
      </c>
      <c r="B55" s="88">
        <v>1590</v>
      </c>
      <c r="C55" s="88" t="s">
        <v>83</v>
      </c>
      <c r="D55" s="85" t="s">
        <v>7</v>
      </c>
      <c r="E55" s="128">
        <f>VLOOKUP(A55,'113分行業績'!A:L,12,0)</f>
        <v>31552799</v>
      </c>
      <c r="F55" s="129">
        <f t="shared" si="0"/>
        <v>55591569.390000001</v>
      </c>
      <c r="G55" s="90">
        <f>VLOOKUP(A55,'113分行業績'!A:AU,47,0)</f>
        <v>87144368.390000001</v>
      </c>
      <c r="H55" s="215">
        <f>VLOOKUP(A55,'113分行業績'!A:AV,48,0)</f>
        <v>52320000</v>
      </c>
      <c r="I55" s="177">
        <f t="shared" si="1"/>
        <v>1.6656033713685015</v>
      </c>
      <c r="J55" s="181">
        <f t="shared" si="2"/>
        <v>52320000</v>
      </c>
      <c r="K55" s="181">
        <f t="shared" si="3"/>
        <v>33376235</v>
      </c>
      <c r="L55" s="181">
        <f t="shared" si="4"/>
        <v>18943765</v>
      </c>
      <c r="O55" s="91">
        <v>159</v>
      </c>
      <c r="P55" s="88">
        <v>1590</v>
      </c>
      <c r="Q55" s="88" t="s">
        <v>83</v>
      </c>
      <c r="R55" s="85" t="s">
        <v>7</v>
      </c>
      <c r="S55" s="128">
        <f>VLOOKUP(O55,'114分行業績'!A:L,12,0)</f>
        <v>69390602</v>
      </c>
      <c r="T55" s="129">
        <f t="shared" si="5"/>
        <v>54960368.900000006</v>
      </c>
      <c r="U55" s="90">
        <f>VLOOKUP(O55,'114分行業績'!A:AU,47,0)</f>
        <v>124350970.90000001</v>
      </c>
      <c r="V55" s="215">
        <f>VLOOKUP(O55,'114分行業績'!A:AV,48,0)</f>
        <v>95530000</v>
      </c>
      <c r="W55" s="177">
        <f t="shared" si="6"/>
        <v>1.3016954977493982</v>
      </c>
      <c r="X55" s="181">
        <f t="shared" si="7"/>
        <v>95530000</v>
      </c>
      <c r="Y55" s="181">
        <f t="shared" si="8"/>
        <v>42222140</v>
      </c>
      <c r="Z55" s="181">
        <f t="shared" si="9"/>
        <v>53307860</v>
      </c>
    </row>
    <row r="56" spans="1:26">
      <c r="A56" s="91">
        <v>160</v>
      </c>
      <c r="B56" s="88">
        <v>1600</v>
      </c>
      <c r="C56" s="88" t="s">
        <v>9</v>
      </c>
      <c r="D56" s="85" t="s">
        <v>7</v>
      </c>
      <c r="E56" s="128">
        <f>VLOOKUP(A56,'113分行業績'!A:L,12,0)</f>
        <v>20582421</v>
      </c>
      <c r="F56" s="129">
        <f t="shared" si="0"/>
        <v>19869826.659999996</v>
      </c>
      <c r="G56" s="90">
        <f>VLOOKUP(A56,'113分行業績'!A:AU,47,0)</f>
        <v>40452247.659999996</v>
      </c>
      <c r="H56" s="215">
        <f>VLOOKUP(A56,'113分行業績'!A:AV,48,0)</f>
        <v>35290000</v>
      </c>
      <c r="I56" s="177">
        <f t="shared" si="1"/>
        <v>1.1462807497874752</v>
      </c>
      <c r="J56" s="181">
        <f t="shared" si="2"/>
        <v>35290000</v>
      </c>
      <c r="K56" s="181">
        <f t="shared" si="3"/>
        <v>17334171</v>
      </c>
      <c r="L56" s="181">
        <f t="shared" si="4"/>
        <v>17955829</v>
      </c>
      <c r="O56" s="91">
        <v>160</v>
      </c>
      <c r="P56" s="88">
        <v>1600</v>
      </c>
      <c r="Q56" s="88" t="s">
        <v>9</v>
      </c>
      <c r="R56" s="85" t="s">
        <v>7</v>
      </c>
      <c r="S56" s="128">
        <f>VLOOKUP(O56,'114分行業績'!A:L,12,0)</f>
        <v>51066903</v>
      </c>
      <c r="T56" s="129">
        <f t="shared" si="5"/>
        <v>18305148.670000002</v>
      </c>
      <c r="U56" s="90">
        <f>VLOOKUP(O56,'114分行業績'!A:AU,47,0)</f>
        <v>69372051.670000002</v>
      </c>
      <c r="V56" s="215">
        <f>VLOOKUP(O56,'114分行業績'!A:AV,48,0)</f>
        <v>60960000</v>
      </c>
      <c r="W56" s="177">
        <f t="shared" si="6"/>
        <v>1.1379929735892389</v>
      </c>
      <c r="X56" s="181">
        <f t="shared" si="7"/>
        <v>60960000</v>
      </c>
      <c r="Y56" s="181">
        <f t="shared" si="8"/>
        <v>16085467</v>
      </c>
      <c r="Z56" s="181">
        <f t="shared" si="9"/>
        <v>44874533</v>
      </c>
    </row>
    <row r="57" spans="1:26">
      <c r="A57" s="91">
        <v>161</v>
      </c>
      <c r="B57" s="88">
        <v>1610</v>
      </c>
      <c r="C57" s="88" t="s">
        <v>160</v>
      </c>
      <c r="D57" s="85" t="s">
        <v>7</v>
      </c>
      <c r="E57" s="128">
        <f>VLOOKUP(A57,'113分行業績'!A:L,12,0)</f>
        <v>14593778</v>
      </c>
      <c r="F57" s="129">
        <f t="shared" si="0"/>
        <v>14877311.460000001</v>
      </c>
      <c r="G57" s="90">
        <f>VLOOKUP(A57,'113分行業績'!A:AU,47,0)</f>
        <v>29471089.460000001</v>
      </c>
      <c r="H57" s="215">
        <f>VLOOKUP(A57,'113分行業績'!A:AV,48,0)</f>
        <v>27000000</v>
      </c>
      <c r="I57" s="177">
        <f t="shared" si="1"/>
        <v>1.0915218318518518</v>
      </c>
      <c r="J57" s="181">
        <f t="shared" si="2"/>
        <v>27000000</v>
      </c>
      <c r="K57" s="181">
        <f t="shared" si="3"/>
        <v>13629880</v>
      </c>
      <c r="L57" s="181">
        <f t="shared" si="4"/>
        <v>13370120</v>
      </c>
      <c r="O57" s="91">
        <v>161</v>
      </c>
      <c r="P57" s="88">
        <v>1610</v>
      </c>
      <c r="Q57" s="88" t="s">
        <v>160</v>
      </c>
      <c r="R57" s="85" t="s">
        <v>7</v>
      </c>
      <c r="S57" s="128">
        <f>VLOOKUP(O57,'114分行業績'!A:L,12,0)</f>
        <v>27429492</v>
      </c>
      <c r="T57" s="129">
        <f t="shared" si="5"/>
        <v>13469360.600000001</v>
      </c>
      <c r="U57" s="90">
        <f>VLOOKUP(O57,'114分行業績'!A:AU,47,0)</f>
        <v>40898852.600000001</v>
      </c>
      <c r="V57" s="215">
        <f>VLOOKUP(O57,'114分行業績'!A:AV,48,0)</f>
        <v>46740000</v>
      </c>
      <c r="W57" s="177">
        <f t="shared" si="6"/>
        <v>0.87502893881044075</v>
      </c>
      <c r="X57" s="181">
        <f t="shared" si="7"/>
        <v>40898853</v>
      </c>
      <c r="Y57" s="181">
        <f t="shared" si="8"/>
        <v>13469361</v>
      </c>
      <c r="Z57" s="181">
        <f t="shared" si="9"/>
        <v>27429492</v>
      </c>
    </row>
    <row r="58" spans="1:26">
      <c r="A58" s="91">
        <v>162</v>
      </c>
      <c r="B58" s="88">
        <v>1620</v>
      </c>
      <c r="C58" s="88" t="s">
        <v>10</v>
      </c>
      <c r="D58" s="85" t="s">
        <v>7</v>
      </c>
      <c r="E58" s="128">
        <f>VLOOKUP(A58,'113分行業績'!A:L,12,0)</f>
        <v>65763472</v>
      </c>
      <c r="F58" s="129">
        <f t="shared" si="0"/>
        <v>39820978.180000007</v>
      </c>
      <c r="G58" s="90">
        <f>VLOOKUP(A58,'113分行業績'!A:AU,47,0)</f>
        <v>105584450.18000001</v>
      </c>
      <c r="H58" s="215">
        <f>VLOOKUP(A58,'113分行業績'!A:AV,48,0)</f>
        <v>57220000</v>
      </c>
      <c r="I58" s="177">
        <f t="shared" si="1"/>
        <v>1.8452368084585811</v>
      </c>
      <c r="J58" s="181">
        <f t="shared" si="2"/>
        <v>57220000</v>
      </c>
      <c r="K58" s="181">
        <f t="shared" si="3"/>
        <v>21580416</v>
      </c>
      <c r="L58" s="181">
        <f t="shared" si="4"/>
        <v>35639584</v>
      </c>
      <c r="O58" s="91">
        <v>162</v>
      </c>
      <c r="P58" s="88">
        <v>1620</v>
      </c>
      <c r="Q58" s="88" t="s">
        <v>10</v>
      </c>
      <c r="R58" s="85" t="s">
        <v>7</v>
      </c>
      <c r="S58" s="128">
        <f>VLOOKUP(O58,'114分行業績'!A:L,12,0)</f>
        <v>68390020</v>
      </c>
      <c r="T58" s="129">
        <f t="shared" si="5"/>
        <v>51398909.689999998</v>
      </c>
      <c r="U58" s="90">
        <f>VLOOKUP(O58,'114分行業績'!A:AU,47,0)</f>
        <v>119788929.69</v>
      </c>
      <c r="V58" s="215">
        <f>VLOOKUP(O58,'114分行業績'!A:AV,48,0)</f>
        <v>95310000</v>
      </c>
      <c r="W58" s="177">
        <f t="shared" si="6"/>
        <v>1.2568348514321688</v>
      </c>
      <c r="X58" s="181">
        <f t="shared" si="7"/>
        <v>95310000</v>
      </c>
      <c r="Y58" s="181">
        <f t="shared" si="8"/>
        <v>40895516</v>
      </c>
      <c r="Z58" s="181">
        <f t="shared" si="9"/>
        <v>54414484</v>
      </c>
    </row>
    <row r="59" spans="1:26">
      <c r="A59" s="91">
        <v>163</v>
      </c>
      <c r="B59" s="88">
        <v>1630</v>
      </c>
      <c r="C59" s="88" t="s">
        <v>12</v>
      </c>
      <c r="D59" s="85" t="s">
        <v>11</v>
      </c>
      <c r="E59" s="128">
        <f>VLOOKUP(A59,'113分行業績'!A:L,12,0)</f>
        <v>6645848</v>
      </c>
      <c r="F59" s="129">
        <f t="shared" si="0"/>
        <v>17232063.920000002</v>
      </c>
      <c r="G59" s="90">
        <f>VLOOKUP(A59,'113分行業績'!A:AU,47,0)</f>
        <v>23877911.920000002</v>
      </c>
      <c r="H59" s="215">
        <f>VLOOKUP(A59,'113分行業績'!A:AV,48,0)</f>
        <v>31680000</v>
      </c>
      <c r="I59" s="177">
        <f t="shared" si="1"/>
        <v>0.75372196717171724</v>
      </c>
      <c r="J59" s="181">
        <f t="shared" si="2"/>
        <v>23877912</v>
      </c>
      <c r="K59" s="181">
        <f t="shared" si="3"/>
        <v>17232064</v>
      </c>
      <c r="L59" s="181">
        <f t="shared" si="4"/>
        <v>6645848</v>
      </c>
      <c r="O59" s="91">
        <v>163</v>
      </c>
      <c r="P59" s="88">
        <v>1630</v>
      </c>
      <c r="Q59" s="88" t="s">
        <v>12</v>
      </c>
      <c r="R59" s="85" t="s">
        <v>11</v>
      </c>
      <c r="S59" s="128">
        <f>VLOOKUP(O59,'114分行業績'!A:L,12,0)</f>
        <v>13845158</v>
      </c>
      <c r="T59" s="129">
        <f t="shared" si="5"/>
        <v>18054658.190000001</v>
      </c>
      <c r="U59" s="90">
        <f>VLOOKUP(O59,'114分行業績'!A:AU,47,0)</f>
        <v>31899816.190000001</v>
      </c>
      <c r="V59" s="215">
        <f>VLOOKUP(O59,'114分行業績'!A:AV,48,0)</f>
        <v>47360000</v>
      </c>
      <c r="W59" s="177">
        <f t="shared" si="6"/>
        <v>0.67356030806587841</v>
      </c>
      <c r="X59" s="181">
        <f t="shared" si="7"/>
        <v>31899816</v>
      </c>
      <c r="Y59" s="181">
        <f t="shared" si="8"/>
        <v>18054658</v>
      </c>
      <c r="Z59" s="181">
        <f t="shared" si="9"/>
        <v>13845158</v>
      </c>
    </row>
    <row r="60" spans="1:26">
      <c r="A60" s="91">
        <v>164</v>
      </c>
      <c r="B60" s="88">
        <v>1640</v>
      </c>
      <c r="C60" s="88" t="s">
        <v>161</v>
      </c>
      <c r="D60" s="85" t="s">
        <v>7</v>
      </c>
      <c r="E60" s="128">
        <f>VLOOKUP(A60,'113分行業績'!A:L,12,0)</f>
        <v>10848804</v>
      </c>
      <c r="F60" s="129">
        <f t="shared" si="0"/>
        <v>26159473.049999997</v>
      </c>
      <c r="G60" s="90">
        <f>VLOOKUP(A60,'113分行業績'!A:AU,47,0)</f>
        <v>37008277.049999997</v>
      </c>
      <c r="H60" s="215">
        <f>VLOOKUP(A60,'113分行業績'!A:AV,48,0)</f>
        <v>37640000</v>
      </c>
      <c r="I60" s="177">
        <f t="shared" si="1"/>
        <v>0.98321671227417629</v>
      </c>
      <c r="J60" s="181">
        <f t="shared" si="2"/>
        <v>37008277</v>
      </c>
      <c r="K60" s="181">
        <f t="shared" si="3"/>
        <v>26159473</v>
      </c>
      <c r="L60" s="181">
        <f t="shared" si="4"/>
        <v>10848804</v>
      </c>
      <c r="O60" s="91">
        <v>164</v>
      </c>
      <c r="P60" s="88">
        <v>1640</v>
      </c>
      <c r="Q60" s="88" t="s">
        <v>161</v>
      </c>
      <c r="R60" s="85" t="s">
        <v>7</v>
      </c>
      <c r="S60" s="128">
        <f>VLOOKUP(O60,'114分行業績'!A:L,12,0)</f>
        <v>30463872</v>
      </c>
      <c r="T60" s="129">
        <f t="shared" si="5"/>
        <v>14523534.990000002</v>
      </c>
      <c r="U60" s="90">
        <f>VLOOKUP(O60,'114分行業績'!A:AU,47,0)</f>
        <v>44987406.990000002</v>
      </c>
      <c r="V60" s="215">
        <f>VLOOKUP(O60,'114分行業績'!A:AV,48,0)</f>
        <v>61510000</v>
      </c>
      <c r="W60" s="177">
        <f t="shared" si="6"/>
        <v>0.7313836285156885</v>
      </c>
      <c r="X60" s="181">
        <f t="shared" si="7"/>
        <v>44987407</v>
      </c>
      <c r="Y60" s="181">
        <f t="shared" si="8"/>
        <v>14523535</v>
      </c>
      <c r="Z60" s="181">
        <f t="shared" si="9"/>
        <v>30463872</v>
      </c>
    </row>
    <row r="61" spans="1:26">
      <c r="A61" s="91">
        <v>165</v>
      </c>
      <c r="B61" s="88">
        <v>1650</v>
      </c>
      <c r="C61" s="88" t="s">
        <v>13</v>
      </c>
      <c r="D61" s="85" t="s">
        <v>7</v>
      </c>
      <c r="E61" s="128">
        <f>VLOOKUP(A61,'113分行業績'!A:L,12,0)</f>
        <v>25511923</v>
      </c>
      <c r="F61" s="129">
        <f t="shared" si="0"/>
        <v>23567045.200000003</v>
      </c>
      <c r="G61" s="90">
        <f>VLOOKUP(A61,'113分行業績'!A:AU,47,0)</f>
        <v>49078968.200000003</v>
      </c>
      <c r="H61" s="215">
        <f>VLOOKUP(A61,'113分行業績'!A:AV,48,0)</f>
        <v>45890000</v>
      </c>
      <c r="I61" s="177">
        <f t="shared" si="1"/>
        <v>1.0694915711483983</v>
      </c>
      <c r="J61" s="181">
        <f t="shared" si="2"/>
        <v>45890000</v>
      </c>
      <c r="K61" s="181">
        <f t="shared" si="3"/>
        <v>22035747</v>
      </c>
      <c r="L61" s="181">
        <f t="shared" si="4"/>
        <v>23854253</v>
      </c>
      <c r="O61" s="91">
        <v>165</v>
      </c>
      <c r="P61" s="88">
        <v>1650</v>
      </c>
      <c r="Q61" s="88" t="s">
        <v>13</v>
      </c>
      <c r="R61" s="85" t="s">
        <v>7</v>
      </c>
      <c r="S61" s="128">
        <f>VLOOKUP(O61,'114分行業績'!A:L,12,0)</f>
        <v>42222736</v>
      </c>
      <c r="T61" s="129">
        <f t="shared" si="5"/>
        <v>28702266.810000002</v>
      </c>
      <c r="U61" s="90">
        <f>VLOOKUP(O61,'114分行業績'!A:AU,47,0)</f>
        <v>70925002.810000002</v>
      </c>
      <c r="V61" s="215">
        <f>VLOOKUP(O61,'114分行業績'!A:AV,48,0)</f>
        <v>76940000</v>
      </c>
      <c r="W61" s="177">
        <f t="shared" si="6"/>
        <v>0.92182223563815968</v>
      </c>
      <c r="X61" s="181">
        <f t="shared" si="7"/>
        <v>70925003</v>
      </c>
      <c r="Y61" s="181">
        <f t="shared" si="8"/>
        <v>28702267</v>
      </c>
      <c r="Z61" s="181">
        <f t="shared" si="9"/>
        <v>42222736</v>
      </c>
    </row>
    <row r="62" spans="1:26">
      <c r="A62" s="91">
        <v>166</v>
      </c>
      <c r="B62" s="88">
        <v>1660</v>
      </c>
      <c r="C62" s="88" t="s">
        <v>84</v>
      </c>
      <c r="D62" s="85" t="s">
        <v>7</v>
      </c>
      <c r="E62" s="128">
        <f>VLOOKUP(A62,'113分行業績'!A:L,12,0)</f>
        <v>14540278</v>
      </c>
      <c r="F62" s="129">
        <f t="shared" si="0"/>
        <v>13939499.379999999</v>
      </c>
      <c r="G62" s="90">
        <f>VLOOKUP(A62,'113分行業績'!A:AU,47,0)</f>
        <v>28479777.379999999</v>
      </c>
      <c r="H62" s="215">
        <f>VLOOKUP(A62,'113分行業績'!A:AV,48,0)</f>
        <v>35710000</v>
      </c>
      <c r="I62" s="177">
        <f t="shared" si="1"/>
        <v>0.79752947017642117</v>
      </c>
      <c r="J62" s="181">
        <f t="shared" si="2"/>
        <v>28479777</v>
      </c>
      <c r="K62" s="181">
        <f t="shared" si="3"/>
        <v>13939499</v>
      </c>
      <c r="L62" s="181">
        <f t="shared" si="4"/>
        <v>14540278</v>
      </c>
      <c r="O62" s="91">
        <v>166</v>
      </c>
      <c r="P62" s="88">
        <v>1660</v>
      </c>
      <c r="Q62" s="88" t="s">
        <v>84</v>
      </c>
      <c r="R62" s="85" t="s">
        <v>7</v>
      </c>
      <c r="S62" s="128">
        <f>VLOOKUP(O62,'114分行業績'!A:L,12,0)</f>
        <v>22589114</v>
      </c>
      <c r="T62" s="129">
        <f t="shared" si="5"/>
        <v>13130340.18</v>
      </c>
      <c r="U62" s="90">
        <f>VLOOKUP(O62,'114分行業績'!A:AU,47,0)</f>
        <v>35719454.18</v>
      </c>
      <c r="V62" s="215">
        <f>VLOOKUP(O62,'114分行業績'!A:AV,48,0)</f>
        <v>53100000</v>
      </c>
      <c r="W62" s="177">
        <f t="shared" si="6"/>
        <v>0.67268275291902069</v>
      </c>
      <c r="X62" s="181">
        <f t="shared" si="7"/>
        <v>35719454</v>
      </c>
      <c r="Y62" s="181">
        <f t="shared" si="8"/>
        <v>13130340</v>
      </c>
      <c r="Z62" s="181">
        <f t="shared" si="9"/>
        <v>22589114</v>
      </c>
    </row>
    <row r="63" spans="1:26">
      <c r="A63" s="91">
        <v>167</v>
      </c>
      <c r="B63" s="88">
        <v>1670</v>
      </c>
      <c r="C63" s="88" t="s">
        <v>162</v>
      </c>
      <c r="D63" s="85" t="s">
        <v>7</v>
      </c>
      <c r="E63" s="128">
        <f>VLOOKUP(A63,'113分行業績'!A:L,12,0)</f>
        <v>22863927</v>
      </c>
      <c r="F63" s="129">
        <f t="shared" si="0"/>
        <v>31733509.32</v>
      </c>
      <c r="G63" s="90">
        <f>VLOOKUP(A63,'113分行業績'!A:AU,47,0)</f>
        <v>54597436.32</v>
      </c>
      <c r="H63" s="215">
        <f>VLOOKUP(A63,'113分行業績'!A:AV,48,0)</f>
        <v>50260000</v>
      </c>
      <c r="I63" s="177">
        <f t="shared" si="1"/>
        <v>1.0862999665738162</v>
      </c>
      <c r="J63" s="181">
        <f t="shared" si="2"/>
        <v>50260000</v>
      </c>
      <c r="K63" s="181">
        <f t="shared" si="3"/>
        <v>29212474</v>
      </c>
      <c r="L63" s="181">
        <f t="shared" si="4"/>
        <v>21047526</v>
      </c>
      <c r="O63" s="91">
        <v>167</v>
      </c>
      <c r="P63" s="88">
        <v>1670</v>
      </c>
      <c r="Q63" s="88" t="s">
        <v>162</v>
      </c>
      <c r="R63" s="85" t="s">
        <v>7</v>
      </c>
      <c r="S63" s="128">
        <f>VLOOKUP(O63,'114分行業績'!A:L,12,0)</f>
        <v>30971603</v>
      </c>
      <c r="T63" s="129">
        <f t="shared" si="5"/>
        <v>25640213.619999997</v>
      </c>
      <c r="U63" s="90">
        <f>VLOOKUP(O63,'114分行業績'!A:AU,47,0)</f>
        <v>56611816.619999997</v>
      </c>
      <c r="V63" s="215">
        <f>VLOOKUP(O63,'114分行業績'!A:AV,48,0)</f>
        <v>87040000</v>
      </c>
      <c r="W63" s="177">
        <f t="shared" si="6"/>
        <v>0.65041149609374993</v>
      </c>
      <c r="X63" s="181">
        <f t="shared" si="7"/>
        <v>56611817</v>
      </c>
      <c r="Y63" s="181">
        <f t="shared" si="8"/>
        <v>25640214</v>
      </c>
      <c r="Z63" s="181">
        <f t="shared" si="9"/>
        <v>30971603</v>
      </c>
    </row>
    <row r="64" spans="1:26">
      <c r="A64" s="91">
        <v>168</v>
      </c>
      <c r="B64" s="88">
        <v>1680</v>
      </c>
      <c r="C64" s="88" t="s">
        <v>163</v>
      </c>
      <c r="D64" s="85" t="s">
        <v>7</v>
      </c>
      <c r="E64" s="128">
        <f>VLOOKUP(A64,'113分行業績'!A:L,12,0)</f>
        <v>32539590</v>
      </c>
      <c r="F64" s="129">
        <f t="shared" si="0"/>
        <v>21144333.530000001</v>
      </c>
      <c r="G64" s="90">
        <f>VLOOKUP(A64,'113分行業績'!A:AU,47,0)</f>
        <v>53683923.530000001</v>
      </c>
      <c r="H64" s="215">
        <f>VLOOKUP(A64,'113分行業績'!A:AV,48,0)</f>
        <v>48060000</v>
      </c>
      <c r="I64" s="177">
        <f t="shared" si="1"/>
        <v>1.1170188000416146</v>
      </c>
      <c r="J64" s="181">
        <f t="shared" si="2"/>
        <v>48060000</v>
      </c>
      <c r="K64" s="181">
        <f t="shared" si="3"/>
        <v>18929255</v>
      </c>
      <c r="L64" s="181">
        <f t="shared" si="4"/>
        <v>29130745</v>
      </c>
      <c r="O64" s="91">
        <v>168</v>
      </c>
      <c r="P64" s="88">
        <v>1680</v>
      </c>
      <c r="Q64" s="88" t="s">
        <v>163</v>
      </c>
      <c r="R64" s="85" t="s">
        <v>7</v>
      </c>
      <c r="S64" s="128">
        <f>VLOOKUP(O64,'114分行業績'!A:L,12,0)</f>
        <v>40403206</v>
      </c>
      <c r="T64" s="129">
        <f t="shared" si="5"/>
        <v>21276237.189999998</v>
      </c>
      <c r="U64" s="90">
        <f>VLOOKUP(O64,'114分行業績'!A:AU,47,0)</f>
        <v>61679443.189999998</v>
      </c>
      <c r="V64" s="215">
        <f>VLOOKUP(O64,'114分行業績'!A:AV,48,0)</f>
        <v>81040000</v>
      </c>
      <c r="W64" s="177">
        <f t="shared" si="6"/>
        <v>0.76109875604639676</v>
      </c>
      <c r="X64" s="181">
        <f t="shared" si="7"/>
        <v>61679443</v>
      </c>
      <c r="Y64" s="181">
        <f t="shared" si="8"/>
        <v>21276237</v>
      </c>
      <c r="Z64" s="181">
        <f t="shared" si="9"/>
        <v>40403206</v>
      </c>
    </row>
    <row r="65" spans="1:26">
      <c r="A65" s="91">
        <v>169</v>
      </c>
      <c r="B65" s="88">
        <v>1690</v>
      </c>
      <c r="C65" s="88" t="s">
        <v>85</v>
      </c>
      <c r="D65" s="85" t="s">
        <v>7</v>
      </c>
      <c r="E65" s="128">
        <f>VLOOKUP(A65,'113分行業績'!A:L,12,0)</f>
        <v>16394663</v>
      </c>
      <c r="F65" s="129">
        <f t="shared" si="0"/>
        <v>20319807.560000002</v>
      </c>
      <c r="G65" s="90">
        <f>VLOOKUP(A65,'113分行業績'!A:AU,47,0)</f>
        <v>36714470.560000002</v>
      </c>
      <c r="H65" s="215">
        <f>VLOOKUP(A65,'113分行業績'!A:AV,48,0)</f>
        <v>39620000</v>
      </c>
      <c r="I65" s="177">
        <f t="shared" si="1"/>
        <v>0.92666508228167599</v>
      </c>
      <c r="J65" s="181">
        <f t="shared" si="2"/>
        <v>36714471</v>
      </c>
      <c r="K65" s="181">
        <f t="shared" si="3"/>
        <v>20319808</v>
      </c>
      <c r="L65" s="181">
        <f t="shared" si="4"/>
        <v>16394663</v>
      </c>
      <c r="O65" s="91">
        <v>169</v>
      </c>
      <c r="P65" s="88">
        <v>1690</v>
      </c>
      <c r="Q65" s="88" t="s">
        <v>85</v>
      </c>
      <c r="R65" s="85" t="s">
        <v>7</v>
      </c>
      <c r="S65" s="128">
        <f>VLOOKUP(O65,'114分行業績'!A:L,12,0)</f>
        <v>28779770</v>
      </c>
      <c r="T65" s="129">
        <f t="shared" si="5"/>
        <v>20379173.859999999</v>
      </c>
      <c r="U65" s="90">
        <f>VLOOKUP(O65,'114分行業績'!A:AU,47,0)</f>
        <v>49158943.859999999</v>
      </c>
      <c r="V65" s="215">
        <f>VLOOKUP(O65,'114分行業績'!A:AV,48,0)</f>
        <v>64610000</v>
      </c>
      <c r="W65" s="177">
        <f t="shared" si="6"/>
        <v>0.76085658350100605</v>
      </c>
      <c r="X65" s="181">
        <f t="shared" si="7"/>
        <v>49158944</v>
      </c>
      <c r="Y65" s="181">
        <f t="shared" si="8"/>
        <v>20379174</v>
      </c>
      <c r="Z65" s="181">
        <f t="shared" si="9"/>
        <v>28779770</v>
      </c>
    </row>
    <row r="66" spans="1:26">
      <c r="A66" s="91">
        <v>170</v>
      </c>
      <c r="B66" s="88">
        <v>1700</v>
      </c>
      <c r="C66" s="88" t="s">
        <v>164</v>
      </c>
      <c r="D66" s="85" t="s">
        <v>7</v>
      </c>
      <c r="E66" s="128">
        <f>VLOOKUP(A66,'113分行業績'!A:L,12,0)</f>
        <v>19349448</v>
      </c>
      <c r="F66" s="129">
        <f t="shared" si="0"/>
        <v>12445771.890000001</v>
      </c>
      <c r="G66" s="90">
        <f>VLOOKUP(A66,'113分行業績'!A:AU,47,0)</f>
        <v>31795219.890000001</v>
      </c>
      <c r="H66" s="215">
        <f>VLOOKUP(A66,'113分行業績'!A:AV,48,0)</f>
        <v>32260000</v>
      </c>
      <c r="I66" s="177">
        <f t="shared" si="1"/>
        <v>0.98559268102913822</v>
      </c>
      <c r="J66" s="181">
        <f t="shared" si="2"/>
        <v>31795220</v>
      </c>
      <c r="K66" s="181">
        <f t="shared" si="3"/>
        <v>12445772</v>
      </c>
      <c r="L66" s="181">
        <f t="shared" si="4"/>
        <v>19349448</v>
      </c>
      <c r="O66" s="91">
        <v>170</v>
      </c>
      <c r="P66" s="88">
        <v>1700</v>
      </c>
      <c r="Q66" s="88" t="s">
        <v>164</v>
      </c>
      <c r="R66" s="85" t="s">
        <v>7</v>
      </c>
      <c r="S66" s="128">
        <f>VLOOKUP(O66,'114分行業績'!A:L,12,0)</f>
        <v>34216311</v>
      </c>
      <c r="T66" s="129">
        <f t="shared" si="5"/>
        <v>11788027.460000001</v>
      </c>
      <c r="U66" s="90">
        <f>VLOOKUP(O66,'114分行業績'!A:AU,47,0)</f>
        <v>46004338.460000001</v>
      </c>
      <c r="V66" s="215">
        <f>VLOOKUP(O66,'114分行業績'!A:AV,48,0)</f>
        <v>55290000</v>
      </c>
      <c r="W66" s="177">
        <f t="shared" si="6"/>
        <v>0.8320553166937964</v>
      </c>
      <c r="X66" s="181">
        <f t="shared" si="7"/>
        <v>46004338</v>
      </c>
      <c r="Y66" s="181">
        <f t="shared" si="8"/>
        <v>11788027</v>
      </c>
      <c r="Z66" s="181">
        <f t="shared" si="9"/>
        <v>34216311</v>
      </c>
    </row>
    <row r="67" spans="1:26">
      <c r="A67" s="91">
        <v>171</v>
      </c>
      <c r="B67" s="88">
        <v>1710</v>
      </c>
      <c r="C67" s="88" t="s">
        <v>86</v>
      </c>
      <c r="D67" s="85" t="s">
        <v>7</v>
      </c>
      <c r="E67" s="128">
        <f>VLOOKUP(A67,'113分行業績'!A:L,12,0)</f>
        <v>22100295</v>
      </c>
      <c r="F67" s="129">
        <f t="shared" si="0"/>
        <v>13432210.170000002</v>
      </c>
      <c r="G67" s="90">
        <f>VLOOKUP(A67,'113分行業績'!A:AU,47,0)</f>
        <v>35532505.170000002</v>
      </c>
      <c r="H67" s="215">
        <f>VLOOKUP(A67,'113分行業績'!A:AV,48,0)</f>
        <v>30460000</v>
      </c>
      <c r="I67" s="177">
        <f t="shared" si="1"/>
        <v>1.1665300449770191</v>
      </c>
      <c r="J67" s="181">
        <f t="shared" si="2"/>
        <v>30460000</v>
      </c>
      <c r="K67" s="181">
        <f t="shared" si="3"/>
        <v>11514671</v>
      </c>
      <c r="L67" s="181">
        <f t="shared" si="4"/>
        <v>18945329</v>
      </c>
      <c r="O67" s="91">
        <v>171</v>
      </c>
      <c r="P67" s="88">
        <v>1710</v>
      </c>
      <c r="Q67" s="88" t="s">
        <v>86</v>
      </c>
      <c r="R67" s="85" t="s">
        <v>7</v>
      </c>
      <c r="S67" s="128">
        <f>VLOOKUP(O67,'114分行業績'!A:L,12,0)</f>
        <v>42125546</v>
      </c>
      <c r="T67" s="129">
        <f t="shared" si="5"/>
        <v>13135463.130000003</v>
      </c>
      <c r="U67" s="90">
        <f>VLOOKUP(O67,'114分行業績'!A:AU,47,0)</f>
        <v>55261009.130000003</v>
      </c>
      <c r="V67" s="215">
        <f>VLOOKUP(O67,'114分行業績'!A:AV,48,0)</f>
        <v>53970000</v>
      </c>
      <c r="W67" s="177">
        <f t="shared" si="6"/>
        <v>1.023920865851399</v>
      </c>
      <c r="X67" s="181">
        <f t="shared" si="7"/>
        <v>53970000</v>
      </c>
      <c r="Y67" s="181">
        <f t="shared" si="8"/>
        <v>12828592</v>
      </c>
      <c r="Z67" s="181">
        <f t="shared" si="9"/>
        <v>41141408</v>
      </c>
    </row>
    <row r="68" spans="1:26">
      <c r="A68" s="91">
        <v>172</v>
      </c>
      <c r="B68" s="88">
        <v>1720</v>
      </c>
      <c r="C68" s="88" t="s">
        <v>14</v>
      </c>
      <c r="D68" s="85" t="s">
        <v>7</v>
      </c>
      <c r="E68" s="128">
        <f>VLOOKUP(A68,'113分行業績'!A:L,12,0)</f>
        <v>5837649</v>
      </c>
      <c r="F68" s="129">
        <f t="shared" si="0"/>
        <v>12367846.989999998</v>
      </c>
      <c r="G68" s="90">
        <f>VLOOKUP(A68,'113分行業績'!A:AU,47,0)</f>
        <v>18205495.989999998</v>
      </c>
      <c r="H68" s="215">
        <f>VLOOKUP(A68,'113分行業績'!A:AV,48,0)</f>
        <v>19890000</v>
      </c>
      <c r="I68" s="177">
        <f t="shared" si="1"/>
        <v>0.91530899899446949</v>
      </c>
      <c r="J68" s="181">
        <f t="shared" si="2"/>
        <v>18205496</v>
      </c>
      <c r="K68" s="181">
        <f t="shared" si="3"/>
        <v>12367847</v>
      </c>
      <c r="L68" s="181">
        <f t="shared" si="4"/>
        <v>5837649</v>
      </c>
      <c r="O68" s="91">
        <v>172</v>
      </c>
      <c r="P68" s="88">
        <v>1720</v>
      </c>
      <c r="Q68" s="88" t="s">
        <v>14</v>
      </c>
      <c r="R68" s="85" t="s">
        <v>7</v>
      </c>
      <c r="S68" s="128">
        <f>VLOOKUP(O68,'114分行業績'!A:L,12,0)</f>
        <v>13497182</v>
      </c>
      <c r="T68" s="129">
        <f t="shared" si="5"/>
        <v>12213855.579999998</v>
      </c>
      <c r="U68" s="90">
        <f>VLOOKUP(O68,'114分行業績'!A:AU,47,0)</f>
        <v>25711037.579999998</v>
      </c>
      <c r="V68" s="215">
        <f>VLOOKUP(O68,'114分行業績'!A:AV,48,0)</f>
        <v>32300000</v>
      </c>
      <c r="W68" s="177">
        <f t="shared" si="6"/>
        <v>0.79600735541795664</v>
      </c>
      <c r="X68" s="181">
        <f t="shared" si="7"/>
        <v>25711038</v>
      </c>
      <c r="Y68" s="181">
        <f t="shared" si="8"/>
        <v>12213856</v>
      </c>
      <c r="Z68" s="181">
        <f t="shared" si="9"/>
        <v>13497182</v>
      </c>
    </row>
    <row r="69" spans="1:26">
      <c r="A69" s="91">
        <v>173</v>
      </c>
      <c r="B69" s="88">
        <v>1730</v>
      </c>
      <c r="C69" s="88" t="s">
        <v>15</v>
      </c>
      <c r="D69" s="85" t="s">
        <v>11</v>
      </c>
      <c r="E69" s="128">
        <f>VLOOKUP(A69,'113分行業績'!A:L,12,0)</f>
        <v>8438969</v>
      </c>
      <c r="F69" s="129">
        <f t="shared" si="0"/>
        <v>17221579.989999998</v>
      </c>
      <c r="G69" s="90">
        <f>VLOOKUP(A69,'113分行業績'!A:AU,47,0)</f>
        <v>25660548.989999998</v>
      </c>
      <c r="H69" s="215">
        <f>VLOOKUP(A69,'113分行業績'!A:AV,48,0)</f>
        <v>27630000</v>
      </c>
      <c r="I69" s="177">
        <f t="shared" si="1"/>
        <v>0.92872055700325729</v>
      </c>
      <c r="J69" s="181">
        <f t="shared" si="2"/>
        <v>25660549</v>
      </c>
      <c r="K69" s="181">
        <f t="shared" si="3"/>
        <v>17221580</v>
      </c>
      <c r="L69" s="181">
        <f t="shared" si="4"/>
        <v>8438969</v>
      </c>
      <c r="O69" s="91">
        <v>173</v>
      </c>
      <c r="P69" s="88">
        <v>1730</v>
      </c>
      <c r="Q69" s="88" t="s">
        <v>15</v>
      </c>
      <c r="R69" s="85" t="s">
        <v>11</v>
      </c>
      <c r="S69" s="128">
        <f>VLOOKUP(O69,'114分行業績'!A:L,12,0)</f>
        <v>14318861</v>
      </c>
      <c r="T69" s="129">
        <f t="shared" si="5"/>
        <v>14640656.649999999</v>
      </c>
      <c r="U69" s="90">
        <f>VLOOKUP(O69,'114分行業績'!A:AU,47,0)</f>
        <v>28959517.649999999</v>
      </c>
      <c r="V69" s="215">
        <f>VLOOKUP(O69,'114分行業績'!A:AV,48,0)</f>
        <v>42000000</v>
      </c>
      <c r="W69" s="177">
        <f t="shared" si="6"/>
        <v>0.68951232499999993</v>
      </c>
      <c r="X69" s="181">
        <f t="shared" si="7"/>
        <v>28959518</v>
      </c>
      <c r="Y69" s="181">
        <f t="shared" si="8"/>
        <v>14640657</v>
      </c>
      <c r="Z69" s="181">
        <f t="shared" si="9"/>
        <v>14318861</v>
      </c>
    </row>
    <row r="70" spans="1:26">
      <c r="A70" s="91">
        <v>174</v>
      </c>
      <c r="B70" s="88">
        <v>1740</v>
      </c>
      <c r="C70" s="88" t="s">
        <v>16</v>
      </c>
      <c r="D70" s="85" t="s">
        <v>7</v>
      </c>
      <c r="E70" s="128">
        <f>VLOOKUP(A70,'113分行業績'!A:L,12,0)</f>
        <v>27073027</v>
      </c>
      <c r="F70" s="129">
        <f t="shared" si="0"/>
        <v>58871996.069999993</v>
      </c>
      <c r="G70" s="90">
        <f>VLOOKUP(A70,'113分行業績'!A:AU,47,0)</f>
        <v>85945023.069999993</v>
      </c>
      <c r="H70" s="215">
        <f>VLOOKUP(A70,'113分行業績'!A:AV,48,0)</f>
        <v>51380000</v>
      </c>
      <c r="I70" s="177">
        <f t="shared" si="1"/>
        <v>1.6727330297781235</v>
      </c>
      <c r="J70" s="181">
        <f t="shared" si="2"/>
        <v>51380000</v>
      </c>
      <c r="K70" s="181">
        <f t="shared" si="3"/>
        <v>35195094</v>
      </c>
      <c r="L70" s="181">
        <f t="shared" si="4"/>
        <v>16184906</v>
      </c>
      <c r="O70" s="91">
        <v>174</v>
      </c>
      <c r="P70" s="88">
        <v>1740</v>
      </c>
      <c r="Q70" s="88" t="s">
        <v>16</v>
      </c>
      <c r="R70" s="85" t="s">
        <v>7</v>
      </c>
      <c r="S70" s="128">
        <f>VLOOKUP(O70,'114分行業績'!A:L,12,0)</f>
        <v>57628467</v>
      </c>
      <c r="T70" s="129">
        <f t="shared" si="5"/>
        <v>37246233.870000005</v>
      </c>
      <c r="U70" s="90">
        <f>VLOOKUP(O70,'114分行業績'!A:AU,47,0)</f>
        <v>94874700.870000005</v>
      </c>
      <c r="V70" s="215">
        <f>VLOOKUP(O70,'114分行業績'!A:AV,48,0)</f>
        <v>85470000</v>
      </c>
      <c r="W70" s="177">
        <f t="shared" si="6"/>
        <v>1.1100351102141102</v>
      </c>
      <c r="X70" s="181">
        <f t="shared" si="7"/>
        <v>85470000</v>
      </c>
      <c r="Y70" s="181">
        <f t="shared" si="8"/>
        <v>33554104</v>
      </c>
      <c r="Z70" s="181">
        <f t="shared" si="9"/>
        <v>51915896</v>
      </c>
    </row>
    <row r="71" spans="1:26">
      <c r="A71" s="91">
        <v>175</v>
      </c>
      <c r="B71" s="88">
        <v>1750</v>
      </c>
      <c r="C71" s="88" t="s">
        <v>165</v>
      </c>
      <c r="D71" s="85" t="s">
        <v>7</v>
      </c>
      <c r="E71" s="128">
        <f>VLOOKUP(A71,'113分行業績'!A:L,12,0)</f>
        <v>20368229</v>
      </c>
      <c r="F71" s="129">
        <f t="shared" si="0"/>
        <v>18541217.530000001</v>
      </c>
      <c r="G71" s="90">
        <f>VLOOKUP(A71,'113分行業績'!A:AU,47,0)</f>
        <v>38909446.530000001</v>
      </c>
      <c r="H71" s="215">
        <f>VLOOKUP(A71,'113分行業績'!A:AV,48,0)</f>
        <v>35060000</v>
      </c>
      <c r="I71" s="177">
        <f t="shared" si="1"/>
        <v>1.1097959649172846</v>
      </c>
      <c r="J71" s="181">
        <f t="shared" si="2"/>
        <v>35060000</v>
      </c>
      <c r="K71" s="181">
        <f t="shared" si="3"/>
        <v>16706871</v>
      </c>
      <c r="L71" s="181">
        <f t="shared" si="4"/>
        <v>18353129</v>
      </c>
      <c r="O71" s="91">
        <v>175</v>
      </c>
      <c r="P71" s="88">
        <v>1750</v>
      </c>
      <c r="Q71" s="88" t="s">
        <v>165</v>
      </c>
      <c r="R71" s="85" t="s">
        <v>7</v>
      </c>
      <c r="S71" s="128">
        <f>VLOOKUP(O71,'114分行業績'!A:L,12,0)</f>
        <v>33928497</v>
      </c>
      <c r="T71" s="129">
        <f t="shared" si="5"/>
        <v>17956707.719999999</v>
      </c>
      <c r="U71" s="90">
        <f>VLOOKUP(O71,'114分行業績'!A:AU,47,0)</f>
        <v>51885204.719999999</v>
      </c>
      <c r="V71" s="215">
        <f>VLOOKUP(O71,'114分行業績'!A:AV,48,0)</f>
        <v>61460000</v>
      </c>
      <c r="W71" s="177">
        <f t="shared" si="6"/>
        <v>0.84421094565571098</v>
      </c>
      <c r="X71" s="181">
        <f t="shared" si="7"/>
        <v>51885205</v>
      </c>
      <c r="Y71" s="181">
        <f t="shared" si="8"/>
        <v>17956708</v>
      </c>
      <c r="Z71" s="181">
        <f t="shared" si="9"/>
        <v>33928497</v>
      </c>
    </row>
    <row r="72" spans="1:26">
      <c r="A72" s="91">
        <v>176</v>
      </c>
      <c r="B72" s="88">
        <v>1760</v>
      </c>
      <c r="C72" s="88" t="s">
        <v>166</v>
      </c>
      <c r="D72" s="85" t="s">
        <v>11</v>
      </c>
      <c r="E72" s="128">
        <f>VLOOKUP(A72,'113分行業績'!A:L,12,0)</f>
        <v>11004342</v>
      </c>
      <c r="F72" s="129">
        <f t="shared" si="0"/>
        <v>10481449.93</v>
      </c>
      <c r="G72" s="90">
        <f>VLOOKUP(A72,'113分行業績'!A:AU,47,0)</f>
        <v>21485791.93</v>
      </c>
      <c r="H72" s="215">
        <f>VLOOKUP(A72,'113分行業績'!A:AV,48,0)</f>
        <v>22790000</v>
      </c>
      <c r="I72" s="177">
        <f t="shared" si="1"/>
        <v>0.94277279201404118</v>
      </c>
      <c r="J72" s="181">
        <f t="shared" si="2"/>
        <v>21485792</v>
      </c>
      <c r="K72" s="181">
        <f t="shared" si="3"/>
        <v>10481450</v>
      </c>
      <c r="L72" s="181">
        <f t="shared" si="4"/>
        <v>11004342</v>
      </c>
      <c r="O72" s="91">
        <v>176</v>
      </c>
      <c r="P72" s="88">
        <v>1760</v>
      </c>
      <c r="Q72" s="88" t="s">
        <v>166</v>
      </c>
      <c r="R72" s="85" t="s">
        <v>11</v>
      </c>
      <c r="S72" s="128">
        <f>VLOOKUP(O72,'114分行業績'!A:L,12,0)</f>
        <v>21050928</v>
      </c>
      <c r="T72" s="129">
        <f t="shared" si="5"/>
        <v>19524823.409999996</v>
      </c>
      <c r="U72" s="90">
        <f>VLOOKUP(O72,'114分行業績'!A:AU,47,0)</f>
        <v>40575751.409999996</v>
      </c>
      <c r="V72" s="215">
        <f>VLOOKUP(O72,'114分行業績'!A:AV,48,0)</f>
        <v>37830000</v>
      </c>
      <c r="W72" s="177">
        <f t="shared" si="6"/>
        <v>1.0725813219666931</v>
      </c>
      <c r="X72" s="181">
        <f t="shared" si="7"/>
        <v>37830000</v>
      </c>
      <c r="Y72" s="181">
        <f t="shared" si="8"/>
        <v>18203583</v>
      </c>
      <c r="Z72" s="181">
        <f t="shared" si="9"/>
        <v>19626417</v>
      </c>
    </row>
    <row r="73" spans="1:26">
      <c r="A73" s="91">
        <v>177</v>
      </c>
      <c r="B73" s="88">
        <v>1770</v>
      </c>
      <c r="C73" s="88" t="s">
        <v>647</v>
      </c>
      <c r="D73" s="85" t="s">
        <v>0</v>
      </c>
      <c r="E73" s="128">
        <f>VLOOKUP(A73,'113分行業績'!A:L,12,0)</f>
        <v>2907794</v>
      </c>
      <c r="F73" s="129">
        <f t="shared" ref="F73:F136" si="10">G73-E73</f>
        <v>2572112.6100000003</v>
      </c>
      <c r="G73" s="90">
        <f>VLOOKUP(A73,'113分行業績'!A:AU,47,0)</f>
        <v>5479906.6100000003</v>
      </c>
      <c r="H73" s="215">
        <f>VLOOKUP(A73,'113分行業績'!A:AV,48,0)</f>
        <v>6970000</v>
      </c>
      <c r="I73" s="177">
        <f t="shared" ref="I73:I136" si="11">IF(ISERROR(G73/H73), 0, G73/H73)</f>
        <v>0.78621328694404591</v>
      </c>
      <c r="J73" s="181">
        <f t="shared" ref="J73:J136" si="12">ROUND(MIN(G73,H73), 0)</f>
        <v>5479907</v>
      </c>
      <c r="K73" s="181">
        <f t="shared" ref="K73:K136" si="13">IF(ISERROR(ROUND(J73*(F73/G73), 0)), 0, ROUND(J73*(F73/G73), 0))</f>
        <v>2572113</v>
      </c>
      <c r="L73" s="181">
        <f t="shared" ref="L73:L136" si="14">J73-K73</f>
        <v>2907794</v>
      </c>
      <c r="O73" s="91">
        <v>177</v>
      </c>
      <c r="P73" s="88">
        <v>1770</v>
      </c>
      <c r="Q73" s="88" t="s">
        <v>647</v>
      </c>
      <c r="R73" s="85" t="s">
        <v>0</v>
      </c>
      <c r="S73" s="128">
        <f>VLOOKUP(O73,'114分行業績'!A:L,12,0)</f>
        <v>10921374</v>
      </c>
      <c r="T73" s="129">
        <f t="shared" ref="T73:T136" si="15">U73-S73</f>
        <v>5301400.1300000008</v>
      </c>
      <c r="U73" s="90">
        <f>VLOOKUP(O73,'114分行業績'!A:AU,47,0)</f>
        <v>16222774.130000001</v>
      </c>
      <c r="V73" s="215">
        <f>VLOOKUP(O73,'114分行業績'!A:AV,48,0)</f>
        <v>6640000</v>
      </c>
      <c r="W73" s="177">
        <f t="shared" ref="W73:W136" si="16">IF(ISERROR(U73/V73), 0, U73/V73)</f>
        <v>2.4431888750000001</v>
      </c>
      <c r="X73" s="181">
        <f t="shared" ref="X73:X136" si="17">ROUND(MIN(U73,V73), 0)</f>
        <v>6640000</v>
      </c>
      <c r="Y73" s="181">
        <f t="shared" ref="Y73:Y136" si="18">IF(ISERROR(ROUND(X73*(T73/U73), 0)), 0, ROUND(X73*(T73/U73), 0))</f>
        <v>2169869</v>
      </c>
      <c r="Z73" s="181">
        <f t="shared" ref="Z73:Z136" si="19">X73-Y73</f>
        <v>4470131</v>
      </c>
    </row>
    <row r="74" spans="1:26">
      <c r="A74" s="91">
        <v>178</v>
      </c>
      <c r="B74" s="88">
        <v>1780</v>
      </c>
      <c r="C74" s="88" t="s">
        <v>17</v>
      </c>
      <c r="D74" s="85" t="s">
        <v>0</v>
      </c>
      <c r="E74" s="128">
        <f>VLOOKUP(A74,'113分行業績'!A:L,12,0)</f>
        <v>15345149</v>
      </c>
      <c r="F74" s="129">
        <f t="shared" si="10"/>
        <v>25470480.850000001</v>
      </c>
      <c r="G74" s="90">
        <f>VLOOKUP(A74,'113分行業績'!A:AU,47,0)</f>
        <v>40815629.850000001</v>
      </c>
      <c r="H74" s="215">
        <f>VLOOKUP(A74,'113分行業績'!A:AV,48,0)</f>
        <v>33360000</v>
      </c>
      <c r="I74" s="177">
        <f t="shared" si="11"/>
        <v>1.2234901034172663</v>
      </c>
      <c r="J74" s="181">
        <f t="shared" si="12"/>
        <v>33360000</v>
      </c>
      <c r="K74" s="181">
        <f t="shared" si="13"/>
        <v>20817889</v>
      </c>
      <c r="L74" s="181">
        <f t="shared" si="14"/>
        <v>12542111</v>
      </c>
      <c r="O74" s="91">
        <v>178</v>
      </c>
      <c r="P74" s="88">
        <v>1780</v>
      </c>
      <c r="Q74" s="88" t="s">
        <v>17</v>
      </c>
      <c r="R74" s="85" t="s">
        <v>0</v>
      </c>
      <c r="S74" s="128">
        <f>VLOOKUP(O74,'114分行業績'!A:L,12,0)</f>
        <v>46496735</v>
      </c>
      <c r="T74" s="129">
        <f t="shared" si="15"/>
        <v>26245603</v>
      </c>
      <c r="U74" s="90">
        <f>VLOOKUP(O74,'114分行業績'!A:AU,47,0)</f>
        <v>72742338</v>
      </c>
      <c r="V74" s="215">
        <f>VLOOKUP(O74,'114分行業績'!A:AV,48,0)</f>
        <v>51560000</v>
      </c>
      <c r="W74" s="177">
        <f t="shared" si="16"/>
        <v>1.4108288983708301</v>
      </c>
      <c r="X74" s="181">
        <f t="shared" si="17"/>
        <v>51560000</v>
      </c>
      <c r="Y74" s="181">
        <f t="shared" si="18"/>
        <v>18602967</v>
      </c>
      <c r="Z74" s="181">
        <f t="shared" si="19"/>
        <v>32957033</v>
      </c>
    </row>
    <row r="75" spans="1:26">
      <c r="A75" s="91">
        <v>179</v>
      </c>
      <c r="B75" s="88">
        <v>1790</v>
      </c>
      <c r="C75" s="88" t="s">
        <v>167</v>
      </c>
      <c r="D75" s="85" t="s">
        <v>7</v>
      </c>
      <c r="E75" s="128">
        <f>VLOOKUP(A75,'113分行業績'!A:L,12,0)</f>
        <v>17101074</v>
      </c>
      <c r="F75" s="129">
        <f t="shared" si="10"/>
        <v>21576671.649999999</v>
      </c>
      <c r="G75" s="90">
        <f>VLOOKUP(A75,'113分行業績'!A:AU,47,0)</f>
        <v>38677745.649999999</v>
      </c>
      <c r="H75" s="215">
        <f>VLOOKUP(A75,'113分行業績'!A:AV,48,0)</f>
        <v>36140000</v>
      </c>
      <c r="I75" s="177">
        <f t="shared" si="11"/>
        <v>1.0702198574986164</v>
      </c>
      <c r="J75" s="181">
        <f t="shared" si="12"/>
        <v>36140000</v>
      </c>
      <c r="K75" s="181">
        <f t="shared" si="13"/>
        <v>20160971</v>
      </c>
      <c r="L75" s="181">
        <f t="shared" si="14"/>
        <v>15979029</v>
      </c>
      <c r="O75" s="91">
        <v>179</v>
      </c>
      <c r="P75" s="88">
        <v>1790</v>
      </c>
      <c r="Q75" s="88" t="s">
        <v>167</v>
      </c>
      <c r="R75" s="85" t="s">
        <v>7</v>
      </c>
      <c r="S75" s="128">
        <f>VLOOKUP(O75,'114分行業績'!A:L,12,0)</f>
        <v>27965759</v>
      </c>
      <c r="T75" s="129">
        <f t="shared" si="15"/>
        <v>18201681.960000001</v>
      </c>
      <c r="U75" s="90">
        <f>VLOOKUP(O75,'114分行業績'!A:AU,47,0)</f>
        <v>46167440.960000001</v>
      </c>
      <c r="V75" s="215">
        <f>VLOOKUP(O75,'114分行業績'!A:AV,48,0)</f>
        <v>63940000</v>
      </c>
      <c r="W75" s="177">
        <f t="shared" si="16"/>
        <v>0.72204318048170157</v>
      </c>
      <c r="X75" s="181">
        <f t="shared" si="17"/>
        <v>46167441</v>
      </c>
      <c r="Y75" s="181">
        <f t="shared" si="18"/>
        <v>18201682</v>
      </c>
      <c r="Z75" s="181">
        <f t="shared" si="19"/>
        <v>27965759</v>
      </c>
    </row>
    <row r="76" spans="1:26">
      <c r="A76" s="91">
        <v>180</v>
      </c>
      <c r="B76" s="88">
        <v>1800</v>
      </c>
      <c r="C76" s="88" t="s">
        <v>168</v>
      </c>
      <c r="D76" s="85" t="s">
        <v>7</v>
      </c>
      <c r="E76" s="128">
        <f>VLOOKUP(A76,'113分行業績'!A:L,12,0)</f>
        <v>14638426</v>
      </c>
      <c r="F76" s="129">
        <f t="shared" si="10"/>
        <v>15852408.23</v>
      </c>
      <c r="G76" s="90">
        <f>VLOOKUP(A76,'113分行業績'!A:AU,47,0)</f>
        <v>30490834.23</v>
      </c>
      <c r="H76" s="215">
        <f>VLOOKUP(A76,'113分行業績'!A:AV,48,0)</f>
        <v>39580000</v>
      </c>
      <c r="I76" s="177">
        <f t="shared" si="11"/>
        <v>0.77035963188479029</v>
      </c>
      <c r="J76" s="181">
        <f t="shared" si="12"/>
        <v>30490834</v>
      </c>
      <c r="K76" s="181">
        <f t="shared" si="13"/>
        <v>15852408</v>
      </c>
      <c r="L76" s="181">
        <f t="shared" si="14"/>
        <v>14638426</v>
      </c>
      <c r="O76" s="91">
        <v>180</v>
      </c>
      <c r="P76" s="88">
        <v>1800</v>
      </c>
      <c r="Q76" s="88" t="s">
        <v>168</v>
      </c>
      <c r="R76" s="85" t="s">
        <v>7</v>
      </c>
      <c r="S76" s="128">
        <f>VLOOKUP(O76,'114分行業績'!A:L,12,0)</f>
        <v>50484316</v>
      </c>
      <c r="T76" s="129">
        <f t="shared" si="15"/>
        <v>20137292.150000006</v>
      </c>
      <c r="U76" s="90">
        <f>VLOOKUP(O76,'114分行業績'!A:AU,47,0)</f>
        <v>70621608.150000006</v>
      </c>
      <c r="V76" s="215">
        <f>VLOOKUP(O76,'114分行業績'!A:AV,48,0)</f>
        <v>65270000</v>
      </c>
      <c r="W76" s="177">
        <f t="shared" si="16"/>
        <v>1.081991851539758</v>
      </c>
      <c r="X76" s="181">
        <f t="shared" si="17"/>
        <v>65270000</v>
      </c>
      <c r="Y76" s="181">
        <f t="shared" si="18"/>
        <v>18611316</v>
      </c>
      <c r="Z76" s="181">
        <f t="shared" si="19"/>
        <v>46658684</v>
      </c>
    </row>
    <row r="77" spans="1:26">
      <c r="A77" s="91">
        <v>182</v>
      </c>
      <c r="B77" s="88">
        <v>1820</v>
      </c>
      <c r="C77" s="88" t="s">
        <v>169</v>
      </c>
      <c r="D77" s="85" t="s">
        <v>7</v>
      </c>
      <c r="E77" s="128">
        <f>VLOOKUP(A77,'113分行業績'!A:L,12,0)</f>
        <v>9560942</v>
      </c>
      <c r="F77" s="129">
        <f t="shared" si="10"/>
        <v>9002135.4499999993</v>
      </c>
      <c r="G77" s="90">
        <f>VLOOKUP(A77,'113分行業績'!A:AU,47,0)</f>
        <v>18563077.449999999</v>
      </c>
      <c r="H77" s="215">
        <f>VLOOKUP(A77,'113分行業績'!A:AV,48,0)</f>
        <v>23310000</v>
      </c>
      <c r="I77" s="177">
        <f t="shared" si="11"/>
        <v>0.79635681896181898</v>
      </c>
      <c r="J77" s="181">
        <f t="shared" si="12"/>
        <v>18563077</v>
      </c>
      <c r="K77" s="181">
        <f t="shared" si="13"/>
        <v>9002135</v>
      </c>
      <c r="L77" s="181">
        <f t="shared" si="14"/>
        <v>9560942</v>
      </c>
      <c r="O77" s="91">
        <v>182</v>
      </c>
      <c r="P77" s="88">
        <v>1820</v>
      </c>
      <c r="Q77" s="88" t="s">
        <v>169</v>
      </c>
      <c r="R77" s="85" t="s">
        <v>7</v>
      </c>
      <c r="S77" s="128">
        <f>VLOOKUP(O77,'114分行業績'!A:L,12,0)</f>
        <v>16256332</v>
      </c>
      <c r="T77" s="129">
        <f t="shared" si="15"/>
        <v>8135303.1600000001</v>
      </c>
      <c r="U77" s="90">
        <f>VLOOKUP(O77,'114分行業績'!A:AU,47,0)</f>
        <v>24391635.16</v>
      </c>
      <c r="V77" s="215">
        <f>VLOOKUP(O77,'114分行業績'!A:AV,48,0)</f>
        <v>35960000</v>
      </c>
      <c r="W77" s="177">
        <f t="shared" si="16"/>
        <v>0.67829908676307005</v>
      </c>
      <c r="X77" s="181">
        <f t="shared" si="17"/>
        <v>24391635</v>
      </c>
      <c r="Y77" s="181">
        <f t="shared" si="18"/>
        <v>8135303</v>
      </c>
      <c r="Z77" s="181">
        <f t="shared" si="19"/>
        <v>16256332</v>
      </c>
    </row>
    <row r="78" spans="1:26">
      <c r="A78" s="91">
        <v>183</v>
      </c>
      <c r="B78" s="88">
        <v>1830</v>
      </c>
      <c r="C78" s="88" t="s">
        <v>18</v>
      </c>
      <c r="D78" s="85" t="s">
        <v>7</v>
      </c>
      <c r="E78" s="128">
        <f>VLOOKUP(A78,'113分行業績'!A:L,12,0)</f>
        <v>10376980</v>
      </c>
      <c r="F78" s="129">
        <f t="shared" si="10"/>
        <v>8666975.6000000015</v>
      </c>
      <c r="G78" s="90">
        <f>VLOOKUP(A78,'113分行業績'!A:AU,47,0)</f>
        <v>19043955.600000001</v>
      </c>
      <c r="H78" s="215">
        <f>VLOOKUP(A78,'113分行業績'!A:AV,48,0)</f>
        <v>24000000</v>
      </c>
      <c r="I78" s="177">
        <f t="shared" si="11"/>
        <v>0.79349815000000001</v>
      </c>
      <c r="J78" s="181">
        <f t="shared" si="12"/>
        <v>19043956</v>
      </c>
      <c r="K78" s="181">
        <f t="shared" si="13"/>
        <v>8666976</v>
      </c>
      <c r="L78" s="181">
        <f t="shared" si="14"/>
        <v>10376980</v>
      </c>
      <c r="O78" s="91">
        <v>183</v>
      </c>
      <c r="P78" s="88">
        <v>1830</v>
      </c>
      <c r="Q78" s="88" t="s">
        <v>18</v>
      </c>
      <c r="R78" s="85" t="s">
        <v>7</v>
      </c>
      <c r="S78" s="128">
        <f>VLOOKUP(O78,'114分行業績'!A:L,12,0)</f>
        <v>16574637</v>
      </c>
      <c r="T78" s="129">
        <f t="shared" si="15"/>
        <v>9320803.9299999997</v>
      </c>
      <c r="U78" s="90">
        <f>VLOOKUP(O78,'114分行業績'!A:AU,47,0)</f>
        <v>25895440.93</v>
      </c>
      <c r="V78" s="215">
        <f>VLOOKUP(O78,'114分行業績'!A:AV,48,0)</f>
        <v>33000000</v>
      </c>
      <c r="W78" s="177">
        <f t="shared" si="16"/>
        <v>0.78471033121212119</v>
      </c>
      <c r="X78" s="181">
        <f t="shared" si="17"/>
        <v>25895441</v>
      </c>
      <c r="Y78" s="181">
        <f t="shared" si="18"/>
        <v>9320804</v>
      </c>
      <c r="Z78" s="181">
        <f t="shared" si="19"/>
        <v>16574637</v>
      </c>
    </row>
    <row r="79" spans="1:26">
      <c r="A79" s="91">
        <v>184</v>
      </c>
      <c r="B79" s="88">
        <v>1840</v>
      </c>
      <c r="C79" s="88" t="s">
        <v>19</v>
      </c>
      <c r="D79" s="85" t="s">
        <v>7</v>
      </c>
      <c r="E79" s="128">
        <f>VLOOKUP(A79,'113分行業績'!A:L,12,0)</f>
        <v>21456917</v>
      </c>
      <c r="F79" s="129">
        <f t="shared" si="10"/>
        <v>18611949.229999997</v>
      </c>
      <c r="G79" s="90">
        <f>VLOOKUP(A79,'113分行業績'!A:AU,47,0)</f>
        <v>40068866.229999997</v>
      </c>
      <c r="H79" s="215">
        <f>VLOOKUP(A79,'113分行業績'!A:AV,48,0)</f>
        <v>26960000</v>
      </c>
      <c r="I79" s="177">
        <f t="shared" si="11"/>
        <v>1.4862339106083085</v>
      </c>
      <c r="J79" s="181">
        <f t="shared" si="12"/>
        <v>26960000</v>
      </c>
      <c r="K79" s="181">
        <f t="shared" si="13"/>
        <v>12522894</v>
      </c>
      <c r="L79" s="181">
        <f t="shared" si="14"/>
        <v>14437106</v>
      </c>
      <c r="O79" s="91">
        <v>184</v>
      </c>
      <c r="P79" s="88">
        <v>1840</v>
      </c>
      <c r="Q79" s="88" t="s">
        <v>19</v>
      </c>
      <c r="R79" s="85" t="s">
        <v>7</v>
      </c>
      <c r="S79" s="128">
        <f>VLOOKUP(O79,'114分行業績'!A:L,12,0)</f>
        <v>34506782</v>
      </c>
      <c r="T79" s="129">
        <f t="shared" si="15"/>
        <v>16498623.600000001</v>
      </c>
      <c r="U79" s="90">
        <f>VLOOKUP(O79,'114分行業績'!A:AU,47,0)</f>
        <v>51005405.600000001</v>
      </c>
      <c r="V79" s="215">
        <f>VLOOKUP(O79,'114分行業績'!A:AV,48,0)</f>
        <v>46260000</v>
      </c>
      <c r="W79" s="177">
        <f t="shared" si="16"/>
        <v>1.1025811846087332</v>
      </c>
      <c r="X79" s="181">
        <f t="shared" si="17"/>
        <v>46260000</v>
      </c>
      <c r="Y79" s="181">
        <f t="shared" si="18"/>
        <v>14963636</v>
      </c>
      <c r="Z79" s="181">
        <f t="shared" si="19"/>
        <v>31296364</v>
      </c>
    </row>
    <row r="80" spans="1:26">
      <c r="A80" s="91">
        <v>185</v>
      </c>
      <c r="B80" s="88">
        <v>1850</v>
      </c>
      <c r="C80" s="88" t="s">
        <v>170</v>
      </c>
      <c r="D80" s="85" t="s">
        <v>7</v>
      </c>
      <c r="E80" s="128">
        <f>VLOOKUP(A80,'113分行業績'!A:L,12,0)</f>
        <v>21166605</v>
      </c>
      <c r="F80" s="129">
        <f t="shared" si="10"/>
        <v>23868496.409999996</v>
      </c>
      <c r="G80" s="90">
        <f>VLOOKUP(A80,'113分行業績'!A:AU,47,0)</f>
        <v>45035101.409999996</v>
      </c>
      <c r="H80" s="215">
        <f>VLOOKUP(A80,'113分行業績'!A:AV,48,0)</f>
        <v>41550000</v>
      </c>
      <c r="I80" s="177">
        <f t="shared" si="11"/>
        <v>1.0838772902527074</v>
      </c>
      <c r="J80" s="181">
        <f t="shared" si="12"/>
        <v>41550000</v>
      </c>
      <c r="K80" s="181">
        <f t="shared" si="13"/>
        <v>22021401</v>
      </c>
      <c r="L80" s="181">
        <f t="shared" si="14"/>
        <v>19528599</v>
      </c>
      <c r="O80" s="91">
        <v>185</v>
      </c>
      <c r="P80" s="88">
        <v>1850</v>
      </c>
      <c r="Q80" s="88" t="s">
        <v>170</v>
      </c>
      <c r="R80" s="85" t="s">
        <v>7</v>
      </c>
      <c r="S80" s="128">
        <f>VLOOKUP(O80,'114分行業績'!A:L,12,0)</f>
        <v>50363517</v>
      </c>
      <c r="T80" s="129">
        <f t="shared" si="15"/>
        <v>21062826.489999995</v>
      </c>
      <c r="U80" s="90">
        <f>VLOOKUP(O80,'114分行業績'!A:AU,47,0)</f>
        <v>71426343.489999995</v>
      </c>
      <c r="V80" s="215">
        <f>VLOOKUP(O80,'114分行業績'!A:AV,48,0)</f>
        <v>69790000</v>
      </c>
      <c r="W80" s="177">
        <f t="shared" si="16"/>
        <v>1.0234466755982232</v>
      </c>
      <c r="X80" s="181">
        <f t="shared" si="17"/>
        <v>69790000</v>
      </c>
      <c r="Y80" s="181">
        <f t="shared" si="18"/>
        <v>20580287</v>
      </c>
      <c r="Z80" s="181">
        <f t="shared" si="19"/>
        <v>49209713</v>
      </c>
    </row>
    <row r="81" spans="1:26">
      <c r="A81" s="91">
        <v>186</v>
      </c>
      <c r="B81" s="88">
        <v>1860</v>
      </c>
      <c r="C81" s="88" t="s">
        <v>87</v>
      </c>
      <c r="D81" s="85" t="s">
        <v>11</v>
      </c>
      <c r="E81" s="128">
        <f>VLOOKUP(A81,'113分行業績'!A:L,12,0)</f>
        <v>16013234</v>
      </c>
      <c r="F81" s="129">
        <f t="shared" si="10"/>
        <v>11240821.23</v>
      </c>
      <c r="G81" s="90">
        <f>VLOOKUP(A81,'113分行業績'!A:AU,47,0)</f>
        <v>27254055.23</v>
      </c>
      <c r="H81" s="215">
        <f>VLOOKUP(A81,'113分行業績'!A:AV,48,0)</f>
        <v>27180000</v>
      </c>
      <c r="I81" s="177">
        <f t="shared" si="11"/>
        <v>1.0027246221486388</v>
      </c>
      <c r="J81" s="181">
        <f t="shared" si="12"/>
        <v>27180000</v>
      </c>
      <c r="K81" s="181">
        <f t="shared" si="13"/>
        <v>11210277</v>
      </c>
      <c r="L81" s="181">
        <f t="shared" si="14"/>
        <v>15969723</v>
      </c>
      <c r="O81" s="91">
        <v>186</v>
      </c>
      <c r="P81" s="88">
        <v>1860</v>
      </c>
      <c r="Q81" s="88" t="s">
        <v>87</v>
      </c>
      <c r="R81" s="85" t="s">
        <v>11</v>
      </c>
      <c r="S81" s="128">
        <f>VLOOKUP(O81,'114分行業績'!A:L,12,0)</f>
        <v>25454938</v>
      </c>
      <c r="T81" s="129">
        <f t="shared" si="15"/>
        <v>11666813.200000003</v>
      </c>
      <c r="U81" s="90">
        <f>VLOOKUP(O81,'114分行業績'!A:AU,47,0)</f>
        <v>37121751.200000003</v>
      </c>
      <c r="V81" s="215">
        <f>VLOOKUP(O81,'114分行業績'!A:AV,48,0)</f>
        <v>43910000</v>
      </c>
      <c r="W81" s="177">
        <f t="shared" si="16"/>
        <v>0.84540540195855163</v>
      </c>
      <c r="X81" s="181">
        <f t="shared" si="17"/>
        <v>37121751</v>
      </c>
      <c r="Y81" s="181">
        <f t="shared" si="18"/>
        <v>11666813</v>
      </c>
      <c r="Z81" s="181">
        <f t="shared" si="19"/>
        <v>25454938</v>
      </c>
    </row>
    <row r="82" spans="1:26">
      <c r="A82" s="91">
        <v>187</v>
      </c>
      <c r="B82" s="88">
        <v>1870</v>
      </c>
      <c r="C82" s="88" t="s">
        <v>171</v>
      </c>
      <c r="D82" s="85" t="s">
        <v>7</v>
      </c>
      <c r="E82" s="128">
        <f>VLOOKUP(A82,'113分行業績'!A:L,12,0)</f>
        <v>8070424</v>
      </c>
      <c r="F82" s="129">
        <f t="shared" si="10"/>
        <v>23891980.390000001</v>
      </c>
      <c r="G82" s="90">
        <f>VLOOKUP(A82,'113分行業績'!A:AU,47,0)</f>
        <v>31962404.390000001</v>
      </c>
      <c r="H82" s="215">
        <f>VLOOKUP(A82,'113分行業績'!A:AV,48,0)</f>
        <v>27550000</v>
      </c>
      <c r="I82" s="177">
        <f t="shared" si="11"/>
        <v>1.1601598689655173</v>
      </c>
      <c r="J82" s="181">
        <f t="shared" si="12"/>
        <v>27550000</v>
      </c>
      <c r="K82" s="181">
        <f t="shared" si="13"/>
        <v>20593697</v>
      </c>
      <c r="L82" s="181">
        <f t="shared" si="14"/>
        <v>6956303</v>
      </c>
      <c r="O82" s="91">
        <v>187</v>
      </c>
      <c r="P82" s="88">
        <v>1870</v>
      </c>
      <c r="Q82" s="88" t="s">
        <v>171</v>
      </c>
      <c r="R82" s="85" t="s">
        <v>7</v>
      </c>
      <c r="S82" s="128">
        <f>VLOOKUP(O82,'114分行業績'!A:L,12,0)</f>
        <v>22369244</v>
      </c>
      <c r="T82" s="129">
        <f t="shared" si="15"/>
        <v>32621720.530000001</v>
      </c>
      <c r="U82" s="90">
        <f>VLOOKUP(O82,'114分行業績'!A:AU,47,0)</f>
        <v>54990964.530000001</v>
      </c>
      <c r="V82" s="215">
        <f>VLOOKUP(O82,'114分行業績'!A:AV,48,0)</f>
        <v>47980000</v>
      </c>
      <c r="W82" s="177">
        <f t="shared" si="16"/>
        <v>1.1461226454772822</v>
      </c>
      <c r="X82" s="181">
        <f t="shared" si="17"/>
        <v>47980000</v>
      </c>
      <c r="Y82" s="181">
        <f t="shared" si="18"/>
        <v>28462679</v>
      </c>
      <c r="Z82" s="181">
        <f t="shared" si="19"/>
        <v>19517321</v>
      </c>
    </row>
    <row r="83" spans="1:26">
      <c r="A83" s="91">
        <v>189</v>
      </c>
      <c r="B83" s="88">
        <v>1890</v>
      </c>
      <c r="C83" s="88" t="s">
        <v>172</v>
      </c>
      <c r="D83" s="85" t="s">
        <v>0</v>
      </c>
      <c r="E83" s="128">
        <f>VLOOKUP(A83,'113分行業績'!A:L,12,0)</f>
        <v>17815045</v>
      </c>
      <c r="F83" s="129">
        <f t="shared" si="10"/>
        <v>39763488.880000003</v>
      </c>
      <c r="G83" s="90">
        <f>VLOOKUP(A83,'113分行業績'!A:AU,47,0)</f>
        <v>57578533.880000003</v>
      </c>
      <c r="H83" s="215">
        <f>VLOOKUP(A83,'113分行業績'!A:AV,48,0)</f>
        <v>37770000</v>
      </c>
      <c r="I83" s="177">
        <f t="shared" si="11"/>
        <v>1.5244515191951284</v>
      </c>
      <c r="J83" s="181">
        <f t="shared" si="12"/>
        <v>37770000</v>
      </c>
      <c r="K83" s="181">
        <f t="shared" si="13"/>
        <v>26083800</v>
      </c>
      <c r="L83" s="181">
        <f t="shared" si="14"/>
        <v>11686200</v>
      </c>
      <c r="O83" s="91">
        <v>189</v>
      </c>
      <c r="P83" s="88">
        <v>1890</v>
      </c>
      <c r="Q83" s="88" t="s">
        <v>172</v>
      </c>
      <c r="R83" s="85" t="s">
        <v>0</v>
      </c>
      <c r="S83" s="128">
        <f>VLOOKUP(O83,'114分行業績'!A:L,12,0)</f>
        <v>33959918</v>
      </c>
      <c r="T83" s="129">
        <f t="shared" si="15"/>
        <v>37155773.900000006</v>
      </c>
      <c r="U83" s="90">
        <f>VLOOKUP(O83,'114分行業績'!A:AU,47,0)</f>
        <v>71115691.900000006</v>
      </c>
      <c r="V83" s="215">
        <f>VLOOKUP(O83,'114分行業績'!A:AV,48,0)</f>
        <v>62440000</v>
      </c>
      <c r="W83" s="177">
        <f t="shared" si="16"/>
        <v>1.1389444570787957</v>
      </c>
      <c r="X83" s="181">
        <f t="shared" si="17"/>
        <v>62440000</v>
      </c>
      <c r="Y83" s="181">
        <f t="shared" si="18"/>
        <v>32622990</v>
      </c>
      <c r="Z83" s="181">
        <f t="shared" si="19"/>
        <v>29817010</v>
      </c>
    </row>
    <row r="84" spans="1:26">
      <c r="A84" s="91">
        <v>190</v>
      </c>
      <c r="B84" s="88">
        <v>1900</v>
      </c>
      <c r="C84" s="88" t="s">
        <v>173</v>
      </c>
      <c r="D84" s="85" t="s">
        <v>7</v>
      </c>
      <c r="E84" s="128">
        <f>VLOOKUP(A84,'113分行業績'!A:L,12,0)</f>
        <v>12417148</v>
      </c>
      <c r="F84" s="129">
        <f t="shared" si="10"/>
        <v>17437909.920000002</v>
      </c>
      <c r="G84" s="90">
        <f>VLOOKUP(A84,'113分行業績'!A:AU,47,0)</f>
        <v>29855057.920000002</v>
      </c>
      <c r="H84" s="215">
        <f>VLOOKUP(A84,'113分行業績'!A:AV,48,0)</f>
        <v>31530000</v>
      </c>
      <c r="I84" s="177">
        <f t="shared" si="11"/>
        <v>0.94687782810022203</v>
      </c>
      <c r="J84" s="181">
        <f t="shared" si="12"/>
        <v>29855058</v>
      </c>
      <c r="K84" s="181">
        <f t="shared" si="13"/>
        <v>17437910</v>
      </c>
      <c r="L84" s="181">
        <f t="shared" si="14"/>
        <v>12417148</v>
      </c>
      <c r="O84" s="91">
        <v>190</v>
      </c>
      <c r="P84" s="88">
        <v>1900</v>
      </c>
      <c r="Q84" s="88" t="s">
        <v>173</v>
      </c>
      <c r="R84" s="85" t="s">
        <v>7</v>
      </c>
      <c r="S84" s="128">
        <f>VLOOKUP(O84,'114分行業績'!A:L,12,0)</f>
        <v>23034946</v>
      </c>
      <c r="T84" s="129">
        <f t="shared" si="15"/>
        <v>25231759.68</v>
      </c>
      <c r="U84" s="90">
        <f>VLOOKUP(O84,'114分行業績'!A:AU,47,0)</f>
        <v>48266705.68</v>
      </c>
      <c r="V84" s="215">
        <f>VLOOKUP(O84,'114分行業績'!A:AV,48,0)</f>
        <v>53120000</v>
      </c>
      <c r="W84" s="177">
        <f t="shared" si="16"/>
        <v>0.90863527259036148</v>
      </c>
      <c r="X84" s="181">
        <f t="shared" si="17"/>
        <v>48266706</v>
      </c>
      <c r="Y84" s="181">
        <f t="shared" si="18"/>
        <v>25231760</v>
      </c>
      <c r="Z84" s="181">
        <f t="shared" si="19"/>
        <v>23034946</v>
      </c>
    </row>
    <row r="85" spans="1:26">
      <c r="A85" s="91">
        <v>191</v>
      </c>
      <c r="B85" s="88">
        <v>1910</v>
      </c>
      <c r="C85" s="88" t="s">
        <v>20</v>
      </c>
      <c r="D85" s="85" t="s">
        <v>11</v>
      </c>
      <c r="E85" s="128">
        <f>VLOOKUP(A85,'113分行業績'!A:L,12,0)</f>
        <v>25229314</v>
      </c>
      <c r="F85" s="129">
        <f t="shared" si="10"/>
        <v>32036813.57</v>
      </c>
      <c r="G85" s="90">
        <f>VLOOKUP(A85,'113分行業績'!A:AU,47,0)</f>
        <v>57266127.57</v>
      </c>
      <c r="H85" s="215">
        <f>VLOOKUP(A85,'113分行業績'!A:AV,48,0)</f>
        <v>40460000</v>
      </c>
      <c r="I85" s="177">
        <f t="shared" si="11"/>
        <v>1.4153763610973802</v>
      </c>
      <c r="J85" s="181">
        <f t="shared" si="12"/>
        <v>40460000</v>
      </c>
      <c r="K85" s="181">
        <f t="shared" si="13"/>
        <v>22634837</v>
      </c>
      <c r="L85" s="181">
        <f t="shared" si="14"/>
        <v>17825163</v>
      </c>
      <c r="O85" s="91">
        <v>191</v>
      </c>
      <c r="P85" s="88">
        <v>1910</v>
      </c>
      <c r="Q85" s="88" t="s">
        <v>20</v>
      </c>
      <c r="R85" s="85" t="s">
        <v>11</v>
      </c>
      <c r="S85" s="128">
        <f>VLOOKUP(O85,'114分行業績'!A:L,12,0)</f>
        <v>36203938</v>
      </c>
      <c r="T85" s="129">
        <f t="shared" si="15"/>
        <v>29809162.539999999</v>
      </c>
      <c r="U85" s="90">
        <f>VLOOKUP(O85,'114分行業績'!A:AU,47,0)</f>
        <v>66013100.539999999</v>
      </c>
      <c r="V85" s="215">
        <f>VLOOKUP(O85,'114分行業績'!A:AV,48,0)</f>
        <v>67630000</v>
      </c>
      <c r="W85" s="177">
        <f t="shared" si="16"/>
        <v>0.97609197900340083</v>
      </c>
      <c r="X85" s="181">
        <f t="shared" si="17"/>
        <v>66013101</v>
      </c>
      <c r="Y85" s="181">
        <f t="shared" si="18"/>
        <v>29809163</v>
      </c>
      <c r="Z85" s="181">
        <f t="shared" si="19"/>
        <v>36203938</v>
      </c>
    </row>
    <row r="86" spans="1:26">
      <c r="A86" s="91">
        <v>192</v>
      </c>
      <c r="B86" s="88">
        <v>1920</v>
      </c>
      <c r="C86" s="88" t="s">
        <v>174</v>
      </c>
      <c r="D86" s="85" t="s">
        <v>7</v>
      </c>
      <c r="E86" s="128">
        <f>VLOOKUP(A86,'113分行業績'!A:L,12,0)</f>
        <v>20101670</v>
      </c>
      <c r="F86" s="129">
        <f t="shared" si="10"/>
        <v>17478461.729999997</v>
      </c>
      <c r="G86" s="90">
        <f>VLOOKUP(A86,'113分行業績'!A:AU,47,0)</f>
        <v>37580131.729999997</v>
      </c>
      <c r="H86" s="215">
        <f>VLOOKUP(A86,'113分行業績'!A:AV,48,0)</f>
        <v>39320000</v>
      </c>
      <c r="I86" s="177">
        <f t="shared" si="11"/>
        <v>0.9557510612919633</v>
      </c>
      <c r="J86" s="181">
        <f t="shared" si="12"/>
        <v>37580132</v>
      </c>
      <c r="K86" s="181">
        <f t="shared" si="13"/>
        <v>17478462</v>
      </c>
      <c r="L86" s="181">
        <f t="shared" si="14"/>
        <v>20101670</v>
      </c>
      <c r="O86" s="91">
        <v>192</v>
      </c>
      <c r="P86" s="88">
        <v>1920</v>
      </c>
      <c r="Q86" s="88" t="s">
        <v>174</v>
      </c>
      <c r="R86" s="85" t="s">
        <v>7</v>
      </c>
      <c r="S86" s="128">
        <f>VLOOKUP(O86,'114分行業績'!A:L,12,0)</f>
        <v>40452589</v>
      </c>
      <c r="T86" s="129">
        <f t="shared" si="15"/>
        <v>15965516.25</v>
      </c>
      <c r="U86" s="90">
        <f>VLOOKUP(O86,'114分行業績'!A:AU,47,0)</f>
        <v>56418105.25</v>
      </c>
      <c r="V86" s="215">
        <f>VLOOKUP(O86,'114分行業績'!A:AV,48,0)</f>
        <v>66730000</v>
      </c>
      <c r="W86" s="177">
        <f t="shared" si="16"/>
        <v>0.8454683837854039</v>
      </c>
      <c r="X86" s="181">
        <f t="shared" si="17"/>
        <v>56418105</v>
      </c>
      <c r="Y86" s="181">
        <f t="shared" si="18"/>
        <v>15965516</v>
      </c>
      <c r="Z86" s="181">
        <f t="shared" si="19"/>
        <v>40452589</v>
      </c>
    </row>
    <row r="87" spans="1:26">
      <c r="A87" s="91">
        <v>193</v>
      </c>
      <c r="B87" s="88">
        <v>1930</v>
      </c>
      <c r="C87" s="88" t="s">
        <v>21</v>
      </c>
      <c r="D87" s="85" t="s">
        <v>11</v>
      </c>
      <c r="E87" s="128">
        <f>VLOOKUP(A87,'113分行業績'!A:L,12,0)</f>
        <v>9179268</v>
      </c>
      <c r="F87" s="129">
        <f t="shared" si="10"/>
        <v>18809801.870000001</v>
      </c>
      <c r="G87" s="90">
        <f>VLOOKUP(A87,'113分行業績'!A:AU,47,0)</f>
        <v>27989069.870000001</v>
      </c>
      <c r="H87" s="215">
        <f>VLOOKUP(A87,'113分行業績'!A:AV,48,0)</f>
        <v>33260000</v>
      </c>
      <c r="I87" s="177">
        <f t="shared" si="11"/>
        <v>0.84152344768490683</v>
      </c>
      <c r="J87" s="181">
        <f t="shared" si="12"/>
        <v>27989070</v>
      </c>
      <c r="K87" s="181">
        <f t="shared" si="13"/>
        <v>18809802</v>
      </c>
      <c r="L87" s="181">
        <f t="shared" si="14"/>
        <v>9179268</v>
      </c>
      <c r="O87" s="91">
        <v>193</v>
      </c>
      <c r="P87" s="88">
        <v>1930</v>
      </c>
      <c r="Q87" s="88" t="s">
        <v>21</v>
      </c>
      <c r="R87" s="85" t="s">
        <v>11</v>
      </c>
      <c r="S87" s="128">
        <f>VLOOKUP(O87,'114分行業績'!A:L,12,0)</f>
        <v>27077105</v>
      </c>
      <c r="T87" s="129">
        <f t="shared" si="15"/>
        <v>14630656.869999997</v>
      </c>
      <c r="U87" s="90">
        <f>VLOOKUP(O87,'114分行業績'!A:AU,47,0)</f>
        <v>41707761.869999997</v>
      </c>
      <c r="V87" s="215">
        <f>VLOOKUP(O87,'114分行業績'!A:AV,48,0)</f>
        <v>47780000</v>
      </c>
      <c r="W87" s="177">
        <f t="shared" si="16"/>
        <v>0.87291255483465879</v>
      </c>
      <c r="X87" s="181">
        <f t="shared" si="17"/>
        <v>41707762</v>
      </c>
      <c r="Y87" s="181">
        <f t="shared" si="18"/>
        <v>14630657</v>
      </c>
      <c r="Z87" s="181">
        <f t="shared" si="19"/>
        <v>27077105</v>
      </c>
    </row>
    <row r="88" spans="1:26">
      <c r="A88" s="91">
        <v>194</v>
      </c>
      <c r="B88" s="88">
        <v>1940</v>
      </c>
      <c r="C88" s="88" t="s">
        <v>175</v>
      </c>
      <c r="D88" s="85" t="s">
        <v>11</v>
      </c>
      <c r="E88" s="128">
        <f>VLOOKUP(A88,'113分行業績'!A:L,12,0)</f>
        <v>8362319</v>
      </c>
      <c r="F88" s="129">
        <f t="shared" si="10"/>
        <v>10936030.800000001</v>
      </c>
      <c r="G88" s="90">
        <f>VLOOKUP(A88,'113分行業績'!A:AU,47,0)</f>
        <v>19298349.800000001</v>
      </c>
      <c r="H88" s="215">
        <f>VLOOKUP(A88,'113分行業績'!A:AV,48,0)</f>
        <v>30360000</v>
      </c>
      <c r="I88" s="177">
        <f t="shared" si="11"/>
        <v>0.63565052042160741</v>
      </c>
      <c r="J88" s="181">
        <f t="shared" si="12"/>
        <v>19298350</v>
      </c>
      <c r="K88" s="181">
        <f t="shared" si="13"/>
        <v>10936031</v>
      </c>
      <c r="L88" s="181">
        <f t="shared" si="14"/>
        <v>8362319</v>
      </c>
      <c r="O88" s="91">
        <v>194</v>
      </c>
      <c r="P88" s="88">
        <v>1940</v>
      </c>
      <c r="Q88" s="88" t="s">
        <v>175</v>
      </c>
      <c r="R88" s="85" t="s">
        <v>11</v>
      </c>
      <c r="S88" s="128">
        <f>VLOOKUP(O88,'114分行業績'!A:L,12,0)</f>
        <v>21699685</v>
      </c>
      <c r="T88" s="129">
        <f t="shared" si="15"/>
        <v>10000007</v>
      </c>
      <c r="U88" s="90">
        <f>VLOOKUP(O88,'114分行業績'!A:AU,47,0)</f>
        <v>31699692</v>
      </c>
      <c r="V88" s="215">
        <f>VLOOKUP(O88,'114分行業績'!A:AV,48,0)</f>
        <v>41800000</v>
      </c>
      <c r="W88" s="177">
        <f t="shared" si="16"/>
        <v>0.75836583732057417</v>
      </c>
      <c r="X88" s="181">
        <f t="shared" si="17"/>
        <v>31699692</v>
      </c>
      <c r="Y88" s="181">
        <f t="shared" si="18"/>
        <v>10000007</v>
      </c>
      <c r="Z88" s="181">
        <f t="shared" si="19"/>
        <v>21699685</v>
      </c>
    </row>
    <row r="89" spans="1:26">
      <c r="A89" s="91">
        <v>195</v>
      </c>
      <c r="B89" s="88">
        <v>1950</v>
      </c>
      <c r="C89" s="88" t="s">
        <v>22</v>
      </c>
      <c r="D89" s="85" t="s">
        <v>7</v>
      </c>
      <c r="E89" s="128">
        <f>VLOOKUP(A89,'113分行業績'!A:L,12,0)</f>
        <v>8682675</v>
      </c>
      <c r="F89" s="129">
        <f t="shared" si="10"/>
        <v>13277414.640000001</v>
      </c>
      <c r="G89" s="90">
        <f>VLOOKUP(A89,'113分行業績'!A:AU,47,0)</f>
        <v>21960089.640000001</v>
      </c>
      <c r="H89" s="215">
        <f>VLOOKUP(A89,'113分行業績'!A:AV,48,0)</f>
        <v>24090000</v>
      </c>
      <c r="I89" s="177">
        <f t="shared" si="11"/>
        <v>0.91158529016189294</v>
      </c>
      <c r="J89" s="181">
        <f t="shared" si="12"/>
        <v>21960090</v>
      </c>
      <c r="K89" s="181">
        <f t="shared" si="13"/>
        <v>13277415</v>
      </c>
      <c r="L89" s="181">
        <f t="shared" si="14"/>
        <v>8682675</v>
      </c>
      <c r="O89" s="91">
        <v>195</v>
      </c>
      <c r="P89" s="88">
        <v>1950</v>
      </c>
      <c r="Q89" s="88" t="s">
        <v>22</v>
      </c>
      <c r="R89" s="85" t="s">
        <v>7</v>
      </c>
      <c r="S89" s="128">
        <f>VLOOKUP(O89,'114分行業績'!A:L,12,0)</f>
        <v>18117805</v>
      </c>
      <c r="T89" s="129">
        <f t="shared" si="15"/>
        <v>15431881.719999999</v>
      </c>
      <c r="U89" s="90">
        <f>VLOOKUP(O89,'114分行業績'!A:AU,47,0)</f>
        <v>33549686.719999999</v>
      </c>
      <c r="V89" s="215">
        <f>VLOOKUP(O89,'114分行業績'!A:AV,48,0)</f>
        <v>40850000</v>
      </c>
      <c r="W89" s="177">
        <f t="shared" si="16"/>
        <v>0.82128976058751524</v>
      </c>
      <c r="X89" s="181">
        <f t="shared" si="17"/>
        <v>33549687</v>
      </c>
      <c r="Y89" s="181">
        <f t="shared" si="18"/>
        <v>15431882</v>
      </c>
      <c r="Z89" s="181">
        <f t="shared" si="19"/>
        <v>18117805</v>
      </c>
    </row>
    <row r="90" spans="1:26">
      <c r="A90" s="91">
        <v>196</v>
      </c>
      <c r="B90" s="88">
        <v>1960</v>
      </c>
      <c r="C90" s="88" t="s">
        <v>88</v>
      </c>
      <c r="D90" s="85" t="s">
        <v>11</v>
      </c>
      <c r="E90" s="128">
        <f>VLOOKUP(A90,'113分行業績'!A:L,12,0)</f>
        <v>10547023</v>
      </c>
      <c r="F90" s="129">
        <f t="shared" si="10"/>
        <v>14233586.870000001</v>
      </c>
      <c r="G90" s="90">
        <f>VLOOKUP(A90,'113分行業績'!A:AU,47,0)</f>
        <v>24780609.870000001</v>
      </c>
      <c r="H90" s="215">
        <f>VLOOKUP(A90,'113分行業績'!A:AV,48,0)</f>
        <v>29300000</v>
      </c>
      <c r="I90" s="177">
        <f t="shared" si="11"/>
        <v>0.84575460307167238</v>
      </c>
      <c r="J90" s="181">
        <f t="shared" si="12"/>
        <v>24780610</v>
      </c>
      <c r="K90" s="181">
        <f t="shared" si="13"/>
        <v>14233587</v>
      </c>
      <c r="L90" s="181">
        <f t="shared" si="14"/>
        <v>10547023</v>
      </c>
      <c r="O90" s="91">
        <v>196</v>
      </c>
      <c r="P90" s="88">
        <v>1960</v>
      </c>
      <c r="Q90" s="88" t="s">
        <v>88</v>
      </c>
      <c r="R90" s="85" t="s">
        <v>11</v>
      </c>
      <c r="S90" s="128">
        <f>VLOOKUP(O90,'114分行業績'!A:L,12,0)</f>
        <v>17586813</v>
      </c>
      <c r="T90" s="129">
        <f t="shared" si="15"/>
        <v>12353172.280000001</v>
      </c>
      <c r="U90" s="90">
        <f>VLOOKUP(O90,'114分行業績'!A:AU,47,0)</f>
        <v>29939985.280000001</v>
      </c>
      <c r="V90" s="215">
        <f>VLOOKUP(O90,'114分行業績'!A:AV,48,0)</f>
        <v>44400000</v>
      </c>
      <c r="W90" s="177">
        <f t="shared" si="16"/>
        <v>0.67432399279279287</v>
      </c>
      <c r="X90" s="181">
        <f t="shared" si="17"/>
        <v>29939985</v>
      </c>
      <c r="Y90" s="181">
        <f t="shared" si="18"/>
        <v>12353172</v>
      </c>
      <c r="Z90" s="181">
        <f t="shared" si="19"/>
        <v>17586813</v>
      </c>
    </row>
    <row r="91" spans="1:26">
      <c r="A91" s="91">
        <v>197</v>
      </c>
      <c r="B91" s="88">
        <v>1970</v>
      </c>
      <c r="C91" s="88" t="s">
        <v>23</v>
      </c>
      <c r="D91" s="85" t="s">
        <v>11</v>
      </c>
      <c r="E91" s="128">
        <f>VLOOKUP(A91,'113分行業績'!A:L,12,0)</f>
        <v>11295115</v>
      </c>
      <c r="F91" s="129">
        <f t="shared" si="10"/>
        <v>11070973.390000001</v>
      </c>
      <c r="G91" s="90">
        <f>VLOOKUP(A91,'113分行業績'!A:AU,47,0)</f>
        <v>22366088.390000001</v>
      </c>
      <c r="H91" s="215">
        <f>VLOOKUP(A91,'113分行業績'!A:AV,48,0)</f>
        <v>13010000</v>
      </c>
      <c r="I91" s="177">
        <f t="shared" si="11"/>
        <v>1.7191459177555726</v>
      </c>
      <c r="J91" s="181">
        <f t="shared" si="12"/>
        <v>13010000</v>
      </c>
      <c r="K91" s="181">
        <f t="shared" si="13"/>
        <v>6439810</v>
      </c>
      <c r="L91" s="181">
        <f t="shared" si="14"/>
        <v>6570190</v>
      </c>
      <c r="O91" s="91">
        <v>197</v>
      </c>
      <c r="P91" s="88">
        <v>1970</v>
      </c>
      <c r="Q91" s="88" t="s">
        <v>23</v>
      </c>
      <c r="R91" s="85" t="s">
        <v>11</v>
      </c>
      <c r="S91" s="128">
        <f>VLOOKUP(O91,'114分行業績'!A:L,12,0)</f>
        <v>16961442</v>
      </c>
      <c r="T91" s="129">
        <f t="shared" si="15"/>
        <v>8464359.9699999988</v>
      </c>
      <c r="U91" s="90">
        <f>VLOOKUP(O91,'114分行業績'!A:AU,47,0)</f>
        <v>25425801.969999999</v>
      </c>
      <c r="V91" s="215">
        <f>VLOOKUP(O91,'114分行業績'!A:AV,48,0)</f>
        <v>25170000</v>
      </c>
      <c r="W91" s="177">
        <f t="shared" si="16"/>
        <v>1.0101629705999204</v>
      </c>
      <c r="X91" s="181">
        <f t="shared" si="17"/>
        <v>25170000</v>
      </c>
      <c r="Y91" s="181">
        <f t="shared" si="18"/>
        <v>8379202</v>
      </c>
      <c r="Z91" s="181">
        <f t="shared" si="19"/>
        <v>16790798</v>
      </c>
    </row>
    <row r="92" spans="1:26">
      <c r="A92" s="91">
        <v>198</v>
      </c>
      <c r="B92" s="88">
        <v>1980</v>
      </c>
      <c r="C92" s="88" t="s">
        <v>176</v>
      </c>
      <c r="D92" s="85" t="s">
        <v>11</v>
      </c>
      <c r="E92" s="128">
        <f>VLOOKUP(A92,'113分行業績'!A:L,12,0)</f>
        <v>7592103</v>
      </c>
      <c r="F92" s="129">
        <f t="shared" si="10"/>
        <v>8190013.8699999992</v>
      </c>
      <c r="G92" s="90">
        <f>VLOOKUP(A92,'113分行業績'!A:AU,47,0)</f>
        <v>15782116.869999999</v>
      </c>
      <c r="H92" s="215">
        <f>VLOOKUP(A92,'113分行業績'!A:AV,48,0)</f>
        <v>14230000</v>
      </c>
      <c r="I92" s="177">
        <f t="shared" si="11"/>
        <v>1.1090735678144763</v>
      </c>
      <c r="J92" s="181">
        <f t="shared" si="12"/>
        <v>14230000</v>
      </c>
      <c r="K92" s="181">
        <f t="shared" si="13"/>
        <v>7384554</v>
      </c>
      <c r="L92" s="181">
        <f t="shared" si="14"/>
        <v>6845446</v>
      </c>
      <c r="O92" s="91">
        <v>198</v>
      </c>
      <c r="P92" s="88">
        <v>1980</v>
      </c>
      <c r="Q92" s="88" t="s">
        <v>176</v>
      </c>
      <c r="R92" s="85" t="s">
        <v>11</v>
      </c>
      <c r="S92" s="128">
        <f>VLOOKUP(O92,'114分行業績'!A:L,12,0)</f>
        <v>10686979</v>
      </c>
      <c r="T92" s="129">
        <f t="shared" si="15"/>
        <v>9394830.0700000003</v>
      </c>
      <c r="U92" s="90">
        <f>VLOOKUP(O92,'114分行業績'!A:AU,47,0)</f>
        <v>20081809.07</v>
      </c>
      <c r="V92" s="215">
        <f>VLOOKUP(O92,'114分行業績'!A:AV,48,0)</f>
        <v>26080000</v>
      </c>
      <c r="W92" s="177">
        <f t="shared" si="16"/>
        <v>0.7700080164877301</v>
      </c>
      <c r="X92" s="181">
        <f t="shared" si="17"/>
        <v>20081809</v>
      </c>
      <c r="Y92" s="181">
        <f t="shared" si="18"/>
        <v>9394830</v>
      </c>
      <c r="Z92" s="181">
        <f t="shared" si="19"/>
        <v>10686979</v>
      </c>
    </row>
    <row r="93" spans="1:26" ht="22.5">
      <c r="A93" s="91">
        <v>199</v>
      </c>
      <c r="B93" s="88">
        <v>1990</v>
      </c>
      <c r="C93" s="88" t="s">
        <v>24</v>
      </c>
      <c r="D93" s="85" t="s">
        <v>11</v>
      </c>
      <c r="E93" s="128">
        <f>VLOOKUP(A93,'113分行業績'!A:L,12,0)</f>
        <v>7167594</v>
      </c>
      <c r="F93" s="129">
        <f t="shared" si="10"/>
        <v>14887904.059999999</v>
      </c>
      <c r="G93" s="90">
        <f>VLOOKUP(A93,'113分行業績'!A:AU,47,0)</f>
        <v>22055498.059999999</v>
      </c>
      <c r="H93" s="215">
        <f>VLOOKUP(A93,'113分行業績'!A:AV,48,0)</f>
        <v>18740000</v>
      </c>
      <c r="I93" s="177">
        <f t="shared" si="11"/>
        <v>1.1769209210245464</v>
      </c>
      <c r="J93" s="181">
        <f t="shared" si="12"/>
        <v>18740000</v>
      </c>
      <c r="K93" s="181">
        <f t="shared" si="13"/>
        <v>12649876</v>
      </c>
      <c r="L93" s="181">
        <f t="shared" si="14"/>
        <v>6090124</v>
      </c>
      <c r="O93" s="91">
        <v>199</v>
      </c>
      <c r="P93" s="88">
        <v>1990</v>
      </c>
      <c r="Q93" s="88" t="s">
        <v>24</v>
      </c>
      <c r="R93" s="85" t="s">
        <v>11</v>
      </c>
      <c r="S93" s="128">
        <f>VLOOKUP(O93,'114分行業績'!A:L,12,0)</f>
        <v>22458575</v>
      </c>
      <c r="T93" s="129">
        <f t="shared" si="15"/>
        <v>14961648.18</v>
      </c>
      <c r="U93" s="90">
        <f>VLOOKUP(O93,'114分行業績'!A:AU,47,0)</f>
        <v>37420223.18</v>
      </c>
      <c r="V93" s="215">
        <f>VLOOKUP(O93,'114分行業績'!A:AV,48,0)</f>
        <v>34740000</v>
      </c>
      <c r="W93" s="177">
        <f t="shared" si="16"/>
        <v>1.0771509263097294</v>
      </c>
      <c r="X93" s="181">
        <f t="shared" si="17"/>
        <v>34740000</v>
      </c>
      <c r="Y93" s="181">
        <f t="shared" si="18"/>
        <v>13890020</v>
      </c>
      <c r="Z93" s="181">
        <f t="shared" si="19"/>
        <v>20849980</v>
      </c>
    </row>
    <row r="94" spans="1:26">
      <c r="A94" s="91">
        <v>200</v>
      </c>
      <c r="B94" s="88">
        <v>2000</v>
      </c>
      <c r="C94" s="88" t="s">
        <v>89</v>
      </c>
      <c r="D94" s="85" t="s">
        <v>7</v>
      </c>
      <c r="E94" s="128">
        <f>VLOOKUP(A94,'113分行業績'!A:L,12,0)</f>
        <v>13962806</v>
      </c>
      <c r="F94" s="129">
        <f t="shared" si="10"/>
        <v>9830428.5700000003</v>
      </c>
      <c r="G94" s="90">
        <f>VLOOKUP(A94,'113分行業績'!A:AU,47,0)</f>
        <v>23793234.57</v>
      </c>
      <c r="H94" s="215">
        <f>VLOOKUP(A94,'113分行業績'!A:AV,48,0)</f>
        <v>23800000</v>
      </c>
      <c r="I94" s="177">
        <f t="shared" si="11"/>
        <v>0.99971573823529414</v>
      </c>
      <c r="J94" s="181">
        <f t="shared" si="12"/>
        <v>23793235</v>
      </c>
      <c r="K94" s="181">
        <f t="shared" si="13"/>
        <v>9830429</v>
      </c>
      <c r="L94" s="181">
        <f t="shared" si="14"/>
        <v>13962806</v>
      </c>
      <c r="O94" s="91">
        <v>200</v>
      </c>
      <c r="P94" s="88">
        <v>2000</v>
      </c>
      <c r="Q94" s="88" t="s">
        <v>89</v>
      </c>
      <c r="R94" s="85" t="s">
        <v>7</v>
      </c>
      <c r="S94" s="128">
        <f>VLOOKUP(O94,'114分行業績'!A:L,12,0)</f>
        <v>18555075</v>
      </c>
      <c r="T94" s="129">
        <f t="shared" si="15"/>
        <v>8708903.6999999993</v>
      </c>
      <c r="U94" s="90">
        <f>VLOOKUP(O94,'114分行業績'!A:AU,47,0)</f>
        <v>27263978.699999999</v>
      </c>
      <c r="V94" s="215">
        <f>VLOOKUP(O94,'114分行業績'!A:AV,48,0)</f>
        <v>37980000</v>
      </c>
      <c r="W94" s="177">
        <f t="shared" si="16"/>
        <v>0.71785093996840443</v>
      </c>
      <c r="X94" s="181">
        <f t="shared" si="17"/>
        <v>27263979</v>
      </c>
      <c r="Y94" s="181">
        <f t="shared" si="18"/>
        <v>8708904</v>
      </c>
      <c r="Z94" s="181">
        <f t="shared" si="19"/>
        <v>18555075</v>
      </c>
    </row>
    <row r="95" spans="1:26" ht="22.5">
      <c r="A95" s="91">
        <v>201</v>
      </c>
      <c r="B95" s="88">
        <v>2010</v>
      </c>
      <c r="C95" s="88" t="s">
        <v>90</v>
      </c>
      <c r="D95" s="85" t="s">
        <v>7</v>
      </c>
      <c r="E95" s="128">
        <f>VLOOKUP(A95,'113分行業績'!A:L,12,0)</f>
        <v>19093614</v>
      </c>
      <c r="F95" s="129">
        <f t="shared" si="10"/>
        <v>10054618.93</v>
      </c>
      <c r="G95" s="90">
        <f>VLOOKUP(A95,'113分行業績'!A:AU,47,0)</f>
        <v>29148232.93</v>
      </c>
      <c r="H95" s="215">
        <f>VLOOKUP(A95,'113分行業績'!A:AV,48,0)</f>
        <v>26580000</v>
      </c>
      <c r="I95" s="177">
        <f t="shared" si="11"/>
        <v>1.0966227588412341</v>
      </c>
      <c r="J95" s="181">
        <f t="shared" si="12"/>
        <v>26580000</v>
      </c>
      <c r="K95" s="181">
        <f t="shared" si="13"/>
        <v>9168713</v>
      </c>
      <c r="L95" s="181">
        <f t="shared" si="14"/>
        <v>17411287</v>
      </c>
      <c r="O95" s="91">
        <v>201</v>
      </c>
      <c r="P95" s="88">
        <v>2010</v>
      </c>
      <c r="Q95" s="88" t="s">
        <v>90</v>
      </c>
      <c r="R95" s="85" t="s">
        <v>7</v>
      </c>
      <c r="S95" s="128">
        <f>VLOOKUP(O95,'114分行業績'!A:L,12,0)</f>
        <v>27178522</v>
      </c>
      <c r="T95" s="129">
        <f t="shared" si="15"/>
        <v>11148383.189999998</v>
      </c>
      <c r="U95" s="90">
        <f>VLOOKUP(O95,'114分行業績'!A:AU,47,0)</f>
        <v>38326905.189999998</v>
      </c>
      <c r="V95" s="215">
        <f>VLOOKUP(O95,'114分行業績'!A:AV,48,0)</f>
        <v>44670000</v>
      </c>
      <c r="W95" s="177">
        <f t="shared" si="16"/>
        <v>0.85800101164092224</v>
      </c>
      <c r="X95" s="181">
        <f t="shared" si="17"/>
        <v>38326905</v>
      </c>
      <c r="Y95" s="181">
        <f t="shared" si="18"/>
        <v>11148383</v>
      </c>
      <c r="Z95" s="181">
        <f t="shared" si="19"/>
        <v>27178522</v>
      </c>
    </row>
    <row r="96" spans="1:26">
      <c r="A96" s="91">
        <v>211</v>
      </c>
      <c r="B96" s="88">
        <v>2110</v>
      </c>
      <c r="C96" s="88" t="s">
        <v>25</v>
      </c>
      <c r="D96" s="85" t="s">
        <v>7</v>
      </c>
      <c r="E96" s="128">
        <f>VLOOKUP(A96,'113分行業績'!A:L,12,0)</f>
        <v>18365946</v>
      </c>
      <c r="F96" s="129">
        <f t="shared" si="10"/>
        <v>18833318.18</v>
      </c>
      <c r="G96" s="90">
        <f>VLOOKUP(A96,'113分行業績'!A:AU,47,0)</f>
        <v>37199264.18</v>
      </c>
      <c r="H96" s="215">
        <f>VLOOKUP(A96,'113分行業績'!A:AV,48,0)</f>
        <v>23200000</v>
      </c>
      <c r="I96" s="177">
        <f t="shared" si="11"/>
        <v>1.6034165594827585</v>
      </c>
      <c r="J96" s="181">
        <f t="shared" si="12"/>
        <v>23200000</v>
      </c>
      <c r="K96" s="181">
        <f t="shared" si="13"/>
        <v>11745743</v>
      </c>
      <c r="L96" s="181">
        <f t="shared" si="14"/>
        <v>11454257</v>
      </c>
      <c r="O96" s="91">
        <v>211</v>
      </c>
      <c r="P96" s="88">
        <v>2110</v>
      </c>
      <c r="Q96" s="88" t="s">
        <v>25</v>
      </c>
      <c r="R96" s="85" t="s">
        <v>7</v>
      </c>
      <c r="S96" s="128">
        <f>VLOOKUP(O96,'114分行業績'!A:L,12,0)</f>
        <v>32243729</v>
      </c>
      <c r="T96" s="129">
        <f t="shared" si="15"/>
        <v>16708677.590000004</v>
      </c>
      <c r="U96" s="90">
        <f>VLOOKUP(O96,'114分行業績'!A:AU,47,0)</f>
        <v>48952406.590000004</v>
      </c>
      <c r="V96" s="215">
        <f>VLOOKUP(O96,'114分行業績'!A:AV,48,0)</f>
        <v>43630000</v>
      </c>
      <c r="W96" s="177">
        <f t="shared" si="16"/>
        <v>1.1219896078386433</v>
      </c>
      <c r="X96" s="181">
        <f t="shared" si="17"/>
        <v>43630000</v>
      </c>
      <c r="Y96" s="181">
        <f t="shared" si="18"/>
        <v>14892007</v>
      </c>
      <c r="Z96" s="181">
        <f t="shared" si="19"/>
        <v>28737993</v>
      </c>
    </row>
    <row r="97" spans="1:26">
      <c r="A97" s="91">
        <v>220</v>
      </c>
      <c r="B97" s="88">
        <v>2200</v>
      </c>
      <c r="C97" s="88" t="s">
        <v>26</v>
      </c>
      <c r="D97" s="85" t="s">
        <v>7</v>
      </c>
      <c r="E97" s="128">
        <f>VLOOKUP(A97,'113分行業績'!A:L,12,0)</f>
        <v>13482128</v>
      </c>
      <c r="F97" s="129">
        <f t="shared" si="10"/>
        <v>8886474.9699999988</v>
      </c>
      <c r="G97" s="90">
        <f>VLOOKUP(A97,'113分行業績'!A:AU,47,0)</f>
        <v>22368602.969999999</v>
      </c>
      <c r="H97" s="215">
        <f>VLOOKUP(A97,'113分行業績'!A:AV,48,0)</f>
        <v>21930000</v>
      </c>
      <c r="I97" s="177">
        <f t="shared" si="11"/>
        <v>1.0200001354309165</v>
      </c>
      <c r="J97" s="181">
        <f t="shared" si="12"/>
        <v>21930000</v>
      </c>
      <c r="K97" s="181">
        <f t="shared" si="13"/>
        <v>8712229</v>
      </c>
      <c r="L97" s="181">
        <f t="shared" si="14"/>
        <v>13217771</v>
      </c>
      <c r="O97" s="91">
        <v>220</v>
      </c>
      <c r="P97" s="88">
        <v>2200</v>
      </c>
      <c r="Q97" s="88" t="s">
        <v>26</v>
      </c>
      <c r="R97" s="85" t="s">
        <v>7</v>
      </c>
      <c r="S97" s="128">
        <f>VLOOKUP(O97,'114分行業績'!A:L,12,0)</f>
        <v>24074826</v>
      </c>
      <c r="T97" s="129">
        <f t="shared" si="15"/>
        <v>6740931.2300000004</v>
      </c>
      <c r="U97" s="90">
        <f>VLOOKUP(O97,'114分行業績'!A:AU,47,0)</f>
        <v>30815757.23</v>
      </c>
      <c r="V97" s="215">
        <f>VLOOKUP(O97,'114分行業績'!A:AV,48,0)</f>
        <v>36640000</v>
      </c>
      <c r="W97" s="177">
        <f t="shared" si="16"/>
        <v>0.84104140911572056</v>
      </c>
      <c r="X97" s="181">
        <f t="shared" si="17"/>
        <v>30815757</v>
      </c>
      <c r="Y97" s="181">
        <f t="shared" si="18"/>
        <v>6740931</v>
      </c>
      <c r="Z97" s="181">
        <f t="shared" si="19"/>
        <v>24074826</v>
      </c>
    </row>
    <row r="98" spans="1:26">
      <c r="A98" s="91">
        <v>221</v>
      </c>
      <c r="B98" s="88">
        <v>2210</v>
      </c>
      <c r="C98" s="88" t="s">
        <v>27</v>
      </c>
      <c r="D98" s="85" t="s">
        <v>7</v>
      </c>
      <c r="E98" s="128">
        <f>VLOOKUP(A98,'113分行業績'!A:L,12,0)</f>
        <v>16437709</v>
      </c>
      <c r="F98" s="129">
        <f t="shared" si="10"/>
        <v>11780839.600000001</v>
      </c>
      <c r="G98" s="90">
        <f>VLOOKUP(A98,'113分行業績'!A:AU,47,0)</f>
        <v>28218548.600000001</v>
      </c>
      <c r="H98" s="215">
        <f>VLOOKUP(A98,'113分行業績'!A:AV,48,0)</f>
        <v>22190000</v>
      </c>
      <c r="I98" s="177">
        <f t="shared" si="11"/>
        <v>1.2716786210004507</v>
      </c>
      <c r="J98" s="181">
        <f t="shared" si="12"/>
        <v>22190000</v>
      </c>
      <c r="K98" s="181">
        <f t="shared" si="13"/>
        <v>9264007</v>
      </c>
      <c r="L98" s="181">
        <f t="shared" si="14"/>
        <v>12925993</v>
      </c>
      <c r="O98" s="91">
        <v>221</v>
      </c>
      <c r="P98" s="88">
        <v>2210</v>
      </c>
      <c r="Q98" s="88" t="s">
        <v>27</v>
      </c>
      <c r="R98" s="85" t="s">
        <v>7</v>
      </c>
      <c r="S98" s="128">
        <f>VLOOKUP(O98,'114分行業績'!A:L,12,0)</f>
        <v>23317511</v>
      </c>
      <c r="T98" s="129">
        <f t="shared" si="15"/>
        <v>10872784.539999999</v>
      </c>
      <c r="U98" s="90">
        <f>VLOOKUP(O98,'114分行業績'!A:AU,47,0)</f>
        <v>34190295.539999999</v>
      </c>
      <c r="V98" s="215">
        <f>VLOOKUP(O98,'114分行業績'!A:AV,48,0)</f>
        <v>38480000</v>
      </c>
      <c r="W98" s="177">
        <f t="shared" si="16"/>
        <v>0.88852119386694384</v>
      </c>
      <c r="X98" s="181">
        <f t="shared" si="17"/>
        <v>34190296</v>
      </c>
      <c r="Y98" s="181">
        <f t="shared" si="18"/>
        <v>10872785</v>
      </c>
      <c r="Z98" s="181">
        <f t="shared" si="19"/>
        <v>23317511</v>
      </c>
    </row>
    <row r="99" spans="1:26">
      <c r="A99" s="91">
        <v>240</v>
      </c>
      <c r="B99" s="88">
        <v>2400</v>
      </c>
      <c r="C99" s="88" t="s">
        <v>177</v>
      </c>
      <c r="D99" s="85" t="s">
        <v>11</v>
      </c>
      <c r="E99" s="128">
        <f>VLOOKUP(A99,'113分行業績'!A:L,12,0)</f>
        <v>24425207</v>
      </c>
      <c r="F99" s="129">
        <f t="shared" si="10"/>
        <v>20563442.079999998</v>
      </c>
      <c r="G99" s="90">
        <f>VLOOKUP(A99,'113分行業績'!A:AU,47,0)</f>
        <v>44988649.079999998</v>
      </c>
      <c r="H99" s="215">
        <f>VLOOKUP(A99,'113分行業績'!A:AV,48,0)</f>
        <v>45920000</v>
      </c>
      <c r="I99" s="177">
        <f t="shared" si="11"/>
        <v>0.97971796777003484</v>
      </c>
      <c r="J99" s="181">
        <f t="shared" si="12"/>
        <v>44988649</v>
      </c>
      <c r="K99" s="181">
        <f t="shared" si="13"/>
        <v>20563442</v>
      </c>
      <c r="L99" s="181">
        <f t="shared" si="14"/>
        <v>24425207</v>
      </c>
      <c r="O99" s="91">
        <v>240</v>
      </c>
      <c r="P99" s="88">
        <v>2400</v>
      </c>
      <c r="Q99" s="88" t="s">
        <v>177</v>
      </c>
      <c r="R99" s="85" t="s">
        <v>11</v>
      </c>
      <c r="S99" s="128">
        <f>VLOOKUP(O99,'114分行業績'!A:L,12,0)</f>
        <v>51839756</v>
      </c>
      <c r="T99" s="129">
        <f t="shared" si="15"/>
        <v>26600428.25</v>
      </c>
      <c r="U99" s="90">
        <f>VLOOKUP(O99,'114分行業績'!A:AU,47,0)</f>
        <v>78440184.25</v>
      </c>
      <c r="V99" s="215">
        <f>VLOOKUP(O99,'114分行業績'!A:AV,48,0)</f>
        <v>76040000</v>
      </c>
      <c r="W99" s="177">
        <f t="shared" si="16"/>
        <v>1.0315647586796424</v>
      </c>
      <c r="X99" s="181">
        <f t="shared" si="17"/>
        <v>76040000</v>
      </c>
      <c r="Y99" s="181">
        <f t="shared" si="18"/>
        <v>25786484</v>
      </c>
      <c r="Z99" s="181">
        <f t="shared" si="19"/>
        <v>50253516</v>
      </c>
    </row>
    <row r="100" spans="1:26">
      <c r="A100" s="91">
        <v>241</v>
      </c>
      <c r="B100" s="88">
        <v>2410</v>
      </c>
      <c r="C100" s="88" t="s">
        <v>91</v>
      </c>
      <c r="D100" s="85" t="s">
        <v>11</v>
      </c>
      <c r="E100" s="128">
        <f>VLOOKUP(A100,'113分行業績'!A:L,12,0)</f>
        <v>26560287</v>
      </c>
      <c r="F100" s="129">
        <f t="shared" si="10"/>
        <v>30874678.600000001</v>
      </c>
      <c r="G100" s="90">
        <f>VLOOKUP(A100,'113分行業績'!A:AU,47,0)</f>
        <v>57434965.600000001</v>
      </c>
      <c r="H100" s="215">
        <f>VLOOKUP(A100,'113分行業績'!A:AV,48,0)</f>
        <v>49360000</v>
      </c>
      <c r="I100" s="177">
        <f t="shared" si="11"/>
        <v>1.1635933063209076</v>
      </c>
      <c r="J100" s="181">
        <f t="shared" si="12"/>
        <v>49360000</v>
      </c>
      <c r="K100" s="181">
        <f t="shared" si="13"/>
        <v>26533909</v>
      </c>
      <c r="L100" s="181">
        <f t="shared" si="14"/>
        <v>22826091</v>
      </c>
      <c r="O100" s="91">
        <v>241</v>
      </c>
      <c r="P100" s="88">
        <v>2410</v>
      </c>
      <c r="Q100" s="88" t="s">
        <v>91</v>
      </c>
      <c r="R100" s="85" t="s">
        <v>11</v>
      </c>
      <c r="S100" s="128">
        <f>VLOOKUP(O100,'114分行業績'!A:L,12,0)</f>
        <v>43873161</v>
      </c>
      <c r="T100" s="129">
        <f t="shared" si="15"/>
        <v>19762819</v>
      </c>
      <c r="U100" s="90">
        <f>VLOOKUP(O100,'114分行業績'!A:AU,47,0)</f>
        <v>63635980</v>
      </c>
      <c r="V100" s="215">
        <f>VLOOKUP(O100,'114分行業績'!A:AV,48,0)</f>
        <v>82580000</v>
      </c>
      <c r="W100" s="177">
        <f t="shared" si="16"/>
        <v>0.77059796560910632</v>
      </c>
      <c r="X100" s="181">
        <f t="shared" si="17"/>
        <v>63635980</v>
      </c>
      <c r="Y100" s="181">
        <f t="shared" si="18"/>
        <v>19762819</v>
      </c>
      <c r="Z100" s="181">
        <f t="shared" si="19"/>
        <v>43873161</v>
      </c>
    </row>
    <row r="101" spans="1:26">
      <c r="A101" s="91">
        <v>242</v>
      </c>
      <c r="B101" s="88">
        <v>2420</v>
      </c>
      <c r="C101" s="88" t="s">
        <v>28</v>
      </c>
      <c r="D101" s="85" t="s">
        <v>11</v>
      </c>
      <c r="E101" s="128">
        <f>VLOOKUP(A101,'113分行業績'!A:L,12,0)</f>
        <v>16891712</v>
      </c>
      <c r="F101" s="129">
        <f t="shared" si="10"/>
        <v>23670014.359999999</v>
      </c>
      <c r="G101" s="90">
        <f>VLOOKUP(A101,'113分行業績'!A:AU,47,0)</f>
        <v>40561726.359999999</v>
      </c>
      <c r="H101" s="215">
        <f>VLOOKUP(A101,'113分行業績'!A:AV,48,0)</f>
        <v>46870000</v>
      </c>
      <c r="I101" s="177">
        <f t="shared" si="11"/>
        <v>0.86540913932152763</v>
      </c>
      <c r="J101" s="181">
        <f t="shared" si="12"/>
        <v>40561726</v>
      </c>
      <c r="K101" s="181">
        <f t="shared" si="13"/>
        <v>23670014</v>
      </c>
      <c r="L101" s="181">
        <f t="shared" si="14"/>
        <v>16891712</v>
      </c>
      <c r="O101" s="91">
        <v>242</v>
      </c>
      <c r="P101" s="88">
        <v>2420</v>
      </c>
      <c r="Q101" s="88" t="s">
        <v>28</v>
      </c>
      <c r="R101" s="85" t="s">
        <v>11</v>
      </c>
      <c r="S101" s="128">
        <f>VLOOKUP(O101,'114分行業績'!A:L,12,0)</f>
        <v>40567856</v>
      </c>
      <c r="T101" s="129">
        <f t="shared" si="15"/>
        <v>25266785.189999998</v>
      </c>
      <c r="U101" s="90">
        <f>VLOOKUP(O101,'114分行業績'!A:AU,47,0)</f>
        <v>65834641.189999998</v>
      </c>
      <c r="V101" s="215">
        <f>VLOOKUP(O101,'114分行業績'!A:AV,48,0)</f>
        <v>78240000</v>
      </c>
      <c r="W101" s="177">
        <f t="shared" si="16"/>
        <v>0.84144480048568504</v>
      </c>
      <c r="X101" s="181">
        <f t="shared" si="17"/>
        <v>65834641</v>
      </c>
      <c r="Y101" s="181">
        <f t="shared" si="18"/>
        <v>25266785</v>
      </c>
      <c r="Z101" s="181">
        <f t="shared" si="19"/>
        <v>40567856</v>
      </c>
    </row>
    <row r="102" spans="1:26">
      <c r="A102" s="91">
        <v>243</v>
      </c>
      <c r="B102" s="88">
        <v>2430</v>
      </c>
      <c r="C102" s="88" t="s">
        <v>92</v>
      </c>
      <c r="D102" s="85" t="s">
        <v>11</v>
      </c>
      <c r="E102" s="128">
        <f>VLOOKUP(A102,'113分行業績'!A:L,12,0)</f>
        <v>16380586</v>
      </c>
      <c r="F102" s="129">
        <f t="shared" si="10"/>
        <v>21496728.990000002</v>
      </c>
      <c r="G102" s="90">
        <f>VLOOKUP(A102,'113分行業績'!A:AU,47,0)</f>
        <v>37877314.990000002</v>
      </c>
      <c r="H102" s="215">
        <f>VLOOKUP(A102,'113分行業績'!A:AV,48,0)</f>
        <v>35570000</v>
      </c>
      <c r="I102" s="177">
        <f t="shared" si="11"/>
        <v>1.0648668819229687</v>
      </c>
      <c r="J102" s="181">
        <f t="shared" si="12"/>
        <v>35570000</v>
      </c>
      <c r="K102" s="181">
        <f t="shared" si="13"/>
        <v>20187245</v>
      </c>
      <c r="L102" s="181">
        <f t="shared" si="14"/>
        <v>15382755</v>
      </c>
      <c r="O102" s="91">
        <v>243</v>
      </c>
      <c r="P102" s="88">
        <v>2430</v>
      </c>
      <c r="Q102" s="88" t="s">
        <v>92</v>
      </c>
      <c r="R102" s="85" t="s">
        <v>11</v>
      </c>
      <c r="S102" s="128">
        <f>VLOOKUP(O102,'114分行業績'!A:L,12,0)</f>
        <v>29351392</v>
      </c>
      <c r="T102" s="129">
        <f t="shared" si="15"/>
        <v>22048154.469999999</v>
      </c>
      <c r="U102" s="90">
        <f>VLOOKUP(O102,'114分行業績'!A:AU,47,0)</f>
        <v>51399546.469999999</v>
      </c>
      <c r="V102" s="215">
        <f>VLOOKUP(O102,'114分行業績'!A:AV,48,0)</f>
        <v>59770000</v>
      </c>
      <c r="W102" s="177">
        <f t="shared" si="16"/>
        <v>0.85995560431654672</v>
      </c>
      <c r="X102" s="181">
        <f t="shared" si="17"/>
        <v>51399546</v>
      </c>
      <c r="Y102" s="181">
        <f t="shared" si="18"/>
        <v>22048154</v>
      </c>
      <c r="Z102" s="181">
        <f t="shared" si="19"/>
        <v>29351392</v>
      </c>
    </row>
    <row r="103" spans="1:26">
      <c r="A103" s="91">
        <v>244</v>
      </c>
      <c r="B103" s="88">
        <v>2440</v>
      </c>
      <c r="C103" s="88" t="s">
        <v>29</v>
      </c>
      <c r="D103" s="85" t="s">
        <v>11</v>
      </c>
      <c r="E103" s="128">
        <f>VLOOKUP(A103,'113分行業績'!A:L,12,0)</f>
        <v>13825308</v>
      </c>
      <c r="F103" s="129">
        <f t="shared" si="10"/>
        <v>29173423.530000001</v>
      </c>
      <c r="G103" s="90">
        <f>VLOOKUP(A103,'113分行業績'!A:AU,47,0)</f>
        <v>42998731.530000001</v>
      </c>
      <c r="H103" s="215">
        <f>VLOOKUP(A103,'113分行業績'!A:AV,48,0)</f>
        <v>39580000</v>
      </c>
      <c r="I103" s="177">
        <f t="shared" si="11"/>
        <v>1.0863752281455281</v>
      </c>
      <c r="J103" s="181">
        <f t="shared" si="12"/>
        <v>39580000</v>
      </c>
      <c r="K103" s="181">
        <f t="shared" si="13"/>
        <v>26853911</v>
      </c>
      <c r="L103" s="181">
        <f t="shared" si="14"/>
        <v>12726089</v>
      </c>
      <c r="O103" s="91">
        <v>244</v>
      </c>
      <c r="P103" s="88">
        <v>2440</v>
      </c>
      <c r="Q103" s="88" t="s">
        <v>29</v>
      </c>
      <c r="R103" s="85" t="s">
        <v>11</v>
      </c>
      <c r="S103" s="128">
        <f>VLOOKUP(O103,'114分行業績'!A:L,12,0)</f>
        <v>37126314</v>
      </c>
      <c r="T103" s="129">
        <f t="shared" si="15"/>
        <v>47492869.25</v>
      </c>
      <c r="U103" s="90">
        <f>VLOOKUP(O103,'114分行業績'!A:AU,47,0)</f>
        <v>84619183.25</v>
      </c>
      <c r="V103" s="215">
        <f>VLOOKUP(O103,'114分行業績'!A:AV,48,0)</f>
        <v>68260000</v>
      </c>
      <c r="W103" s="177">
        <f t="shared" si="16"/>
        <v>1.239659877673601</v>
      </c>
      <c r="X103" s="181">
        <f t="shared" si="17"/>
        <v>68260000</v>
      </c>
      <c r="Y103" s="181">
        <f t="shared" si="18"/>
        <v>38311209</v>
      </c>
      <c r="Z103" s="181">
        <f t="shared" si="19"/>
        <v>29948791</v>
      </c>
    </row>
    <row r="104" spans="1:26">
      <c r="A104" s="91">
        <v>245</v>
      </c>
      <c r="B104" s="88">
        <v>2450</v>
      </c>
      <c r="C104" s="88" t="s">
        <v>93</v>
      </c>
      <c r="D104" s="85" t="s">
        <v>11</v>
      </c>
      <c r="E104" s="128">
        <f>VLOOKUP(A104,'113分行業績'!A:L,12,0)</f>
        <v>21165642</v>
      </c>
      <c r="F104" s="129">
        <f t="shared" si="10"/>
        <v>8848296.2800000012</v>
      </c>
      <c r="G104" s="90">
        <f>VLOOKUP(A104,'113分行業績'!A:AU,47,0)</f>
        <v>30013938.280000001</v>
      </c>
      <c r="H104" s="215">
        <f>VLOOKUP(A104,'113分行業績'!A:AV,48,0)</f>
        <v>28070000</v>
      </c>
      <c r="I104" s="177">
        <f t="shared" si="11"/>
        <v>1.069253234057713</v>
      </c>
      <c r="J104" s="181">
        <f t="shared" si="12"/>
        <v>28070000</v>
      </c>
      <c r="K104" s="181">
        <f t="shared" si="13"/>
        <v>8275211</v>
      </c>
      <c r="L104" s="181">
        <f t="shared" si="14"/>
        <v>19794789</v>
      </c>
      <c r="O104" s="91">
        <v>245</v>
      </c>
      <c r="P104" s="88">
        <v>2450</v>
      </c>
      <c r="Q104" s="88" t="s">
        <v>93</v>
      </c>
      <c r="R104" s="85" t="s">
        <v>11</v>
      </c>
      <c r="S104" s="128">
        <f>VLOOKUP(O104,'114分行業績'!A:L,12,0)</f>
        <v>32003933</v>
      </c>
      <c r="T104" s="129">
        <f t="shared" si="15"/>
        <v>15577079.490000002</v>
      </c>
      <c r="U104" s="90">
        <f>VLOOKUP(O104,'114分行業績'!A:AU,47,0)</f>
        <v>47581012.490000002</v>
      </c>
      <c r="V104" s="215">
        <f>VLOOKUP(O104,'114分行業績'!A:AV,48,0)</f>
        <v>48310000</v>
      </c>
      <c r="W104" s="177">
        <f t="shared" si="16"/>
        <v>0.98491021506934384</v>
      </c>
      <c r="X104" s="181">
        <f t="shared" si="17"/>
        <v>47581012</v>
      </c>
      <c r="Y104" s="181">
        <f t="shared" si="18"/>
        <v>15577079</v>
      </c>
      <c r="Z104" s="181">
        <f t="shared" si="19"/>
        <v>32003933</v>
      </c>
    </row>
    <row r="105" spans="1:26">
      <c r="A105" s="91">
        <v>246</v>
      </c>
      <c r="B105" s="88">
        <v>2460</v>
      </c>
      <c r="C105" s="88" t="s">
        <v>178</v>
      </c>
      <c r="D105" s="85" t="s">
        <v>11</v>
      </c>
      <c r="E105" s="128">
        <f>VLOOKUP(A105,'113分行業績'!A:L,12,0)</f>
        <v>25665108</v>
      </c>
      <c r="F105" s="129">
        <f t="shared" si="10"/>
        <v>19118711.920000002</v>
      </c>
      <c r="G105" s="90">
        <f>VLOOKUP(A105,'113分行業績'!A:AU,47,0)</f>
        <v>44783819.920000002</v>
      </c>
      <c r="H105" s="215">
        <f>VLOOKUP(A105,'113分行業績'!A:AV,48,0)</f>
        <v>28110000</v>
      </c>
      <c r="I105" s="177">
        <f t="shared" si="11"/>
        <v>1.5931632842404839</v>
      </c>
      <c r="J105" s="181">
        <f t="shared" si="12"/>
        <v>28110000</v>
      </c>
      <c r="K105" s="181">
        <f t="shared" si="13"/>
        <v>12000472</v>
      </c>
      <c r="L105" s="181">
        <f t="shared" si="14"/>
        <v>16109528</v>
      </c>
      <c r="O105" s="91">
        <v>246</v>
      </c>
      <c r="P105" s="88">
        <v>2460</v>
      </c>
      <c r="Q105" s="88" t="s">
        <v>178</v>
      </c>
      <c r="R105" s="85" t="s">
        <v>11</v>
      </c>
      <c r="S105" s="128">
        <f>VLOOKUP(O105,'114分行業績'!A:L,12,0)</f>
        <v>27860606</v>
      </c>
      <c r="T105" s="129">
        <f t="shared" si="15"/>
        <v>22008543.850000001</v>
      </c>
      <c r="U105" s="90">
        <f>VLOOKUP(O105,'114分行業績'!A:AU,47,0)</f>
        <v>49869149.850000001</v>
      </c>
      <c r="V105" s="215">
        <f>VLOOKUP(O105,'114分行業績'!A:AV,48,0)</f>
        <v>50290000</v>
      </c>
      <c r="W105" s="177">
        <f t="shared" si="16"/>
        <v>0.99163153410220728</v>
      </c>
      <c r="X105" s="181">
        <f t="shared" si="17"/>
        <v>49869150</v>
      </c>
      <c r="Y105" s="181">
        <f t="shared" si="18"/>
        <v>22008544</v>
      </c>
      <c r="Z105" s="181">
        <f t="shared" si="19"/>
        <v>27860606</v>
      </c>
    </row>
    <row r="106" spans="1:26">
      <c r="A106" s="91">
        <v>247</v>
      </c>
      <c r="B106" s="88">
        <v>2470</v>
      </c>
      <c r="C106" s="88" t="s">
        <v>179</v>
      </c>
      <c r="D106" s="85" t="s">
        <v>11</v>
      </c>
      <c r="E106" s="128">
        <f>VLOOKUP(A106,'113分行業績'!A:L,12,0)</f>
        <v>23260680</v>
      </c>
      <c r="F106" s="129">
        <f t="shared" si="10"/>
        <v>16927999.520000003</v>
      </c>
      <c r="G106" s="90">
        <f>VLOOKUP(A106,'113分行業績'!A:AU,47,0)</f>
        <v>40188679.520000003</v>
      </c>
      <c r="H106" s="215">
        <f>VLOOKUP(A106,'113分行業績'!A:AV,48,0)</f>
        <v>31280000</v>
      </c>
      <c r="I106" s="177">
        <f t="shared" si="11"/>
        <v>1.2848043324808185</v>
      </c>
      <c r="J106" s="181">
        <f t="shared" si="12"/>
        <v>31280000</v>
      </c>
      <c r="K106" s="181">
        <f t="shared" si="13"/>
        <v>13175547</v>
      </c>
      <c r="L106" s="181">
        <f t="shared" si="14"/>
        <v>18104453</v>
      </c>
      <c r="O106" s="91">
        <v>247</v>
      </c>
      <c r="P106" s="88">
        <v>2470</v>
      </c>
      <c r="Q106" s="88" t="s">
        <v>179</v>
      </c>
      <c r="R106" s="85" t="s">
        <v>11</v>
      </c>
      <c r="S106" s="128">
        <f>VLOOKUP(O106,'114分行業績'!A:L,12,0)</f>
        <v>39170945</v>
      </c>
      <c r="T106" s="129">
        <f t="shared" si="15"/>
        <v>15783151.939999998</v>
      </c>
      <c r="U106" s="90">
        <f>VLOOKUP(O106,'114分行業績'!A:AU,47,0)</f>
        <v>54954096.939999998</v>
      </c>
      <c r="V106" s="215">
        <f>VLOOKUP(O106,'114分行業績'!A:AV,48,0)</f>
        <v>53730000</v>
      </c>
      <c r="W106" s="177">
        <f t="shared" si="16"/>
        <v>1.022782373720454</v>
      </c>
      <c r="X106" s="181">
        <f t="shared" si="17"/>
        <v>53730000</v>
      </c>
      <c r="Y106" s="181">
        <f t="shared" si="18"/>
        <v>15431584</v>
      </c>
      <c r="Z106" s="181">
        <f t="shared" si="19"/>
        <v>38298416</v>
      </c>
    </row>
    <row r="107" spans="1:26">
      <c r="A107" s="91">
        <v>248</v>
      </c>
      <c r="B107" s="88">
        <v>2480</v>
      </c>
      <c r="C107" s="88" t="s">
        <v>94</v>
      </c>
      <c r="D107" s="85" t="s">
        <v>11</v>
      </c>
      <c r="E107" s="128">
        <f>VLOOKUP(A107,'113分行業績'!A:L,12,0)</f>
        <v>22389335</v>
      </c>
      <c r="F107" s="129">
        <f t="shared" si="10"/>
        <v>21080936.859999999</v>
      </c>
      <c r="G107" s="90">
        <f>VLOOKUP(A107,'113分行業績'!A:AU,47,0)</f>
        <v>43470271.859999999</v>
      </c>
      <c r="H107" s="215">
        <f>VLOOKUP(A107,'113分行業績'!A:AV,48,0)</f>
        <v>31510000</v>
      </c>
      <c r="I107" s="177">
        <f t="shared" si="11"/>
        <v>1.3795706715328466</v>
      </c>
      <c r="J107" s="181">
        <f t="shared" si="12"/>
        <v>31510000</v>
      </c>
      <c r="K107" s="181">
        <f t="shared" si="13"/>
        <v>15280795</v>
      </c>
      <c r="L107" s="181">
        <f t="shared" si="14"/>
        <v>16229205</v>
      </c>
      <c r="O107" s="91">
        <v>248</v>
      </c>
      <c r="P107" s="88">
        <v>2480</v>
      </c>
      <c r="Q107" s="88" t="s">
        <v>94</v>
      </c>
      <c r="R107" s="85" t="s">
        <v>11</v>
      </c>
      <c r="S107" s="128">
        <f>VLOOKUP(O107,'114分行業績'!A:L,12,0)</f>
        <v>25806173</v>
      </c>
      <c r="T107" s="129">
        <f t="shared" si="15"/>
        <v>17285007.399999999</v>
      </c>
      <c r="U107" s="90">
        <f>VLOOKUP(O107,'114分行業績'!A:AU,47,0)</f>
        <v>43091180.399999999</v>
      </c>
      <c r="V107" s="215">
        <f>VLOOKUP(O107,'114分行業績'!A:AV,48,0)</f>
        <v>53910000</v>
      </c>
      <c r="W107" s="177">
        <f t="shared" si="16"/>
        <v>0.79931701725097382</v>
      </c>
      <c r="X107" s="181">
        <f t="shared" si="17"/>
        <v>43091180</v>
      </c>
      <c r="Y107" s="181">
        <f t="shared" si="18"/>
        <v>17285007</v>
      </c>
      <c r="Z107" s="181">
        <f t="shared" si="19"/>
        <v>25806173</v>
      </c>
    </row>
    <row r="108" spans="1:26">
      <c r="A108" s="91">
        <v>249</v>
      </c>
      <c r="B108" s="88">
        <v>2490</v>
      </c>
      <c r="C108" s="88" t="s">
        <v>30</v>
      </c>
      <c r="D108" s="85" t="s">
        <v>11</v>
      </c>
      <c r="E108" s="128">
        <f>VLOOKUP(A108,'113分行業績'!A:L,12,0)</f>
        <v>27638969</v>
      </c>
      <c r="F108" s="129">
        <f t="shared" si="10"/>
        <v>9944002.9200000018</v>
      </c>
      <c r="G108" s="90">
        <f>VLOOKUP(A108,'113分行業績'!A:AU,47,0)</f>
        <v>37582971.920000002</v>
      </c>
      <c r="H108" s="215">
        <f>VLOOKUP(A108,'113分行業績'!A:AV,48,0)</f>
        <v>21620000</v>
      </c>
      <c r="I108" s="177">
        <f t="shared" si="11"/>
        <v>1.738342827012026</v>
      </c>
      <c r="J108" s="181">
        <f t="shared" si="12"/>
        <v>21620000</v>
      </c>
      <c r="K108" s="181">
        <f t="shared" si="13"/>
        <v>5720392</v>
      </c>
      <c r="L108" s="181">
        <f t="shared" si="14"/>
        <v>15899608</v>
      </c>
      <c r="O108" s="91">
        <v>249</v>
      </c>
      <c r="P108" s="88">
        <v>2490</v>
      </c>
      <c r="Q108" s="88" t="s">
        <v>30</v>
      </c>
      <c r="R108" s="85" t="s">
        <v>11</v>
      </c>
      <c r="S108" s="128">
        <f>VLOOKUP(O108,'114分行業績'!A:L,12,0)</f>
        <v>32423739</v>
      </c>
      <c r="T108" s="129">
        <f t="shared" si="15"/>
        <v>13994553.82</v>
      </c>
      <c r="U108" s="90">
        <f>VLOOKUP(O108,'114分行業績'!A:AU,47,0)</f>
        <v>46418292.82</v>
      </c>
      <c r="V108" s="215">
        <f>VLOOKUP(O108,'114分行業績'!A:AV,48,0)</f>
        <v>36510000</v>
      </c>
      <c r="W108" s="177">
        <f t="shared" si="16"/>
        <v>1.2713857250068474</v>
      </c>
      <c r="X108" s="181">
        <f t="shared" si="17"/>
        <v>36510000</v>
      </c>
      <c r="Y108" s="181">
        <f t="shared" si="18"/>
        <v>11007323</v>
      </c>
      <c r="Z108" s="181">
        <f t="shared" si="19"/>
        <v>25502677</v>
      </c>
    </row>
    <row r="109" spans="1:26">
      <c r="A109" s="91">
        <v>250</v>
      </c>
      <c r="B109" s="88">
        <v>2500</v>
      </c>
      <c r="C109" s="88" t="s">
        <v>180</v>
      </c>
      <c r="D109" s="85" t="s">
        <v>11</v>
      </c>
      <c r="E109" s="128">
        <f>VLOOKUP(A109,'113分行業績'!A:L,12,0)</f>
        <v>14292323</v>
      </c>
      <c r="F109" s="129">
        <f t="shared" si="10"/>
        <v>7611328.870000001</v>
      </c>
      <c r="G109" s="90">
        <f>VLOOKUP(A109,'113分行業績'!A:AU,47,0)</f>
        <v>21903651.870000001</v>
      </c>
      <c r="H109" s="215">
        <f>VLOOKUP(A109,'113分行業績'!A:AV,48,0)</f>
        <v>18150000</v>
      </c>
      <c r="I109" s="177">
        <f t="shared" si="11"/>
        <v>1.2068127752066116</v>
      </c>
      <c r="J109" s="181">
        <f t="shared" si="12"/>
        <v>18150000</v>
      </c>
      <c r="K109" s="181">
        <f t="shared" si="13"/>
        <v>6306967</v>
      </c>
      <c r="L109" s="181">
        <f t="shared" si="14"/>
        <v>11843033</v>
      </c>
      <c r="O109" s="91">
        <v>250</v>
      </c>
      <c r="P109" s="88">
        <v>2500</v>
      </c>
      <c r="Q109" s="88" t="s">
        <v>180</v>
      </c>
      <c r="R109" s="85" t="s">
        <v>11</v>
      </c>
      <c r="S109" s="128">
        <f>VLOOKUP(O109,'114分行業績'!A:L,12,0)</f>
        <v>26404752</v>
      </c>
      <c r="T109" s="129">
        <f t="shared" si="15"/>
        <v>5625235.6000000015</v>
      </c>
      <c r="U109" s="90">
        <f>VLOOKUP(O109,'114分行業績'!A:AU,47,0)</f>
        <v>32029987.600000001</v>
      </c>
      <c r="V109" s="215">
        <f>VLOOKUP(O109,'114分行業績'!A:AV,48,0)</f>
        <v>31030000</v>
      </c>
      <c r="W109" s="177">
        <f t="shared" si="16"/>
        <v>1.0322264776023204</v>
      </c>
      <c r="X109" s="181">
        <f t="shared" si="17"/>
        <v>31030000</v>
      </c>
      <c r="Y109" s="181">
        <f t="shared" si="18"/>
        <v>5449614</v>
      </c>
      <c r="Z109" s="181">
        <f t="shared" si="19"/>
        <v>25580386</v>
      </c>
    </row>
    <row r="110" spans="1:26">
      <c r="A110" s="91">
        <v>251</v>
      </c>
      <c r="B110" s="88">
        <v>2510</v>
      </c>
      <c r="C110" s="88" t="s">
        <v>181</v>
      </c>
      <c r="D110" s="85" t="s">
        <v>11</v>
      </c>
      <c r="E110" s="128">
        <f>VLOOKUP(A110,'113分行業績'!A:L,12,0)</f>
        <v>17775048</v>
      </c>
      <c r="F110" s="129">
        <f t="shared" si="10"/>
        <v>4502501.59</v>
      </c>
      <c r="G110" s="90">
        <f>VLOOKUP(A110,'113分行業績'!A:AU,47,0)</f>
        <v>22277549.59</v>
      </c>
      <c r="H110" s="215">
        <f>VLOOKUP(A110,'113分行業績'!A:AV,48,0)</f>
        <v>20270000</v>
      </c>
      <c r="I110" s="177">
        <f t="shared" si="11"/>
        <v>1.099040433645782</v>
      </c>
      <c r="J110" s="181">
        <f t="shared" si="12"/>
        <v>20270000</v>
      </c>
      <c r="K110" s="181">
        <f t="shared" si="13"/>
        <v>4096757</v>
      </c>
      <c r="L110" s="181">
        <f t="shared" si="14"/>
        <v>16173243</v>
      </c>
      <c r="O110" s="91">
        <v>251</v>
      </c>
      <c r="P110" s="88">
        <v>2510</v>
      </c>
      <c r="Q110" s="88" t="s">
        <v>181</v>
      </c>
      <c r="R110" s="85" t="s">
        <v>11</v>
      </c>
      <c r="S110" s="128">
        <f>VLOOKUP(O110,'114分行業績'!A:L,12,0)</f>
        <v>26762881</v>
      </c>
      <c r="T110" s="129">
        <f t="shared" si="15"/>
        <v>4819644.379999999</v>
      </c>
      <c r="U110" s="90">
        <f>VLOOKUP(O110,'114分行業績'!A:AU,47,0)</f>
        <v>31582525.379999999</v>
      </c>
      <c r="V110" s="215">
        <f>VLOOKUP(O110,'114分行業績'!A:AV,48,0)</f>
        <v>36250000</v>
      </c>
      <c r="W110" s="177">
        <f t="shared" si="16"/>
        <v>0.87124207944827581</v>
      </c>
      <c r="X110" s="181">
        <f t="shared" si="17"/>
        <v>31582525</v>
      </c>
      <c r="Y110" s="181">
        <f t="shared" si="18"/>
        <v>4819644</v>
      </c>
      <c r="Z110" s="181">
        <f t="shared" si="19"/>
        <v>26762881</v>
      </c>
    </row>
    <row r="111" spans="1:26">
      <c r="A111" s="91">
        <v>252</v>
      </c>
      <c r="B111" s="88">
        <v>2520</v>
      </c>
      <c r="C111" s="88" t="s">
        <v>95</v>
      </c>
      <c r="D111" s="85" t="s">
        <v>11</v>
      </c>
      <c r="E111" s="128">
        <f>VLOOKUP(A111,'113分行業績'!A:L,12,0)</f>
        <v>11068336</v>
      </c>
      <c r="F111" s="129">
        <f t="shared" si="10"/>
        <v>17251538.609999999</v>
      </c>
      <c r="G111" s="90">
        <f>VLOOKUP(A111,'113分行業績'!A:AU,47,0)</f>
        <v>28319874.609999999</v>
      </c>
      <c r="H111" s="215">
        <f>VLOOKUP(A111,'113分行業績'!A:AV,48,0)</f>
        <v>30410000</v>
      </c>
      <c r="I111" s="177">
        <f t="shared" si="11"/>
        <v>0.9312684843801381</v>
      </c>
      <c r="J111" s="181">
        <f t="shared" si="12"/>
        <v>28319875</v>
      </c>
      <c r="K111" s="181">
        <f t="shared" si="13"/>
        <v>17251539</v>
      </c>
      <c r="L111" s="181">
        <f t="shared" si="14"/>
        <v>11068336</v>
      </c>
      <c r="O111" s="91">
        <v>252</v>
      </c>
      <c r="P111" s="88">
        <v>2520</v>
      </c>
      <c r="Q111" s="88" t="s">
        <v>95</v>
      </c>
      <c r="R111" s="85" t="s">
        <v>11</v>
      </c>
      <c r="S111" s="128">
        <f>VLOOKUP(O111,'114分行業績'!A:L,12,0)</f>
        <v>20634141</v>
      </c>
      <c r="T111" s="129">
        <f t="shared" si="15"/>
        <v>15239774.030000001</v>
      </c>
      <c r="U111" s="90">
        <f>VLOOKUP(O111,'114分行業績'!A:AU,47,0)</f>
        <v>35873915.030000001</v>
      </c>
      <c r="V111" s="215">
        <f>VLOOKUP(O111,'114分行業績'!A:AV,48,0)</f>
        <v>50340000</v>
      </c>
      <c r="W111" s="177">
        <f t="shared" si="16"/>
        <v>0.71263240027810892</v>
      </c>
      <c r="X111" s="181">
        <f t="shared" si="17"/>
        <v>35873915</v>
      </c>
      <c r="Y111" s="181">
        <f t="shared" si="18"/>
        <v>15239774</v>
      </c>
      <c r="Z111" s="181">
        <f t="shared" si="19"/>
        <v>20634141</v>
      </c>
    </row>
    <row r="112" spans="1:26">
      <c r="A112" s="91">
        <v>260</v>
      </c>
      <c r="B112" s="88">
        <v>2600</v>
      </c>
      <c r="C112" s="88" t="s">
        <v>96</v>
      </c>
      <c r="D112" s="85" t="s">
        <v>11</v>
      </c>
      <c r="E112" s="128">
        <f>VLOOKUP(A112,'113分行業績'!A:L,12,0)</f>
        <v>21356894</v>
      </c>
      <c r="F112" s="129">
        <f t="shared" si="10"/>
        <v>28749181.310000002</v>
      </c>
      <c r="G112" s="90">
        <f>VLOOKUP(A112,'113分行業績'!A:AU,47,0)</f>
        <v>50106075.310000002</v>
      </c>
      <c r="H112" s="215">
        <f>VLOOKUP(A112,'113分行業績'!A:AV,48,0)</f>
        <v>37440000</v>
      </c>
      <c r="I112" s="177">
        <f t="shared" si="11"/>
        <v>1.3383032935363248</v>
      </c>
      <c r="J112" s="181">
        <f t="shared" si="12"/>
        <v>37440000</v>
      </c>
      <c r="K112" s="181">
        <f t="shared" si="13"/>
        <v>21481813</v>
      </c>
      <c r="L112" s="181">
        <f t="shared" si="14"/>
        <v>15958187</v>
      </c>
      <c r="O112" s="91">
        <v>260</v>
      </c>
      <c r="P112" s="88">
        <v>2600</v>
      </c>
      <c r="Q112" s="88" t="s">
        <v>96</v>
      </c>
      <c r="R112" s="85" t="s">
        <v>11</v>
      </c>
      <c r="S112" s="128">
        <f>VLOOKUP(O112,'114分行業績'!A:L,12,0)</f>
        <v>49061672</v>
      </c>
      <c r="T112" s="129">
        <f t="shared" si="15"/>
        <v>18276169.650000006</v>
      </c>
      <c r="U112" s="90">
        <f>VLOOKUP(O112,'114分行業績'!A:AU,47,0)</f>
        <v>67337841.650000006</v>
      </c>
      <c r="V112" s="215">
        <f>VLOOKUP(O112,'114分行業績'!A:AV,48,0)</f>
        <v>63970000</v>
      </c>
      <c r="W112" s="177">
        <f t="shared" si="16"/>
        <v>1.0526472041581993</v>
      </c>
      <c r="X112" s="181">
        <f t="shared" si="17"/>
        <v>63970000</v>
      </c>
      <c r="Y112" s="181">
        <f t="shared" si="18"/>
        <v>17362103</v>
      </c>
      <c r="Z112" s="181">
        <f t="shared" si="19"/>
        <v>46607897</v>
      </c>
    </row>
    <row r="113" spans="1:26">
      <c r="A113" s="91">
        <v>262</v>
      </c>
      <c r="B113" s="88">
        <v>2620</v>
      </c>
      <c r="C113" s="88" t="s">
        <v>97</v>
      </c>
      <c r="D113" s="85" t="s">
        <v>11</v>
      </c>
      <c r="E113" s="128">
        <f>VLOOKUP(A113,'113分行業績'!A:L,12,0)</f>
        <v>18053784</v>
      </c>
      <c r="F113" s="129">
        <f t="shared" si="10"/>
        <v>13209874.879999999</v>
      </c>
      <c r="G113" s="90">
        <f>VLOOKUP(A113,'113分行業績'!A:AU,47,0)</f>
        <v>31263658.879999999</v>
      </c>
      <c r="H113" s="215">
        <f>VLOOKUP(A113,'113分行業績'!A:AV,48,0)</f>
        <v>28210000</v>
      </c>
      <c r="I113" s="177">
        <f t="shared" si="11"/>
        <v>1.1082473902871322</v>
      </c>
      <c r="J113" s="181">
        <f t="shared" si="12"/>
        <v>28210000</v>
      </c>
      <c r="K113" s="181">
        <f t="shared" si="13"/>
        <v>11919608</v>
      </c>
      <c r="L113" s="181">
        <f t="shared" si="14"/>
        <v>16290392</v>
      </c>
      <c r="O113" s="91">
        <v>262</v>
      </c>
      <c r="P113" s="88">
        <v>2620</v>
      </c>
      <c r="Q113" s="88" t="s">
        <v>97</v>
      </c>
      <c r="R113" s="85" t="s">
        <v>11</v>
      </c>
      <c r="S113" s="128">
        <f>VLOOKUP(O113,'114分行業績'!A:L,12,0)</f>
        <v>37579025</v>
      </c>
      <c r="T113" s="129">
        <f t="shared" si="15"/>
        <v>14071768.850000001</v>
      </c>
      <c r="U113" s="90">
        <f>VLOOKUP(O113,'114分行業績'!A:AU,47,0)</f>
        <v>51650793.850000001</v>
      </c>
      <c r="V113" s="215">
        <f>VLOOKUP(O113,'114分行業績'!A:AV,48,0)</f>
        <v>47620000</v>
      </c>
      <c r="W113" s="177">
        <f t="shared" si="16"/>
        <v>1.084644977950441</v>
      </c>
      <c r="X113" s="181">
        <f t="shared" si="17"/>
        <v>47620000</v>
      </c>
      <c r="Y113" s="181">
        <f t="shared" si="18"/>
        <v>12973617</v>
      </c>
      <c r="Z113" s="181">
        <f t="shared" si="19"/>
        <v>34646383</v>
      </c>
    </row>
    <row r="114" spans="1:26">
      <c r="A114" s="91">
        <v>268</v>
      </c>
      <c r="B114" s="88">
        <v>2680</v>
      </c>
      <c r="C114" s="88" t="s">
        <v>1282</v>
      </c>
      <c r="D114" s="85" t="s">
        <v>11</v>
      </c>
      <c r="E114" s="128">
        <f>VLOOKUP(A114,'113分行業績'!A:L,12,0)</f>
        <v>5404165</v>
      </c>
      <c r="F114" s="129">
        <f t="shared" si="10"/>
        <v>6314952</v>
      </c>
      <c r="G114" s="90">
        <f>VLOOKUP(A114,'113分行業績'!A:AU,47,0)</f>
        <v>11719117</v>
      </c>
      <c r="H114" s="215">
        <f>VLOOKUP(A114,'113分行業績'!A:AV,48,0)</f>
        <v>6063158</v>
      </c>
      <c r="I114" s="177">
        <f t="shared" si="11"/>
        <v>1.9328404438742979</v>
      </c>
      <c r="J114" s="181">
        <f t="shared" si="12"/>
        <v>6063158</v>
      </c>
      <c r="K114" s="181">
        <f t="shared" si="13"/>
        <v>3267187</v>
      </c>
      <c r="L114" s="181">
        <f t="shared" si="14"/>
        <v>2795971</v>
      </c>
      <c r="O114" s="91">
        <v>268</v>
      </c>
      <c r="P114" s="88">
        <v>2680</v>
      </c>
      <c r="Q114" s="88" t="s">
        <v>1282</v>
      </c>
      <c r="R114" s="85" t="s">
        <v>11</v>
      </c>
      <c r="S114" s="128">
        <f>VLOOKUP(O114,'114分行業績'!A:L,12,0)</f>
        <v>19076118</v>
      </c>
      <c r="T114" s="129">
        <f t="shared" si="15"/>
        <v>7021872.7399999984</v>
      </c>
      <c r="U114" s="90">
        <f>VLOOKUP(O114,'114分行業績'!A:AU,47,0)</f>
        <v>26097990.739999998</v>
      </c>
      <c r="V114" s="215">
        <f>VLOOKUP(O114,'114分行業績'!A:AV,48,0)</f>
        <v>9230000</v>
      </c>
      <c r="W114" s="177">
        <f t="shared" si="16"/>
        <v>2.8275179566630553</v>
      </c>
      <c r="X114" s="181">
        <f t="shared" si="17"/>
        <v>9230000</v>
      </c>
      <c r="Y114" s="181">
        <f t="shared" si="18"/>
        <v>2483405</v>
      </c>
      <c r="Z114" s="181">
        <f t="shared" si="19"/>
        <v>6746595</v>
      </c>
    </row>
    <row r="115" spans="1:26">
      <c r="A115" s="91">
        <v>300</v>
      </c>
      <c r="B115" s="88">
        <v>3000</v>
      </c>
      <c r="C115" s="88" t="s">
        <v>98</v>
      </c>
      <c r="D115" s="85" t="s">
        <v>11</v>
      </c>
      <c r="E115" s="128">
        <f>VLOOKUP(A115,'113分行業績'!A:L,12,0)</f>
        <v>18937459</v>
      </c>
      <c r="F115" s="129">
        <f t="shared" si="10"/>
        <v>19157533.890000001</v>
      </c>
      <c r="G115" s="90">
        <f>VLOOKUP(A115,'113分行業績'!A:AU,47,0)</f>
        <v>38094992.890000001</v>
      </c>
      <c r="H115" s="215">
        <f>VLOOKUP(A115,'113分行業績'!A:AV,48,0)</f>
        <v>38400000</v>
      </c>
      <c r="I115" s="177">
        <f t="shared" si="11"/>
        <v>0.99205710651041668</v>
      </c>
      <c r="J115" s="181">
        <f t="shared" si="12"/>
        <v>38094993</v>
      </c>
      <c r="K115" s="181">
        <f t="shared" si="13"/>
        <v>19157534</v>
      </c>
      <c r="L115" s="181">
        <f t="shared" si="14"/>
        <v>18937459</v>
      </c>
      <c r="O115" s="91">
        <v>300</v>
      </c>
      <c r="P115" s="88">
        <v>3000</v>
      </c>
      <c r="Q115" s="88" t="s">
        <v>98</v>
      </c>
      <c r="R115" s="85" t="s">
        <v>11</v>
      </c>
      <c r="S115" s="128">
        <f>VLOOKUP(O115,'114分行業績'!A:L,12,0)</f>
        <v>37447901</v>
      </c>
      <c r="T115" s="129">
        <f t="shared" si="15"/>
        <v>21645691.920000002</v>
      </c>
      <c r="U115" s="90">
        <f>VLOOKUP(O115,'114分行業績'!A:AU,47,0)</f>
        <v>59093592.920000002</v>
      </c>
      <c r="V115" s="215">
        <f>VLOOKUP(O115,'114分行業績'!A:AV,48,0)</f>
        <v>65290000</v>
      </c>
      <c r="W115" s="177">
        <f t="shared" si="16"/>
        <v>0.90509408669015168</v>
      </c>
      <c r="X115" s="181">
        <f t="shared" si="17"/>
        <v>59093593</v>
      </c>
      <c r="Y115" s="181">
        <f t="shared" si="18"/>
        <v>21645692</v>
      </c>
      <c r="Z115" s="181">
        <f t="shared" si="19"/>
        <v>37447901</v>
      </c>
    </row>
    <row r="116" spans="1:26">
      <c r="A116" s="91">
        <v>301</v>
      </c>
      <c r="B116" s="88">
        <v>3010</v>
      </c>
      <c r="C116" s="88" t="s">
        <v>99</v>
      </c>
      <c r="D116" s="85" t="s">
        <v>11</v>
      </c>
      <c r="E116" s="128">
        <f>VLOOKUP(A116,'113分行業績'!A:L,12,0)</f>
        <v>23339706</v>
      </c>
      <c r="F116" s="129">
        <f t="shared" si="10"/>
        <v>16011595.229999997</v>
      </c>
      <c r="G116" s="90">
        <f>VLOOKUP(A116,'113分行業績'!A:AU,47,0)</f>
        <v>39351301.229999997</v>
      </c>
      <c r="H116" s="215">
        <f>VLOOKUP(A116,'113分行業績'!A:AV,48,0)</f>
        <v>31440000</v>
      </c>
      <c r="I116" s="177">
        <f t="shared" si="11"/>
        <v>1.2516317185114503</v>
      </c>
      <c r="J116" s="181">
        <f t="shared" si="12"/>
        <v>31440000</v>
      </c>
      <c r="K116" s="181">
        <f t="shared" si="13"/>
        <v>12792577</v>
      </c>
      <c r="L116" s="181">
        <f t="shared" si="14"/>
        <v>18647423</v>
      </c>
      <c r="O116" s="91">
        <v>301</v>
      </c>
      <c r="P116" s="88">
        <v>3010</v>
      </c>
      <c r="Q116" s="88" t="s">
        <v>99</v>
      </c>
      <c r="R116" s="85" t="s">
        <v>11</v>
      </c>
      <c r="S116" s="128">
        <f>VLOOKUP(O116,'114分行業績'!A:L,12,0)</f>
        <v>40783172</v>
      </c>
      <c r="T116" s="129">
        <f t="shared" si="15"/>
        <v>13481230.810000002</v>
      </c>
      <c r="U116" s="90">
        <f>VLOOKUP(O116,'114分行業績'!A:AU,47,0)</f>
        <v>54264402.810000002</v>
      </c>
      <c r="V116" s="215">
        <f>VLOOKUP(O116,'114分行業績'!A:AV,48,0)</f>
        <v>52520000</v>
      </c>
      <c r="W116" s="177">
        <f t="shared" si="16"/>
        <v>1.0332140672124905</v>
      </c>
      <c r="X116" s="181">
        <f t="shared" si="17"/>
        <v>52520000</v>
      </c>
      <c r="Y116" s="181">
        <f t="shared" si="18"/>
        <v>13047858</v>
      </c>
      <c r="Z116" s="181">
        <f t="shared" si="19"/>
        <v>39472142</v>
      </c>
    </row>
    <row r="117" spans="1:26">
      <c r="A117" s="91">
        <v>302</v>
      </c>
      <c r="B117" s="88">
        <v>3020</v>
      </c>
      <c r="C117" s="88" t="s">
        <v>31</v>
      </c>
      <c r="D117" s="85" t="s">
        <v>11</v>
      </c>
      <c r="E117" s="128">
        <f>VLOOKUP(A117,'113分行業績'!A:L,12,0)</f>
        <v>11583126</v>
      </c>
      <c r="F117" s="129">
        <f t="shared" si="10"/>
        <v>16361606.260000002</v>
      </c>
      <c r="G117" s="90">
        <f>VLOOKUP(A117,'113分行業績'!A:AU,47,0)</f>
        <v>27944732.260000002</v>
      </c>
      <c r="H117" s="215">
        <f>VLOOKUP(A117,'113分行業績'!A:AV,48,0)</f>
        <v>23720000</v>
      </c>
      <c r="I117" s="177">
        <f t="shared" si="11"/>
        <v>1.1781084426644184</v>
      </c>
      <c r="J117" s="181">
        <f t="shared" si="12"/>
        <v>23720000</v>
      </c>
      <c r="K117" s="181">
        <f t="shared" si="13"/>
        <v>13888031</v>
      </c>
      <c r="L117" s="181">
        <f t="shared" si="14"/>
        <v>9831969</v>
      </c>
      <c r="O117" s="91">
        <v>302</v>
      </c>
      <c r="P117" s="88">
        <v>3020</v>
      </c>
      <c r="Q117" s="88" t="s">
        <v>31</v>
      </c>
      <c r="R117" s="85" t="s">
        <v>11</v>
      </c>
      <c r="S117" s="128">
        <f>VLOOKUP(O117,'114分行業績'!A:L,12,0)</f>
        <v>14925295</v>
      </c>
      <c r="T117" s="129">
        <f t="shared" si="15"/>
        <v>13509978.640000001</v>
      </c>
      <c r="U117" s="90">
        <f>VLOOKUP(O117,'114分行業績'!A:AU,47,0)</f>
        <v>28435273.640000001</v>
      </c>
      <c r="V117" s="215">
        <f>VLOOKUP(O117,'114分行業績'!A:AV,48,0)</f>
        <v>41230000</v>
      </c>
      <c r="W117" s="177">
        <f t="shared" si="16"/>
        <v>0.68967435459616788</v>
      </c>
      <c r="X117" s="181">
        <f t="shared" si="17"/>
        <v>28435274</v>
      </c>
      <c r="Y117" s="181">
        <f t="shared" si="18"/>
        <v>13509979</v>
      </c>
      <c r="Z117" s="181">
        <f t="shared" si="19"/>
        <v>14925295</v>
      </c>
    </row>
    <row r="118" spans="1:26">
      <c r="A118" s="91">
        <v>310</v>
      </c>
      <c r="B118" s="88">
        <v>3100</v>
      </c>
      <c r="C118" s="88" t="s">
        <v>32</v>
      </c>
      <c r="D118" s="85" t="s">
        <v>11</v>
      </c>
      <c r="E118" s="128">
        <f>VLOOKUP(A118,'113分行業績'!A:L,12,0)</f>
        <v>18816494</v>
      </c>
      <c r="F118" s="129">
        <f t="shared" si="10"/>
        <v>16672640.890000001</v>
      </c>
      <c r="G118" s="90">
        <f>VLOOKUP(A118,'113分行業績'!A:AU,47,0)</f>
        <v>35489134.890000001</v>
      </c>
      <c r="H118" s="215">
        <f>VLOOKUP(A118,'113分行業績'!A:AV,48,0)</f>
        <v>29210000</v>
      </c>
      <c r="I118" s="177">
        <f t="shared" si="11"/>
        <v>1.2149652478603219</v>
      </c>
      <c r="J118" s="181">
        <f t="shared" si="12"/>
        <v>29210000</v>
      </c>
      <c r="K118" s="181">
        <f t="shared" si="13"/>
        <v>13722731</v>
      </c>
      <c r="L118" s="181">
        <f t="shared" si="14"/>
        <v>15487269</v>
      </c>
      <c r="O118" s="91">
        <v>310</v>
      </c>
      <c r="P118" s="88">
        <v>3100</v>
      </c>
      <c r="Q118" s="88" t="s">
        <v>32</v>
      </c>
      <c r="R118" s="85" t="s">
        <v>11</v>
      </c>
      <c r="S118" s="128">
        <f>VLOOKUP(O118,'114分行業績'!A:L,12,0)</f>
        <v>31388939</v>
      </c>
      <c r="T118" s="129">
        <f t="shared" si="15"/>
        <v>12632126.700000003</v>
      </c>
      <c r="U118" s="90">
        <f>VLOOKUP(O118,'114分行業績'!A:AU,47,0)</f>
        <v>44021065.700000003</v>
      </c>
      <c r="V118" s="215">
        <f>VLOOKUP(O118,'114分行業績'!A:AV,48,0)</f>
        <v>48960000</v>
      </c>
      <c r="W118" s="177">
        <f t="shared" si="16"/>
        <v>0.89912307393790858</v>
      </c>
      <c r="X118" s="181">
        <f t="shared" si="17"/>
        <v>44021066</v>
      </c>
      <c r="Y118" s="181">
        <f t="shared" si="18"/>
        <v>12632127</v>
      </c>
      <c r="Z118" s="181">
        <f t="shared" si="19"/>
        <v>31388939</v>
      </c>
    </row>
    <row r="119" spans="1:26">
      <c r="A119" s="91">
        <v>313</v>
      </c>
      <c r="B119" s="88">
        <v>3130</v>
      </c>
      <c r="C119" s="88" t="s">
        <v>182</v>
      </c>
      <c r="D119" s="85" t="s">
        <v>11</v>
      </c>
      <c r="E119" s="128">
        <f>VLOOKUP(A119,'113分行業績'!A:L,12,0)</f>
        <v>8568391</v>
      </c>
      <c r="F119" s="129">
        <f t="shared" si="10"/>
        <v>7791827.5399999991</v>
      </c>
      <c r="G119" s="90">
        <f>VLOOKUP(A119,'113分行業績'!A:AU,47,0)</f>
        <v>16360218.539999999</v>
      </c>
      <c r="H119" s="215">
        <f>VLOOKUP(A119,'113分行業績'!A:AV,48,0)</f>
        <v>15340000</v>
      </c>
      <c r="I119" s="177">
        <f t="shared" si="11"/>
        <v>1.0665070756192958</v>
      </c>
      <c r="J119" s="181">
        <f t="shared" si="12"/>
        <v>15340000</v>
      </c>
      <c r="K119" s="181">
        <f t="shared" si="13"/>
        <v>7305931</v>
      </c>
      <c r="L119" s="181">
        <f t="shared" si="14"/>
        <v>8034069</v>
      </c>
      <c r="O119" s="91">
        <v>313</v>
      </c>
      <c r="P119" s="88">
        <v>3130</v>
      </c>
      <c r="Q119" s="88" t="s">
        <v>182</v>
      </c>
      <c r="R119" s="85" t="s">
        <v>11</v>
      </c>
      <c r="S119" s="128">
        <f>VLOOKUP(O119,'114分行業績'!A:L,12,0)</f>
        <v>17052910</v>
      </c>
      <c r="T119" s="129">
        <f t="shared" si="15"/>
        <v>5858392.6099999994</v>
      </c>
      <c r="U119" s="90">
        <f>VLOOKUP(O119,'114分行業績'!A:AU,47,0)</f>
        <v>22911302.609999999</v>
      </c>
      <c r="V119" s="215">
        <f>VLOOKUP(O119,'114分行業績'!A:AV,48,0)</f>
        <v>27510000</v>
      </c>
      <c r="W119" s="177">
        <f t="shared" si="16"/>
        <v>0.83283542748091599</v>
      </c>
      <c r="X119" s="181">
        <f t="shared" si="17"/>
        <v>22911303</v>
      </c>
      <c r="Y119" s="181">
        <f t="shared" si="18"/>
        <v>5858393</v>
      </c>
      <c r="Z119" s="181">
        <f t="shared" si="19"/>
        <v>17052910</v>
      </c>
    </row>
    <row r="120" spans="1:26">
      <c r="A120" s="91">
        <v>320</v>
      </c>
      <c r="B120" s="88">
        <v>3200</v>
      </c>
      <c r="C120" s="88" t="s">
        <v>183</v>
      </c>
      <c r="D120" s="85" t="s">
        <v>33</v>
      </c>
      <c r="E120" s="128">
        <f>VLOOKUP(A120,'113分行業績'!A:L,12,0)</f>
        <v>16321354</v>
      </c>
      <c r="F120" s="129">
        <f t="shared" si="10"/>
        <v>17724695.590000004</v>
      </c>
      <c r="G120" s="90">
        <f>VLOOKUP(A120,'113分行業績'!A:AU,47,0)</f>
        <v>34046049.590000004</v>
      </c>
      <c r="H120" s="215">
        <f>VLOOKUP(A120,'113分行業績'!A:AV,48,0)</f>
        <v>30920000</v>
      </c>
      <c r="I120" s="177">
        <f t="shared" si="11"/>
        <v>1.101101215717982</v>
      </c>
      <c r="J120" s="181">
        <f t="shared" si="12"/>
        <v>30920000</v>
      </c>
      <c r="K120" s="181">
        <f t="shared" si="13"/>
        <v>16097245</v>
      </c>
      <c r="L120" s="181">
        <f t="shared" si="14"/>
        <v>14822755</v>
      </c>
      <c r="O120" s="91">
        <v>320</v>
      </c>
      <c r="P120" s="88">
        <v>3200</v>
      </c>
      <c r="Q120" s="88" t="s">
        <v>183</v>
      </c>
      <c r="R120" s="85" t="s">
        <v>33</v>
      </c>
      <c r="S120" s="128">
        <f>VLOOKUP(O120,'114分行業績'!A:L,12,0)</f>
        <v>35920045</v>
      </c>
      <c r="T120" s="129">
        <f t="shared" si="15"/>
        <v>19950091.409999996</v>
      </c>
      <c r="U120" s="90">
        <f>VLOOKUP(O120,'114分行業績'!A:AU,47,0)</f>
        <v>55870136.409999996</v>
      </c>
      <c r="V120" s="215">
        <f>VLOOKUP(O120,'114分行業績'!A:AV,48,0)</f>
        <v>53610000</v>
      </c>
      <c r="W120" s="177">
        <f t="shared" si="16"/>
        <v>1.0421588586084685</v>
      </c>
      <c r="X120" s="181">
        <f t="shared" si="17"/>
        <v>53610000</v>
      </c>
      <c r="Y120" s="181">
        <f t="shared" si="18"/>
        <v>19143043</v>
      </c>
      <c r="Z120" s="181">
        <f t="shared" si="19"/>
        <v>34466957</v>
      </c>
    </row>
    <row r="121" spans="1:26">
      <c r="A121" s="91">
        <v>321</v>
      </c>
      <c r="B121" s="88">
        <v>3210</v>
      </c>
      <c r="C121" s="88" t="s">
        <v>184</v>
      </c>
      <c r="D121" s="85" t="s">
        <v>33</v>
      </c>
      <c r="E121" s="128">
        <f>VLOOKUP(A121,'113分行業績'!A:L,12,0)</f>
        <v>21159779</v>
      </c>
      <c r="F121" s="129">
        <f t="shared" si="10"/>
        <v>17648247.420000002</v>
      </c>
      <c r="G121" s="90">
        <f>VLOOKUP(A121,'113分行業績'!A:AU,47,0)</f>
        <v>38808026.420000002</v>
      </c>
      <c r="H121" s="215">
        <f>VLOOKUP(A121,'113分行業績'!A:AV,48,0)</f>
        <v>36810000</v>
      </c>
      <c r="I121" s="177">
        <f t="shared" si="11"/>
        <v>1.0542794463461016</v>
      </c>
      <c r="J121" s="181">
        <f t="shared" si="12"/>
        <v>36810000</v>
      </c>
      <c r="K121" s="181">
        <f t="shared" si="13"/>
        <v>16739630</v>
      </c>
      <c r="L121" s="181">
        <f t="shared" si="14"/>
        <v>20070370</v>
      </c>
      <c r="O121" s="91">
        <v>321</v>
      </c>
      <c r="P121" s="88">
        <v>3210</v>
      </c>
      <c r="Q121" s="88" t="s">
        <v>184</v>
      </c>
      <c r="R121" s="85" t="s">
        <v>33</v>
      </c>
      <c r="S121" s="128">
        <f>VLOOKUP(O121,'114分行業績'!A:L,12,0)</f>
        <v>23963240</v>
      </c>
      <c r="T121" s="129">
        <f t="shared" si="15"/>
        <v>15957303.969999999</v>
      </c>
      <c r="U121" s="90">
        <f>VLOOKUP(O121,'114分行業績'!A:AU,47,0)</f>
        <v>39920543.969999999</v>
      </c>
      <c r="V121" s="215">
        <f>VLOOKUP(O121,'114分行業績'!A:AV,48,0)</f>
        <v>61370000</v>
      </c>
      <c r="W121" s="177">
        <f t="shared" si="16"/>
        <v>0.65048955466840475</v>
      </c>
      <c r="X121" s="181">
        <f t="shared" si="17"/>
        <v>39920544</v>
      </c>
      <c r="Y121" s="181">
        <f t="shared" si="18"/>
        <v>15957304</v>
      </c>
      <c r="Z121" s="181">
        <f t="shared" si="19"/>
        <v>23963240</v>
      </c>
    </row>
    <row r="122" spans="1:26">
      <c r="A122" s="91">
        <v>322</v>
      </c>
      <c r="B122" s="88">
        <v>3220</v>
      </c>
      <c r="C122" s="88" t="s">
        <v>34</v>
      </c>
      <c r="D122" s="85" t="s">
        <v>33</v>
      </c>
      <c r="E122" s="128">
        <f>VLOOKUP(A122,'113分行業績'!A:L,12,0)</f>
        <v>12117011</v>
      </c>
      <c r="F122" s="129">
        <f t="shared" si="10"/>
        <v>14917873.329999998</v>
      </c>
      <c r="G122" s="90">
        <f>VLOOKUP(A122,'113分行業績'!A:AU,47,0)</f>
        <v>27034884.329999998</v>
      </c>
      <c r="H122" s="215">
        <f>VLOOKUP(A122,'113分行業績'!A:AV,48,0)</f>
        <v>24160000</v>
      </c>
      <c r="I122" s="177">
        <f t="shared" si="11"/>
        <v>1.118993556705298</v>
      </c>
      <c r="J122" s="181">
        <f t="shared" si="12"/>
        <v>24160000</v>
      </c>
      <c r="K122" s="181">
        <f t="shared" si="13"/>
        <v>13331510</v>
      </c>
      <c r="L122" s="181">
        <f t="shared" si="14"/>
        <v>10828490</v>
      </c>
      <c r="O122" s="91">
        <v>322</v>
      </c>
      <c r="P122" s="88">
        <v>3220</v>
      </c>
      <c r="Q122" s="88" t="s">
        <v>34</v>
      </c>
      <c r="R122" s="85" t="s">
        <v>33</v>
      </c>
      <c r="S122" s="128">
        <f>VLOOKUP(O122,'114分行業績'!A:L,12,0)</f>
        <v>19231358</v>
      </c>
      <c r="T122" s="129">
        <f t="shared" si="15"/>
        <v>17469589.729999997</v>
      </c>
      <c r="U122" s="90">
        <f>VLOOKUP(O122,'114分行業績'!A:AU,47,0)</f>
        <v>36700947.729999997</v>
      </c>
      <c r="V122" s="215">
        <f>VLOOKUP(O122,'114分行業績'!A:AV,48,0)</f>
        <v>40880000</v>
      </c>
      <c r="W122" s="177">
        <f t="shared" si="16"/>
        <v>0.89777269398238735</v>
      </c>
      <c r="X122" s="181">
        <f t="shared" si="17"/>
        <v>36700948</v>
      </c>
      <c r="Y122" s="181">
        <f t="shared" si="18"/>
        <v>17469590</v>
      </c>
      <c r="Z122" s="181">
        <f t="shared" si="19"/>
        <v>19231358</v>
      </c>
    </row>
    <row r="123" spans="1:26">
      <c r="A123" s="91">
        <v>323</v>
      </c>
      <c r="B123" s="88">
        <v>3230</v>
      </c>
      <c r="C123" s="88" t="s">
        <v>185</v>
      </c>
      <c r="D123" s="85" t="s">
        <v>11</v>
      </c>
      <c r="E123" s="128">
        <f>VLOOKUP(A123,'113分行業績'!A:L,12,0)</f>
        <v>8289560</v>
      </c>
      <c r="F123" s="129">
        <f t="shared" si="10"/>
        <v>21320180.399999999</v>
      </c>
      <c r="G123" s="90">
        <f>VLOOKUP(A123,'113分行業績'!A:AU,47,0)</f>
        <v>29609740.399999999</v>
      </c>
      <c r="H123" s="215">
        <f>VLOOKUP(A123,'113分行業績'!A:AV,48,0)</f>
        <v>23310000</v>
      </c>
      <c r="I123" s="177">
        <f t="shared" si="11"/>
        <v>1.2702591334191333</v>
      </c>
      <c r="J123" s="181">
        <f t="shared" si="12"/>
        <v>23310000</v>
      </c>
      <c r="K123" s="181">
        <f t="shared" si="13"/>
        <v>16784119</v>
      </c>
      <c r="L123" s="181">
        <f t="shared" si="14"/>
        <v>6525881</v>
      </c>
      <c r="O123" s="91">
        <v>323</v>
      </c>
      <c r="P123" s="88">
        <v>3230</v>
      </c>
      <c r="Q123" s="88" t="s">
        <v>185</v>
      </c>
      <c r="R123" s="85" t="s">
        <v>11</v>
      </c>
      <c r="S123" s="128">
        <f>VLOOKUP(O123,'114分行業績'!A:L,12,0)</f>
        <v>19170331</v>
      </c>
      <c r="T123" s="129">
        <f t="shared" si="15"/>
        <v>12149356.399999999</v>
      </c>
      <c r="U123" s="90">
        <f>VLOOKUP(O123,'114分行業績'!A:AU,47,0)</f>
        <v>31319687.399999999</v>
      </c>
      <c r="V123" s="215">
        <f>VLOOKUP(O123,'114分行業績'!A:AV,48,0)</f>
        <v>40780000</v>
      </c>
      <c r="W123" s="177">
        <f t="shared" si="16"/>
        <v>0.76801587542913186</v>
      </c>
      <c r="X123" s="181">
        <f t="shared" si="17"/>
        <v>31319687</v>
      </c>
      <c r="Y123" s="181">
        <f t="shared" si="18"/>
        <v>12149356</v>
      </c>
      <c r="Z123" s="181">
        <f t="shared" si="19"/>
        <v>19170331</v>
      </c>
    </row>
    <row r="124" spans="1:26">
      <c r="A124" s="91">
        <v>351</v>
      </c>
      <c r="B124" s="88">
        <v>3510</v>
      </c>
      <c r="C124" s="88" t="s">
        <v>100</v>
      </c>
      <c r="D124" s="85" t="s">
        <v>11</v>
      </c>
      <c r="E124" s="128">
        <f>VLOOKUP(A124,'113分行業績'!A:L,12,0)</f>
        <v>16072324</v>
      </c>
      <c r="F124" s="129">
        <f t="shared" si="10"/>
        <v>7711775.4699999988</v>
      </c>
      <c r="G124" s="90">
        <f>VLOOKUP(A124,'113分行業績'!A:AU,47,0)</f>
        <v>23784099.469999999</v>
      </c>
      <c r="H124" s="215">
        <f>VLOOKUP(A124,'113分行業績'!A:AV,48,0)</f>
        <v>21710000</v>
      </c>
      <c r="I124" s="177">
        <f t="shared" si="11"/>
        <v>1.0955365946568401</v>
      </c>
      <c r="J124" s="181">
        <f t="shared" si="12"/>
        <v>21710000</v>
      </c>
      <c r="K124" s="181">
        <f t="shared" si="13"/>
        <v>7039268</v>
      </c>
      <c r="L124" s="181">
        <f t="shared" si="14"/>
        <v>14670732</v>
      </c>
      <c r="O124" s="91">
        <v>351</v>
      </c>
      <c r="P124" s="88">
        <v>3510</v>
      </c>
      <c r="Q124" s="88" t="s">
        <v>100</v>
      </c>
      <c r="R124" s="85" t="s">
        <v>11</v>
      </c>
      <c r="S124" s="128">
        <f>VLOOKUP(O124,'114分行業績'!A:L,12,0)</f>
        <v>37425762</v>
      </c>
      <c r="T124" s="129">
        <f t="shared" si="15"/>
        <v>9044639.6899999976</v>
      </c>
      <c r="U124" s="90">
        <f>VLOOKUP(O124,'114分行業績'!A:AU,47,0)</f>
        <v>46470401.689999998</v>
      </c>
      <c r="V124" s="215">
        <f>VLOOKUP(O124,'114分行業績'!A:AV,48,0)</f>
        <v>37210000</v>
      </c>
      <c r="W124" s="177">
        <f t="shared" si="16"/>
        <v>1.2488686291319537</v>
      </c>
      <c r="X124" s="181">
        <f t="shared" si="17"/>
        <v>37210000</v>
      </c>
      <c r="Y124" s="181">
        <f t="shared" si="18"/>
        <v>7242267</v>
      </c>
      <c r="Z124" s="181">
        <f t="shared" si="19"/>
        <v>29967733</v>
      </c>
    </row>
    <row r="125" spans="1:26">
      <c r="A125" s="91">
        <v>400</v>
      </c>
      <c r="B125" s="88">
        <v>4000</v>
      </c>
      <c r="C125" s="88" t="s">
        <v>35</v>
      </c>
      <c r="D125" s="85" t="s">
        <v>33</v>
      </c>
      <c r="E125" s="128">
        <f>VLOOKUP(A125,'113分行業績'!A:L,12,0)</f>
        <v>40383145</v>
      </c>
      <c r="F125" s="129">
        <f t="shared" si="10"/>
        <v>28154420.209999993</v>
      </c>
      <c r="G125" s="90">
        <f>VLOOKUP(A125,'113分行業績'!A:AU,47,0)</f>
        <v>68537565.209999993</v>
      </c>
      <c r="H125" s="215">
        <f>VLOOKUP(A125,'113分行業績'!A:AV,48,0)</f>
        <v>50190000</v>
      </c>
      <c r="I125" s="177">
        <f t="shared" si="11"/>
        <v>1.3655621679617453</v>
      </c>
      <c r="J125" s="181">
        <f t="shared" si="12"/>
        <v>50190000</v>
      </c>
      <c r="K125" s="181">
        <f t="shared" si="13"/>
        <v>20617458</v>
      </c>
      <c r="L125" s="181">
        <f t="shared" si="14"/>
        <v>29572542</v>
      </c>
      <c r="O125" s="91">
        <v>400</v>
      </c>
      <c r="P125" s="88">
        <v>4000</v>
      </c>
      <c r="Q125" s="88" t="s">
        <v>35</v>
      </c>
      <c r="R125" s="85" t="s">
        <v>33</v>
      </c>
      <c r="S125" s="128">
        <f>VLOOKUP(O125,'114分行業績'!A:L,12,0)</f>
        <v>63222325</v>
      </c>
      <c r="T125" s="129">
        <f t="shared" si="15"/>
        <v>23641290.150000006</v>
      </c>
      <c r="U125" s="90">
        <f>VLOOKUP(O125,'114分行業績'!A:AU,47,0)</f>
        <v>86863615.150000006</v>
      </c>
      <c r="V125" s="215">
        <f>VLOOKUP(O125,'114分行業績'!A:AV,48,0)</f>
        <v>83180000</v>
      </c>
      <c r="W125" s="177">
        <f t="shared" si="16"/>
        <v>1.0442848659533543</v>
      </c>
      <c r="X125" s="181">
        <f t="shared" si="17"/>
        <v>83180000</v>
      </c>
      <c r="Y125" s="181">
        <f t="shared" si="18"/>
        <v>22638737</v>
      </c>
      <c r="Z125" s="181">
        <f t="shared" si="19"/>
        <v>60541263</v>
      </c>
    </row>
    <row r="126" spans="1:26">
      <c r="A126" s="91">
        <v>401</v>
      </c>
      <c r="B126" s="88">
        <v>4010</v>
      </c>
      <c r="C126" s="88" t="s">
        <v>36</v>
      </c>
      <c r="D126" s="85" t="s">
        <v>33</v>
      </c>
      <c r="E126" s="128">
        <f>VLOOKUP(A126,'113分行業績'!A:L,12,0)</f>
        <v>21452375</v>
      </c>
      <c r="F126" s="129">
        <f t="shared" si="10"/>
        <v>18374655.549999997</v>
      </c>
      <c r="G126" s="90">
        <f>VLOOKUP(A126,'113分行業績'!A:AU,47,0)</f>
        <v>39827030.549999997</v>
      </c>
      <c r="H126" s="215">
        <f>VLOOKUP(A126,'113分行業績'!A:AV,48,0)</f>
        <v>33010000</v>
      </c>
      <c r="I126" s="177">
        <f t="shared" si="11"/>
        <v>1.2065141033020297</v>
      </c>
      <c r="J126" s="181">
        <f t="shared" si="12"/>
        <v>33010000</v>
      </c>
      <c r="K126" s="181">
        <f t="shared" si="13"/>
        <v>15229541</v>
      </c>
      <c r="L126" s="181">
        <f t="shared" si="14"/>
        <v>17780459</v>
      </c>
      <c r="O126" s="91">
        <v>401</v>
      </c>
      <c r="P126" s="88">
        <v>4010</v>
      </c>
      <c r="Q126" s="88" t="s">
        <v>36</v>
      </c>
      <c r="R126" s="85" t="s">
        <v>33</v>
      </c>
      <c r="S126" s="128">
        <f>VLOOKUP(O126,'114分行業績'!A:L,12,0)</f>
        <v>29826991</v>
      </c>
      <c r="T126" s="129">
        <f t="shared" si="15"/>
        <v>23037158.32</v>
      </c>
      <c r="U126" s="90">
        <f>VLOOKUP(O126,'114分行業績'!A:AU,47,0)</f>
        <v>52864149.32</v>
      </c>
      <c r="V126" s="215">
        <f>VLOOKUP(O126,'114分行業績'!A:AV,48,0)</f>
        <v>54710000</v>
      </c>
      <c r="W126" s="177">
        <f t="shared" si="16"/>
        <v>0.96626118296472308</v>
      </c>
      <c r="X126" s="181">
        <f t="shared" si="17"/>
        <v>52864149</v>
      </c>
      <c r="Y126" s="181">
        <f t="shared" si="18"/>
        <v>23037158</v>
      </c>
      <c r="Z126" s="181">
        <f t="shared" si="19"/>
        <v>29826991</v>
      </c>
    </row>
    <row r="127" spans="1:26">
      <c r="A127" s="91">
        <v>402</v>
      </c>
      <c r="B127" s="88">
        <v>4020</v>
      </c>
      <c r="C127" s="88" t="s">
        <v>37</v>
      </c>
      <c r="D127" s="85" t="s">
        <v>33</v>
      </c>
      <c r="E127" s="128">
        <f>VLOOKUP(A127,'113分行業績'!A:L,12,0)</f>
        <v>26123698</v>
      </c>
      <c r="F127" s="129">
        <f t="shared" si="10"/>
        <v>19194402.82</v>
      </c>
      <c r="G127" s="90">
        <f>VLOOKUP(A127,'113分行業績'!A:AU,47,0)</f>
        <v>45318100.82</v>
      </c>
      <c r="H127" s="215">
        <f>VLOOKUP(A127,'113分行業績'!A:AV,48,0)</f>
        <v>36370000</v>
      </c>
      <c r="I127" s="177">
        <f t="shared" si="11"/>
        <v>1.2460297173494639</v>
      </c>
      <c r="J127" s="181">
        <f t="shared" si="12"/>
        <v>36370000</v>
      </c>
      <c r="K127" s="181">
        <f t="shared" si="13"/>
        <v>15404450</v>
      </c>
      <c r="L127" s="181">
        <f t="shared" si="14"/>
        <v>20965550</v>
      </c>
      <c r="O127" s="91">
        <v>402</v>
      </c>
      <c r="P127" s="88">
        <v>4020</v>
      </c>
      <c r="Q127" s="88" t="s">
        <v>37</v>
      </c>
      <c r="R127" s="85" t="s">
        <v>33</v>
      </c>
      <c r="S127" s="128">
        <f>VLOOKUP(O127,'114分行業績'!A:L,12,0)</f>
        <v>55479878</v>
      </c>
      <c r="T127" s="129">
        <f t="shared" si="15"/>
        <v>14605423.099999994</v>
      </c>
      <c r="U127" s="90">
        <f>VLOOKUP(O127,'114分行業績'!A:AU,47,0)</f>
        <v>70085301.099999994</v>
      </c>
      <c r="V127" s="215">
        <f>VLOOKUP(O127,'114分行業績'!A:AV,48,0)</f>
        <v>61310000</v>
      </c>
      <c r="W127" s="177">
        <f t="shared" si="16"/>
        <v>1.1431300130484423</v>
      </c>
      <c r="X127" s="181">
        <f t="shared" si="17"/>
        <v>61310000</v>
      </c>
      <c r="Y127" s="181">
        <f t="shared" si="18"/>
        <v>12776695</v>
      </c>
      <c r="Z127" s="181">
        <f t="shared" si="19"/>
        <v>48533305</v>
      </c>
    </row>
    <row r="128" spans="1:26">
      <c r="A128" s="91">
        <v>403</v>
      </c>
      <c r="B128" s="88">
        <v>4030</v>
      </c>
      <c r="C128" s="88" t="s">
        <v>186</v>
      </c>
      <c r="D128" s="85" t="s">
        <v>33</v>
      </c>
      <c r="E128" s="128">
        <f>VLOOKUP(A128,'113分行業績'!A:L,12,0)</f>
        <v>19589246</v>
      </c>
      <c r="F128" s="129">
        <f t="shared" si="10"/>
        <v>30028612.049999997</v>
      </c>
      <c r="G128" s="90">
        <f>VLOOKUP(A128,'113分行業績'!A:AU,47,0)</f>
        <v>49617858.049999997</v>
      </c>
      <c r="H128" s="215">
        <f>VLOOKUP(A128,'113分行業績'!A:AV,48,0)</f>
        <v>35410000</v>
      </c>
      <c r="I128" s="177">
        <f t="shared" si="11"/>
        <v>1.4012385780852865</v>
      </c>
      <c r="J128" s="181">
        <f t="shared" si="12"/>
        <v>35410000</v>
      </c>
      <c r="K128" s="181">
        <f t="shared" si="13"/>
        <v>21430049</v>
      </c>
      <c r="L128" s="181">
        <f t="shared" si="14"/>
        <v>13979951</v>
      </c>
      <c r="O128" s="91">
        <v>403</v>
      </c>
      <c r="P128" s="88">
        <v>4030</v>
      </c>
      <c r="Q128" s="88" t="s">
        <v>186</v>
      </c>
      <c r="R128" s="85" t="s">
        <v>33</v>
      </c>
      <c r="S128" s="128">
        <f>VLOOKUP(O128,'114分行業績'!A:L,12,0)</f>
        <v>43935053</v>
      </c>
      <c r="T128" s="129">
        <f t="shared" si="15"/>
        <v>24728034.560000002</v>
      </c>
      <c r="U128" s="90">
        <f>VLOOKUP(O128,'114分行業績'!A:AU,47,0)</f>
        <v>68663087.560000002</v>
      </c>
      <c r="V128" s="215">
        <f>VLOOKUP(O128,'114分行業績'!A:AV,48,0)</f>
        <v>59940000</v>
      </c>
      <c r="W128" s="177">
        <f t="shared" si="16"/>
        <v>1.1455303229896563</v>
      </c>
      <c r="X128" s="181">
        <f t="shared" si="17"/>
        <v>59940000</v>
      </c>
      <c r="Y128" s="181">
        <f t="shared" si="18"/>
        <v>21586539</v>
      </c>
      <c r="Z128" s="181">
        <f t="shared" si="19"/>
        <v>38353461</v>
      </c>
    </row>
    <row r="129" spans="1:26">
      <c r="A129" s="91">
        <v>420</v>
      </c>
      <c r="B129" s="88">
        <v>4200</v>
      </c>
      <c r="C129" s="88" t="s">
        <v>38</v>
      </c>
      <c r="D129" s="85" t="s">
        <v>33</v>
      </c>
      <c r="E129" s="128">
        <f>VLOOKUP(A129,'113分行業績'!A:L,12,0)</f>
        <v>33152918</v>
      </c>
      <c r="F129" s="129">
        <f t="shared" si="10"/>
        <v>37044905.069999993</v>
      </c>
      <c r="G129" s="90">
        <f>VLOOKUP(A129,'113分行業績'!A:AU,47,0)</f>
        <v>70197823.069999993</v>
      </c>
      <c r="H129" s="215">
        <f>VLOOKUP(A129,'113分行業績'!A:AV,48,0)</f>
        <v>65820000</v>
      </c>
      <c r="I129" s="177">
        <f t="shared" si="11"/>
        <v>1.0665120490732298</v>
      </c>
      <c r="J129" s="181">
        <f t="shared" si="12"/>
        <v>65820000</v>
      </c>
      <c r="K129" s="181">
        <f t="shared" si="13"/>
        <v>34734633</v>
      </c>
      <c r="L129" s="181">
        <f t="shared" si="14"/>
        <v>31085367</v>
      </c>
      <c r="O129" s="91">
        <v>420</v>
      </c>
      <c r="P129" s="88">
        <v>4200</v>
      </c>
      <c r="Q129" s="88" t="s">
        <v>38</v>
      </c>
      <c r="R129" s="85" t="s">
        <v>33</v>
      </c>
      <c r="S129" s="128">
        <f>VLOOKUP(O129,'114分行業績'!A:L,12,0)</f>
        <v>50449563</v>
      </c>
      <c r="T129" s="129">
        <f t="shared" si="15"/>
        <v>51490491.799999997</v>
      </c>
      <c r="U129" s="90">
        <f>VLOOKUP(O129,'114分行業績'!A:AU,47,0)</f>
        <v>101940054.8</v>
      </c>
      <c r="V129" s="215">
        <f>VLOOKUP(O129,'114分行業績'!A:AV,48,0)</f>
        <v>109050000</v>
      </c>
      <c r="W129" s="177">
        <f t="shared" si="16"/>
        <v>0.93480105272810632</v>
      </c>
      <c r="X129" s="181">
        <f t="shared" si="17"/>
        <v>101940055</v>
      </c>
      <c r="Y129" s="181">
        <f t="shared" si="18"/>
        <v>51490492</v>
      </c>
      <c r="Z129" s="181">
        <f t="shared" si="19"/>
        <v>50449563</v>
      </c>
    </row>
    <row r="130" spans="1:26">
      <c r="A130" s="91">
        <v>422</v>
      </c>
      <c r="B130" s="88">
        <v>4220</v>
      </c>
      <c r="C130" s="88" t="s">
        <v>101</v>
      </c>
      <c r="D130" s="85" t="s">
        <v>33</v>
      </c>
      <c r="E130" s="128">
        <f>VLOOKUP(A130,'113分行業績'!A:L,12,0)</f>
        <v>32803913</v>
      </c>
      <c r="F130" s="129">
        <f t="shared" si="10"/>
        <v>25130897.719999999</v>
      </c>
      <c r="G130" s="90">
        <f>VLOOKUP(A130,'113分行業績'!A:AU,47,0)</f>
        <v>57934810.719999999</v>
      </c>
      <c r="H130" s="215">
        <f>VLOOKUP(A130,'113分行業績'!A:AV,48,0)</f>
        <v>37720000</v>
      </c>
      <c r="I130" s="177">
        <f t="shared" si="11"/>
        <v>1.5359175694591729</v>
      </c>
      <c r="J130" s="181">
        <f t="shared" si="12"/>
        <v>37720000</v>
      </c>
      <c r="K130" s="181">
        <f t="shared" si="13"/>
        <v>16362140</v>
      </c>
      <c r="L130" s="181">
        <f t="shared" si="14"/>
        <v>21357860</v>
      </c>
      <c r="O130" s="91">
        <v>422</v>
      </c>
      <c r="P130" s="88">
        <v>4220</v>
      </c>
      <c r="Q130" s="88" t="s">
        <v>101</v>
      </c>
      <c r="R130" s="85" t="s">
        <v>33</v>
      </c>
      <c r="S130" s="128">
        <f>VLOOKUP(O130,'114分行業績'!A:L,12,0)</f>
        <v>53316292</v>
      </c>
      <c r="T130" s="129">
        <f t="shared" si="15"/>
        <v>27878110.200000003</v>
      </c>
      <c r="U130" s="90">
        <f>VLOOKUP(O130,'114分行業績'!A:AU,47,0)</f>
        <v>81194402.200000003</v>
      </c>
      <c r="V130" s="215">
        <f>VLOOKUP(O130,'114分行業績'!A:AV,48,0)</f>
        <v>66050000</v>
      </c>
      <c r="W130" s="177">
        <f t="shared" si="16"/>
        <v>1.2292869371688115</v>
      </c>
      <c r="X130" s="181">
        <f t="shared" si="17"/>
        <v>66050000</v>
      </c>
      <c r="Y130" s="181">
        <f t="shared" si="18"/>
        <v>22678277</v>
      </c>
      <c r="Z130" s="181">
        <f t="shared" si="19"/>
        <v>43371723</v>
      </c>
    </row>
    <row r="131" spans="1:26">
      <c r="A131" s="91">
        <v>423</v>
      </c>
      <c r="B131" s="88">
        <v>4230</v>
      </c>
      <c r="C131" s="88" t="s">
        <v>187</v>
      </c>
      <c r="D131" s="85" t="s">
        <v>33</v>
      </c>
      <c r="E131" s="128">
        <f>VLOOKUP(A131,'113分行業績'!A:L,12,0)</f>
        <v>17909934</v>
      </c>
      <c r="F131" s="129">
        <f t="shared" si="10"/>
        <v>18288219.369999997</v>
      </c>
      <c r="G131" s="90">
        <f>VLOOKUP(A131,'113分行業績'!A:AU,47,0)</f>
        <v>36198153.369999997</v>
      </c>
      <c r="H131" s="215">
        <f>VLOOKUP(A131,'113分行業績'!A:AV,48,0)</f>
        <v>29590000</v>
      </c>
      <c r="I131" s="177">
        <f t="shared" si="11"/>
        <v>1.2233238719161879</v>
      </c>
      <c r="J131" s="181">
        <f t="shared" si="12"/>
        <v>29590000</v>
      </c>
      <c r="K131" s="181">
        <f t="shared" si="13"/>
        <v>14949614</v>
      </c>
      <c r="L131" s="181">
        <f t="shared" si="14"/>
        <v>14640386</v>
      </c>
      <c r="O131" s="91">
        <v>423</v>
      </c>
      <c r="P131" s="88">
        <v>4230</v>
      </c>
      <c r="Q131" s="88" t="s">
        <v>187</v>
      </c>
      <c r="R131" s="85" t="s">
        <v>33</v>
      </c>
      <c r="S131" s="128">
        <f>VLOOKUP(O131,'114分行業績'!A:L,12,0)</f>
        <v>33661996</v>
      </c>
      <c r="T131" s="129">
        <f t="shared" si="15"/>
        <v>19193928.890000001</v>
      </c>
      <c r="U131" s="90">
        <f>VLOOKUP(O131,'114分行業績'!A:AU,47,0)</f>
        <v>52855924.890000001</v>
      </c>
      <c r="V131" s="215">
        <f>VLOOKUP(O131,'114分行業績'!A:AV,48,0)</f>
        <v>50080000</v>
      </c>
      <c r="W131" s="177">
        <f t="shared" si="16"/>
        <v>1.055429810103834</v>
      </c>
      <c r="X131" s="181">
        <f t="shared" si="17"/>
        <v>50080000</v>
      </c>
      <c r="Y131" s="181">
        <f t="shared" si="18"/>
        <v>18185889</v>
      </c>
      <c r="Z131" s="181">
        <f t="shared" si="19"/>
        <v>31894111</v>
      </c>
    </row>
    <row r="132" spans="1:26" ht="22.5">
      <c r="A132" s="91">
        <v>424</v>
      </c>
      <c r="B132" s="88">
        <v>4240</v>
      </c>
      <c r="C132" s="88" t="s">
        <v>188</v>
      </c>
      <c r="D132" s="85" t="s">
        <v>33</v>
      </c>
      <c r="E132" s="128">
        <f>VLOOKUP(A132,'113分行業績'!A:L,12,0)</f>
        <v>30725539</v>
      </c>
      <c r="F132" s="129">
        <f t="shared" si="10"/>
        <v>39560686</v>
      </c>
      <c r="G132" s="90">
        <f>VLOOKUP(A132,'113分行業績'!A:AU,47,0)</f>
        <v>70286225</v>
      </c>
      <c r="H132" s="215">
        <f>VLOOKUP(A132,'113分行業績'!A:AV,48,0)</f>
        <v>46280000</v>
      </c>
      <c r="I132" s="177">
        <f t="shared" si="11"/>
        <v>1.5187170484010373</v>
      </c>
      <c r="J132" s="181">
        <f t="shared" si="12"/>
        <v>46280000</v>
      </c>
      <c r="K132" s="181">
        <f t="shared" si="13"/>
        <v>26048753</v>
      </c>
      <c r="L132" s="181">
        <f t="shared" si="14"/>
        <v>20231247</v>
      </c>
      <c r="O132" s="91">
        <v>424</v>
      </c>
      <c r="P132" s="88">
        <v>4240</v>
      </c>
      <c r="Q132" s="88" t="s">
        <v>188</v>
      </c>
      <c r="R132" s="85" t="s">
        <v>33</v>
      </c>
      <c r="S132" s="128">
        <f>VLOOKUP(O132,'114分行業績'!A:L,12,0)</f>
        <v>67429034</v>
      </c>
      <c r="T132" s="129">
        <f t="shared" si="15"/>
        <v>38917172.459999993</v>
      </c>
      <c r="U132" s="90">
        <f>VLOOKUP(O132,'114分行業績'!A:AU,47,0)</f>
        <v>106346206.45999999</v>
      </c>
      <c r="V132" s="215">
        <f>VLOOKUP(O132,'114分行業績'!A:AV,48,0)</f>
        <v>81150000</v>
      </c>
      <c r="W132" s="177">
        <f t="shared" si="16"/>
        <v>1.310489297104128</v>
      </c>
      <c r="X132" s="181">
        <f t="shared" si="17"/>
        <v>81150000</v>
      </c>
      <c r="Y132" s="181">
        <f t="shared" si="18"/>
        <v>29696673</v>
      </c>
      <c r="Z132" s="181">
        <f t="shared" si="19"/>
        <v>51453327</v>
      </c>
    </row>
    <row r="133" spans="1:26">
      <c r="A133" s="91">
        <v>425</v>
      </c>
      <c r="B133" s="88">
        <v>4250</v>
      </c>
      <c r="C133" s="88" t="s">
        <v>39</v>
      </c>
      <c r="D133" s="85" t="s">
        <v>33</v>
      </c>
      <c r="E133" s="128">
        <f>VLOOKUP(A133,'113分行業績'!A:L,12,0)</f>
        <v>26528670</v>
      </c>
      <c r="F133" s="129">
        <f t="shared" si="10"/>
        <v>44679281.489999995</v>
      </c>
      <c r="G133" s="90">
        <f>VLOOKUP(A133,'113分行業績'!A:AU,47,0)</f>
        <v>71207951.489999995</v>
      </c>
      <c r="H133" s="215">
        <f>VLOOKUP(A133,'113分行業績'!A:AV,48,0)</f>
        <v>41630000</v>
      </c>
      <c r="I133" s="177">
        <f t="shared" si="11"/>
        <v>1.7104960723036271</v>
      </c>
      <c r="J133" s="181">
        <f t="shared" si="12"/>
        <v>41630000</v>
      </c>
      <c r="K133" s="181">
        <f t="shared" si="13"/>
        <v>26120657</v>
      </c>
      <c r="L133" s="181">
        <f t="shared" si="14"/>
        <v>15509343</v>
      </c>
      <c r="O133" s="91">
        <v>425</v>
      </c>
      <c r="P133" s="88">
        <v>4250</v>
      </c>
      <c r="Q133" s="88" t="s">
        <v>39</v>
      </c>
      <c r="R133" s="85" t="s">
        <v>33</v>
      </c>
      <c r="S133" s="128">
        <f>VLOOKUP(O133,'114分行業績'!A:L,12,0)</f>
        <v>33554444</v>
      </c>
      <c r="T133" s="129">
        <f t="shared" si="15"/>
        <v>25411409.380000003</v>
      </c>
      <c r="U133" s="90">
        <f>VLOOKUP(O133,'114分行業績'!A:AU,47,0)</f>
        <v>58965853.380000003</v>
      </c>
      <c r="V133" s="215">
        <f>VLOOKUP(O133,'114分行業績'!A:AV,48,0)</f>
        <v>70230000</v>
      </c>
      <c r="W133" s="177">
        <f t="shared" si="16"/>
        <v>0.83961061341307142</v>
      </c>
      <c r="X133" s="181">
        <f t="shared" si="17"/>
        <v>58965853</v>
      </c>
      <c r="Y133" s="181">
        <f t="shared" si="18"/>
        <v>25411409</v>
      </c>
      <c r="Z133" s="181">
        <f t="shared" si="19"/>
        <v>33554444</v>
      </c>
    </row>
    <row r="134" spans="1:26">
      <c r="A134" s="91">
        <v>426</v>
      </c>
      <c r="B134" s="88">
        <v>4260</v>
      </c>
      <c r="C134" s="88" t="s">
        <v>189</v>
      </c>
      <c r="D134" s="85" t="s">
        <v>33</v>
      </c>
      <c r="E134" s="128">
        <f>VLOOKUP(A134,'113分行業績'!A:L,12,0)</f>
        <v>17910628</v>
      </c>
      <c r="F134" s="129">
        <f t="shared" si="10"/>
        <v>20152522.539999999</v>
      </c>
      <c r="G134" s="90">
        <f>VLOOKUP(A134,'113分行業績'!A:AU,47,0)</f>
        <v>38063150.539999999</v>
      </c>
      <c r="H134" s="215">
        <f>VLOOKUP(A134,'113分行業績'!A:AV,48,0)</f>
        <v>31280000</v>
      </c>
      <c r="I134" s="177">
        <f t="shared" si="11"/>
        <v>1.2168526387468031</v>
      </c>
      <c r="J134" s="181">
        <f t="shared" si="12"/>
        <v>31280000</v>
      </c>
      <c r="K134" s="181">
        <f t="shared" si="13"/>
        <v>16561186</v>
      </c>
      <c r="L134" s="181">
        <f t="shared" si="14"/>
        <v>14718814</v>
      </c>
      <c r="O134" s="91">
        <v>426</v>
      </c>
      <c r="P134" s="88">
        <v>4260</v>
      </c>
      <c r="Q134" s="88" t="s">
        <v>189</v>
      </c>
      <c r="R134" s="85" t="s">
        <v>33</v>
      </c>
      <c r="S134" s="128">
        <f>VLOOKUP(O134,'114分行業績'!A:L,12,0)</f>
        <v>32563497</v>
      </c>
      <c r="T134" s="129">
        <f t="shared" si="15"/>
        <v>19139047.409999996</v>
      </c>
      <c r="U134" s="90">
        <f>VLOOKUP(O134,'114分行業績'!A:AU,47,0)</f>
        <v>51702544.409999996</v>
      </c>
      <c r="V134" s="215">
        <f>VLOOKUP(O134,'114分行業績'!A:AV,48,0)</f>
        <v>54330000</v>
      </c>
      <c r="W134" s="177">
        <f t="shared" si="16"/>
        <v>0.95163895472114846</v>
      </c>
      <c r="X134" s="181">
        <f t="shared" si="17"/>
        <v>51702544</v>
      </c>
      <c r="Y134" s="181">
        <f t="shared" si="18"/>
        <v>19139047</v>
      </c>
      <c r="Z134" s="181">
        <f t="shared" si="19"/>
        <v>32563497</v>
      </c>
    </row>
    <row r="135" spans="1:26">
      <c r="A135" s="91">
        <v>427</v>
      </c>
      <c r="B135" s="88">
        <v>4270</v>
      </c>
      <c r="C135" s="88" t="s">
        <v>190</v>
      </c>
      <c r="D135" s="85" t="s">
        <v>33</v>
      </c>
      <c r="E135" s="128">
        <f>VLOOKUP(A135,'113分行業績'!A:L,12,0)</f>
        <v>21281178</v>
      </c>
      <c r="F135" s="129">
        <f t="shared" si="10"/>
        <v>20271682.799999997</v>
      </c>
      <c r="G135" s="90">
        <f>VLOOKUP(A135,'113分行業績'!A:AU,47,0)</f>
        <v>41552860.799999997</v>
      </c>
      <c r="H135" s="215">
        <f>VLOOKUP(A135,'113分行業績'!A:AV,48,0)</f>
        <v>35920000</v>
      </c>
      <c r="I135" s="177">
        <f t="shared" si="11"/>
        <v>1.1568168374164809</v>
      </c>
      <c r="J135" s="181">
        <f t="shared" si="12"/>
        <v>35920000</v>
      </c>
      <c r="K135" s="181">
        <f t="shared" si="13"/>
        <v>17523675</v>
      </c>
      <c r="L135" s="181">
        <f t="shared" si="14"/>
        <v>18396325</v>
      </c>
      <c r="O135" s="91">
        <v>427</v>
      </c>
      <c r="P135" s="88">
        <v>4270</v>
      </c>
      <c r="Q135" s="88" t="s">
        <v>190</v>
      </c>
      <c r="R135" s="85" t="s">
        <v>33</v>
      </c>
      <c r="S135" s="128">
        <f>VLOOKUP(O135,'114分行業績'!A:L,12,0)</f>
        <v>34476277.960000001</v>
      </c>
      <c r="T135" s="129">
        <f t="shared" si="15"/>
        <v>19693405.350000001</v>
      </c>
      <c r="U135" s="90">
        <f>VLOOKUP(O135,'114分行業績'!A:AU,47,0)</f>
        <v>54169683.310000002</v>
      </c>
      <c r="V135" s="215">
        <f>VLOOKUP(O135,'114分行業績'!A:AV,48,0)</f>
        <v>61090000</v>
      </c>
      <c r="W135" s="177">
        <f t="shared" si="16"/>
        <v>0.88671932083810778</v>
      </c>
      <c r="X135" s="181">
        <f t="shared" si="17"/>
        <v>54169683</v>
      </c>
      <c r="Y135" s="181">
        <f t="shared" si="18"/>
        <v>19693405</v>
      </c>
      <c r="Z135" s="181">
        <f t="shared" si="19"/>
        <v>34476278</v>
      </c>
    </row>
    <row r="136" spans="1:26">
      <c r="A136" s="91">
        <v>429</v>
      </c>
      <c r="B136" s="88">
        <v>4290</v>
      </c>
      <c r="C136" s="88" t="s">
        <v>191</v>
      </c>
      <c r="D136" s="85" t="s">
        <v>33</v>
      </c>
      <c r="E136" s="128">
        <f>VLOOKUP(A136,'113分行業績'!A:L,12,0)</f>
        <v>12774927</v>
      </c>
      <c r="F136" s="129">
        <f t="shared" si="10"/>
        <v>11947929.190000001</v>
      </c>
      <c r="G136" s="90">
        <f>VLOOKUP(A136,'113分行業績'!A:AU,47,0)</f>
        <v>24722856.190000001</v>
      </c>
      <c r="H136" s="215">
        <f>VLOOKUP(A136,'113分行業績'!A:AV,48,0)</f>
        <v>23750000</v>
      </c>
      <c r="I136" s="177">
        <f t="shared" si="11"/>
        <v>1.0409623658947369</v>
      </c>
      <c r="J136" s="181">
        <f t="shared" si="12"/>
        <v>23750000</v>
      </c>
      <c r="K136" s="181">
        <f t="shared" si="13"/>
        <v>11477772</v>
      </c>
      <c r="L136" s="181">
        <f t="shared" si="14"/>
        <v>12272228</v>
      </c>
      <c r="O136" s="91">
        <v>429</v>
      </c>
      <c r="P136" s="88">
        <v>4290</v>
      </c>
      <c r="Q136" s="88" t="s">
        <v>191</v>
      </c>
      <c r="R136" s="85" t="s">
        <v>33</v>
      </c>
      <c r="S136" s="128">
        <f>VLOOKUP(O136,'114分行業績'!A:L,12,0)</f>
        <v>43415219</v>
      </c>
      <c r="T136" s="129">
        <f t="shared" si="15"/>
        <v>13605571.140000001</v>
      </c>
      <c r="U136" s="90">
        <f>VLOOKUP(O136,'114分行業績'!A:AU,47,0)</f>
        <v>57020790.140000001</v>
      </c>
      <c r="V136" s="215">
        <f>VLOOKUP(O136,'114分行業績'!A:AV,48,0)</f>
        <v>43650000</v>
      </c>
      <c r="W136" s="177">
        <f t="shared" si="16"/>
        <v>1.3063182162657503</v>
      </c>
      <c r="X136" s="181">
        <f t="shared" si="17"/>
        <v>43650000</v>
      </c>
      <c r="Y136" s="181">
        <f t="shared" si="18"/>
        <v>10415204</v>
      </c>
      <c r="Z136" s="181">
        <f t="shared" si="19"/>
        <v>33234796</v>
      </c>
    </row>
    <row r="137" spans="1:26">
      <c r="A137" s="91">
        <v>430</v>
      </c>
      <c r="B137" s="88">
        <v>4300</v>
      </c>
      <c r="C137" s="88" t="s">
        <v>40</v>
      </c>
      <c r="D137" s="85" t="s">
        <v>33</v>
      </c>
      <c r="E137" s="128">
        <f>VLOOKUP(A137,'113分行業績'!A:L,12,0)</f>
        <v>21232462</v>
      </c>
      <c r="F137" s="129">
        <f t="shared" ref="F137:F193" si="20">G137-E137</f>
        <v>10433610.09</v>
      </c>
      <c r="G137" s="90">
        <f>VLOOKUP(A137,'113分行業績'!A:AU,47,0)</f>
        <v>31666072.09</v>
      </c>
      <c r="H137" s="215">
        <f>VLOOKUP(A137,'113分行業績'!A:AV,48,0)</f>
        <v>25090000</v>
      </c>
      <c r="I137" s="177">
        <f t="shared" ref="I137:I193" si="21">IF(ISERROR(G137/H137), 0, G137/H137)</f>
        <v>1.2620993260263054</v>
      </c>
      <c r="J137" s="181">
        <f t="shared" ref="J137:J193" si="22">ROUND(MIN(G137,H137), 0)</f>
        <v>25090000</v>
      </c>
      <c r="K137" s="181">
        <f t="shared" ref="K137:K193" si="23">IF(ISERROR(ROUND(J137*(F137/G137), 0)), 0, ROUND(J137*(F137/G137), 0))</f>
        <v>8266869</v>
      </c>
      <c r="L137" s="181">
        <f t="shared" ref="L137:L193" si="24">J137-K137</f>
        <v>16823131</v>
      </c>
      <c r="O137" s="91">
        <v>430</v>
      </c>
      <c r="P137" s="88">
        <v>4300</v>
      </c>
      <c r="Q137" s="88" t="s">
        <v>40</v>
      </c>
      <c r="R137" s="85" t="s">
        <v>33</v>
      </c>
      <c r="S137" s="128">
        <f>VLOOKUP(O137,'114分行業績'!A:L,12,0)</f>
        <v>24707844</v>
      </c>
      <c r="T137" s="129">
        <f t="shared" ref="T137:T193" si="25">U137-S137</f>
        <v>11655961.159999996</v>
      </c>
      <c r="U137" s="90">
        <f>VLOOKUP(O137,'114分行業績'!A:AU,47,0)</f>
        <v>36363805.159999996</v>
      </c>
      <c r="V137" s="215">
        <f>VLOOKUP(O137,'114分行業績'!A:AV,48,0)</f>
        <v>40580000</v>
      </c>
      <c r="W137" s="177">
        <f t="shared" ref="W137:W193" si="26">IF(ISERROR(U137/V137), 0, U137/V137)</f>
        <v>0.89610165500246419</v>
      </c>
      <c r="X137" s="181">
        <f t="shared" ref="X137:X193" si="27">ROUND(MIN(U137,V137), 0)</f>
        <v>36363805</v>
      </c>
      <c r="Y137" s="181">
        <f t="shared" ref="Y137:Y193" si="28">IF(ISERROR(ROUND(X137*(T137/U137), 0)), 0, ROUND(X137*(T137/U137), 0))</f>
        <v>11655961</v>
      </c>
      <c r="Z137" s="181">
        <f t="shared" ref="Z137:Z193" si="29">X137-Y137</f>
        <v>24707844</v>
      </c>
    </row>
    <row r="138" spans="1:26">
      <c r="A138" s="91">
        <v>431</v>
      </c>
      <c r="B138" s="88">
        <v>4310</v>
      </c>
      <c r="C138" s="88" t="s">
        <v>102</v>
      </c>
      <c r="D138" s="85" t="s">
        <v>33</v>
      </c>
      <c r="E138" s="128">
        <f>VLOOKUP(A138,'113分行業績'!A:L,12,0)</f>
        <v>12707017</v>
      </c>
      <c r="F138" s="129">
        <f t="shared" si="20"/>
        <v>11334564.550000001</v>
      </c>
      <c r="G138" s="90">
        <f>VLOOKUP(A138,'113分行業績'!A:AU,47,0)</f>
        <v>24041581.550000001</v>
      </c>
      <c r="H138" s="215">
        <f>VLOOKUP(A138,'113分行業績'!A:AV,48,0)</f>
        <v>16780000</v>
      </c>
      <c r="I138" s="177">
        <f t="shared" si="21"/>
        <v>1.4327521781883195</v>
      </c>
      <c r="J138" s="181">
        <f t="shared" si="22"/>
        <v>16780000</v>
      </c>
      <c r="K138" s="181">
        <f t="shared" si="23"/>
        <v>7911043</v>
      </c>
      <c r="L138" s="181">
        <f t="shared" si="24"/>
        <v>8868957</v>
      </c>
      <c r="O138" s="91">
        <v>431</v>
      </c>
      <c r="P138" s="88">
        <v>4310</v>
      </c>
      <c r="Q138" s="88" t="s">
        <v>102</v>
      </c>
      <c r="R138" s="85" t="s">
        <v>33</v>
      </c>
      <c r="S138" s="128">
        <f>VLOOKUP(O138,'114分行業績'!A:L,12,0)</f>
        <v>29148075</v>
      </c>
      <c r="T138" s="129">
        <f t="shared" si="25"/>
        <v>6354783.1499999985</v>
      </c>
      <c r="U138" s="90">
        <f>VLOOKUP(O138,'114分行業績'!A:AU,47,0)</f>
        <v>35502858.149999999</v>
      </c>
      <c r="V138" s="215">
        <f>VLOOKUP(O138,'114分行業績'!A:AV,48,0)</f>
        <v>29520000</v>
      </c>
      <c r="W138" s="177">
        <f t="shared" si="26"/>
        <v>1.2026713465447154</v>
      </c>
      <c r="X138" s="181">
        <f t="shared" si="27"/>
        <v>29520000</v>
      </c>
      <c r="Y138" s="181">
        <f t="shared" si="28"/>
        <v>5283890</v>
      </c>
      <c r="Z138" s="181">
        <f t="shared" si="29"/>
        <v>24236110</v>
      </c>
    </row>
    <row r="139" spans="1:26">
      <c r="A139" s="91">
        <v>451</v>
      </c>
      <c r="B139" s="88">
        <v>4510</v>
      </c>
      <c r="C139" s="88" t="s">
        <v>103</v>
      </c>
      <c r="D139" s="85" t="s">
        <v>33</v>
      </c>
      <c r="E139" s="128">
        <f>VLOOKUP(A139,'113分行業績'!A:L,12,0)</f>
        <v>25348514</v>
      </c>
      <c r="F139" s="129">
        <f t="shared" si="20"/>
        <v>9668371.9399999976</v>
      </c>
      <c r="G139" s="90">
        <f>VLOOKUP(A139,'113分行業績'!A:AU,47,0)</f>
        <v>35016885.939999998</v>
      </c>
      <c r="H139" s="215">
        <f>VLOOKUP(A139,'113分行業績'!A:AV,48,0)</f>
        <v>28640000</v>
      </c>
      <c r="I139" s="177">
        <f t="shared" si="21"/>
        <v>1.2226566319832401</v>
      </c>
      <c r="J139" s="181">
        <f t="shared" si="22"/>
        <v>28640000</v>
      </c>
      <c r="K139" s="181">
        <f t="shared" si="23"/>
        <v>7907676</v>
      </c>
      <c r="L139" s="181">
        <f t="shared" si="24"/>
        <v>20732324</v>
      </c>
      <c r="O139" s="91">
        <v>451</v>
      </c>
      <c r="P139" s="88">
        <v>4510</v>
      </c>
      <c r="Q139" s="88" t="s">
        <v>103</v>
      </c>
      <c r="R139" s="85" t="s">
        <v>33</v>
      </c>
      <c r="S139" s="128">
        <f>VLOOKUP(O139,'114分行業績'!A:L,12,0)</f>
        <v>29012928</v>
      </c>
      <c r="T139" s="129">
        <f t="shared" si="25"/>
        <v>7536414.1599999964</v>
      </c>
      <c r="U139" s="90">
        <f>VLOOKUP(O139,'114分行業績'!A:AU,47,0)</f>
        <v>36549342.159999996</v>
      </c>
      <c r="V139" s="215">
        <f>VLOOKUP(O139,'114分行業績'!A:AV,48,0)</f>
        <v>48530000</v>
      </c>
      <c r="W139" s="177">
        <f t="shared" si="26"/>
        <v>0.75312883082629289</v>
      </c>
      <c r="X139" s="181">
        <f t="shared" si="27"/>
        <v>36549342</v>
      </c>
      <c r="Y139" s="181">
        <f t="shared" si="28"/>
        <v>7536414</v>
      </c>
      <c r="Z139" s="181">
        <f t="shared" si="29"/>
        <v>29012928</v>
      </c>
    </row>
    <row r="140" spans="1:26">
      <c r="A140" s="91">
        <v>500</v>
      </c>
      <c r="B140" s="88">
        <v>5000</v>
      </c>
      <c r="C140" s="88" t="s">
        <v>41</v>
      </c>
      <c r="D140" s="85" t="s">
        <v>33</v>
      </c>
      <c r="E140" s="128">
        <f>VLOOKUP(A140,'113分行業績'!A:L,12,0)</f>
        <v>20686041</v>
      </c>
      <c r="F140" s="129">
        <f t="shared" si="20"/>
        <v>21262797.469999999</v>
      </c>
      <c r="G140" s="90">
        <f>VLOOKUP(A140,'113分行業績'!A:AU,47,0)</f>
        <v>41948838.469999999</v>
      </c>
      <c r="H140" s="215">
        <f>VLOOKUP(A140,'113分行業績'!A:AV,48,0)</f>
        <v>27820000</v>
      </c>
      <c r="I140" s="177">
        <f t="shared" si="21"/>
        <v>1.5078662282530553</v>
      </c>
      <c r="J140" s="181">
        <f t="shared" si="22"/>
        <v>27820000</v>
      </c>
      <c r="K140" s="181">
        <f t="shared" si="23"/>
        <v>14101249</v>
      </c>
      <c r="L140" s="181">
        <f t="shared" si="24"/>
        <v>13718751</v>
      </c>
      <c r="O140" s="91">
        <v>500</v>
      </c>
      <c r="P140" s="88">
        <v>5000</v>
      </c>
      <c r="Q140" s="88" t="s">
        <v>41</v>
      </c>
      <c r="R140" s="85" t="s">
        <v>33</v>
      </c>
      <c r="S140" s="128">
        <f>VLOOKUP(O140,'114分行業績'!A:L,12,0)</f>
        <v>42707152</v>
      </c>
      <c r="T140" s="129">
        <f t="shared" si="25"/>
        <v>20649303.079999998</v>
      </c>
      <c r="U140" s="90">
        <f>VLOOKUP(O140,'114分行業績'!A:AU,47,0)</f>
        <v>63356455.079999998</v>
      </c>
      <c r="V140" s="215">
        <f>VLOOKUP(O140,'114分行業績'!A:AV,48,0)</f>
        <v>49100000</v>
      </c>
      <c r="W140" s="177">
        <f t="shared" si="26"/>
        <v>1.2903555006109979</v>
      </c>
      <c r="X140" s="181">
        <f t="shared" si="27"/>
        <v>49100000</v>
      </c>
      <c r="Y140" s="181">
        <f t="shared" si="28"/>
        <v>16002802</v>
      </c>
      <c r="Z140" s="181">
        <f t="shared" si="29"/>
        <v>33097198</v>
      </c>
    </row>
    <row r="141" spans="1:26">
      <c r="A141" s="91">
        <v>501</v>
      </c>
      <c r="B141" s="88">
        <v>5010</v>
      </c>
      <c r="C141" s="88" t="s">
        <v>192</v>
      </c>
      <c r="D141" s="85" t="s">
        <v>33</v>
      </c>
      <c r="E141" s="128">
        <f>VLOOKUP(A141,'113分行業績'!A:L,12,0)</f>
        <v>19487545</v>
      </c>
      <c r="F141" s="129">
        <f t="shared" si="20"/>
        <v>9588545.6799999997</v>
      </c>
      <c r="G141" s="90">
        <f>VLOOKUP(A141,'113分行業績'!A:AU,47,0)</f>
        <v>29076090.68</v>
      </c>
      <c r="H141" s="215">
        <f>VLOOKUP(A141,'113分行業績'!A:AV,48,0)</f>
        <v>28250000</v>
      </c>
      <c r="I141" s="177">
        <f t="shared" si="21"/>
        <v>1.0292421479646017</v>
      </c>
      <c r="J141" s="181">
        <f t="shared" si="22"/>
        <v>28250000</v>
      </c>
      <c r="K141" s="181">
        <f t="shared" si="23"/>
        <v>9316122</v>
      </c>
      <c r="L141" s="181">
        <f t="shared" si="24"/>
        <v>18933878</v>
      </c>
      <c r="O141" s="91">
        <v>501</v>
      </c>
      <c r="P141" s="88">
        <v>5010</v>
      </c>
      <c r="Q141" s="88" t="s">
        <v>192</v>
      </c>
      <c r="R141" s="85" t="s">
        <v>33</v>
      </c>
      <c r="S141" s="128">
        <f>VLOOKUP(O141,'114分行業績'!A:L,12,0)</f>
        <v>35830630</v>
      </c>
      <c r="T141" s="129">
        <f t="shared" si="25"/>
        <v>11699359.490000002</v>
      </c>
      <c r="U141" s="90">
        <f>VLOOKUP(O141,'114分行業績'!A:AU,47,0)</f>
        <v>47529989.490000002</v>
      </c>
      <c r="V141" s="215">
        <f>VLOOKUP(O141,'114分行業績'!A:AV,48,0)</f>
        <v>48180000</v>
      </c>
      <c r="W141" s="177">
        <f t="shared" si="26"/>
        <v>0.98650870672478208</v>
      </c>
      <c r="X141" s="181">
        <f t="shared" si="27"/>
        <v>47529989</v>
      </c>
      <c r="Y141" s="181">
        <f t="shared" si="28"/>
        <v>11699359</v>
      </c>
      <c r="Z141" s="181">
        <f t="shared" si="29"/>
        <v>35830630</v>
      </c>
    </row>
    <row r="142" spans="1:26">
      <c r="A142" s="91">
        <v>520</v>
      </c>
      <c r="B142" s="88">
        <v>5200</v>
      </c>
      <c r="C142" s="88" t="s">
        <v>193</v>
      </c>
      <c r="D142" s="85" t="s">
        <v>33</v>
      </c>
      <c r="E142" s="128">
        <f>VLOOKUP(A142,'113分行業績'!A:L,12,0)</f>
        <v>43749274</v>
      </c>
      <c r="F142" s="129">
        <f t="shared" si="20"/>
        <v>29356828</v>
      </c>
      <c r="G142" s="90">
        <f>VLOOKUP(A142,'113分行業績'!A:AU,47,0)</f>
        <v>73106102</v>
      </c>
      <c r="H142" s="215">
        <f>VLOOKUP(A142,'113分行業績'!A:AV,48,0)</f>
        <v>45650000</v>
      </c>
      <c r="I142" s="177">
        <f t="shared" si="21"/>
        <v>1.6014480175246439</v>
      </c>
      <c r="J142" s="181">
        <f t="shared" si="22"/>
        <v>45650000</v>
      </c>
      <c r="K142" s="181">
        <f t="shared" si="23"/>
        <v>18331427</v>
      </c>
      <c r="L142" s="181">
        <f t="shared" si="24"/>
        <v>27318573</v>
      </c>
      <c r="O142" s="91">
        <v>520</v>
      </c>
      <c r="P142" s="88">
        <v>5200</v>
      </c>
      <c r="Q142" s="88" t="s">
        <v>193</v>
      </c>
      <c r="R142" s="85" t="s">
        <v>33</v>
      </c>
      <c r="S142" s="128">
        <f>VLOOKUP(O142,'114分行業績'!A:L,12,0)</f>
        <v>40164469</v>
      </c>
      <c r="T142" s="129">
        <f t="shared" si="25"/>
        <v>16001729.259999998</v>
      </c>
      <c r="U142" s="90">
        <f>VLOOKUP(O142,'114分行業績'!A:AU,47,0)</f>
        <v>56166198.259999998</v>
      </c>
      <c r="V142" s="215">
        <f>VLOOKUP(O142,'114分行業績'!A:AV,48,0)</f>
        <v>75890000</v>
      </c>
      <c r="W142" s="177">
        <f t="shared" si="26"/>
        <v>0.74010012201871123</v>
      </c>
      <c r="X142" s="181">
        <f t="shared" si="27"/>
        <v>56166198</v>
      </c>
      <c r="Y142" s="181">
        <f t="shared" si="28"/>
        <v>16001729</v>
      </c>
      <c r="Z142" s="181">
        <f t="shared" si="29"/>
        <v>40164469</v>
      </c>
    </row>
    <row r="143" spans="1:26">
      <c r="A143" s="91">
        <v>521</v>
      </c>
      <c r="B143" s="88">
        <v>5210</v>
      </c>
      <c r="C143" s="88" t="s">
        <v>194</v>
      </c>
      <c r="D143" s="85" t="s">
        <v>33</v>
      </c>
      <c r="E143" s="128">
        <f>VLOOKUP(A143,'113分行業績'!A:L,12,0)</f>
        <v>34912821</v>
      </c>
      <c r="F143" s="129">
        <f t="shared" si="20"/>
        <v>35205662.159999996</v>
      </c>
      <c r="G143" s="90">
        <f>VLOOKUP(A143,'113分行業績'!A:AU,47,0)</f>
        <v>70118483.159999996</v>
      </c>
      <c r="H143" s="215">
        <f>VLOOKUP(A143,'113分行業績'!A:AV,48,0)</f>
        <v>65580000</v>
      </c>
      <c r="I143" s="177">
        <f t="shared" si="21"/>
        <v>1.0692052936870997</v>
      </c>
      <c r="J143" s="181">
        <f t="shared" si="22"/>
        <v>65580000</v>
      </c>
      <c r="K143" s="181">
        <f t="shared" si="23"/>
        <v>32926943</v>
      </c>
      <c r="L143" s="181">
        <f t="shared" si="24"/>
        <v>32653057</v>
      </c>
      <c r="O143" s="91">
        <v>521</v>
      </c>
      <c r="P143" s="88">
        <v>5210</v>
      </c>
      <c r="Q143" s="88" t="s">
        <v>194</v>
      </c>
      <c r="R143" s="85" t="s">
        <v>33</v>
      </c>
      <c r="S143" s="128">
        <f>VLOOKUP(O143,'114分行業績'!A:L,12,0)</f>
        <v>60456188</v>
      </c>
      <c r="T143" s="129">
        <f t="shared" si="25"/>
        <v>31339545.730000004</v>
      </c>
      <c r="U143" s="90">
        <f>VLOOKUP(O143,'114分行業績'!A:AU,47,0)</f>
        <v>91795733.730000004</v>
      </c>
      <c r="V143" s="215">
        <f>VLOOKUP(O143,'114分行業績'!A:AV,48,0)</f>
        <v>108240000</v>
      </c>
      <c r="W143" s="177">
        <f t="shared" si="26"/>
        <v>0.84807588442350335</v>
      </c>
      <c r="X143" s="181">
        <f t="shared" si="27"/>
        <v>91795734</v>
      </c>
      <c r="Y143" s="181">
        <f t="shared" si="28"/>
        <v>31339546</v>
      </c>
      <c r="Z143" s="181">
        <f t="shared" si="29"/>
        <v>60456188</v>
      </c>
    </row>
    <row r="144" spans="1:26">
      <c r="A144" s="91">
        <v>522</v>
      </c>
      <c r="B144" s="88">
        <v>5220</v>
      </c>
      <c r="C144" s="88" t="s">
        <v>42</v>
      </c>
      <c r="D144" s="85" t="s">
        <v>33</v>
      </c>
      <c r="E144" s="128">
        <f>VLOOKUP(A144,'113分行業績'!A:L,12,0)</f>
        <v>33518041</v>
      </c>
      <c r="F144" s="129">
        <f t="shared" si="20"/>
        <v>39664554.219999999</v>
      </c>
      <c r="G144" s="90">
        <f>VLOOKUP(A144,'113分行業績'!A:AU,47,0)</f>
        <v>73182595.219999999</v>
      </c>
      <c r="H144" s="215">
        <f>VLOOKUP(A144,'113分行業績'!A:AV,48,0)</f>
        <v>60810000</v>
      </c>
      <c r="I144" s="177">
        <f t="shared" si="21"/>
        <v>1.2034631675711231</v>
      </c>
      <c r="J144" s="181">
        <f t="shared" si="22"/>
        <v>60810000</v>
      </c>
      <c r="K144" s="181">
        <f t="shared" si="23"/>
        <v>32958677</v>
      </c>
      <c r="L144" s="181">
        <f t="shared" si="24"/>
        <v>27851323</v>
      </c>
      <c r="O144" s="91">
        <v>522</v>
      </c>
      <c r="P144" s="88">
        <v>5220</v>
      </c>
      <c r="Q144" s="88" t="s">
        <v>42</v>
      </c>
      <c r="R144" s="85" t="s">
        <v>33</v>
      </c>
      <c r="S144" s="128">
        <f>VLOOKUP(O144,'114分行業績'!A:L,12,0)</f>
        <v>72044870</v>
      </c>
      <c r="T144" s="129">
        <f t="shared" si="25"/>
        <v>46381312.489999995</v>
      </c>
      <c r="U144" s="90">
        <f>VLOOKUP(O144,'114分行業績'!A:AU,47,0)</f>
        <v>118426182.48999999</v>
      </c>
      <c r="V144" s="215">
        <f>VLOOKUP(O144,'114分行業績'!A:AV,48,0)</f>
        <v>102100000</v>
      </c>
      <c r="W144" s="177">
        <f t="shared" si="26"/>
        <v>1.1599038441723799</v>
      </c>
      <c r="X144" s="181">
        <f t="shared" si="27"/>
        <v>102100000</v>
      </c>
      <c r="Y144" s="181">
        <f t="shared" si="28"/>
        <v>39987205</v>
      </c>
      <c r="Z144" s="181">
        <f t="shared" si="29"/>
        <v>62112795</v>
      </c>
    </row>
    <row r="145" spans="1:26">
      <c r="A145" s="91">
        <v>523</v>
      </c>
      <c r="B145" s="88">
        <v>5230</v>
      </c>
      <c r="C145" s="88" t="s">
        <v>104</v>
      </c>
      <c r="D145" s="85" t="s">
        <v>33</v>
      </c>
      <c r="E145" s="128">
        <f>VLOOKUP(A145,'113分行業績'!A:L,12,0)</f>
        <v>30113905</v>
      </c>
      <c r="F145" s="129">
        <f t="shared" si="20"/>
        <v>13597230.479999997</v>
      </c>
      <c r="G145" s="90">
        <f>VLOOKUP(A145,'113分行業績'!A:AU,47,0)</f>
        <v>43711135.479999997</v>
      </c>
      <c r="H145" s="215">
        <f>VLOOKUP(A145,'113分行業績'!A:AV,48,0)</f>
        <v>33970000</v>
      </c>
      <c r="I145" s="177">
        <f t="shared" si="21"/>
        <v>1.2867570055931703</v>
      </c>
      <c r="J145" s="181">
        <f t="shared" si="22"/>
        <v>33970000</v>
      </c>
      <c r="K145" s="181">
        <f t="shared" si="23"/>
        <v>10567054</v>
      </c>
      <c r="L145" s="181">
        <f t="shared" si="24"/>
        <v>23402946</v>
      </c>
      <c r="O145" s="91">
        <v>523</v>
      </c>
      <c r="P145" s="88">
        <v>5230</v>
      </c>
      <c r="Q145" s="88" t="s">
        <v>104</v>
      </c>
      <c r="R145" s="85" t="s">
        <v>33</v>
      </c>
      <c r="S145" s="128">
        <f>VLOOKUP(O145,'114分行業績'!A:L,12,0)</f>
        <v>45976669</v>
      </c>
      <c r="T145" s="129">
        <f t="shared" si="25"/>
        <v>14157292.829999998</v>
      </c>
      <c r="U145" s="90">
        <f>VLOOKUP(O145,'114分行業績'!A:AU,47,0)</f>
        <v>60133961.829999998</v>
      </c>
      <c r="V145" s="215">
        <f>VLOOKUP(O145,'114分行業績'!A:AV,48,0)</f>
        <v>58800000</v>
      </c>
      <c r="W145" s="177">
        <f t="shared" si="26"/>
        <v>1.0226864256802721</v>
      </c>
      <c r="X145" s="181">
        <f t="shared" si="27"/>
        <v>58800000</v>
      </c>
      <c r="Y145" s="181">
        <f t="shared" si="28"/>
        <v>13843239</v>
      </c>
      <c r="Z145" s="181">
        <f t="shared" si="29"/>
        <v>44956761</v>
      </c>
    </row>
    <row r="146" spans="1:26">
      <c r="A146" s="91">
        <v>524</v>
      </c>
      <c r="B146" s="88">
        <v>5240</v>
      </c>
      <c r="C146" s="88" t="s">
        <v>43</v>
      </c>
      <c r="D146" s="85" t="s">
        <v>33</v>
      </c>
      <c r="E146" s="128">
        <f>VLOOKUP(A146,'113分行業績'!A:L,12,0)</f>
        <v>21090216</v>
      </c>
      <c r="F146" s="129">
        <f t="shared" si="20"/>
        <v>13190419.009999998</v>
      </c>
      <c r="G146" s="90">
        <f>VLOOKUP(A146,'113分行業績'!A:AU,47,0)</f>
        <v>34280635.009999998</v>
      </c>
      <c r="H146" s="215">
        <f>VLOOKUP(A146,'113分行業績'!A:AV,48,0)</f>
        <v>28350000</v>
      </c>
      <c r="I146" s="177">
        <f t="shared" si="21"/>
        <v>1.2091934747795414</v>
      </c>
      <c r="J146" s="181">
        <f t="shared" si="22"/>
        <v>28350000</v>
      </c>
      <c r="K146" s="181">
        <f t="shared" si="23"/>
        <v>10908444</v>
      </c>
      <c r="L146" s="181">
        <f t="shared" si="24"/>
        <v>17441556</v>
      </c>
      <c r="O146" s="91">
        <v>524</v>
      </c>
      <c r="P146" s="88">
        <v>5240</v>
      </c>
      <c r="Q146" s="88" t="s">
        <v>43</v>
      </c>
      <c r="R146" s="85" t="s">
        <v>33</v>
      </c>
      <c r="S146" s="128">
        <f>VLOOKUP(O146,'114分行業績'!A:L,12,0)</f>
        <v>29753020</v>
      </c>
      <c r="T146" s="129">
        <f t="shared" si="25"/>
        <v>18268533.439999998</v>
      </c>
      <c r="U146" s="90">
        <f>VLOOKUP(O146,'114分行業績'!A:AU,47,0)</f>
        <v>48021553.439999998</v>
      </c>
      <c r="V146" s="215">
        <f>VLOOKUP(O146,'114分行業績'!A:AV,48,0)</f>
        <v>49730000</v>
      </c>
      <c r="W146" s="177">
        <f t="shared" si="26"/>
        <v>0.96564555479589775</v>
      </c>
      <c r="X146" s="181">
        <f t="shared" si="27"/>
        <v>48021553</v>
      </c>
      <c r="Y146" s="181">
        <f t="shared" si="28"/>
        <v>18268533</v>
      </c>
      <c r="Z146" s="181">
        <f t="shared" si="29"/>
        <v>29753020</v>
      </c>
    </row>
    <row r="147" spans="1:26">
      <c r="A147" s="91">
        <v>540</v>
      </c>
      <c r="B147" s="88">
        <v>5400</v>
      </c>
      <c r="C147" s="88" t="s">
        <v>44</v>
      </c>
      <c r="D147" s="85" t="s">
        <v>33</v>
      </c>
      <c r="E147" s="128">
        <f>VLOOKUP(A147,'113分行業績'!A:L,12,0)</f>
        <v>12403197</v>
      </c>
      <c r="F147" s="129">
        <f t="shared" si="20"/>
        <v>8405960.3000000007</v>
      </c>
      <c r="G147" s="90">
        <f>VLOOKUP(A147,'113分行業績'!A:AU,47,0)</f>
        <v>20809157.300000001</v>
      </c>
      <c r="H147" s="215">
        <f>VLOOKUP(A147,'113分行業績'!A:AV,48,0)</f>
        <v>25910000</v>
      </c>
      <c r="I147" s="177">
        <f t="shared" si="21"/>
        <v>0.80313227711308377</v>
      </c>
      <c r="J147" s="181">
        <f t="shared" si="22"/>
        <v>20809157</v>
      </c>
      <c r="K147" s="181">
        <f t="shared" si="23"/>
        <v>8405960</v>
      </c>
      <c r="L147" s="181">
        <f t="shared" si="24"/>
        <v>12403197</v>
      </c>
      <c r="O147" s="91">
        <v>540</v>
      </c>
      <c r="P147" s="88">
        <v>5400</v>
      </c>
      <c r="Q147" s="88" t="s">
        <v>44</v>
      </c>
      <c r="R147" s="85" t="s">
        <v>33</v>
      </c>
      <c r="S147" s="128">
        <f>VLOOKUP(O147,'114分行業績'!A:L,12,0)</f>
        <v>27993644</v>
      </c>
      <c r="T147" s="129">
        <f t="shared" si="25"/>
        <v>8665749.9200000018</v>
      </c>
      <c r="U147" s="90">
        <f>VLOOKUP(O147,'114分行業績'!A:AU,47,0)</f>
        <v>36659393.920000002</v>
      </c>
      <c r="V147" s="215">
        <f>VLOOKUP(O147,'114分行業績'!A:AV,48,0)</f>
        <v>40060000</v>
      </c>
      <c r="W147" s="177">
        <f t="shared" si="26"/>
        <v>0.91511217973040448</v>
      </c>
      <c r="X147" s="181">
        <f t="shared" si="27"/>
        <v>36659394</v>
      </c>
      <c r="Y147" s="181">
        <f t="shared" si="28"/>
        <v>8665750</v>
      </c>
      <c r="Z147" s="181">
        <f t="shared" si="29"/>
        <v>27993644</v>
      </c>
    </row>
    <row r="148" spans="1:26">
      <c r="A148" s="91">
        <v>541</v>
      </c>
      <c r="B148" s="88">
        <v>5410</v>
      </c>
      <c r="C148" s="88" t="s">
        <v>105</v>
      </c>
      <c r="D148" s="85" t="s">
        <v>33</v>
      </c>
      <c r="E148" s="128">
        <f>VLOOKUP(A148,'113分行業績'!A:L,12,0)</f>
        <v>32538885</v>
      </c>
      <c r="F148" s="129">
        <f t="shared" si="20"/>
        <v>11548801.630000003</v>
      </c>
      <c r="G148" s="90">
        <f>VLOOKUP(A148,'113分行業績'!A:AU,47,0)</f>
        <v>44087686.630000003</v>
      </c>
      <c r="H148" s="215">
        <f>VLOOKUP(A148,'113分行業績'!A:AV,48,0)</f>
        <v>34500000</v>
      </c>
      <c r="I148" s="177">
        <f t="shared" si="21"/>
        <v>1.2779039602898552</v>
      </c>
      <c r="J148" s="181">
        <f t="shared" si="22"/>
        <v>34500000</v>
      </c>
      <c r="K148" s="181">
        <f t="shared" si="23"/>
        <v>9037300</v>
      </c>
      <c r="L148" s="181">
        <f t="shared" si="24"/>
        <v>25462700</v>
      </c>
      <c r="O148" s="91">
        <v>541</v>
      </c>
      <c r="P148" s="88">
        <v>5410</v>
      </c>
      <c r="Q148" s="88" t="s">
        <v>105</v>
      </c>
      <c r="R148" s="85" t="s">
        <v>33</v>
      </c>
      <c r="S148" s="128">
        <f>VLOOKUP(O148,'114分行業績'!A:L,12,0)</f>
        <v>50593236</v>
      </c>
      <c r="T148" s="129">
        <f t="shared" si="25"/>
        <v>10257783.670000002</v>
      </c>
      <c r="U148" s="90">
        <f>VLOOKUP(O148,'114分行業績'!A:AU,47,0)</f>
        <v>60851019.670000002</v>
      </c>
      <c r="V148" s="215">
        <f>VLOOKUP(O148,'114分行業績'!A:AV,48,0)</f>
        <v>59260000</v>
      </c>
      <c r="W148" s="177">
        <f t="shared" si="26"/>
        <v>1.0268481213297334</v>
      </c>
      <c r="X148" s="181">
        <f t="shared" si="27"/>
        <v>59260000</v>
      </c>
      <c r="Y148" s="181">
        <f t="shared" si="28"/>
        <v>9989582</v>
      </c>
      <c r="Z148" s="181">
        <f t="shared" si="29"/>
        <v>49270418</v>
      </c>
    </row>
    <row r="149" spans="1:26">
      <c r="A149" s="91">
        <v>542</v>
      </c>
      <c r="B149" s="88">
        <v>5420</v>
      </c>
      <c r="C149" s="88" t="s">
        <v>45</v>
      </c>
      <c r="D149" s="85" t="s">
        <v>33</v>
      </c>
      <c r="E149" s="128">
        <f>VLOOKUP(A149,'113分行業績'!A:L,12,0)</f>
        <v>14071963</v>
      </c>
      <c r="F149" s="129">
        <f t="shared" si="20"/>
        <v>8913838.5899999999</v>
      </c>
      <c r="G149" s="90">
        <f>VLOOKUP(A149,'113分行業績'!A:AU,47,0)</f>
        <v>22985801.59</v>
      </c>
      <c r="H149" s="215">
        <f>VLOOKUP(A149,'113分行業績'!A:AV,48,0)</f>
        <v>24130000</v>
      </c>
      <c r="I149" s="177">
        <f t="shared" si="21"/>
        <v>0.95258191421467053</v>
      </c>
      <c r="J149" s="181">
        <f t="shared" si="22"/>
        <v>22985802</v>
      </c>
      <c r="K149" s="181">
        <f t="shared" si="23"/>
        <v>8913839</v>
      </c>
      <c r="L149" s="181">
        <f t="shared" si="24"/>
        <v>14071963</v>
      </c>
      <c r="O149" s="91">
        <v>542</v>
      </c>
      <c r="P149" s="88">
        <v>5420</v>
      </c>
      <c r="Q149" s="88" t="s">
        <v>45</v>
      </c>
      <c r="R149" s="85" t="s">
        <v>33</v>
      </c>
      <c r="S149" s="128">
        <f>VLOOKUP(O149,'114分行業績'!A:L,12,0)</f>
        <v>26146161</v>
      </c>
      <c r="T149" s="129">
        <f t="shared" si="25"/>
        <v>9343754.5099999979</v>
      </c>
      <c r="U149" s="90">
        <f>VLOOKUP(O149,'114分行業績'!A:AU,47,0)</f>
        <v>35489915.509999998</v>
      </c>
      <c r="V149" s="215">
        <f>VLOOKUP(O149,'114分行業績'!A:AV,48,0)</f>
        <v>40450000</v>
      </c>
      <c r="W149" s="177">
        <f t="shared" si="26"/>
        <v>0.87737739208899868</v>
      </c>
      <c r="X149" s="181">
        <f t="shared" si="27"/>
        <v>35489916</v>
      </c>
      <c r="Y149" s="181">
        <f t="shared" si="28"/>
        <v>9343755</v>
      </c>
      <c r="Z149" s="181">
        <f t="shared" si="29"/>
        <v>26146161</v>
      </c>
    </row>
    <row r="150" spans="1:26">
      <c r="A150" s="91">
        <v>600</v>
      </c>
      <c r="B150" s="88">
        <v>6000</v>
      </c>
      <c r="C150" s="88" t="s">
        <v>46</v>
      </c>
      <c r="D150" s="85" t="s">
        <v>33</v>
      </c>
      <c r="E150" s="128">
        <f>VLOOKUP(A150,'113分行業績'!A:L,12,0)</f>
        <v>32948688</v>
      </c>
      <c r="F150" s="129">
        <f t="shared" si="20"/>
        <v>15340169.619999997</v>
      </c>
      <c r="G150" s="90">
        <f>VLOOKUP(A150,'113分行業績'!A:AU,47,0)</f>
        <v>48288857.619999997</v>
      </c>
      <c r="H150" s="215">
        <f>VLOOKUP(A150,'113分行業績'!A:AV,48,0)</f>
        <v>35310000</v>
      </c>
      <c r="I150" s="177">
        <f t="shared" si="21"/>
        <v>1.3675688932313792</v>
      </c>
      <c r="J150" s="181">
        <f t="shared" si="22"/>
        <v>35310000</v>
      </c>
      <c r="K150" s="181">
        <f t="shared" si="23"/>
        <v>11217109</v>
      </c>
      <c r="L150" s="181">
        <f t="shared" si="24"/>
        <v>24092891</v>
      </c>
      <c r="O150" s="91">
        <v>600</v>
      </c>
      <c r="P150" s="88">
        <v>6000</v>
      </c>
      <c r="Q150" s="88" t="s">
        <v>46</v>
      </c>
      <c r="R150" s="85" t="s">
        <v>33</v>
      </c>
      <c r="S150" s="128">
        <f>VLOOKUP(O150,'114分行業績'!A:L,12,0)</f>
        <v>48734823</v>
      </c>
      <c r="T150" s="129">
        <f t="shared" si="25"/>
        <v>17888012.219999999</v>
      </c>
      <c r="U150" s="90">
        <f>VLOOKUP(O150,'114分行業績'!A:AU,47,0)</f>
        <v>66622835.219999999</v>
      </c>
      <c r="V150" s="215">
        <f>VLOOKUP(O150,'114分行業績'!A:AV,48,0)</f>
        <v>59600000</v>
      </c>
      <c r="W150" s="177">
        <f t="shared" si="26"/>
        <v>1.117832805704698</v>
      </c>
      <c r="X150" s="181">
        <f t="shared" si="27"/>
        <v>59600000</v>
      </c>
      <c r="Y150" s="181">
        <f t="shared" si="28"/>
        <v>16002404</v>
      </c>
      <c r="Z150" s="181">
        <f t="shared" si="29"/>
        <v>43597596</v>
      </c>
    </row>
    <row r="151" spans="1:26">
      <c r="A151" s="91">
        <v>601</v>
      </c>
      <c r="B151" s="88">
        <v>6010</v>
      </c>
      <c r="C151" s="88" t="s">
        <v>195</v>
      </c>
      <c r="D151" s="85" t="s">
        <v>33</v>
      </c>
      <c r="E151" s="128">
        <f>VLOOKUP(A151,'113分行業績'!A:L,12,0)</f>
        <v>20741004</v>
      </c>
      <c r="F151" s="129">
        <f t="shared" si="20"/>
        <v>19792878.109999999</v>
      </c>
      <c r="G151" s="90">
        <f>VLOOKUP(A151,'113分行業績'!A:AU,47,0)</f>
        <v>40533882.109999999</v>
      </c>
      <c r="H151" s="215">
        <f>VLOOKUP(A151,'113分行業績'!A:AV,48,0)</f>
        <v>34760000</v>
      </c>
      <c r="I151" s="177">
        <f t="shared" si="21"/>
        <v>1.166107080264672</v>
      </c>
      <c r="J151" s="181">
        <f t="shared" si="22"/>
        <v>34760000</v>
      </c>
      <c r="K151" s="181">
        <f t="shared" si="23"/>
        <v>16973465</v>
      </c>
      <c r="L151" s="181">
        <f t="shared" si="24"/>
        <v>17786535</v>
      </c>
      <c r="O151" s="91">
        <v>601</v>
      </c>
      <c r="P151" s="88">
        <v>6010</v>
      </c>
      <c r="Q151" s="88" t="s">
        <v>195</v>
      </c>
      <c r="R151" s="85" t="s">
        <v>33</v>
      </c>
      <c r="S151" s="128">
        <f>VLOOKUP(O151,'114分行業績'!A:L,12,0)</f>
        <v>36467481</v>
      </c>
      <c r="T151" s="129">
        <f t="shared" si="25"/>
        <v>23342546.539999999</v>
      </c>
      <c r="U151" s="90">
        <f>VLOOKUP(O151,'114分行業績'!A:AU,47,0)</f>
        <v>59810027.539999999</v>
      </c>
      <c r="V151" s="215">
        <f>VLOOKUP(O151,'114分行業績'!A:AV,48,0)</f>
        <v>59060000</v>
      </c>
      <c r="W151" s="177">
        <f t="shared" si="26"/>
        <v>1.0126994165255672</v>
      </c>
      <c r="X151" s="181">
        <f t="shared" si="27"/>
        <v>59060000</v>
      </c>
      <c r="Y151" s="181">
        <f t="shared" si="28"/>
        <v>23049827</v>
      </c>
      <c r="Z151" s="181">
        <f t="shared" si="29"/>
        <v>36010173</v>
      </c>
    </row>
    <row r="152" spans="1:26">
      <c r="A152" s="91">
        <v>602</v>
      </c>
      <c r="B152" s="88">
        <v>6020</v>
      </c>
      <c r="C152" s="88" t="s">
        <v>47</v>
      </c>
      <c r="D152" s="85" t="s">
        <v>33</v>
      </c>
      <c r="E152" s="128">
        <f>VLOOKUP(A152,'113分行業績'!A:L,12,0)</f>
        <v>19991652</v>
      </c>
      <c r="F152" s="129">
        <f t="shared" si="20"/>
        <v>8151901.3900000006</v>
      </c>
      <c r="G152" s="90">
        <f>VLOOKUP(A152,'113分行業績'!A:AU,47,0)</f>
        <v>28143553.390000001</v>
      </c>
      <c r="H152" s="215">
        <f>VLOOKUP(A152,'113分行業績'!A:AV,48,0)</f>
        <v>22180000</v>
      </c>
      <c r="I152" s="177">
        <f t="shared" si="21"/>
        <v>1.2688707569882778</v>
      </c>
      <c r="J152" s="181">
        <f t="shared" si="22"/>
        <v>22180000</v>
      </c>
      <c r="K152" s="181">
        <f t="shared" si="23"/>
        <v>6424532</v>
      </c>
      <c r="L152" s="181">
        <f t="shared" si="24"/>
        <v>15755468</v>
      </c>
      <c r="O152" s="91">
        <v>602</v>
      </c>
      <c r="P152" s="88">
        <v>6020</v>
      </c>
      <c r="Q152" s="88" t="s">
        <v>47</v>
      </c>
      <c r="R152" s="85" t="s">
        <v>33</v>
      </c>
      <c r="S152" s="128">
        <f>VLOOKUP(O152,'114分行業績'!A:L,12,0)</f>
        <v>38710835</v>
      </c>
      <c r="T152" s="129">
        <f t="shared" si="25"/>
        <v>9995596.0099999979</v>
      </c>
      <c r="U152" s="90">
        <f>VLOOKUP(O152,'114分行業績'!A:AU,47,0)</f>
        <v>48706431.009999998</v>
      </c>
      <c r="V152" s="215">
        <f>VLOOKUP(O152,'114分行業績'!A:AV,48,0)</f>
        <v>38410000</v>
      </c>
      <c r="W152" s="177">
        <f t="shared" si="26"/>
        <v>1.2680664152564436</v>
      </c>
      <c r="X152" s="181">
        <f t="shared" si="27"/>
        <v>38410000</v>
      </c>
      <c r="Y152" s="181">
        <f t="shared" si="28"/>
        <v>7882549</v>
      </c>
      <c r="Z152" s="181">
        <f t="shared" si="29"/>
        <v>30527451</v>
      </c>
    </row>
    <row r="153" spans="1:26">
      <c r="A153" s="91">
        <v>620</v>
      </c>
      <c r="B153" s="88">
        <v>6200</v>
      </c>
      <c r="C153" s="88" t="s">
        <v>106</v>
      </c>
      <c r="D153" s="85" t="s">
        <v>48</v>
      </c>
      <c r="E153" s="128">
        <f>VLOOKUP(A153,'113分行業績'!A:L,12,0)</f>
        <v>20704838</v>
      </c>
      <c r="F153" s="129">
        <f t="shared" si="20"/>
        <v>18818061.890000001</v>
      </c>
      <c r="G153" s="90">
        <f>VLOOKUP(A153,'113分行業績'!A:AU,47,0)</f>
        <v>39522899.890000001</v>
      </c>
      <c r="H153" s="215">
        <f>VLOOKUP(A153,'113分行業績'!A:AV,48,0)</f>
        <v>32560000</v>
      </c>
      <c r="I153" s="177">
        <f t="shared" si="21"/>
        <v>1.2138482767199017</v>
      </c>
      <c r="J153" s="181">
        <f t="shared" si="22"/>
        <v>32560000</v>
      </c>
      <c r="K153" s="181">
        <f t="shared" si="23"/>
        <v>15502812</v>
      </c>
      <c r="L153" s="181">
        <f t="shared" si="24"/>
        <v>17057188</v>
      </c>
      <c r="O153" s="91">
        <v>620</v>
      </c>
      <c r="P153" s="88">
        <v>6200</v>
      </c>
      <c r="Q153" s="88" t="s">
        <v>106</v>
      </c>
      <c r="R153" s="85" t="s">
        <v>48</v>
      </c>
      <c r="S153" s="128">
        <f>VLOOKUP(O153,'114分行業績'!A:L,12,0)</f>
        <v>30046400</v>
      </c>
      <c r="T153" s="129">
        <f t="shared" si="25"/>
        <v>19173198.719999999</v>
      </c>
      <c r="U153" s="90">
        <f>VLOOKUP(O153,'114分行業績'!A:AU,47,0)</f>
        <v>49219598.719999999</v>
      </c>
      <c r="V153" s="215">
        <f>VLOOKUP(O153,'114分行業績'!A:AV,48,0)</f>
        <v>55690000</v>
      </c>
      <c r="W153" s="177">
        <f t="shared" si="26"/>
        <v>0.88381394720775719</v>
      </c>
      <c r="X153" s="181">
        <f t="shared" si="27"/>
        <v>49219599</v>
      </c>
      <c r="Y153" s="181">
        <f t="shared" si="28"/>
        <v>19173199</v>
      </c>
      <c r="Z153" s="181">
        <f t="shared" si="29"/>
        <v>30046400</v>
      </c>
    </row>
    <row r="154" spans="1:26">
      <c r="A154" s="91">
        <v>621</v>
      </c>
      <c r="B154" s="88">
        <v>6210</v>
      </c>
      <c r="C154" s="88" t="s">
        <v>49</v>
      </c>
      <c r="D154" s="85" t="s">
        <v>48</v>
      </c>
      <c r="E154" s="128">
        <f>VLOOKUP(A154,'113分行業績'!A:L,12,0)</f>
        <v>28789902</v>
      </c>
      <c r="F154" s="129">
        <f t="shared" si="20"/>
        <v>19637424.579999998</v>
      </c>
      <c r="G154" s="90">
        <f>VLOOKUP(A154,'113分行業績'!A:AU,47,0)</f>
        <v>48427326.579999998</v>
      </c>
      <c r="H154" s="215">
        <f>VLOOKUP(A154,'113分行業績'!A:AV,48,0)</f>
        <v>47270000</v>
      </c>
      <c r="I154" s="177">
        <f t="shared" si="21"/>
        <v>1.0244833209223609</v>
      </c>
      <c r="J154" s="181">
        <f t="shared" si="22"/>
        <v>47270000</v>
      </c>
      <c r="K154" s="181">
        <f t="shared" si="23"/>
        <v>19168125</v>
      </c>
      <c r="L154" s="181">
        <f t="shared" si="24"/>
        <v>28101875</v>
      </c>
      <c r="O154" s="91">
        <v>621</v>
      </c>
      <c r="P154" s="88">
        <v>6210</v>
      </c>
      <c r="Q154" s="88" t="s">
        <v>49</v>
      </c>
      <c r="R154" s="85" t="s">
        <v>48</v>
      </c>
      <c r="S154" s="128">
        <f>VLOOKUP(O154,'114分行業績'!A:L,12,0)</f>
        <v>56286513</v>
      </c>
      <c r="T154" s="129">
        <f t="shared" si="25"/>
        <v>16089519.989999995</v>
      </c>
      <c r="U154" s="90">
        <f>VLOOKUP(O154,'114分行業績'!A:AU,47,0)</f>
        <v>72376032.989999995</v>
      </c>
      <c r="V154" s="215">
        <f>VLOOKUP(O154,'114分行業績'!A:AV,48,0)</f>
        <v>76650000</v>
      </c>
      <c r="W154" s="177">
        <f t="shared" si="26"/>
        <v>0.94424048258317017</v>
      </c>
      <c r="X154" s="181">
        <f t="shared" si="27"/>
        <v>72376033</v>
      </c>
      <c r="Y154" s="181">
        <f t="shared" si="28"/>
        <v>16089520</v>
      </c>
      <c r="Z154" s="181">
        <f t="shared" si="29"/>
        <v>56286513</v>
      </c>
    </row>
    <row r="155" spans="1:26">
      <c r="A155" s="91">
        <v>622</v>
      </c>
      <c r="B155" s="88">
        <v>6220</v>
      </c>
      <c r="C155" s="88" t="s">
        <v>107</v>
      </c>
      <c r="D155" s="85" t="s">
        <v>48</v>
      </c>
      <c r="E155" s="128">
        <f>VLOOKUP(A155,'113分行業績'!A:L,12,0)</f>
        <v>34029719</v>
      </c>
      <c r="F155" s="129">
        <f t="shared" si="20"/>
        <v>18931260.729999997</v>
      </c>
      <c r="G155" s="90">
        <f>VLOOKUP(A155,'113分行業績'!A:AU,47,0)</f>
        <v>52960979.729999997</v>
      </c>
      <c r="H155" s="215">
        <f>VLOOKUP(A155,'113分行業績'!A:AV,48,0)</f>
        <v>39450000</v>
      </c>
      <c r="I155" s="177">
        <f t="shared" si="21"/>
        <v>1.3424836433460074</v>
      </c>
      <c r="J155" s="181">
        <f t="shared" si="22"/>
        <v>39450000</v>
      </c>
      <c r="K155" s="181">
        <f t="shared" si="23"/>
        <v>14101670</v>
      </c>
      <c r="L155" s="181">
        <f t="shared" si="24"/>
        <v>25348330</v>
      </c>
      <c r="O155" s="91">
        <v>622</v>
      </c>
      <c r="P155" s="88">
        <v>6220</v>
      </c>
      <c r="Q155" s="88" t="s">
        <v>107</v>
      </c>
      <c r="R155" s="85" t="s">
        <v>48</v>
      </c>
      <c r="S155" s="128">
        <f>VLOOKUP(O155,'114分行業績'!A:L,12,0)</f>
        <v>34283688</v>
      </c>
      <c r="T155" s="129">
        <f t="shared" si="25"/>
        <v>16172204.539999999</v>
      </c>
      <c r="U155" s="90">
        <f>VLOOKUP(O155,'114分行業績'!A:AU,47,0)</f>
        <v>50455892.539999999</v>
      </c>
      <c r="V155" s="215">
        <f>VLOOKUP(O155,'114分行業績'!A:AV,48,0)</f>
        <v>65160000</v>
      </c>
      <c r="W155" s="177">
        <f t="shared" si="26"/>
        <v>0.77433843677102521</v>
      </c>
      <c r="X155" s="181">
        <f t="shared" si="27"/>
        <v>50455893</v>
      </c>
      <c r="Y155" s="181">
        <f t="shared" si="28"/>
        <v>16172205</v>
      </c>
      <c r="Z155" s="181">
        <f t="shared" si="29"/>
        <v>34283688</v>
      </c>
    </row>
    <row r="156" spans="1:26">
      <c r="A156" s="91">
        <v>640</v>
      </c>
      <c r="B156" s="88">
        <v>6400</v>
      </c>
      <c r="C156" s="88" t="s">
        <v>50</v>
      </c>
      <c r="D156" s="85" t="s">
        <v>48</v>
      </c>
      <c r="E156" s="128">
        <f>VLOOKUP(A156,'113分行業績'!A:L,12,0)</f>
        <v>40684915</v>
      </c>
      <c r="F156" s="129">
        <f t="shared" si="20"/>
        <v>31501452.230000004</v>
      </c>
      <c r="G156" s="90">
        <f>VLOOKUP(A156,'113分行業績'!A:AU,47,0)</f>
        <v>72186367.230000004</v>
      </c>
      <c r="H156" s="215">
        <f>VLOOKUP(A156,'113分行業績'!A:AV,48,0)</f>
        <v>52470000</v>
      </c>
      <c r="I156" s="177">
        <f t="shared" si="21"/>
        <v>1.3757645746140652</v>
      </c>
      <c r="J156" s="181">
        <f t="shared" si="22"/>
        <v>52470000</v>
      </c>
      <c r="K156" s="181">
        <f t="shared" si="23"/>
        <v>22897415</v>
      </c>
      <c r="L156" s="181">
        <f t="shared" si="24"/>
        <v>29572585</v>
      </c>
      <c r="O156" s="91">
        <v>640</v>
      </c>
      <c r="P156" s="88">
        <v>6400</v>
      </c>
      <c r="Q156" s="88" t="s">
        <v>50</v>
      </c>
      <c r="R156" s="85" t="s">
        <v>48</v>
      </c>
      <c r="S156" s="128">
        <f>VLOOKUP(O156,'114分行業績'!A:L,12,0)</f>
        <v>76970350</v>
      </c>
      <c r="T156" s="129">
        <f t="shared" si="25"/>
        <v>34387916.530000001</v>
      </c>
      <c r="U156" s="90">
        <f>VLOOKUP(O156,'114分行業績'!A:AU,47,0)</f>
        <v>111358266.53</v>
      </c>
      <c r="V156" s="215">
        <f>VLOOKUP(O156,'114分行業績'!A:AV,48,0)</f>
        <v>85570000</v>
      </c>
      <c r="W156" s="177">
        <f t="shared" si="26"/>
        <v>1.3013704163842468</v>
      </c>
      <c r="X156" s="181">
        <f t="shared" si="27"/>
        <v>85570000</v>
      </c>
      <c r="Y156" s="181">
        <f t="shared" si="28"/>
        <v>26424388</v>
      </c>
      <c r="Z156" s="181">
        <f t="shared" si="29"/>
        <v>59145612</v>
      </c>
    </row>
    <row r="157" spans="1:26">
      <c r="A157" s="91">
        <v>642</v>
      </c>
      <c r="B157" s="88">
        <v>6420</v>
      </c>
      <c r="C157" s="88" t="s">
        <v>196</v>
      </c>
      <c r="D157" s="85" t="s">
        <v>48</v>
      </c>
      <c r="E157" s="128">
        <f>VLOOKUP(A157,'113分行業績'!A:L,12,0)</f>
        <v>51706060</v>
      </c>
      <c r="F157" s="129">
        <f t="shared" si="20"/>
        <v>16984283.599999994</v>
      </c>
      <c r="G157" s="90">
        <f>VLOOKUP(A157,'113分行業績'!A:AU,47,0)</f>
        <v>68690343.599999994</v>
      </c>
      <c r="H157" s="215">
        <f>VLOOKUP(A157,'113分行業績'!A:AV,48,0)</f>
        <v>49240000</v>
      </c>
      <c r="I157" s="177">
        <f t="shared" si="21"/>
        <v>1.3950110398050364</v>
      </c>
      <c r="J157" s="181">
        <f t="shared" si="22"/>
        <v>49240000</v>
      </c>
      <c r="K157" s="181">
        <f t="shared" si="23"/>
        <v>12175017</v>
      </c>
      <c r="L157" s="181">
        <f t="shared" si="24"/>
        <v>37064983</v>
      </c>
      <c r="O157" s="91">
        <v>642</v>
      </c>
      <c r="P157" s="88">
        <v>6420</v>
      </c>
      <c r="Q157" s="88" t="s">
        <v>196</v>
      </c>
      <c r="R157" s="85" t="s">
        <v>48</v>
      </c>
      <c r="S157" s="128">
        <f>VLOOKUP(O157,'114分行業績'!A:L,12,0)</f>
        <v>65567302</v>
      </c>
      <c r="T157" s="129">
        <f t="shared" si="25"/>
        <v>16876620.019999996</v>
      </c>
      <c r="U157" s="90">
        <f>VLOOKUP(O157,'114分行業績'!A:AU,47,0)</f>
        <v>82443922.019999996</v>
      </c>
      <c r="V157" s="215">
        <f>VLOOKUP(O157,'114分行業績'!A:AV,48,0)</f>
        <v>81020000</v>
      </c>
      <c r="W157" s="177">
        <f t="shared" si="26"/>
        <v>1.0175749447050111</v>
      </c>
      <c r="X157" s="181">
        <f t="shared" si="27"/>
        <v>81020000</v>
      </c>
      <c r="Y157" s="181">
        <f t="shared" si="28"/>
        <v>16585137</v>
      </c>
      <c r="Z157" s="181">
        <f t="shared" si="29"/>
        <v>64434863</v>
      </c>
    </row>
    <row r="158" spans="1:26">
      <c r="A158" s="91">
        <v>643</v>
      </c>
      <c r="B158" s="88">
        <v>6430</v>
      </c>
      <c r="C158" s="88" t="s">
        <v>197</v>
      </c>
      <c r="D158" s="85" t="s">
        <v>48</v>
      </c>
      <c r="E158" s="128">
        <f>VLOOKUP(A158,'113分行業績'!A:L,12,0)</f>
        <v>11698332</v>
      </c>
      <c r="F158" s="129">
        <f t="shared" si="20"/>
        <v>8361632.6900000013</v>
      </c>
      <c r="G158" s="90">
        <f>VLOOKUP(A158,'113分行業績'!A:AU,47,0)</f>
        <v>20059964.690000001</v>
      </c>
      <c r="H158" s="215">
        <f>VLOOKUP(A158,'113分行業績'!A:AV,48,0)</f>
        <v>25050000</v>
      </c>
      <c r="I158" s="177">
        <f t="shared" si="21"/>
        <v>0.80079699361277445</v>
      </c>
      <c r="J158" s="181">
        <f t="shared" si="22"/>
        <v>20059965</v>
      </c>
      <c r="K158" s="181">
        <f t="shared" si="23"/>
        <v>8361633</v>
      </c>
      <c r="L158" s="181">
        <f t="shared" si="24"/>
        <v>11698332</v>
      </c>
      <c r="O158" s="91">
        <v>643</v>
      </c>
      <c r="P158" s="88">
        <v>6430</v>
      </c>
      <c r="Q158" s="88" t="s">
        <v>197</v>
      </c>
      <c r="R158" s="85" t="s">
        <v>48</v>
      </c>
      <c r="S158" s="128">
        <f>VLOOKUP(O158,'114分行業績'!A:L,12,0)</f>
        <v>33851307</v>
      </c>
      <c r="T158" s="129">
        <f t="shared" si="25"/>
        <v>12511250.799999997</v>
      </c>
      <c r="U158" s="90">
        <f>VLOOKUP(O158,'114分行業績'!A:AU,47,0)</f>
        <v>46362557.799999997</v>
      </c>
      <c r="V158" s="215">
        <f>VLOOKUP(O158,'114分行業績'!A:AV,48,0)</f>
        <v>43200000</v>
      </c>
      <c r="W158" s="177">
        <f t="shared" si="26"/>
        <v>1.0732073564814815</v>
      </c>
      <c r="X158" s="181">
        <f t="shared" si="27"/>
        <v>43200000</v>
      </c>
      <c r="Y158" s="181">
        <f t="shared" si="28"/>
        <v>11657813</v>
      </c>
      <c r="Z158" s="181">
        <f t="shared" si="29"/>
        <v>31542187</v>
      </c>
    </row>
    <row r="159" spans="1:26">
      <c r="A159" s="91">
        <v>644</v>
      </c>
      <c r="B159" s="88">
        <v>6440</v>
      </c>
      <c r="C159" s="88" t="s">
        <v>51</v>
      </c>
      <c r="D159" s="85" t="s">
        <v>48</v>
      </c>
      <c r="E159" s="128">
        <f>VLOOKUP(A159,'113分行業績'!A:L,12,0)</f>
        <v>19031631</v>
      </c>
      <c r="F159" s="129">
        <f t="shared" si="20"/>
        <v>16995848.93</v>
      </c>
      <c r="G159" s="90">
        <f>VLOOKUP(A159,'113分行業績'!A:AU,47,0)</f>
        <v>36027479.93</v>
      </c>
      <c r="H159" s="215">
        <f>VLOOKUP(A159,'113分行業績'!A:AV,48,0)</f>
        <v>35410000</v>
      </c>
      <c r="I159" s="177">
        <f t="shared" si="21"/>
        <v>1.0174380098842135</v>
      </c>
      <c r="J159" s="181">
        <f t="shared" si="22"/>
        <v>35410000</v>
      </c>
      <c r="K159" s="181">
        <f t="shared" si="23"/>
        <v>16704555</v>
      </c>
      <c r="L159" s="181">
        <f t="shared" si="24"/>
        <v>18705445</v>
      </c>
      <c r="O159" s="91">
        <v>644</v>
      </c>
      <c r="P159" s="88">
        <v>6440</v>
      </c>
      <c r="Q159" s="88" t="s">
        <v>51</v>
      </c>
      <c r="R159" s="85" t="s">
        <v>48</v>
      </c>
      <c r="S159" s="128">
        <f>VLOOKUP(O159,'114分行業績'!A:L,12,0)</f>
        <v>26397184</v>
      </c>
      <c r="T159" s="129">
        <f t="shared" si="25"/>
        <v>19313845.850000001</v>
      </c>
      <c r="U159" s="90">
        <f>VLOOKUP(O159,'114分行業績'!A:AU,47,0)</f>
        <v>45711029.850000001</v>
      </c>
      <c r="V159" s="215">
        <f>VLOOKUP(O159,'114分行業績'!A:AV,48,0)</f>
        <v>62020000</v>
      </c>
      <c r="W159" s="177">
        <f t="shared" si="26"/>
        <v>0.73703692115446628</v>
      </c>
      <c r="X159" s="181">
        <f t="shared" si="27"/>
        <v>45711030</v>
      </c>
      <c r="Y159" s="181">
        <f t="shared" si="28"/>
        <v>19313846</v>
      </c>
      <c r="Z159" s="181">
        <f t="shared" si="29"/>
        <v>26397184</v>
      </c>
    </row>
    <row r="160" spans="1:26">
      <c r="A160" s="91">
        <v>645</v>
      </c>
      <c r="B160" s="88">
        <v>6450</v>
      </c>
      <c r="C160" s="88" t="s">
        <v>198</v>
      </c>
      <c r="D160" s="85" t="s">
        <v>48</v>
      </c>
      <c r="E160" s="128">
        <f>VLOOKUP(A160,'113分行業績'!A:L,12,0)</f>
        <v>23741880</v>
      </c>
      <c r="F160" s="129">
        <f t="shared" si="20"/>
        <v>21766841.030000001</v>
      </c>
      <c r="G160" s="90">
        <f>VLOOKUP(A160,'113分行業績'!A:AU,47,0)</f>
        <v>45508721.030000001</v>
      </c>
      <c r="H160" s="215">
        <f>VLOOKUP(A160,'113分行業績'!A:AV,48,0)</f>
        <v>38010000</v>
      </c>
      <c r="I160" s="177">
        <f t="shared" si="21"/>
        <v>1.1972828474085768</v>
      </c>
      <c r="J160" s="181">
        <f t="shared" si="22"/>
        <v>38010000</v>
      </c>
      <c r="K160" s="181">
        <f t="shared" si="23"/>
        <v>18180200</v>
      </c>
      <c r="L160" s="181">
        <f t="shared" si="24"/>
        <v>19829800</v>
      </c>
      <c r="O160" s="91">
        <v>645</v>
      </c>
      <c r="P160" s="88">
        <v>6450</v>
      </c>
      <c r="Q160" s="88" t="s">
        <v>198</v>
      </c>
      <c r="R160" s="85" t="s">
        <v>48</v>
      </c>
      <c r="S160" s="128">
        <f>VLOOKUP(O160,'114分行業績'!A:L,12,0)</f>
        <v>28392406</v>
      </c>
      <c r="T160" s="129">
        <f t="shared" si="25"/>
        <v>22683448.280000001</v>
      </c>
      <c r="U160" s="90">
        <f>VLOOKUP(O160,'114分行業績'!A:AU,47,0)</f>
        <v>51075854.280000001</v>
      </c>
      <c r="V160" s="215">
        <f>VLOOKUP(O160,'114分行業績'!A:AV,48,0)</f>
        <v>61470000</v>
      </c>
      <c r="W160" s="177">
        <f t="shared" si="26"/>
        <v>0.83090701610541728</v>
      </c>
      <c r="X160" s="181">
        <f t="shared" si="27"/>
        <v>51075854</v>
      </c>
      <c r="Y160" s="181">
        <f t="shared" si="28"/>
        <v>22683448</v>
      </c>
      <c r="Z160" s="181">
        <f t="shared" si="29"/>
        <v>28392406</v>
      </c>
    </row>
    <row r="161" spans="1:26">
      <c r="A161" s="91">
        <v>646</v>
      </c>
      <c r="B161" s="88">
        <v>6460</v>
      </c>
      <c r="C161" s="88" t="s">
        <v>199</v>
      </c>
      <c r="D161" s="85" t="s">
        <v>48</v>
      </c>
      <c r="E161" s="128">
        <f>VLOOKUP(A161,'113分行業績'!A:L,12,0)</f>
        <v>12857985</v>
      </c>
      <c r="F161" s="129">
        <f t="shared" si="20"/>
        <v>13051418.559999999</v>
      </c>
      <c r="G161" s="90">
        <f>VLOOKUP(A161,'113分行業績'!A:AU,47,0)</f>
        <v>25909403.559999999</v>
      </c>
      <c r="H161" s="215">
        <f>VLOOKUP(A161,'113分行業績'!A:AV,48,0)</f>
        <v>25360000</v>
      </c>
      <c r="I161" s="177">
        <f t="shared" si="21"/>
        <v>1.0216641782334384</v>
      </c>
      <c r="J161" s="181">
        <f t="shared" si="22"/>
        <v>25360000</v>
      </c>
      <c r="K161" s="181">
        <f t="shared" si="23"/>
        <v>12774666</v>
      </c>
      <c r="L161" s="181">
        <f t="shared" si="24"/>
        <v>12585334</v>
      </c>
      <c r="O161" s="91">
        <v>646</v>
      </c>
      <c r="P161" s="88">
        <v>6460</v>
      </c>
      <c r="Q161" s="88" t="s">
        <v>199</v>
      </c>
      <c r="R161" s="85" t="s">
        <v>48</v>
      </c>
      <c r="S161" s="128">
        <f>VLOOKUP(O161,'114分行業績'!A:L,12,0)</f>
        <v>22515176</v>
      </c>
      <c r="T161" s="129">
        <f t="shared" si="25"/>
        <v>13460062.609999999</v>
      </c>
      <c r="U161" s="90">
        <f>VLOOKUP(O161,'114分行業績'!A:AU,47,0)</f>
        <v>35975238.609999999</v>
      </c>
      <c r="V161" s="215">
        <f>VLOOKUP(O161,'114分行業績'!A:AV,48,0)</f>
        <v>41400000</v>
      </c>
      <c r="W161" s="177">
        <f t="shared" si="26"/>
        <v>0.86896711618357492</v>
      </c>
      <c r="X161" s="181">
        <f t="shared" si="27"/>
        <v>35975239</v>
      </c>
      <c r="Y161" s="181">
        <f t="shared" si="28"/>
        <v>13460063</v>
      </c>
      <c r="Z161" s="181">
        <f t="shared" si="29"/>
        <v>22515176</v>
      </c>
    </row>
    <row r="162" spans="1:26">
      <c r="A162" s="91">
        <v>647</v>
      </c>
      <c r="B162" s="88">
        <v>6470</v>
      </c>
      <c r="C162" s="88" t="s">
        <v>108</v>
      </c>
      <c r="D162" s="85" t="s">
        <v>48</v>
      </c>
      <c r="E162" s="128">
        <f>VLOOKUP(A162,'113分行業績'!A:L,12,0)</f>
        <v>22725015</v>
      </c>
      <c r="F162" s="129">
        <f t="shared" si="20"/>
        <v>15247911.420000002</v>
      </c>
      <c r="G162" s="90">
        <f>VLOOKUP(A162,'113分行業績'!A:AU,47,0)</f>
        <v>37972926.420000002</v>
      </c>
      <c r="H162" s="215">
        <f>VLOOKUP(A162,'113分行業績'!A:AV,48,0)</f>
        <v>33320000</v>
      </c>
      <c r="I162" s="177">
        <f t="shared" si="21"/>
        <v>1.139643650060024</v>
      </c>
      <c r="J162" s="181">
        <f t="shared" si="22"/>
        <v>33320000</v>
      </c>
      <c r="K162" s="181">
        <f t="shared" si="23"/>
        <v>13379543</v>
      </c>
      <c r="L162" s="181">
        <f t="shared" si="24"/>
        <v>19940457</v>
      </c>
      <c r="O162" s="91">
        <v>647</v>
      </c>
      <c r="P162" s="88">
        <v>6470</v>
      </c>
      <c r="Q162" s="88" t="s">
        <v>108</v>
      </c>
      <c r="R162" s="85" t="s">
        <v>48</v>
      </c>
      <c r="S162" s="128">
        <f>VLOOKUP(O162,'114分行業績'!A:L,12,0)</f>
        <v>38109338</v>
      </c>
      <c r="T162" s="129">
        <f t="shared" si="25"/>
        <v>15466058.640000001</v>
      </c>
      <c r="U162" s="90">
        <f>VLOOKUP(O162,'114分行業績'!A:AU,47,0)</f>
        <v>53575396.640000001</v>
      </c>
      <c r="V162" s="215">
        <f>VLOOKUP(O162,'114分行業績'!A:AV,48,0)</f>
        <v>57400000</v>
      </c>
      <c r="W162" s="177">
        <f t="shared" si="26"/>
        <v>0.93336927944250869</v>
      </c>
      <c r="X162" s="181">
        <f t="shared" si="27"/>
        <v>53575397</v>
      </c>
      <c r="Y162" s="181">
        <f t="shared" si="28"/>
        <v>15466059</v>
      </c>
      <c r="Z162" s="181">
        <f t="shared" si="29"/>
        <v>38109338</v>
      </c>
    </row>
    <row r="163" spans="1:26">
      <c r="A163" s="91">
        <v>648</v>
      </c>
      <c r="B163" s="88">
        <v>6480</v>
      </c>
      <c r="C163" s="88" t="s">
        <v>200</v>
      </c>
      <c r="D163" s="85" t="s">
        <v>48</v>
      </c>
      <c r="E163" s="128">
        <f>VLOOKUP(A163,'113分行業績'!A:L,12,0)</f>
        <v>11621636</v>
      </c>
      <c r="F163" s="129">
        <f t="shared" si="20"/>
        <v>14608669.41</v>
      </c>
      <c r="G163" s="90">
        <f>VLOOKUP(A163,'113分行業績'!A:AU,47,0)</f>
        <v>26230305.41</v>
      </c>
      <c r="H163" s="215">
        <f>VLOOKUP(A163,'113分行業績'!A:AV,48,0)</f>
        <v>25160000</v>
      </c>
      <c r="I163" s="177">
        <f t="shared" si="21"/>
        <v>1.0425399606518284</v>
      </c>
      <c r="J163" s="181">
        <f t="shared" si="22"/>
        <v>25160000</v>
      </c>
      <c r="K163" s="181">
        <f t="shared" si="23"/>
        <v>14012575</v>
      </c>
      <c r="L163" s="181">
        <f t="shared" si="24"/>
        <v>11147425</v>
      </c>
      <c r="O163" s="91">
        <v>648</v>
      </c>
      <c r="P163" s="88">
        <v>6480</v>
      </c>
      <c r="Q163" s="88" t="s">
        <v>200</v>
      </c>
      <c r="R163" s="85" t="s">
        <v>48</v>
      </c>
      <c r="S163" s="128">
        <f>VLOOKUP(O163,'114分行業績'!A:L,12,0)</f>
        <v>24627491</v>
      </c>
      <c r="T163" s="129">
        <f t="shared" si="25"/>
        <v>18473755.909999996</v>
      </c>
      <c r="U163" s="90">
        <f>VLOOKUP(O163,'114分行業績'!A:AU,47,0)</f>
        <v>43101246.909999996</v>
      </c>
      <c r="V163" s="215">
        <f>VLOOKUP(O163,'114分行業績'!A:AV,48,0)</f>
        <v>43810000</v>
      </c>
      <c r="W163" s="177">
        <f t="shared" si="26"/>
        <v>0.98382211618351967</v>
      </c>
      <c r="X163" s="181">
        <f t="shared" si="27"/>
        <v>43101247</v>
      </c>
      <c r="Y163" s="181">
        <f t="shared" si="28"/>
        <v>18473756</v>
      </c>
      <c r="Z163" s="181">
        <f t="shared" si="29"/>
        <v>24627491</v>
      </c>
    </row>
    <row r="164" spans="1:26">
      <c r="A164" s="91">
        <v>681</v>
      </c>
      <c r="B164" s="88">
        <v>6810</v>
      </c>
      <c r="C164" s="88" t="s">
        <v>52</v>
      </c>
      <c r="D164" s="85" t="s">
        <v>48</v>
      </c>
      <c r="E164" s="128">
        <f>VLOOKUP(A164,'113分行業績'!A:L,12,0)</f>
        <v>14071458</v>
      </c>
      <c r="F164" s="129">
        <f t="shared" si="20"/>
        <v>12122230.149999999</v>
      </c>
      <c r="G164" s="90">
        <f>VLOOKUP(A164,'113分行業績'!A:AU,47,0)</f>
        <v>26193688.149999999</v>
      </c>
      <c r="H164" s="215">
        <f>VLOOKUP(A164,'113分行業績'!A:AV,48,0)</f>
        <v>33470000</v>
      </c>
      <c r="I164" s="177">
        <f t="shared" si="21"/>
        <v>0.7826019763967732</v>
      </c>
      <c r="J164" s="181">
        <f t="shared" si="22"/>
        <v>26193688</v>
      </c>
      <c r="K164" s="181">
        <f t="shared" si="23"/>
        <v>12122230</v>
      </c>
      <c r="L164" s="181">
        <f t="shared" si="24"/>
        <v>14071458</v>
      </c>
      <c r="O164" s="91">
        <v>681</v>
      </c>
      <c r="P164" s="88">
        <v>6810</v>
      </c>
      <c r="Q164" s="88" t="s">
        <v>52</v>
      </c>
      <c r="R164" s="85" t="s">
        <v>48</v>
      </c>
      <c r="S164" s="128">
        <f>VLOOKUP(O164,'114分行業績'!A:L,12,0)</f>
        <v>24583135</v>
      </c>
      <c r="T164" s="129">
        <f t="shared" si="25"/>
        <v>12022904.359999999</v>
      </c>
      <c r="U164" s="90">
        <f>VLOOKUP(O164,'114分行業績'!A:AU,47,0)</f>
        <v>36606039.359999999</v>
      </c>
      <c r="V164" s="215">
        <f>VLOOKUP(O164,'114分行業績'!A:AV,48,0)</f>
        <v>47630000</v>
      </c>
      <c r="W164" s="177">
        <f t="shared" si="26"/>
        <v>0.76855006004618931</v>
      </c>
      <c r="X164" s="181">
        <f t="shared" si="27"/>
        <v>36606039</v>
      </c>
      <c r="Y164" s="181">
        <f t="shared" si="28"/>
        <v>12022904</v>
      </c>
      <c r="Z164" s="181">
        <f t="shared" si="29"/>
        <v>24583135</v>
      </c>
    </row>
    <row r="165" spans="1:26">
      <c r="A165" s="91">
        <v>700</v>
      </c>
      <c r="B165" s="88">
        <v>7000</v>
      </c>
      <c r="C165" s="88" t="s">
        <v>201</v>
      </c>
      <c r="D165" s="85" t="s">
        <v>48</v>
      </c>
      <c r="E165" s="128">
        <f>VLOOKUP(A165,'113分行業績'!A:L,12,0)</f>
        <v>33219779</v>
      </c>
      <c r="F165" s="129">
        <f t="shared" si="20"/>
        <v>27333747.43</v>
      </c>
      <c r="G165" s="90">
        <f>VLOOKUP(A165,'113分行業績'!A:AU,47,0)</f>
        <v>60553526.43</v>
      </c>
      <c r="H165" s="215">
        <f>VLOOKUP(A165,'113分行業績'!A:AV,48,0)</f>
        <v>42130000</v>
      </c>
      <c r="I165" s="177">
        <f t="shared" si="21"/>
        <v>1.4373018378827438</v>
      </c>
      <c r="J165" s="181">
        <f t="shared" si="22"/>
        <v>42130000</v>
      </c>
      <c r="K165" s="181">
        <f t="shared" si="23"/>
        <v>19017402</v>
      </c>
      <c r="L165" s="181">
        <f t="shared" si="24"/>
        <v>23112598</v>
      </c>
      <c r="O165" s="91">
        <v>700</v>
      </c>
      <c r="P165" s="88">
        <v>7000</v>
      </c>
      <c r="Q165" s="88" t="s">
        <v>201</v>
      </c>
      <c r="R165" s="85" t="s">
        <v>48</v>
      </c>
      <c r="S165" s="128">
        <f>VLOOKUP(O165,'114分行業績'!A:L,12,0)</f>
        <v>46074275</v>
      </c>
      <c r="T165" s="129">
        <f t="shared" si="25"/>
        <v>34399002.560000002</v>
      </c>
      <c r="U165" s="90">
        <f>VLOOKUP(O165,'114分行業績'!A:AU,47,0)</f>
        <v>80473277.560000002</v>
      </c>
      <c r="V165" s="215">
        <f>VLOOKUP(O165,'114分行業績'!A:AV,48,0)</f>
        <v>73780000</v>
      </c>
      <c r="W165" s="177">
        <f t="shared" si="26"/>
        <v>1.0907194030902685</v>
      </c>
      <c r="X165" s="181">
        <f t="shared" si="27"/>
        <v>73780000</v>
      </c>
      <c r="Y165" s="181">
        <f t="shared" si="28"/>
        <v>31537903</v>
      </c>
      <c r="Z165" s="181">
        <f t="shared" si="29"/>
        <v>42242097</v>
      </c>
    </row>
    <row r="166" spans="1:26">
      <c r="A166" s="91">
        <v>701</v>
      </c>
      <c r="B166" s="88">
        <v>7010</v>
      </c>
      <c r="C166" s="88" t="s">
        <v>202</v>
      </c>
      <c r="D166" s="85" t="s">
        <v>48</v>
      </c>
      <c r="E166" s="128">
        <f>VLOOKUP(A166,'113分行業績'!A:L,12,0)</f>
        <v>18878600</v>
      </c>
      <c r="F166" s="129">
        <f t="shared" si="20"/>
        <v>11043314.600000001</v>
      </c>
      <c r="G166" s="90">
        <f>VLOOKUP(A166,'113分行業績'!A:AU,47,0)</f>
        <v>29921914.600000001</v>
      </c>
      <c r="H166" s="215">
        <f>VLOOKUP(A166,'113分行業績'!A:AV,48,0)</f>
        <v>23540000</v>
      </c>
      <c r="I166" s="177">
        <f t="shared" si="21"/>
        <v>1.2711093712829227</v>
      </c>
      <c r="J166" s="181">
        <f t="shared" si="22"/>
        <v>23540000</v>
      </c>
      <c r="K166" s="181">
        <f t="shared" si="23"/>
        <v>8687934</v>
      </c>
      <c r="L166" s="181">
        <f t="shared" si="24"/>
        <v>14852066</v>
      </c>
      <c r="O166" s="91">
        <v>701</v>
      </c>
      <c r="P166" s="88">
        <v>7010</v>
      </c>
      <c r="Q166" s="88" t="s">
        <v>202</v>
      </c>
      <c r="R166" s="85" t="s">
        <v>48</v>
      </c>
      <c r="S166" s="128">
        <f>VLOOKUP(O166,'114分行業績'!A:L,12,0)</f>
        <v>28147366</v>
      </c>
      <c r="T166" s="129">
        <f t="shared" si="25"/>
        <v>10343257.950000003</v>
      </c>
      <c r="U166" s="90">
        <f>VLOOKUP(O166,'114分行業績'!A:AU,47,0)</f>
        <v>38490623.950000003</v>
      </c>
      <c r="V166" s="215">
        <f>VLOOKUP(O166,'114分行業績'!A:AV,48,0)</f>
        <v>41850000</v>
      </c>
      <c r="W166" s="177">
        <f t="shared" si="26"/>
        <v>0.91972817084826775</v>
      </c>
      <c r="X166" s="181">
        <f t="shared" si="27"/>
        <v>38490624</v>
      </c>
      <c r="Y166" s="181">
        <f t="shared" si="28"/>
        <v>10343258</v>
      </c>
      <c r="Z166" s="181">
        <f t="shared" si="29"/>
        <v>28147366</v>
      </c>
    </row>
    <row r="167" spans="1:26">
      <c r="A167" s="91">
        <v>702</v>
      </c>
      <c r="B167" s="88">
        <v>7020</v>
      </c>
      <c r="C167" s="88" t="s">
        <v>203</v>
      </c>
      <c r="D167" s="85" t="s">
        <v>48</v>
      </c>
      <c r="E167" s="128">
        <f>VLOOKUP(A167,'113分行業績'!A:L,12,0)</f>
        <v>26666988</v>
      </c>
      <c r="F167" s="129">
        <f t="shared" si="20"/>
        <v>16168193</v>
      </c>
      <c r="G167" s="90">
        <f>VLOOKUP(A167,'113分行業績'!A:AU,47,0)</f>
        <v>42835181</v>
      </c>
      <c r="H167" s="215">
        <f>VLOOKUP(A167,'113分行業績'!A:AV,48,0)</f>
        <v>21540000</v>
      </c>
      <c r="I167" s="177">
        <f t="shared" si="21"/>
        <v>1.9886342154131849</v>
      </c>
      <c r="J167" s="181">
        <f t="shared" si="22"/>
        <v>21540000</v>
      </c>
      <c r="K167" s="181">
        <f t="shared" si="23"/>
        <v>8130300</v>
      </c>
      <c r="L167" s="181">
        <f t="shared" si="24"/>
        <v>13409700</v>
      </c>
      <c r="O167" s="91">
        <v>702</v>
      </c>
      <c r="P167" s="88">
        <v>7020</v>
      </c>
      <c r="Q167" s="88" t="s">
        <v>203</v>
      </c>
      <c r="R167" s="85" t="s">
        <v>48</v>
      </c>
      <c r="S167" s="128">
        <f>VLOOKUP(O167,'114分行業績'!A:L,12,0)</f>
        <v>64553124</v>
      </c>
      <c r="T167" s="129">
        <f t="shared" si="25"/>
        <v>13388150.129999995</v>
      </c>
      <c r="U167" s="90">
        <f>VLOOKUP(O167,'114分行業績'!A:AU,47,0)</f>
        <v>77941274.129999995</v>
      </c>
      <c r="V167" s="215">
        <f>VLOOKUP(O167,'114分行業績'!A:AV,48,0)</f>
        <v>37680000</v>
      </c>
      <c r="W167" s="177">
        <f t="shared" si="26"/>
        <v>2.0685051520700637</v>
      </c>
      <c r="X167" s="181">
        <f t="shared" si="27"/>
        <v>37680000</v>
      </c>
      <c r="Y167" s="181">
        <f t="shared" si="28"/>
        <v>6472379</v>
      </c>
      <c r="Z167" s="181">
        <f t="shared" si="29"/>
        <v>31207621</v>
      </c>
    </row>
    <row r="168" spans="1:26" ht="22.5">
      <c r="A168" s="91">
        <v>703</v>
      </c>
      <c r="B168" s="88">
        <v>7030</v>
      </c>
      <c r="C168" s="88" t="s">
        <v>53</v>
      </c>
      <c r="D168" s="85" t="s">
        <v>48</v>
      </c>
      <c r="E168" s="128">
        <f>VLOOKUP(A168,'113分行業績'!A:L,12,0)</f>
        <v>17695816</v>
      </c>
      <c r="F168" s="129">
        <f t="shared" si="20"/>
        <v>12525787.41</v>
      </c>
      <c r="G168" s="90">
        <f>VLOOKUP(A168,'113分行業績'!A:AU,47,0)</f>
        <v>30221603.41</v>
      </c>
      <c r="H168" s="215">
        <f>VLOOKUP(A168,'113分行業績'!A:AV,48,0)</f>
        <v>24250000</v>
      </c>
      <c r="I168" s="177">
        <f t="shared" si="21"/>
        <v>1.2462516870103093</v>
      </c>
      <c r="J168" s="181">
        <f t="shared" si="22"/>
        <v>24250000</v>
      </c>
      <c r="K168" s="181">
        <f t="shared" si="23"/>
        <v>10050769</v>
      </c>
      <c r="L168" s="181">
        <f t="shared" si="24"/>
        <v>14199231</v>
      </c>
      <c r="O168" s="91">
        <v>703</v>
      </c>
      <c r="P168" s="88">
        <v>7030</v>
      </c>
      <c r="Q168" s="88" t="s">
        <v>53</v>
      </c>
      <c r="R168" s="85" t="s">
        <v>48</v>
      </c>
      <c r="S168" s="128">
        <f>VLOOKUP(O168,'114分行業績'!A:L,12,0)</f>
        <v>19424242</v>
      </c>
      <c r="T168" s="129">
        <f t="shared" si="25"/>
        <v>8254381.620000001</v>
      </c>
      <c r="U168" s="90">
        <f>VLOOKUP(O168,'114分行業績'!A:AU,47,0)</f>
        <v>27678623.620000001</v>
      </c>
      <c r="V168" s="215">
        <f>VLOOKUP(O168,'114分行業績'!A:AV,48,0)</f>
        <v>40370000</v>
      </c>
      <c r="W168" s="177">
        <f t="shared" si="26"/>
        <v>0.68562357245479322</v>
      </c>
      <c r="X168" s="181">
        <f t="shared" si="27"/>
        <v>27678624</v>
      </c>
      <c r="Y168" s="181">
        <f t="shared" si="28"/>
        <v>8254382</v>
      </c>
      <c r="Z168" s="181">
        <f t="shared" si="29"/>
        <v>19424242</v>
      </c>
    </row>
    <row r="169" spans="1:26">
      <c r="A169" s="91">
        <v>704</v>
      </c>
      <c r="B169" s="88">
        <v>7040</v>
      </c>
      <c r="C169" s="88" t="s">
        <v>54</v>
      </c>
      <c r="D169" s="85" t="s">
        <v>48</v>
      </c>
      <c r="E169" s="128">
        <f>VLOOKUP(A169,'113分行業績'!A:L,12,0)</f>
        <v>13263631</v>
      </c>
      <c r="F169" s="129">
        <f t="shared" si="20"/>
        <v>9023118.0399999991</v>
      </c>
      <c r="G169" s="90">
        <f>VLOOKUP(A169,'113分行業績'!A:AU,47,0)</f>
        <v>22286749.039999999</v>
      </c>
      <c r="H169" s="215">
        <f>VLOOKUP(A169,'113分行業績'!A:AV,48,0)</f>
        <v>21790000</v>
      </c>
      <c r="I169" s="177">
        <f t="shared" si="21"/>
        <v>1.0227971106011933</v>
      </c>
      <c r="J169" s="181">
        <f t="shared" si="22"/>
        <v>21790000</v>
      </c>
      <c r="K169" s="181">
        <f t="shared" si="23"/>
        <v>8822002</v>
      </c>
      <c r="L169" s="181">
        <f t="shared" si="24"/>
        <v>12967998</v>
      </c>
      <c r="O169" s="91">
        <v>704</v>
      </c>
      <c r="P169" s="88">
        <v>7040</v>
      </c>
      <c r="Q169" s="88" t="s">
        <v>54</v>
      </c>
      <c r="R169" s="85" t="s">
        <v>48</v>
      </c>
      <c r="S169" s="128">
        <f>VLOOKUP(O169,'114分行業績'!A:L,12,0)</f>
        <v>33345712</v>
      </c>
      <c r="T169" s="129">
        <f t="shared" si="25"/>
        <v>11294832.899999999</v>
      </c>
      <c r="U169" s="90">
        <f>VLOOKUP(O169,'114分行業績'!A:AU,47,0)</f>
        <v>44640544.899999999</v>
      </c>
      <c r="V169" s="215">
        <f>VLOOKUP(O169,'114分行業績'!A:AV,48,0)</f>
        <v>36550000</v>
      </c>
      <c r="W169" s="177">
        <f t="shared" si="26"/>
        <v>1.2213555376196989</v>
      </c>
      <c r="X169" s="181">
        <f t="shared" si="27"/>
        <v>36550000</v>
      </c>
      <c r="Y169" s="181">
        <f t="shared" si="28"/>
        <v>9247785</v>
      </c>
      <c r="Z169" s="181">
        <f t="shared" si="29"/>
        <v>27302215</v>
      </c>
    </row>
    <row r="170" spans="1:26">
      <c r="A170" s="91">
        <v>705</v>
      </c>
      <c r="B170" s="88">
        <v>7050</v>
      </c>
      <c r="C170" s="88" t="s">
        <v>109</v>
      </c>
      <c r="D170" s="85" t="s">
        <v>48</v>
      </c>
      <c r="E170" s="128">
        <f>VLOOKUP(A170,'113分行業績'!A:L,12,0)</f>
        <v>14096099</v>
      </c>
      <c r="F170" s="129">
        <f t="shared" si="20"/>
        <v>11105730.100000001</v>
      </c>
      <c r="G170" s="90">
        <f>VLOOKUP(A170,'113分行業績'!A:AU,47,0)</f>
        <v>25201829.100000001</v>
      </c>
      <c r="H170" s="215">
        <f>VLOOKUP(A170,'113分行業績'!A:AV,48,0)</f>
        <v>21080000</v>
      </c>
      <c r="I170" s="177">
        <f t="shared" si="21"/>
        <v>1.1955326897533207</v>
      </c>
      <c r="J170" s="181">
        <f t="shared" si="22"/>
        <v>21080000</v>
      </c>
      <c r="K170" s="181">
        <f t="shared" si="23"/>
        <v>9289357</v>
      </c>
      <c r="L170" s="181">
        <f t="shared" si="24"/>
        <v>11790643</v>
      </c>
      <c r="O170" s="91">
        <v>705</v>
      </c>
      <c r="P170" s="88">
        <v>7050</v>
      </c>
      <c r="Q170" s="88" t="s">
        <v>109</v>
      </c>
      <c r="R170" s="85" t="s">
        <v>48</v>
      </c>
      <c r="S170" s="128">
        <f>VLOOKUP(O170,'114分行業績'!A:L,12,0)</f>
        <v>20378719</v>
      </c>
      <c r="T170" s="129">
        <f t="shared" si="25"/>
        <v>11963575.93</v>
      </c>
      <c r="U170" s="90">
        <f>VLOOKUP(O170,'114分行業績'!A:AU,47,0)</f>
        <v>32342294.93</v>
      </c>
      <c r="V170" s="215">
        <f>VLOOKUP(O170,'114分行業績'!A:AV,48,0)</f>
        <v>36340000</v>
      </c>
      <c r="W170" s="177">
        <f t="shared" si="26"/>
        <v>0.88999160511832687</v>
      </c>
      <c r="X170" s="181">
        <f t="shared" si="27"/>
        <v>32342295</v>
      </c>
      <c r="Y170" s="181">
        <f t="shared" si="28"/>
        <v>11963576</v>
      </c>
      <c r="Z170" s="181">
        <f t="shared" si="29"/>
        <v>20378719</v>
      </c>
    </row>
    <row r="171" spans="1:26" ht="22.5">
      <c r="A171" s="91">
        <v>706</v>
      </c>
      <c r="B171" s="88">
        <v>7060</v>
      </c>
      <c r="C171" s="88" t="s">
        <v>55</v>
      </c>
      <c r="D171" s="85" t="s">
        <v>48</v>
      </c>
      <c r="E171" s="128">
        <f>VLOOKUP(A171,'113分行業績'!A:L,12,0)</f>
        <v>25895176</v>
      </c>
      <c r="F171" s="129">
        <f t="shared" si="20"/>
        <v>13196889.009999998</v>
      </c>
      <c r="G171" s="90">
        <f>VLOOKUP(A171,'113分行業績'!A:AU,47,0)</f>
        <v>39092065.009999998</v>
      </c>
      <c r="H171" s="215">
        <f>VLOOKUP(A171,'113分行業績'!A:AV,48,0)</f>
        <v>32100000</v>
      </c>
      <c r="I171" s="177">
        <f t="shared" si="21"/>
        <v>1.2178213398753894</v>
      </c>
      <c r="J171" s="181">
        <f t="shared" si="22"/>
        <v>32100000</v>
      </c>
      <c r="K171" s="181">
        <f t="shared" si="23"/>
        <v>10836474</v>
      </c>
      <c r="L171" s="181">
        <f t="shared" si="24"/>
        <v>21263526</v>
      </c>
      <c r="O171" s="91">
        <v>706</v>
      </c>
      <c r="P171" s="88">
        <v>7060</v>
      </c>
      <c r="Q171" s="88" t="s">
        <v>55</v>
      </c>
      <c r="R171" s="85" t="s">
        <v>48</v>
      </c>
      <c r="S171" s="128">
        <f>VLOOKUP(O171,'114分行業績'!A:L,12,0)</f>
        <v>32733458</v>
      </c>
      <c r="T171" s="129">
        <f t="shared" si="25"/>
        <v>13087652.719999999</v>
      </c>
      <c r="U171" s="90">
        <f>VLOOKUP(O171,'114分行業績'!A:AU,47,0)</f>
        <v>45821110.719999999</v>
      </c>
      <c r="V171" s="215">
        <f>VLOOKUP(O171,'114分行業績'!A:AV,48,0)</f>
        <v>54760000</v>
      </c>
      <c r="W171" s="177">
        <f t="shared" si="26"/>
        <v>0.83676243097151204</v>
      </c>
      <c r="X171" s="181">
        <f t="shared" si="27"/>
        <v>45821111</v>
      </c>
      <c r="Y171" s="181">
        <f t="shared" si="28"/>
        <v>13087653</v>
      </c>
      <c r="Z171" s="181">
        <f t="shared" si="29"/>
        <v>32733458</v>
      </c>
    </row>
    <row r="172" spans="1:26">
      <c r="A172" s="91">
        <v>707</v>
      </c>
      <c r="B172" s="88">
        <v>7070</v>
      </c>
      <c r="C172" s="88" t="s">
        <v>110</v>
      </c>
      <c r="D172" s="85" t="s">
        <v>48</v>
      </c>
      <c r="E172" s="128">
        <f>VLOOKUP(A172,'113分行業績'!A:L,12,0)</f>
        <v>11176139</v>
      </c>
      <c r="F172" s="129">
        <f t="shared" si="20"/>
        <v>6346991.8900000006</v>
      </c>
      <c r="G172" s="90">
        <f>VLOOKUP(A172,'113分行業績'!A:AU,47,0)</f>
        <v>17523130.890000001</v>
      </c>
      <c r="H172" s="215">
        <f>VLOOKUP(A172,'113分行業績'!A:AV,48,0)</f>
        <v>18050000</v>
      </c>
      <c r="I172" s="177">
        <f t="shared" si="21"/>
        <v>0.97081057562326878</v>
      </c>
      <c r="J172" s="181">
        <f t="shared" si="22"/>
        <v>17523131</v>
      </c>
      <c r="K172" s="181">
        <f t="shared" si="23"/>
        <v>6346992</v>
      </c>
      <c r="L172" s="181">
        <f t="shared" si="24"/>
        <v>11176139</v>
      </c>
      <c r="O172" s="91">
        <v>707</v>
      </c>
      <c r="P172" s="88">
        <v>7070</v>
      </c>
      <c r="Q172" s="88" t="s">
        <v>110</v>
      </c>
      <c r="R172" s="85" t="s">
        <v>48</v>
      </c>
      <c r="S172" s="128">
        <f>VLOOKUP(O172,'114分行業績'!A:L,12,0)</f>
        <v>34562201</v>
      </c>
      <c r="T172" s="129">
        <f t="shared" si="25"/>
        <v>8653872.9600000009</v>
      </c>
      <c r="U172" s="90">
        <f>VLOOKUP(O172,'114分行業績'!A:AU,47,0)</f>
        <v>43216073.960000001</v>
      </c>
      <c r="V172" s="215">
        <f>VLOOKUP(O172,'114分行業績'!A:AV,48,0)</f>
        <v>29690000</v>
      </c>
      <c r="W172" s="177">
        <f t="shared" si="26"/>
        <v>1.4555767585045469</v>
      </c>
      <c r="X172" s="181">
        <f t="shared" si="27"/>
        <v>29690000</v>
      </c>
      <c r="Y172" s="181">
        <f t="shared" si="28"/>
        <v>5945322</v>
      </c>
      <c r="Z172" s="181">
        <f t="shared" si="29"/>
        <v>23744678</v>
      </c>
    </row>
    <row r="173" spans="1:26">
      <c r="A173" s="91">
        <v>708</v>
      </c>
      <c r="B173" s="88">
        <v>7080</v>
      </c>
      <c r="C173" s="88" t="s">
        <v>56</v>
      </c>
      <c r="D173" s="85" t="s">
        <v>48</v>
      </c>
      <c r="E173" s="128">
        <f>VLOOKUP(A173,'113分行業績'!A:L,12,0)</f>
        <v>14882755</v>
      </c>
      <c r="F173" s="129">
        <f t="shared" si="20"/>
        <v>15343296.219999999</v>
      </c>
      <c r="G173" s="90">
        <f>VLOOKUP(A173,'113分行業績'!A:AU,47,0)</f>
        <v>30226051.219999999</v>
      </c>
      <c r="H173" s="215">
        <f>VLOOKUP(A173,'113分行業績'!A:AV,48,0)</f>
        <v>28300000</v>
      </c>
      <c r="I173" s="177">
        <f t="shared" si="21"/>
        <v>1.0680583469964664</v>
      </c>
      <c r="J173" s="181">
        <f t="shared" si="22"/>
        <v>28300000</v>
      </c>
      <c r="K173" s="181">
        <f t="shared" si="23"/>
        <v>14365597</v>
      </c>
      <c r="L173" s="181">
        <f t="shared" si="24"/>
        <v>13934403</v>
      </c>
      <c r="O173" s="91">
        <v>708</v>
      </c>
      <c r="P173" s="88">
        <v>7080</v>
      </c>
      <c r="Q173" s="88" t="s">
        <v>56</v>
      </c>
      <c r="R173" s="85" t="s">
        <v>48</v>
      </c>
      <c r="S173" s="128">
        <f>VLOOKUP(O173,'114分行業績'!A:L,12,0)</f>
        <v>20510904</v>
      </c>
      <c r="T173" s="129">
        <f t="shared" si="25"/>
        <v>12195056.91</v>
      </c>
      <c r="U173" s="90">
        <f>VLOOKUP(O173,'114分行業績'!A:AU,47,0)</f>
        <v>32705960.91</v>
      </c>
      <c r="V173" s="215">
        <f>VLOOKUP(O173,'114分行業績'!A:AV,48,0)</f>
        <v>45920000</v>
      </c>
      <c r="W173" s="177">
        <f t="shared" si="26"/>
        <v>0.71223782469512198</v>
      </c>
      <c r="X173" s="181">
        <f t="shared" si="27"/>
        <v>32705961</v>
      </c>
      <c r="Y173" s="181">
        <f t="shared" si="28"/>
        <v>12195057</v>
      </c>
      <c r="Z173" s="181">
        <f t="shared" si="29"/>
        <v>20510904</v>
      </c>
    </row>
    <row r="174" spans="1:26">
      <c r="A174" s="91">
        <v>709</v>
      </c>
      <c r="B174" s="88">
        <v>7090</v>
      </c>
      <c r="C174" s="88" t="s">
        <v>204</v>
      </c>
      <c r="D174" s="85" t="s">
        <v>48</v>
      </c>
      <c r="E174" s="128">
        <f>VLOOKUP(A174,'113分行業績'!A:L,12,0)</f>
        <v>37025027</v>
      </c>
      <c r="F174" s="129">
        <f t="shared" si="20"/>
        <v>9352092.6099999994</v>
      </c>
      <c r="G174" s="90">
        <f>VLOOKUP(A174,'113分行業績'!A:AU,47,0)</f>
        <v>46377119.609999999</v>
      </c>
      <c r="H174" s="215">
        <f>VLOOKUP(A174,'113分行業績'!A:AV,48,0)</f>
        <v>27000000</v>
      </c>
      <c r="I174" s="177">
        <f t="shared" si="21"/>
        <v>1.7176710966666666</v>
      </c>
      <c r="J174" s="181">
        <f t="shared" si="22"/>
        <v>27000000</v>
      </c>
      <c r="K174" s="181">
        <f t="shared" si="23"/>
        <v>5444635</v>
      </c>
      <c r="L174" s="181">
        <f t="shared" si="24"/>
        <v>21555365</v>
      </c>
      <c r="O174" s="91">
        <v>709</v>
      </c>
      <c r="P174" s="88">
        <v>7090</v>
      </c>
      <c r="Q174" s="88" t="s">
        <v>204</v>
      </c>
      <c r="R174" s="85" t="s">
        <v>48</v>
      </c>
      <c r="S174" s="128">
        <f>VLOOKUP(O174,'114分行業績'!A:L,12,0)</f>
        <v>56847698</v>
      </c>
      <c r="T174" s="129">
        <f t="shared" si="25"/>
        <v>10018957.869999997</v>
      </c>
      <c r="U174" s="90">
        <f>VLOOKUP(O174,'114分行業績'!A:AU,47,0)</f>
        <v>66866655.869999997</v>
      </c>
      <c r="V174" s="215">
        <f>VLOOKUP(O174,'114分行業績'!A:AV,48,0)</f>
        <v>46490000</v>
      </c>
      <c r="W174" s="177">
        <f t="shared" si="26"/>
        <v>1.4383019115938911</v>
      </c>
      <c r="X174" s="181">
        <f t="shared" si="27"/>
        <v>46490000</v>
      </c>
      <c r="Y174" s="181">
        <f t="shared" si="28"/>
        <v>6965824</v>
      </c>
      <c r="Z174" s="181">
        <f t="shared" si="29"/>
        <v>39524176</v>
      </c>
    </row>
    <row r="175" spans="1:26">
      <c r="A175" s="91">
        <v>710</v>
      </c>
      <c r="B175" s="88">
        <v>7100</v>
      </c>
      <c r="C175" s="88" t="s">
        <v>111</v>
      </c>
      <c r="D175" s="85" t="s">
        <v>48</v>
      </c>
      <c r="E175" s="128">
        <f>VLOOKUP(A175,'113分行業績'!A:L,12,0)</f>
        <v>30235045</v>
      </c>
      <c r="F175" s="129">
        <f t="shared" si="20"/>
        <v>14677246.039999999</v>
      </c>
      <c r="G175" s="90">
        <f>VLOOKUP(A175,'113分行業績'!A:AU,47,0)</f>
        <v>44912291.039999999</v>
      </c>
      <c r="H175" s="215">
        <f>VLOOKUP(A175,'113分行業績'!A:AV,48,0)</f>
        <v>35870000</v>
      </c>
      <c r="I175" s="177">
        <f t="shared" si="21"/>
        <v>1.2520850582659604</v>
      </c>
      <c r="J175" s="181">
        <f t="shared" si="22"/>
        <v>35870000</v>
      </c>
      <c r="K175" s="181">
        <f t="shared" si="23"/>
        <v>11722244</v>
      </c>
      <c r="L175" s="181">
        <f t="shared" si="24"/>
        <v>24147756</v>
      </c>
      <c r="O175" s="91">
        <v>710</v>
      </c>
      <c r="P175" s="88">
        <v>7100</v>
      </c>
      <c r="Q175" s="88" t="s">
        <v>111</v>
      </c>
      <c r="R175" s="85" t="s">
        <v>48</v>
      </c>
      <c r="S175" s="128">
        <f>VLOOKUP(O175,'114分行業績'!A:L,12,0)</f>
        <v>39240969</v>
      </c>
      <c r="T175" s="129">
        <f t="shared" si="25"/>
        <v>14577564.549999997</v>
      </c>
      <c r="U175" s="90">
        <f>VLOOKUP(O175,'114分行業績'!A:AU,47,0)</f>
        <v>53818533.549999997</v>
      </c>
      <c r="V175" s="215">
        <f>VLOOKUP(O175,'114分行業績'!A:AV,48,0)</f>
        <v>61420000</v>
      </c>
      <c r="W175" s="177">
        <f t="shared" si="26"/>
        <v>0.87623792819928359</v>
      </c>
      <c r="X175" s="181">
        <f t="shared" si="27"/>
        <v>53818534</v>
      </c>
      <c r="Y175" s="181">
        <f t="shared" si="28"/>
        <v>14577565</v>
      </c>
      <c r="Z175" s="181">
        <f t="shared" si="29"/>
        <v>39240969</v>
      </c>
    </row>
    <row r="176" spans="1:26">
      <c r="A176" s="91">
        <v>711</v>
      </c>
      <c r="B176" s="88">
        <v>7110</v>
      </c>
      <c r="C176" s="88" t="s">
        <v>205</v>
      </c>
      <c r="D176" s="85" t="s">
        <v>48</v>
      </c>
      <c r="E176" s="128">
        <f>VLOOKUP(A176,'113分行業績'!A:L,12,0)</f>
        <v>18536177</v>
      </c>
      <c r="F176" s="129">
        <f t="shared" si="20"/>
        <v>17672958.140000001</v>
      </c>
      <c r="G176" s="90">
        <f>VLOOKUP(A176,'113分行業績'!A:AU,47,0)</f>
        <v>36209135.140000001</v>
      </c>
      <c r="H176" s="215">
        <f>VLOOKUP(A176,'113分行業績'!A:AV,48,0)</f>
        <v>28180000</v>
      </c>
      <c r="I176" s="177">
        <f t="shared" si="21"/>
        <v>1.2849231774308021</v>
      </c>
      <c r="J176" s="181">
        <f t="shared" si="22"/>
        <v>28180000</v>
      </c>
      <c r="K176" s="181">
        <f t="shared" si="23"/>
        <v>13754097</v>
      </c>
      <c r="L176" s="181">
        <f t="shared" si="24"/>
        <v>14425903</v>
      </c>
      <c r="O176" s="91">
        <v>711</v>
      </c>
      <c r="P176" s="88">
        <v>7110</v>
      </c>
      <c r="Q176" s="88" t="s">
        <v>205</v>
      </c>
      <c r="R176" s="85" t="s">
        <v>48</v>
      </c>
      <c r="S176" s="128">
        <f>VLOOKUP(O176,'114分行業績'!A:L,12,0)</f>
        <v>31825702</v>
      </c>
      <c r="T176" s="129">
        <f t="shared" si="25"/>
        <v>13668228.93</v>
      </c>
      <c r="U176" s="90">
        <f>VLOOKUP(O176,'114分行業績'!A:AU,47,0)</f>
        <v>45493930.93</v>
      </c>
      <c r="V176" s="215">
        <f>VLOOKUP(O176,'114分行業績'!A:AV,48,0)</f>
        <v>46610000</v>
      </c>
      <c r="W176" s="177">
        <f t="shared" si="26"/>
        <v>0.97605515833512124</v>
      </c>
      <c r="X176" s="181">
        <f t="shared" si="27"/>
        <v>45493931</v>
      </c>
      <c r="Y176" s="181">
        <f t="shared" si="28"/>
        <v>13668229</v>
      </c>
      <c r="Z176" s="181">
        <f t="shared" si="29"/>
        <v>31825702</v>
      </c>
    </row>
    <row r="177" spans="1:26">
      <c r="A177" s="91">
        <v>712</v>
      </c>
      <c r="B177" s="88">
        <v>7120</v>
      </c>
      <c r="C177" s="88" t="s">
        <v>206</v>
      </c>
      <c r="D177" s="85" t="s">
        <v>48</v>
      </c>
      <c r="E177" s="128">
        <f>VLOOKUP(A177,'113分行業績'!A:L,12,0)</f>
        <v>9155494</v>
      </c>
      <c r="F177" s="129">
        <f t="shared" si="20"/>
        <v>2399153.7400000002</v>
      </c>
      <c r="G177" s="90">
        <f>VLOOKUP(A177,'113分行業績'!A:AU,47,0)</f>
        <v>11554647.74</v>
      </c>
      <c r="H177" s="215">
        <f>VLOOKUP(A177,'113分行業績'!A:AV,48,0)</f>
        <v>11500000</v>
      </c>
      <c r="I177" s="177">
        <f t="shared" si="21"/>
        <v>1.0047519773913043</v>
      </c>
      <c r="J177" s="181">
        <f t="shared" si="22"/>
        <v>11500000</v>
      </c>
      <c r="K177" s="181">
        <f t="shared" si="23"/>
        <v>2387807</v>
      </c>
      <c r="L177" s="181">
        <f t="shared" si="24"/>
        <v>9112193</v>
      </c>
      <c r="O177" s="91">
        <v>712</v>
      </c>
      <c r="P177" s="88">
        <v>7120</v>
      </c>
      <c r="Q177" s="88" t="s">
        <v>206</v>
      </c>
      <c r="R177" s="85" t="s">
        <v>48</v>
      </c>
      <c r="S177" s="128">
        <f>VLOOKUP(O177,'114分行業績'!A:L,12,0)</f>
        <v>17667245</v>
      </c>
      <c r="T177" s="129">
        <f t="shared" si="25"/>
        <v>2880411.7699999996</v>
      </c>
      <c r="U177" s="90">
        <f>VLOOKUP(O177,'114分行業績'!A:AU,47,0)</f>
        <v>20547656.77</v>
      </c>
      <c r="V177" s="215">
        <f>VLOOKUP(O177,'114分行業績'!A:AV,48,0)</f>
        <v>18770000</v>
      </c>
      <c r="W177" s="177">
        <f t="shared" si="26"/>
        <v>1.0947073399041023</v>
      </c>
      <c r="X177" s="181">
        <f t="shared" si="27"/>
        <v>18770000</v>
      </c>
      <c r="Y177" s="181">
        <f t="shared" si="28"/>
        <v>2631216</v>
      </c>
      <c r="Z177" s="181">
        <f t="shared" si="29"/>
        <v>16138784</v>
      </c>
    </row>
    <row r="178" spans="1:26">
      <c r="A178" s="91">
        <v>719</v>
      </c>
      <c r="B178" s="88">
        <v>7190</v>
      </c>
      <c r="C178" s="88" t="s">
        <v>59</v>
      </c>
      <c r="D178" s="85" t="s">
        <v>48</v>
      </c>
      <c r="E178" s="128">
        <f>VLOOKUP(A178,'113分行業績'!A:L,12,0)</f>
        <v>23039525</v>
      </c>
      <c r="F178" s="129">
        <f t="shared" si="20"/>
        <v>15109236.189999998</v>
      </c>
      <c r="G178" s="90">
        <f>VLOOKUP(A178,'113分行業績'!A:AU,47,0)</f>
        <v>38148761.189999998</v>
      </c>
      <c r="H178" s="215">
        <f>VLOOKUP(A178,'113分行業績'!A:AV,48,0)</f>
        <v>36730000</v>
      </c>
      <c r="I178" s="177">
        <f t="shared" si="21"/>
        <v>1.0386267680370269</v>
      </c>
      <c r="J178" s="181">
        <f t="shared" si="22"/>
        <v>36730000</v>
      </c>
      <c r="K178" s="181">
        <f t="shared" si="23"/>
        <v>14547320</v>
      </c>
      <c r="L178" s="181">
        <f t="shared" si="24"/>
        <v>22182680</v>
      </c>
      <c r="O178" s="91">
        <v>719</v>
      </c>
      <c r="P178" s="88">
        <v>7190</v>
      </c>
      <c r="Q178" s="88" t="s">
        <v>59</v>
      </c>
      <c r="R178" s="85" t="s">
        <v>48</v>
      </c>
      <c r="S178" s="128">
        <f>VLOOKUP(O178,'114分行業績'!A:L,12,0)</f>
        <v>54589529</v>
      </c>
      <c r="T178" s="129">
        <f t="shared" si="25"/>
        <v>14144411.239999995</v>
      </c>
      <c r="U178" s="90">
        <f>VLOOKUP(O178,'114分行業績'!A:AU,47,0)</f>
        <v>68733940.239999995</v>
      </c>
      <c r="V178" s="215">
        <f>VLOOKUP(O178,'114分行業績'!A:AV,48,0)</f>
        <v>62760000</v>
      </c>
      <c r="W178" s="177">
        <f t="shared" si="26"/>
        <v>1.0951870656469087</v>
      </c>
      <c r="X178" s="181">
        <f t="shared" si="27"/>
        <v>62760000</v>
      </c>
      <c r="Y178" s="181">
        <f t="shared" si="28"/>
        <v>12915064</v>
      </c>
      <c r="Z178" s="181">
        <f t="shared" si="29"/>
        <v>49844936</v>
      </c>
    </row>
    <row r="179" spans="1:26">
      <c r="A179" s="91">
        <v>720</v>
      </c>
      <c r="B179" s="88">
        <v>7200</v>
      </c>
      <c r="C179" s="88" t="s">
        <v>112</v>
      </c>
      <c r="D179" s="85" t="s">
        <v>48</v>
      </c>
      <c r="E179" s="128">
        <f>VLOOKUP(A179,'113分行業績'!A:L,12,0)</f>
        <v>11915419</v>
      </c>
      <c r="F179" s="129">
        <f t="shared" si="20"/>
        <v>19123871.890000001</v>
      </c>
      <c r="G179" s="90">
        <f>VLOOKUP(A179,'113分行業績'!A:AU,47,0)</f>
        <v>31039290.890000001</v>
      </c>
      <c r="H179" s="215">
        <f>VLOOKUP(A179,'113分行業績'!A:AV,48,0)</f>
        <v>30820000</v>
      </c>
      <c r="I179" s="177">
        <f t="shared" si="21"/>
        <v>1.0071152138221935</v>
      </c>
      <c r="J179" s="181">
        <f t="shared" si="22"/>
        <v>30820000</v>
      </c>
      <c r="K179" s="181">
        <f t="shared" si="23"/>
        <v>18988763</v>
      </c>
      <c r="L179" s="181">
        <f t="shared" si="24"/>
        <v>11831237</v>
      </c>
      <c r="O179" s="91">
        <v>720</v>
      </c>
      <c r="P179" s="88">
        <v>7200</v>
      </c>
      <c r="Q179" s="88" t="s">
        <v>112</v>
      </c>
      <c r="R179" s="85" t="s">
        <v>48</v>
      </c>
      <c r="S179" s="128">
        <f>VLOOKUP(O179,'114分行業績'!A:L,12,0)</f>
        <v>41692190</v>
      </c>
      <c r="T179" s="129">
        <f t="shared" si="25"/>
        <v>19510854.079999998</v>
      </c>
      <c r="U179" s="90">
        <f>VLOOKUP(O179,'114分行業績'!A:AU,47,0)</f>
        <v>61203044.079999998</v>
      </c>
      <c r="V179" s="215">
        <f>VLOOKUP(O179,'114分行業績'!A:AV,48,0)</f>
        <v>53530000</v>
      </c>
      <c r="W179" s="177">
        <f t="shared" si="26"/>
        <v>1.1433410065383895</v>
      </c>
      <c r="X179" s="181">
        <f t="shared" si="27"/>
        <v>53530000</v>
      </c>
      <c r="Y179" s="181">
        <f t="shared" si="28"/>
        <v>17064772</v>
      </c>
      <c r="Z179" s="181">
        <f t="shared" si="29"/>
        <v>36465228</v>
      </c>
    </row>
    <row r="180" spans="1:26">
      <c r="A180" s="91">
        <v>721</v>
      </c>
      <c r="B180" s="88">
        <v>7210</v>
      </c>
      <c r="C180" s="88" t="s">
        <v>60</v>
      </c>
      <c r="D180" s="85" t="s">
        <v>48</v>
      </c>
      <c r="E180" s="128">
        <f>VLOOKUP(A180,'113分行業績'!A:L,12,0)</f>
        <v>9166992</v>
      </c>
      <c r="F180" s="129">
        <f t="shared" si="20"/>
        <v>16518175.989999998</v>
      </c>
      <c r="G180" s="90">
        <f>VLOOKUP(A180,'113分行業績'!A:AU,47,0)</f>
        <v>25685167.989999998</v>
      </c>
      <c r="H180" s="215">
        <f>VLOOKUP(A180,'113分行業績'!A:AV,48,0)</f>
        <v>27850000</v>
      </c>
      <c r="I180" s="177">
        <f t="shared" si="21"/>
        <v>0.92226815044883292</v>
      </c>
      <c r="J180" s="181">
        <f t="shared" si="22"/>
        <v>25685168</v>
      </c>
      <c r="K180" s="181">
        <f t="shared" si="23"/>
        <v>16518176</v>
      </c>
      <c r="L180" s="181">
        <f t="shared" si="24"/>
        <v>9166992</v>
      </c>
      <c r="O180" s="91">
        <v>721</v>
      </c>
      <c r="P180" s="88">
        <v>7210</v>
      </c>
      <c r="Q180" s="88" t="s">
        <v>60</v>
      </c>
      <c r="R180" s="85" t="s">
        <v>48</v>
      </c>
      <c r="S180" s="128">
        <f>VLOOKUP(O180,'114分行業績'!A:L,12,0)</f>
        <v>29707562</v>
      </c>
      <c r="T180" s="129">
        <f t="shared" si="25"/>
        <v>17010903.460000001</v>
      </c>
      <c r="U180" s="90">
        <f>VLOOKUP(O180,'114分行業績'!A:AU,47,0)</f>
        <v>46718465.460000001</v>
      </c>
      <c r="V180" s="215">
        <f>VLOOKUP(O180,'114分行業績'!A:AV,48,0)</f>
        <v>45030000</v>
      </c>
      <c r="W180" s="177">
        <f t="shared" si="26"/>
        <v>1.0374964570286476</v>
      </c>
      <c r="X180" s="181">
        <f t="shared" si="27"/>
        <v>45030000</v>
      </c>
      <c r="Y180" s="181">
        <f t="shared" si="28"/>
        <v>16396108</v>
      </c>
      <c r="Z180" s="181">
        <f t="shared" si="29"/>
        <v>28633892</v>
      </c>
    </row>
    <row r="181" spans="1:26">
      <c r="A181" s="91">
        <v>722</v>
      </c>
      <c r="B181" s="88">
        <v>7220</v>
      </c>
      <c r="C181" s="88" t="s">
        <v>61</v>
      </c>
      <c r="D181" s="85" t="s">
        <v>48</v>
      </c>
      <c r="E181" s="128">
        <f>VLOOKUP(A181,'113分行業績'!A:L,12,0)</f>
        <v>9543186</v>
      </c>
      <c r="F181" s="129">
        <f t="shared" si="20"/>
        <v>6402884</v>
      </c>
      <c r="G181" s="90">
        <f>VLOOKUP(A181,'113分行業績'!A:AU,47,0)</f>
        <v>15946070</v>
      </c>
      <c r="H181" s="215">
        <f>VLOOKUP(A181,'113分行業績'!A:AV,48,0)</f>
        <v>17920000</v>
      </c>
      <c r="I181" s="177">
        <f t="shared" si="21"/>
        <v>0.88984765624999995</v>
      </c>
      <c r="J181" s="181">
        <f t="shared" si="22"/>
        <v>15946070</v>
      </c>
      <c r="K181" s="181">
        <f t="shared" si="23"/>
        <v>6402884</v>
      </c>
      <c r="L181" s="181">
        <f t="shared" si="24"/>
        <v>9543186</v>
      </c>
      <c r="O181" s="91">
        <v>722</v>
      </c>
      <c r="P181" s="88">
        <v>7220</v>
      </c>
      <c r="Q181" s="88" t="s">
        <v>61</v>
      </c>
      <c r="R181" s="85" t="s">
        <v>48</v>
      </c>
      <c r="S181" s="128">
        <f>VLOOKUP(O181,'114分行業績'!A:L,12,0)</f>
        <v>18153209</v>
      </c>
      <c r="T181" s="129">
        <f t="shared" si="25"/>
        <v>5674244.6999999993</v>
      </c>
      <c r="U181" s="90">
        <f>VLOOKUP(O181,'114分行業績'!A:AU,47,0)</f>
        <v>23827453.699999999</v>
      </c>
      <c r="V181" s="215">
        <f>VLOOKUP(O181,'114分行業績'!A:AV,48,0)</f>
        <v>28640000</v>
      </c>
      <c r="W181" s="177">
        <f t="shared" si="26"/>
        <v>0.83196416550279328</v>
      </c>
      <c r="X181" s="181">
        <f t="shared" si="27"/>
        <v>23827454</v>
      </c>
      <c r="Y181" s="181">
        <f t="shared" si="28"/>
        <v>5674245</v>
      </c>
      <c r="Z181" s="181">
        <f t="shared" si="29"/>
        <v>18153209</v>
      </c>
    </row>
    <row r="182" spans="1:26">
      <c r="A182" s="91">
        <v>751</v>
      </c>
      <c r="B182" s="88">
        <v>7510</v>
      </c>
      <c r="C182" s="88" t="s">
        <v>62</v>
      </c>
      <c r="D182" s="85" t="s">
        <v>48</v>
      </c>
      <c r="E182" s="128">
        <f>VLOOKUP(A182,'113分行業績'!A:L,12,0)</f>
        <v>17924774</v>
      </c>
      <c r="F182" s="129">
        <f t="shared" si="20"/>
        <v>5469441.7899999991</v>
      </c>
      <c r="G182" s="90">
        <f>VLOOKUP(A182,'113分行業績'!A:AU,47,0)</f>
        <v>23394215.789999999</v>
      </c>
      <c r="H182" s="215">
        <f>VLOOKUP(A182,'113分行業績'!A:AV,48,0)</f>
        <v>23400000</v>
      </c>
      <c r="I182" s="177">
        <f t="shared" si="21"/>
        <v>0.99975281153846152</v>
      </c>
      <c r="J182" s="181">
        <f t="shared" si="22"/>
        <v>23394216</v>
      </c>
      <c r="K182" s="181">
        <f t="shared" si="23"/>
        <v>5469442</v>
      </c>
      <c r="L182" s="181">
        <f t="shared" si="24"/>
        <v>17924774</v>
      </c>
      <c r="O182" s="91">
        <v>751</v>
      </c>
      <c r="P182" s="88">
        <v>7510</v>
      </c>
      <c r="Q182" s="88" t="s">
        <v>62</v>
      </c>
      <c r="R182" s="85" t="s">
        <v>48</v>
      </c>
      <c r="S182" s="128">
        <f>VLOOKUP(O182,'114分行業績'!A:L,12,0)</f>
        <v>25110451</v>
      </c>
      <c r="T182" s="129">
        <f t="shared" si="25"/>
        <v>5737857.1400000006</v>
      </c>
      <c r="U182" s="90">
        <f>VLOOKUP(O182,'114分行業績'!A:AU,47,0)</f>
        <v>30848308.140000001</v>
      </c>
      <c r="V182" s="215">
        <f>VLOOKUP(O182,'114分行業績'!A:AV,48,0)</f>
        <v>37040000</v>
      </c>
      <c r="W182" s="177">
        <f t="shared" si="26"/>
        <v>0.83283769276457886</v>
      </c>
      <c r="X182" s="181">
        <f t="shared" si="27"/>
        <v>30848308</v>
      </c>
      <c r="Y182" s="181">
        <f t="shared" si="28"/>
        <v>5737857</v>
      </c>
      <c r="Z182" s="181">
        <f t="shared" si="29"/>
        <v>25110451</v>
      </c>
    </row>
    <row r="183" spans="1:26">
      <c r="A183" s="91">
        <v>752</v>
      </c>
      <c r="B183" s="88">
        <v>7520</v>
      </c>
      <c r="C183" s="88" t="s">
        <v>63</v>
      </c>
      <c r="D183" s="85" t="s">
        <v>48</v>
      </c>
      <c r="E183" s="128">
        <f>VLOOKUP(A183,'113分行業績'!A:L,12,0)</f>
        <v>24908599</v>
      </c>
      <c r="F183" s="129">
        <f t="shared" si="20"/>
        <v>12582574.689999998</v>
      </c>
      <c r="G183" s="90">
        <f>VLOOKUP(A183,'113分行業績'!A:AU,47,0)</f>
        <v>37491173.689999998</v>
      </c>
      <c r="H183" s="215">
        <f>VLOOKUP(A183,'113分行業績'!A:AV,48,0)</f>
        <v>29860000</v>
      </c>
      <c r="I183" s="177">
        <f t="shared" si="21"/>
        <v>1.2555650934360347</v>
      </c>
      <c r="J183" s="181">
        <f t="shared" si="22"/>
        <v>29860000</v>
      </c>
      <c r="K183" s="181">
        <f t="shared" si="23"/>
        <v>10021444</v>
      </c>
      <c r="L183" s="181">
        <f t="shared" si="24"/>
        <v>19838556</v>
      </c>
      <c r="O183" s="91">
        <v>752</v>
      </c>
      <c r="P183" s="88">
        <v>7520</v>
      </c>
      <c r="Q183" s="88" t="s">
        <v>63</v>
      </c>
      <c r="R183" s="85" t="s">
        <v>48</v>
      </c>
      <c r="S183" s="128">
        <f>VLOOKUP(O183,'114分行業績'!A:L,12,0)</f>
        <v>37209489</v>
      </c>
      <c r="T183" s="129">
        <f t="shared" si="25"/>
        <v>14762803.990000002</v>
      </c>
      <c r="U183" s="90">
        <f>VLOOKUP(O183,'114分行業績'!A:AU,47,0)</f>
        <v>51972292.990000002</v>
      </c>
      <c r="V183" s="215">
        <f>VLOOKUP(O183,'114分行業績'!A:AV,48,0)</f>
        <v>50180000</v>
      </c>
      <c r="W183" s="177">
        <f t="shared" si="26"/>
        <v>1.0357172776006378</v>
      </c>
      <c r="X183" s="181">
        <f t="shared" si="27"/>
        <v>50180000</v>
      </c>
      <c r="Y183" s="181">
        <f t="shared" si="28"/>
        <v>14253701</v>
      </c>
      <c r="Z183" s="181">
        <f t="shared" si="29"/>
        <v>35926299</v>
      </c>
    </row>
    <row r="184" spans="1:26">
      <c r="A184" s="91">
        <v>753</v>
      </c>
      <c r="B184" s="88">
        <v>7530</v>
      </c>
      <c r="C184" s="88" t="s">
        <v>207</v>
      </c>
      <c r="D184" s="85" t="s">
        <v>48</v>
      </c>
      <c r="E184" s="128">
        <f>VLOOKUP(A184,'113分行業績'!A:L,12,0)</f>
        <v>14389454</v>
      </c>
      <c r="F184" s="129">
        <f t="shared" si="20"/>
        <v>13874673.27</v>
      </c>
      <c r="G184" s="90">
        <f>VLOOKUP(A184,'113分行業績'!A:AU,47,0)</f>
        <v>28264127.27</v>
      </c>
      <c r="H184" s="215">
        <f>VLOOKUP(A184,'113分行業績'!A:AV,48,0)</f>
        <v>22220000</v>
      </c>
      <c r="I184" s="177">
        <f t="shared" si="21"/>
        <v>1.2720129284428443</v>
      </c>
      <c r="J184" s="181">
        <f t="shared" si="22"/>
        <v>22220000</v>
      </c>
      <c r="K184" s="181">
        <f t="shared" si="23"/>
        <v>10907651</v>
      </c>
      <c r="L184" s="181">
        <f t="shared" si="24"/>
        <v>11312349</v>
      </c>
      <c r="O184" s="91">
        <v>753</v>
      </c>
      <c r="P184" s="88">
        <v>7530</v>
      </c>
      <c r="Q184" s="88" t="s">
        <v>207</v>
      </c>
      <c r="R184" s="85" t="s">
        <v>48</v>
      </c>
      <c r="S184" s="128">
        <f>VLOOKUP(O184,'114分行業績'!A:L,12,0)</f>
        <v>18012720</v>
      </c>
      <c r="T184" s="129">
        <f t="shared" si="25"/>
        <v>20294545.310000002</v>
      </c>
      <c r="U184" s="90">
        <f>VLOOKUP(O184,'114分行業績'!A:AU,47,0)</f>
        <v>38307265.310000002</v>
      </c>
      <c r="V184" s="215">
        <f>VLOOKUP(O184,'114分行業績'!A:AV,48,0)</f>
        <v>38270000</v>
      </c>
      <c r="W184" s="177">
        <f t="shared" si="26"/>
        <v>1.000973747321662</v>
      </c>
      <c r="X184" s="181">
        <f t="shared" si="27"/>
        <v>38270000</v>
      </c>
      <c r="Y184" s="181">
        <f t="shared" si="28"/>
        <v>20274803</v>
      </c>
      <c r="Z184" s="181">
        <f t="shared" si="29"/>
        <v>17995197</v>
      </c>
    </row>
    <row r="185" spans="1:26">
      <c r="A185" s="91">
        <v>760</v>
      </c>
      <c r="B185" s="88">
        <v>7600</v>
      </c>
      <c r="C185" s="88" t="s">
        <v>64</v>
      </c>
      <c r="D185" s="85" t="s">
        <v>48</v>
      </c>
      <c r="E185" s="128">
        <f>VLOOKUP(A185,'113分行業績'!A:L,12,0)</f>
        <v>33163315</v>
      </c>
      <c r="F185" s="129">
        <f t="shared" si="20"/>
        <v>11989103.230000004</v>
      </c>
      <c r="G185" s="90">
        <f>VLOOKUP(A185,'113分行業績'!A:AU,47,0)</f>
        <v>45152418.230000004</v>
      </c>
      <c r="H185" s="215">
        <f>VLOOKUP(A185,'113分行業績'!A:AV,48,0)</f>
        <v>27610000</v>
      </c>
      <c r="I185" s="177">
        <f t="shared" si="21"/>
        <v>1.6353646588192685</v>
      </c>
      <c r="J185" s="181">
        <f t="shared" si="22"/>
        <v>27610000</v>
      </c>
      <c r="K185" s="181">
        <f t="shared" si="23"/>
        <v>7331150</v>
      </c>
      <c r="L185" s="181">
        <f t="shared" si="24"/>
        <v>20278850</v>
      </c>
      <c r="O185" s="91">
        <v>760</v>
      </c>
      <c r="P185" s="88">
        <v>7600</v>
      </c>
      <c r="Q185" s="88" t="s">
        <v>64</v>
      </c>
      <c r="R185" s="85" t="s">
        <v>48</v>
      </c>
      <c r="S185" s="128">
        <f>VLOOKUP(O185,'114分行業績'!A:L,12,0)</f>
        <v>48448470</v>
      </c>
      <c r="T185" s="129">
        <f t="shared" si="25"/>
        <v>15068334.439999998</v>
      </c>
      <c r="U185" s="90">
        <f>VLOOKUP(O185,'114分行業績'!A:AU,47,0)</f>
        <v>63516804.439999998</v>
      </c>
      <c r="V185" s="215">
        <f>VLOOKUP(O185,'114分行業績'!A:AV,48,0)</f>
        <v>40960000</v>
      </c>
      <c r="W185" s="177">
        <f t="shared" si="26"/>
        <v>1.5507032333984374</v>
      </c>
      <c r="X185" s="181">
        <f t="shared" si="27"/>
        <v>40960000</v>
      </c>
      <c r="Y185" s="181">
        <f t="shared" si="28"/>
        <v>9717097</v>
      </c>
      <c r="Z185" s="181">
        <f t="shared" si="29"/>
        <v>31242903</v>
      </c>
    </row>
    <row r="186" spans="1:26" ht="22.5">
      <c r="A186" s="91">
        <v>765</v>
      </c>
      <c r="B186" s="88">
        <v>7650</v>
      </c>
      <c r="C186" s="88" t="s">
        <v>65</v>
      </c>
      <c r="D186" s="85" t="s">
        <v>48</v>
      </c>
      <c r="E186" s="128">
        <f>VLOOKUP(A186,'113分行業績'!A:L,12,0)</f>
        <v>15160451</v>
      </c>
      <c r="F186" s="129">
        <f t="shared" si="20"/>
        <v>6671873.7800000012</v>
      </c>
      <c r="G186" s="90">
        <f>VLOOKUP(A186,'113分行業績'!A:AU,47,0)</f>
        <v>21832324.780000001</v>
      </c>
      <c r="H186" s="215">
        <f>VLOOKUP(A186,'113分行業績'!A:AV,48,0)</f>
        <v>18090000</v>
      </c>
      <c r="I186" s="177">
        <f t="shared" si="21"/>
        <v>1.2068725693753455</v>
      </c>
      <c r="J186" s="181">
        <f t="shared" si="22"/>
        <v>18090000</v>
      </c>
      <c r="K186" s="181">
        <f t="shared" si="23"/>
        <v>5528234</v>
      </c>
      <c r="L186" s="181">
        <f t="shared" si="24"/>
        <v>12561766</v>
      </c>
      <c r="O186" s="91">
        <v>765</v>
      </c>
      <c r="P186" s="88">
        <v>7650</v>
      </c>
      <c r="Q186" s="88" t="s">
        <v>65</v>
      </c>
      <c r="R186" s="85" t="s">
        <v>48</v>
      </c>
      <c r="S186" s="128">
        <f>VLOOKUP(O186,'114分行業績'!A:L,12,0)</f>
        <v>24748828</v>
      </c>
      <c r="T186" s="129">
        <f t="shared" si="25"/>
        <v>8902926.4200000018</v>
      </c>
      <c r="U186" s="90">
        <f>VLOOKUP(O186,'114分行業績'!A:AU,47,0)</f>
        <v>33651754.420000002</v>
      </c>
      <c r="V186" s="215">
        <f>VLOOKUP(O186,'114分行業績'!A:AV,48,0)</f>
        <v>31260000</v>
      </c>
      <c r="W186" s="177">
        <f t="shared" si="26"/>
        <v>1.0765116577095331</v>
      </c>
      <c r="X186" s="181">
        <f t="shared" si="27"/>
        <v>31260000</v>
      </c>
      <c r="Y186" s="181">
        <f t="shared" si="28"/>
        <v>8270163</v>
      </c>
      <c r="Z186" s="181">
        <f t="shared" si="29"/>
        <v>22989837</v>
      </c>
    </row>
    <row r="187" spans="1:26">
      <c r="A187" s="91">
        <v>800</v>
      </c>
      <c r="B187" s="88">
        <v>8000</v>
      </c>
      <c r="C187" s="88" t="s">
        <v>66</v>
      </c>
      <c r="D187" s="85" t="s">
        <v>48</v>
      </c>
      <c r="E187" s="128">
        <f>VLOOKUP(A187,'113分行業績'!A:L,12,0)</f>
        <v>17353501</v>
      </c>
      <c r="F187" s="129">
        <f t="shared" si="20"/>
        <v>19543289.700000003</v>
      </c>
      <c r="G187" s="90">
        <f>VLOOKUP(A187,'113分行業績'!A:AU,47,0)</f>
        <v>36896790.700000003</v>
      </c>
      <c r="H187" s="215">
        <f>VLOOKUP(A187,'113分行業績'!A:AV,48,0)</f>
        <v>32260000</v>
      </c>
      <c r="I187" s="177">
        <f t="shared" si="21"/>
        <v>1.1437318877867328</v>
      </c>
      <c r="J187" s="181">
        <f t="shared" si="22"/>
        <v>32260000</v>
      </c>
      <c r="K187" s="181">
        <f t="shared" si="23"/>
        <v>17087300</v>
      </c>
      <c r="L187" s="181">
        <f t="shared" si="24"/>
        <v>15172700</v>
      </c>
      <c r="O187" s="91">
        <v>800</v>
      </c>
      <c r="P187" s="88">
        <v>8000</v>
      </c>
      <c r="Q187" s="88" t="s">
        <v>66</v>
      </c>
      <c r="R187" s="85" t="s">
        <v>48</v>
      </c>
      <c r="S187" s="128">
        <f>VLOOKUP(O187,'114分行業績'!A:L,12,0)</f>
        <v>34814592</v>
      </c>
      <c r="T187" s="129">
        <f t="shared" si="25"/>
        <v>15175898.310000002</v>
      </c>
      <c r="U187" s="90">
        <f>VLOOKUP(O187,'114分行業績'!A:AU,47,0)</f>
        <v>49990490.310000002</v>
      </c>
      <c r="V187" s="215">
        <f>VLOOKUP(O187,'114分行業績'!A:AV,48,0)</f>
        <v>55450000</v>
      </c>
      <c r="W187" s="177">
        <f t="shared" si="26"/>
        <v>0.9015417549143373</v>
      </c>
      <c r="X187" s="181">
        <f t="shared" si="27"/>
        <v>49990490</v>
      </c>
      <c r="Y187" s="181">
        <f t="shared" si="28"/>
        <v>15175898</v>
      </c>
      <c r="Z187" s="181">
        <f t="shared" si="29"/>
        <v>34814592</v>
      </c>
    </row>
    <row r="188" spans="1:26">
      <c r="A188" s="91">
        <v>801</v>
      </c>
      <c r="B188" s="88">
        <v>8010</v>
      </c>
      <c r="C188" s="88" t="s">
        <v>67</v>
      </c>
      <c r="D188" s="85" t="s">
        <v>48</v>
      </c>
      <c r="E188" s="128">
        <f>VLOOKUP(A188,'113分行業績'!A:L,12,0)</f>
        <v>31733183</v>
      </c>
      <c r="F188" s="129">
        <f t="shared" si="20"/>
        <v>18813691.579999998</v>
      </c>
      <c r="G188" s="90">
        <f>VLOOKUP(A188,'113分行業績'!A:AU,47,0)</f>
        <v>50546874.579999998</v>
      </c>
      <c r="H188" s="215">
        <f>VLOOKUP(A188,'113分行業績'!A:AV,48,0)</f>
        <v>44330000</v>
      </c>
      <c r="I188" s="177">
        <f t="shared" si="21"/>
        <v>1.1402407981051206</v>
      </c>
      <c r="J188" s="181">
        <f t="shared" si="22"/>
        <v>44330000</v>
      </c>
      <c r="K188" s="181">
        <f t="shared" si="23"/>
        <v>16499753</v>
      </c>
      <c r="L188" s="181">
        <f t="shared" si="24"/>
        <v>27830247</v>
      </c>
      <c r="O188" s="91">
        <v>801</v>
      </c>
      <c r="P188" s="88">
        <v>8010</v>
      </c>
      <c r="Q188" s="88" t="s">
        <v>67</v>
      </c>
      <c r="R188" s="85" t="s">
        <v>48</v>
      </c>
      <c r="S188" s="128">
        <f>VLOOKUP(O188,'114分行業績'!A:L,12,0)</f>
        <v>66685009</v>
      </c>
      <c r="T188" s="129">
        <f t="shared" si="25"/>
        <v>18165566.900000006</v>
      </c>
      <c r="U188" s="90">
        <f>VLOOKUP(O188,'114分行業績'!A:AU,47,0)</f>
        <v>84850575.900000006</v>
      </c>
      <c r="V188" s="215">
        <f>VLOOKUP(O188,'114分行業績'!A:AV,48,0)</f>
        <v>73230000</v>
      </c>
      <c r="W188" s="177">
        <f t="shared" si="26"/>
        <v>1.1586860016386729</v>
      </c>
      <c r="X188" s="181">
        <f t="shared" si="27"/>
        <v>73230000</v>
      </c>
      <c r="Y188" s="181">
        <f t="shared" si="28"/>
        <v>15677731</v>
      </c>
      <c r="Z188" s="181">
        <f t="shared" si="29"/>
        <v>57552269</v>
      </c>
    </row>
    <row r="189" spans="1:26">
      <c r="A189" s="91">
        <v>802</v>
      </c>
      <c r="B189" s="88">
        <v>8020</v>
      </c>
      <c r="C189" s="88" t="s">
        <v>68</v>
      </c>
      <c r="D189" s="85" t="s">
        <v>48</v>
      </c>
      <c r="E189" s="128">
        <f>VLOOKUP(A189,'113分行業績'!A:L,12,0)</f>
        <v>39162102</v>
      </c>
      <c r="F189" s="129">
        <f t="shared" si="20"/>
        <v>18679522.540000007</v>
      </c>
      <c r="G189" s="90">
        <f>VLOOKUP(A189,'113分行業績'!A:AU,47,0)</f>
        <v>57841624.540000007</v>
      </c>
      <c r="H189" s="215">
        <f>VLOOKUP(A189,'113分行業績'!A:AV,48,0)</f>
        <v>29790000</v>
      </c>
      <c r="I189" s="177">
        <f t="shared" si="21"/>
        <v>1.9416456710305474</v>
      </c>
      <c r="J189" s="181">
        <f t="shared" si="22"/>
        <v>29790000</v>
      </c>
      <c r="K189" s="181">
        <f t="shared" si="23"/>
        <v>9620459</v>
      </c>
      <c r="L189" s="181">
        <f t="shared" si="24"/>
        <v>20169541</v>
      </c>
      <c r="O189" s="91">
        <v>802</v>
      </c>
      <c r="P189" s="88">
        <v>8020</v>
      </c>
      <c r="Q189" s="88" t="s">
        <v>68</v>
      </c>
      <c r="R189" s="85" t="s">
        <v>48</v>
      </c>
      <c r="S189" s="128">
        <f>VLOOKUP(O189,'114分行業績'!A:L,12,0)</f>
        <v>57961191</v>
      </c>
      <c r="T189" s="129">
        <f t="shared" si="25"/>
        <v>22713607.599999994</v>
      </c>
      <c r="U189" s="90">
        <f>VLOOKUP(O189,'114分行業績'!A:AU,47,0)</f>
        <v>80674798.599999994</v>
      </c>
      <c r="V189" s="215">
        <f>VLOOKUP(O189,'114分行業績'!A:AV,48,0)</f>
        <v>50050000</v>
      </c>
      <c r="W189" s="177">
        <f t="shared" si="26"/>
        <v>1.6118840879120877</v>
      </c>
      <c r="X189" s="181">
        <f t="shared" si="27"/>
        <v>50050000</v>
      </c>
      <c r="Y189" s="181">
        <f t="shared" si="28"/>
        <v>14091341</v>
      </c>
      <c r="Z189" s="181">
        <f t="shared" si="29"/>
        <v>35958659</v>
      </c>
    </row>
    <row r="190" spans="1:26">
      <c r="A190" s="91">
        <v>813</v>
      </c>
      <c r="B190" s="88">
        <v>8130</v>
      </c>
      <c r="C190" s="88" t="s">
        <v>69</v>
      </c>
      <c r="D190" s="85" t="s">
        <v>48</v>
      </c>
      <c r="E190" s="128">
        <f>VLOOKUP(A190,'113分行業績'!A:L,12,0)</f>
        <v>17949120</v>
      </c>
      <c r="F190" s="129">
        <f t="shared" si="20"/>
        <v>8146098.620000001</v>
      </c>
      <c r="G190" s="90">
        <f>VLOOKUP(A190,'113分行業績'!A:AU,47,0)</f>
        <v>26095218.620000001</v>
      </c>
      <c r="H190" s="215">
        <f>VLOOKUP(A190,'113分行業績'!A:AV,48,0)</f>
        <v>21550000</v>
      </c>
      <c r="I190" s="177">
        <f t="shared" si="21"/>
        <v>1.2109150171693737</v>
      </c>
      <c r="J190" s="181">
        <f t="shared" si="22"/>
        <v>21550000</v>
      </c>
      <c r="K190" s="181">
        <f t="shared" si="23"/>
        <v>6727226</v>
      </c>
      <c r="L190" s="181">
        <f t="shared" si="24"/>
        <v>14822774</v>
      </c>
      <c r="O190" s="91">
        <v>813</v>
      </c>
      <c r="P190" s="88">
        <v>8130</v>
      </c>
      <c r="Q190" s="88" t="s">
        <v>69</v>
      </c>
      <c r="R190" s="85" t="s">
        <v>48</v>
      </c>
      <c r="S190" s="128">
        <f>VLOOKUP(O190,'114分行業績'!A:L,12,0)</f>
        <v>22074583</v>
      </c>
      <c r="T190" s="129">
        <f t="shared" si="25"/>
        <v>10219434.600000001</v>
      </c>
      <c r="U190" s="90">
        <f>VLOOKUP(O190,'114分行業績'!A:AU,47,0)</f>
        <v>32294017.600000001</v>
      </c>
      <c r="V190" s="215">
        <f>VLOOKUP(O190,'114分行業績'!A:AV,48,0)</f>
        <v>36740000</v>
      </c>
      <c r="W190" s="177">
        <f t="shared" si="26"/>
        <v>0.87898795862819823</v>
      </c>
      <c r="X190" s="181">
        <f t="shared" si="27"/>
        <v>32294018</v>
      </c>
      <c r="Y190" s="181">
        <f t="shared" si="28"/>
        <v>10219435</v>
      </c>
      <c r="Z190" s="181">
        <f t="shared" si="29"/>
        <v>22074583</v>
      </c>
    </row>
    <row r="191" spans="1:26">
      <c r="A191" s="91">
        <v>820</v>
      </c>
      <c r="B191" s="88">
        <v>8200</v>
      </c>
      <c r="C191" s="88" t="s">
        <v>70</v>
      </c>
      <c r="D191" s="85" t="s">
        <v>7</v>
      </c>
      <c r="E191" s="128">
        <f>VLOOKUP(A191,'113分行業績'!A:L,12,0)</f>
        <v>21705416</v>
      </c>
      <c r="F191" s="129">
        <f t="shared" si="20"/>
        <v>15838096.020000003</v>
      </c>
      <c r="G191" s="90">
        <f>VLOOKUP(A191,'113分行業績'!A:AU,47,0)</f>
        <v>37543512.020000003</v>
      </c>
      <c r="H191" s="215">
        <f>VLOOKUP(A191,'113分行業績'!A:AV,48,0)</f>
        <v>28770000</v>
      </c>
      <c r="I191" s="177">
        <f t="shared" si="21"/>
        <v>1.3049534939172751</v>
      </c>
      <c r="J191" s="181">
        <f t="shared" si="22"/>
        <v>28770000</v>
      </c>
      <c r="K191" s="181">
        <f t="shared" si="23"/>
        <v>12136905</v>
      </c>
      <c r="L191" s="181">
        <f t="shared" si="24"/>
        <v>16633095</v>
      </c>
      <c r="O191" s="91">
        <v>820</v>
      </c>
      <c r="P191" s="88">
        <v>8200</v>
      </c>
      <c r="Q191" s="88" t="s">
        <v>70</v>
      </c>
      <c r="R191" s="85" t="s">
        <v>7</v>
      </c>
      <c r="S191" s="128">
        <f>VLOOKUP(O191,'114分行業績'!A:L,12,0)</f>
        <v>35068675</v>
      </c>
      <c r="T191" s="129">
        <f t="shared" si="25"/>
        <v>17320052.409999996</v>
      </c>
      <c r="U191" s="90">
        <f>VLOOKUP(O191,'114分行業績'!A:AU,47,0)</f>
        <v>52388727.409999996</v>
      </c>
      <c r="V191" s="215">
        <f>VLOOKUP(O191,'114分行業績'!A:AV,48,0)</f>
        <v>46950000</v>
      </c>
      <c r="W191" s="177">
        <f t="shared" si="26"/>
        <v>1.1158408394036208</v>
      </c>
      <c r="X191" s="181">
        <f t="shared" si="27"/>
        <v>46950000</v>
      </c>
      <c r="Y191" s="181">
        <f t="shared" si="28"/>
        <v>15521974</v>
      </c>
      <c r="Z191" s="181">
        <f t="shared" si="29"/>
        <v>31428026</v>
      </c>
    </row>
    <row r="192" spans="1:26">
      <c r="A192" s="91">
        <v>830</v>
      </c>
      <c r="B192" s="88">
        <v>8300</v>
      </c>
      <c r="C192" s="88" t="s">
        <v>71</v>
      </c>
      <c r="D192" s="85" t="s">
        <v>48</v>
      </c>
      <c r="E192" s="128">
        <f>VLOOKUP(A192,'113分行業績'!A:L,12,0)</f>
        <v>7814783</v>
      </c>
      <c r="F192" s="129">
        <f t="shared" si="20"/>
        <v>9195122.5599999987</v>
      </c>
      <c r="G192" s="90">
        <f>VLOOKUP(A192,'113分行業績'!A:AU,47,0)</f>
        <v>17009905.559999999</v>
      </c>
      <c r="H192" s="215">
        <f>VLOOKUP(A192,'113分行業績'!A:AV,48,0)</f>
        <v>25380000</v>
      </c>
      <c r="I192" s="177">
        <f t="shared" si="21"/>
        <v>0.67020904491725763</v>
      </c>
      <c r="J192" s="181">
        <f t="shared" si="22"/>
        <v>17009906</v>
      </c>
      <c r="K192" s="181">
        <f t="shared" si="23"/>
        <v>9195123</v>
      </c>
      <c r="L192" s="181">
        <f t="shared" si="24"/>
        <v>7814783</v>
      </c>
      <c r="O192" s="91">
        <v>830</v>
      </c>
      <c r="P192" s="88">
        <v>8300</v>
      </c>
      <c r="Q192" s="88" t="s">
        <v>71</v>
      </c>
      <c r="R192" s="85" t="s">
        <v>48</v>
      </c>
      <c r="S192" s="128">
        <f>VLOOKUP(O192,'114分行業績'!A:L,12,0)</f>
        <v>11280767</v>
      </c>
      <c r="T192" s="129">
        <f t="shared" si="25"/>
        <v>9661962.0799999982</v>
      </c>
      <c r="U192" s="90">
        <f>VLOOKUP(O192,'114分行業績'!A:AU,47,0)</f>
        <v>20942729.079999998</v>
      </c>
      <c r="V192" s="215">
        <f>VLOOKUP(O192,'114分行業績'!A:AV,48,0)</f>
        <v>30920000</v>
      </c>
      <c r="W192" s="177">
        <f t="shared" si="26"/>
        <v>0.67731982794307888</v>
      </c>
      <c r="X192" s="181">
        <f t="shared" si="27"/>
        <v>20942729</v>
      </c>
      <c r="Y192" s="181">
        <f t="shared" si="28"/>
        <v>9661962</v>
      </c>
      <c r="Z192" s="181">
        <f t="shared" si="29"/>
        <v>11280767</v>
      </c>
    </row>
    <row r="193" spans="1:26" ht="22.5">
      <c r="A193" s="91">
        <v>888</v>
      </c>
      <c r="B193" s="88">
        <v>8880</v>
      </c>
      <c r="C193" s="88" t="s">
        <v>209</v>
      </c>
      <c r="D193" s="85" t="s">
        <v>0</v>
      </c>
      <c r="E193" s="128">
        <f>VLOOKUP(A193,'113分行業績'!A:L,12,0)</f>
        <v>2148670</v>
      </c>
      <c r="F193" s="129">
        <f t="shared" si="20"/>
        <v>5811547.5999999996</v>
      </c>
      <c r="G193" s="90">
        <f>VLOOKUP(A193,'113分行業績'!A:AU,47,0)</f>
        <v>7960217.5999999996</v>
      </c>
      <c r="H193" s="215">
        <f>VLOOKUP(A193,'113分行業績'!A:AV,48,0)</f>
        <v>10870000</v>
      </c>
      <c r="I193" s="177">
        <f t="shared" si="21"/>
        <v>0.73231072677092912</v>
      </c>
      <c r="J193" s="181">
        <f t="shared" si="22"/>
        <v>7960218</v>
      </c>
      <c r="K193" s="181">
        <f t="shared" si="23"/>
        <v>5811548</v>
      </c>
      <c r="L193" s="181">
        <f t="shared" si="24"/>
        <v>2148670</v>
      </c>
      <c r="O193" s="91">
        <v>888</v>
      </c>
      <c r="P193" s="88">
        <v>8880</v>
      </c>
      <c r="Q193" s="88" t="s">
        <v>209</v>
      </c>
      <c r="R193" s="85" t="s">
        <v>0</v>
      </c>
      <c r="S193" s="128">
        <f>VLOOKUP(O193,'114分行業績'!A:L,12,0)</f>
        <v>5048465</v>
      </c>
      <c r="T193" s="129">
        <f t="shared" si="25"/>
        <v>6168871.5700000003</v>
      </c>
      <c r="U193" s="90">
        <f>VLOOKUP(O193,'114分行業績'!A:AU,47,0)</f>
        <v>11217336.57</v>
      </c>
      <c r="V193" s="215">
        <f>VLOOKUP(O193,'114分行業績'!A:AV,48,0)</f>
        <v>14290000</v>
      </c>
      <c r="W193" s="177">
        <f t="shared" si="26"/>
        <v>0.78497806648005597</v>
      </c>
      <c r="X193" s="181">
        <f t="shared" si="27"/>
        <v>11217337</v>
      </c>
      <c r="Y193" s="181">
        <f t="shared" si="28"/>
        <v>6168872</v>
      </c>
      <c r="Z193" s="181">
        <f t="shared" si="29"/>
        <v>5048465</v>
      </c>
    </row>
    <row r="194" spans="1:26">
      <c r="A194" s="91" t="s">
        <v>210</v>
      </c>
      <c r="B194" s="586" t="s">
        <v>210</v>
      </c>
      <c r="C194" s="587"/>
      <c r="D194" s="85"/>
      <c r="O194" s="91" t="s">
        <v>210</v>
      </c>
      <c r="P194" s="586" t="s">
        <v>210</v>
      </c>
      <c r="Q194" s="587"/>
      <c r="R194" s="85"/>
      <c r="S194" s="126">
        <f>SUM(S8:S193)</f>
        <v>6027901098.96</v>
      </c>
      <c r="T194" s="126">
        <f>SUM(T8:T193)</f>
        <v>3525049083.8899984</v>
      </c>
      <c r="U194" s="126">
        <f>SUM(U8:U193)</f>
        <v>9552950182.8499966</v>
      </c>
      <c r="V194" s="219">
        <f>SUM(V8:V193)</f>
        <v>9969620000</v>
      </c>
      <c r="W194" s="177">
        <f t="shared" ref="W194" si="30">U194/V194</f>
        <v>0.95820604825961231</v>
      </c>
      <c r="X194" s="182">
        <f>SUM(X8:X193)</f>
        <v>8908451025</v>
      </c>
      <c r="Y194" s="182">
        <f>SUM(Y8:Y193)</f>
        <v>3324804526</v>
      </c>
      <c r="Z194" s="182">
        <f>SUM(Z8:Z193)</f>
        <v>5583646499</v>
      </c>
    </row>
    <row r="195" spans="1:26" ht="16.5" customHeight="1">
      <c r="A195" s="91" t="s">
        <v>433</v>
      </c>
      <c r="B195" s="586" t="s">
        <v>432</v>
      </c>
      <c r="C195" s="587"/>
      <c r="D195" s="85"/>
      <c r="O195" s="91" t="s">
        <v>433</v>
      </c>
      <c r="P195" s="586" t="s">
        <v>432</v>
      </c>
      <c r="Q195" s="587"/>
      <c r="R195" s="85"/>
      <c r="S195" s="90"/>
      <c r="T195" s="125"/>
      <c r="U195" s="90"/>
      <c r="V195" s="215"/>
      <c r="W195" s="177"/>
      <c r="X195" s="179"/>
      <c r="Y195" s="179"/>
      <c r="Z195" s="179"/>
    </row>
    <row r="196" spans="1:26">
      <c r="A196" s="91"/>
      <c r="B196" s="85"/>
      <c r="C196" s="85"/>
      <c r="D196" s="85" t="s">
        <v>0</v>
      </c>
      <c r="E196" s="90">
        <f>SUMIF($D$8:$D$193,$D196,$E$8:$E$193)</f>
        <v>617808673</v>
      </c>
      <c r="F196" s="90">
        <f>SUMIF($D$8:$D$193,$D196,$F$8:$F$193)</f>
        <v>1074790123.9500003</v>
      </c>
      <c r="G196" s="90">
        <f>SUMIF($D$8:$D$193,$D196,$G$8:$G$193)</f>
        <v>1692598796.9499998</v>
      </c>
      <c r="H196" s="219">
        <f>SUMIF($D$8:$D$193,$D196,$H$8:$H$193)</f>
        <v>1584450000</v>
      </c>
      <c r="I196" s="177">
        <f>G196/H196</f>
        <v>1.0682563646375713</v>
      </c>
      <c r="J196" s="183">
        <f>SUMIF($D$8:$D$193,$D196,$J$8:$J$193)</f>
        <v>1476929609</v>
      </c>
      <c r="K196" s="183">
        <f>SUMIF($D$8:$D$193,$D196,$K$8:$K$193)</f>
        <v>944084224</v>
      </c>
      <c r="L196" s="183">
        <f>SUMIF($D$8:$D$193,$D196,$L$8:$L$193)</f>
        <v>532845385</v>
      </c>
      <c r="O196" s="91"/>
      <c r="P196" s="85"/>
      <c r="Q196" s="85"/>
      <c r="R196" s="85" t="s">
        <v>0</v>
      </c>
      <c r="S196" s="90">
        <f>SUMIF($R$8:$R$193,$R196,$S$8:$S$193)</f>
        <v>1175346676</v>
      </c>
      <c r="T196" s="90">
        <f>SUMIF($R$8:$R$193,$R196,$T$8:$T$193)</f>
        <v>1090150163.54</v>
      </c>
      <c r="U196" s="90">
        <f>SUMIF($R$8:$R$193,$R196,$U$8:$U$193)</f>
        <v>2265496839.5400004</v>
      </c>
      <c r="V196" s="219">
        <f>SUMIF($R$8:$R$193,$R196,$V$8:$V$193)</f>
        <v>2525070000</v>
      </c>
      <c r="W196" s="177">
        <f>U196/V196</f>
        <v>0.8972015981893573</v>
      </c>
      <c r="X196" s="183">
        <f>SUMIF($R$8:$R$193,$R196,$X$8:$X$193)</f>
        <v>2164296989</v>
      </c>
      <c r="Y196" s="183">
        <f>SUMIF($R$8:$R$193,$R196,$Y$8:$Y$193)</f>
        <v>1054985641</v>
      </c>
      <c r="Z196" s="183">
        <f>SUMIF($R$8:$R$193,$R196,$Z$8:$Z$193)</f>
        <v>1109311348</v>
      </c>
    </row>
    <row r="197" spans="1:26">
      <c r="A197" s="91"/>
      <c r="B197" s="85"/>
      <c r="C197" s="85"/>
      <c r="D197" s="85" t="s">
        <v>7</v>
      </c>
      <c r="E197" s="90">
        <f t="shared" ref="E197:E200" si="31">SUMIF($D$8:$D$193,$D197,$E$8:$E$193)</f>
        <v>692307746</v>
      </c>
      <c r="F197" s="90">
        <f t="shared" ref="F197:F200" si="32">SUMIF($D$8:$D$193,$D197,$F$8:$F$193)</f>
        <v>715966748.80999994</v>
      </c>
      <c r="G197" s="90">
        <f t="shared" ref="G197:G200" si="33">SUMIF($D$8:$D$193,$D197,$G$8:$G$193)</f>
        <v>1408274494.8100004</v>
      </c>
      <c r="H197" s="219">
        <f t="shared" ref="H197:H200" si="34">SUMIF($D$8:$D$193,$D197,$H$8:$H$193)</f>
        <v>1215470000</v>
      </c>
      <c r="I197" s="177">
        <f>G197/H197</f>
        <v>1.1586254657128521</v>
      </c>
      <c r="J197" s="183">
        <f t="shared" ref="J197:J200" si="35">SUMIF($D$8:$D$193,$D197,$J$8:$J$193)</f>
        <v>1169453194</v>
      </c>
      <c r="K197" s="183">
        <f t="shared" ref="K197:K200" si="36">SUMIF($D$8:$D$193,$D197,$K$8:$K$193)</f>
        <v>592781215</v>
      </c>
      <c r="L197" s="183">
        <f t="shared" ref="L197:L200" si="37">SUMIF($D$8:$D$193,$D197,$L$8:$L$193)</f>
        <v>576671979</v>
      </c>
      <c r="O197" s="91"/>
      <c r="P197" s="85"/>
      <c r="Q197" s="85"/>
      <c r="R197" s="85" t="s">
        <v>7</v>
      </c>
      <c r="S197" s="90">
        <f>SUMIF($R$8:$R$193,$R197,$S$8:$S$193)</f>
        <v>1231149494</v>
      </c>
      <c r="T197" s="90">
        <f>SUMIF($R$8:$R$193,$R197,$T$8:$T$193)</f>
        <v>695548068.46000004</v>
      </c>
      <c r="U197" s="90">
        <f>SUMIF($R$8:$R$193,$R197,$U$8:$U$193)</f>
        <v>1926697562.4600005</v>
      </c>
      <c r="V197" s="219">
        <f>SUMIF($R$8:$R$193,$R197,$V$8:$V$193)</f>
        <v>2042820000</v>
      </c>
      <c r="W197" s="177">
        <f>U197/V197</f>
        <v>0.94315581522601133</v>
      </c>
      <c r="X197" s="183">
        <f t="shared" ref="X197:X200" si="38">SUMIF($R$8:$R$193,$R197,$X$8:$X$193)</f>
        <v>1798191613</v>
      </c>
      <c r="Y197" s="183">
        <f t="shared" ref="Y197:Y200" si="39">SUMIF($R$8:$R$193,$R197,$Y$8:$Y$193)</f>
        <v>646482635</v>
      </c>
      <c r="Z197" s="183">
        <f t="shared" ref="Z197:Z200" si="40">SUMIF($R$8:$R$193,$R197,$Z$8:$Z$193)</f>
        <v>1151708978</v>
      </c>
    </row>
    <row r="198" spans="1:26">
      <c r="A198" s="91"/>
      <c r="B198" s="85"/>
      <c r="C198" s="85"/>
      <c r="D198" s="85" t="s">
        <v>11</v>
      </c>
      <c r="E198" s="90">
        <f t="shared" si="31"/>
        <v>533235573</v>
      </c>
      <c r="F198" s="90">
        <f t="shared" si="32"/>
        <v>550705811.5</v>
      </c>
      <c r="G198" s="90">
        <f t="shared" si="33"/>
        <v>1083941384.5</v>
      </c>
      <c r="H198" s="219">
        <f t="shared" si="34"/>
        <v>970203158</v>
      </c>
      <c r="I198" s="177">
        <f>G198/H198</f>
        <v>1.1172313505291642</v>
      </c>
      <c r="J198" s="183">
        <f t="shared" si="35"/>
        <v>928640684</v>
      </c>
      <c r="K198" s="183">
        <f t="shared" si="36"/>
        <v>476508868</v>
      </c>
      <c r="L198" s="183">
        <f t="shared" si="37"/>
        <v>452131816</v>
      </c>
      <c r="O198" s="91"/>
      <c r="P198" s="85"/>
      <c r="Q198" s="85"/>
      <c r="R198" s="85" t="s">
        <v>11</v>
      </c>
      <c r="S198" s="90">
        <f>SUMIF($R$8:$R$193,$R198,$S$8:$S$193)</f>
        <v>965081196</v>
      </c>
      <c r="T198" s="90">
        <f>SUMIF($R$8:$R$193,$R198,$T$8:$T$193)</f>
        <v>542696063.03999996</v>
      </c>
      <c r="U198" s="90">
        <f>SUMIF($R$8:$R$193,$R198,$U$8:$U$193)</f>
        <v>1507777259.0400002</v>
      </c>
      <c r="V198" s="219">
        <f>SUMIF($R$8:$R$193,$R198,$V$8:$V$193)</f>
        <v>1618280000</v>
      </c>
      <c r="W198" s="177">
        <f>U198/V198</f>
        <v>0.93171593237264272</v>
      </c>
      <c r="X198" s="183">
        <f t="shared" si="38"/>
        <v>1435932306</v>
      </c>
      <c r="Y198" s="183">
        <f t="shared" si="39"/>
        <v>517921579</v>
      </c>
      <c r="Z198" s="183">
        <f t="shared" si="40"/>
        <v>918010727</v>
      </c>
    </row>
    <row r="199" spans="1:26">
      <c r="A199" s="91"/>
      <c r="B199" s="85"/>
      <c r="C199" s="85"/>
      <c r="D199" s="85" t="s">
        <v>33</v>
      </c>
      <c r="E199" s="90">
        <f t="shared" si="31"/>
        <v>745775540</v>
      </c>
      <c r="F199" s="90">
        <f t="shared" si="32"/>
        <v>628575164.38999999</v>
      </c>
      <c r="G199" s="90">
        <f t="shared" si="33"/>
        <v>1374350704.3899999</v>
      </c>
      <c r="H199" s="219">
        <f t="shared" si="34"/>
        <v>1096590000</v>
      </c>
      <c r="I199" s="177">
        <f>G199/H199</f>
        <v>1.2532949455949807</v>
      </c>
      <c r="J199" s="183">
        <f t="shared" si="35"/>
        <v>1090344959</v>
      </c>
      <c r="K199" s="183">
        <f t="shared" si="36"/>
        <v>496796022</v>
      </c>
      <c r="L199" s="183">
        <f t="shared" si="37"/>
        <v>593548937</v>
      </c>
      <c r="O199" s="91"/>
      <c r="P199" s="85"/>
      <c r="Q199" s="85"/>
      <c r="R199" s="85" t="s">
        <v>33</v>
      </c>
      <c r="S199" s="90">
        <f>SUMIF($R$8:$R$193,$R199,$S$8:$S$193)</f>
        <v>1258893237.96</v>
      </c>
      <c r="T199" s="90">
        <f>SUMIF($R$8:$R$193,$R199,$T$8:$T$193)</f>
        <v>618255705.52999973</v>
      </c>
      <c r="U199" s="90">
        <f>SUMIF($R$8:$R$193,$R199,$U$8:$U$193)</f>
        <v>1877148943.49</v>
      </c>
      <c r="V199" s="219">
        <f>SUMIF($R$8:$R$193,$R199,$V$8:$V$193)</f>
        <v>1858140000</v>
      </c>
      <c r="W199" s="177">
        <f>U199/V199</f>
        <v>1.0102300921835814</v>
      </c>
      <c r="X199" s="183">
        <f t="shared" si="38"/>
        <v>1739659707</v>
      </c>
      <c r="Y199" s="183">
        <f t="shared" si="39"/>
        <v>575872007</v>
      </c>
      <c r="Z199" s="183">
        <f t="shared" si="40"/>
        <v>1163787700</v>
      </c>
    </row>
    <row r="200" spans="1:26">
      <c r="A200" s="91"/>
      <c r="B200" s="85"/>
      <c r="C200" s="85"/>
      <c r="D200" s="85" t="s">
        <v>48</v>
      </c>
      <c r="E200" s="90">
        <f t="shared" si="31"/>
        <v>835614501</v>
      </c>
      <c r="F200" s="90">
        <f t="shared" si="32"/>
        <v>556335113.27999997</v>
      </c>
      <c r="G200" s="90">
        <f t="shared" si="33"/>
        <v>1391949614.2799995</v>
      </c>
      <c r="H200" s="219">
        <f t="shared" si="34"/>
        <v>1159910000</v>
      </c>
      <c r="I200" s="177">
        <f>G200/H200</f>
        <v>1.2000496713365687</v>
      </c>
      <c r="J200" s="183">
        <f t="shared" si="35"/>
        <v>1134602144</v>
      </c>
      <c r="K200" s="183">
        <f t="shared" si="36"/>
        <v>463080976</v>
      </c>
      <c r="L200" s="183">
        <f t="shared" si="37"/>
        <v>671521168</v>
      </c>
      <c r="O200" s="91"/>
      <c r="P200" s="85"/>
      <c r="Q200" s="85"/>
      <c r="R200" s="85" t="s">
        <v>48</v>
      </c>
      <c r="S200" s="90">
        <f>SUMIF($R$8:$R$193,$R200,$S$8:$S$193)</f>
        <v>1397430495</v>
      </c>
      <c r="T200" s="90">
        <f>SUMIF($R$8:$R$193,$R200,$T$8:$T$193)</f>
        <v>578399083.32000005</v>
      </c>
      <c r="U200" s="90">
        <f>SUMIF($R$8:$R$193,$R200,$U$8:$U$193)</f>
        <v>1975829578.3199999</v>
      </c>
      <c r="V200" s="219">
        <f>SUMIF($R$8:$R$193,$R200,$V$8:$V$193)</f>
        <v>1925310000</v>
      </c>
      <c r="W200" s="177">
        <f>U200/V200</f>
        <v>1.0262397111737849</v>
      </c>
      <c r="X200" s="183">
        <f t="shared" si="38"/>
        <v>1770370410</v>
      </c>
      <c r="Y200" s="183">
        <f t="shared" si="39"/>
        <v>529542664</v>
      </c>
      <c r="Z200" s="183">
        <f t="shared" si="40"/>
        <v>1240827746</v>
      </c>
    </row>
    <row r="201" spans="1:26">
      <c r="A201" s="91"/>
      <c r="B201" s="85"/>
      <c r="C201" s="85"/>
      <c r="D201" s="85"/>
      <c r="E201" s="90">
        <f>SUM(E196:E200)</f>
        <v>3424742033</v>
      </c>
      <c r="F201" s="125">
        <f>SUM(F196:F200)</f>
        <v>3526372961.9300003</v>
      </c>
      <c r="G201" s="90">
        <f>SUM(G196:G200)</f>
        <v>6951114994.9299994</v>
      </c>
      <c r="H201" s="219">
        <f>SUM(H196:H200)</f>
        <v>6026623158</v>
      </c>
      <c r="I201" s="90"/>
      <c r="J201" s="183">
        <f>SUM(J196:J200)</f>
        <v>5799970590</v>
      </c>
      <c r="K201" s="183">
        <f>SUM(K196:K200)</f>
        <v>2973251305</v>
      </c>
      <c r="L201" s="183">
        <f>SUM(L196:L200)</f>
        <v>2826719285</v>
      </c>
      <c r="O201" s="91"/>
      <c r="P201" s="85"/>
      <c r="Q201" s="85"/>
      <c r="R201" s="85"/>
      <c r="S201" s="90">
        <f>SUM(S196:S200)</f>
        <v>6027901098.96</v>
      </c>
      <c r="T201" s="125">
        <f>SUM(T196:T200)</f>
        <v>3525049083.8899999</v>
      </c>
      <c r="U201" s="90">
        <f>SUM(U196:U200)</f>
        <v>9552950182.8500004</v>
      </c>
      <c r="V201" s="219">
        <f>SUM(V196:V200)</f>
        <v>9969620000</v>
      </c>
      <c r="W201" s="90"/>
      <c r="X201" s="183">
        <f>SUM(X196:X200)</f>
        <v>8908451025</v>
      </c>
      <c r="Y201" s="183">
        <f>SUM(Y196:Y200)</f>
        <v>3324804526</v>
      </c>
      <c r="Z201" s="183">
        <f>SUM(Z196:Z200)</f>
        <v>5583646499</v>
      </c>
    </row>
  </sheetData>
  <mergeCells count="10">
    <mergeCell ref="P6:P7"/>
    <mergeCell ref="Q6:Q7"/>
    <mergeCell ref="X6:Z6"/>
    <mergeCell ref="P194:Q194"/>
    <mergeCell ref="P195:Q195"/>
    <mergeCell ref="B6:B7"/>
    <mergeCell ref="C6:C7"/>
    <mergeCell ref="J6:L6"/>
    <mergeCell ref="B194:C194"/>
    <mergeCell ref="B195:C195"/>
  </mergeCells>
  <phoneticPr fontId="1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H199"/>
  <sheetViews>
    <sheetView workbookViewId="0">
      <pane xSplit="4" ySplit="1" topLeftCell="E188" activePane="bottomRight" state="frozen"/>
      <selection activeCell="K63" sqref="K63"/>
      <selection pane="topRight" activeCell="K63" sqref="K63"/>
      <selection pane="bottomLeft" activeCell="K63" sqref="K63"/>
      <selection pane="bottomRight" activeCell="BB182" sqref="BB182"/>
    </sheetView>
  </sheetViews>
  <sheetFormatPr defaultRowHeight="16.5"/>
  <cols>
    <col min="5" max="5" width="11.625" style="243" bestFit="1" customWidth="1"/>
    <col min="12" max="12" width="9" style="243"/>
    <col min="19" max="19" width="9" style="243"/>
    <col min="26" max="26" width="9" style="243"/>
    <col min="33" max="33" width="9" style="243"/>
    <col min="40" max="40" width="9" style="243"/>
    <col min="47" max="47" width="9" style="243"/>
    <col min="54" max="54" width="9" style="243"/>
  </cols>
  <sheetData>
    <row r="1" spans="1:60" ht="165">
      <c r="A1" s="335" t="s">
        <v>427</v>
      </c>
      <c r="B1" s="335" t="s">
        <v>428</v>
      </c>
      <c r="C1" s="335" t="s">
        <v>473</v>
      </c>
      <c r="D1" s="335" t="s">
        <v>474</v>
      </c>
      <c r="E1" s="336" t="s">
        <v>1607</v>
      </c>
      <c r="F1" s="335" t="s">
        <v>1608</v>
      </c>
      <c r="G1" s="335" t="s">
        <v>1609</v>
      </c>
      <c r="H1" s="335" t="s">
        <v>1610</v>
      </c>
      <c r="I1" s="335" t="s">
        <v>1611</v>
      </c>
      <c r="J1" s="335" t="s">
        <v>1612</v>
      </c>
      <c r="K1" s="335" t="s">
        <v>1613</v>
      </c>
      <c r="L1" s="336" t="s">
        <v>482</v>
      </c>
      <c r="M1" s="335" t="s">
        <v>483</v>
      </c>
      <c r="N1" s="335" t="s">
        <v>484</v>
      </c>
      <c r="O1" s="335" t="s">
        <v>485</v>
      </c>
      <c r="P1" s="335" t="s">
        <v>486</v>
      </c>
      <c r="Q1" s="335" t="s">
        <v>487</v>
      </c>
      <c r="R1" s="335" t="s">
        <v>488</v>
      </c>
      <c r="S1" s="336" t="s">
        <v>1614</v>
      </c>
      <c r="T1" s="335" t="s">
        <v>1615</v>
      </c>
      <c r="U1" s="335" t="s">
        <v>1616</v>
      </c>
      <c r="V1" s="335" t="s">
        <v>1617</v>
      </c>
      <c r="W1" s="335" t="s">
        <v>1618</v>
      </c>
      <c r="X1" s="335" t="s">
        <v>1619</v>
      </c>
      <c r="Y1" s="335" t="s">
        <v>1620</v>
      </c>
      <c r="Z1" s="336" t="s">
        <v>496</v>
      </c>
      <c r="AA1" s="335" t="s">
        <v>497</v>
      </c>
      <c r="AB1" s="335" t="s">
        <v>498</v>
      </c>
      <c r="AC1" s="335" t="s">
        <v>499</v>
      </c>
      <c r="AD1" s="335" t="s">
        <v>500</v>
      </c>
      <c r="AE1" s="335" t="s">
        <v>501</v>
      </c>
      <c r="AF1" s="335" t="s">
        <v>502</v>
      </c>
      <c r="AG1" s="336" t="s">
        <v>503</v>
      </c>
      <c r="AH1" s="335" t="s">
        <v>504</v>
      </c>
      <c r="AI1" s="335" t="s">
        <v>505</v>
      </c>
      <c r="AJ1" s="335" t="s">
        <v>506</v>
      </c>
      <c r="AK1" s="335" t="s">
        <v>507</v>
      </c>
      <c r="AL1" s="335" t="s">
        <v>508</v>
      </c>
      <c r="AM1" s="335" t="s">
        <v>509</v>
      </c>
      <c r="AN1" s="336" t="s">
        <v>510</v>
      </c>
      <c r="AO1" s="335" t="s">
        <v>511</v>
      </c>
      <c r="AP1" s="335" t="s">
        <v>512</v>
      </c>
      <c r="AQ1" s="335" t="s">
        <v>513</v>
      </c>
      <c r="AR1" s="335" t="s">
        <v>514</v>
      </c>
      <c r="AS1" s="335" t="s">
        <v>515</v>
      </c>
      <c r="AT1" s="335" t="s">
        <v>516</v>
      </c>
      <c r="AU1" s="336" t="s">
        <v>517</v>
      </c>
      <c r="AV1" s="335" t="s">
        <v>518</v>
      </c>
      <c r="AW1" s="335" t="s">
        <v>638</v>
      </c>
      <c r="AX1" s="335" t="s">
        <v>649</v>
      </c>
      <c r="AY1" s="335" t="s">
        <v>650</v>
      </c>
      <c r="AZ1" s="335" t="s">
        <v>651</v>
      </c>
      <c r="BA1" s="335" t="s">
        <v>652</v>
      </c>
      <c r="BB1" s="336" t="s">
        <v>653</v>
      </c>
      <c r="BC1" s="335" t="s">
        <v>654</v>
      </c>
      <c r="BD1" s="335" t="s">
        <v>655</v>
      </c>
      <c r="BE1" s="335" t="s">
        <v>656</v>
      </c>
      <c r="BF1" s="335" t="s">
        <v>657</v>
      </c>
      <c r="BG1" s="335" t="s">
        <v>658</v>
      </c>
      <c r="BH1" s="335" t="s">
        <v>659</v>
      </c>
    </row>
    <row r="2" spans="1:60">
      <c r="A2">
        <v>100</v>
      </c>
      <c r="B2" t="s">
        <v>131</v>
      </c>
      <c r="C2" t="s">
        <v>519</v>
      </c>
      <c r="D2" t="s">
        <v>0</v>
      </c>
      <c r="E2" s="243">
        <v>22979471.100000001</v>
      </c>
      <c r="F2">
        <v>17370000</v>
      </c>
      <c r="G2">
        <v>132.29</v>
      </c>
      <c r="H2" t="s">
        <v>725</v>
      </c>
      <c r="I2" t="s">
        <v>884</v>
      </c>
      <c r="J2">
        <v>25.3</v>
      </c>
      <c r="K2">
        <v>33.47</v>
      </c>
      <c r="L2" s="243">
        <v>15914908</v>
      </c>
      <c r="M2">
        <v>30120000</v>
      </c>
      <c r="N2">
        <v>52.84</v>
      </c>
      <c r="O2" t="s">
        <v>698</v>
      </c>
      <c r="P2" t="s">
        <v>768</v>
      </c>
      <c r="Q2">
        <v>26.62</v>
      </c>
      <c r="R2">
        <v>14.07</v>
      </c>
      <c r="S2" s="243">
        <v>2230814</v>
      </c>
      <c r="T2">
        <v>4357000</v>
      </c>
      <c r="U2">
        <v>51.2</v>
      </c>
      <c r="V2" t="s">
        <v>817</v>
      </c>
      <c r="W2" t="s">
        <v>850</v>
      </c>
      <c r="X2">
        <v>22.3</v>
      </c>
      <c r="Y2">
        <v>11.42</v>
      </c>
      <c r="Z2" s="243">
        <v>9098850</v>
      </c>
      <c r="AA2">
        <v>1913000</v>
      </c>
      <c r="AB2">
        <v>475.63</v>
      </c>
      <c r="AC2" t="s">
        <v>723</v>
      </c>
      <c r="AD2" t="s">
        <v>870</v>
      </c>
      <c r="AE2">
        <v>7.0000000000000007E-2</v>
      </c>
      <c r="AF2">
        <v>0.33</v>
      </c>
      <c r="AG2" s="243">
        <v>500397</v>
      </c>
      <c r="AH2">
        <v>0</v>
      </c>
      <c r="AI2" t="s">
        <v>520</v>
      </c>
      <c r="AJ2" t="s">
        <v>668</v>
      </c>
      <c r="AK2" t="s">
        <v>669</v>
      </c>
      <c r="AL2">
        <v>1.42</v>
      </c>
      <c r="AM2" t="s">
        <v>520</v>
      </c>
      <c r="AN2" s="243">
        <v>1071235.81</v>
      </c>
      <c r="AO2">
        <v>960000</v>
      </c>
      <c r="AP2">
        <v>111.59</v>
      </c>
      <c r="AQ2" t="s">
        <v>771</v>
      </c>
      <c r="AR2" t="s">
        <v>733</v>
      </c>
      <c r="AS2">
        <v>2.36</v>
      </c>
      <c r="AT2">
        <v>2.63</v>
      </c>
      <c r="AU2" s="243">
        <v>51795675.909999996</v>
      </c>
      <c r="AV2">
        <v>54720000</v>
      </c>
      <c r="AW2">
        <v>94.66</v>
      </c>
      <c r="AX2" t="s">
        <v>725</v>
      </c>
      <c r="AY2" t="s">
        <v>755</v>
      </c>
      <c r="AZ2">
        <v>20.440000000000001</v>
      </c>
      <c r="BA2">
        <v>19.350000000000001</v>
      </c>
      <c r="BB2" s="243">
        <v>8061160.0999999996</v>
      </c>
      <c r="BC2">
        <v>0</v>
      </c>
      <c r="BD2" t="s">
        <v>520</v>
      </c>
      <c r="BE2" t="s">
        <v>668</v>
      </c>
      <c r="BF2" t="s">
        <v>669</v>
      </c>
      <c r="BG2">
        <v>7.31</v>
      </c>
      <c r="BH2" t="s">
        <v>520</v>
      </c>
    </row>
    <row r="3" spans="1:60">
      <c r="A3">
        <v>101</v>
      </c>
      <c r="B3" t="s">
        <v>132</v>
      </c>
      <c r="C3" t="s">
        <v>522</v>
      </c>
      <c r="D3" t="s">
        <v>0</v>
      </c>
      <c r="E3" s="243">
        <v>6970586.5099999998</v>
      </c>
      <c r="F3">
        <v>7470000</v>
      </c>
      <c r="G3">
        <v>93.31</v>
      </c>
      <c r="H3" t="s">
        <v>672</v>
      </c>
      <c r="I3" t="s">
        <v>873</v>
      </c>
      <c r="J3">
        <v>22</v>
      </c>
      <c r="K3">
        <v>20.53</v>
      </c>
      <c r="L3" s="243">
        <v>4620909</v>
      </c>
      <c r="M3">
        <v>12960000</v>
      </c>
      <c r="N3">
        <v>35.659999999999997</v>
      </c>
      <c r="O3" t="s">
        <v>708</v>
      </c>
      <c r="P3" t="s">
        <v>680</v>
      </c>
      <c r="Q3">
        <v>65.88</v>
      </c>
      <c r="R3">
        <v>23.49</v>
      </c>
      <c r="S3" s="243">
        <v>718627</v>
      </c>
      <c r="T3">
        <v>1566000</v>
      </c>
      <c r="U3">
        <v>45.89</v>
      </c>
      <c r="V3" t="s">
        <v>757</v>
      </c>
      <c r="W3" t="s">
        <v>755</v>
      </c>
      <c r="X3">
        <v>0.26</v>
      </c>
      <c r="Y3">
        <v>0.12</v>
      </c>
      <c r="Z3" s="243">
        <v>240938</v>
      </c>
      <c r="AA3">
        <v>1144000</v>
      </c>
      <c r="AB3">
        <v>21.06</v>
      </c>
      <c r="AC3" t="s">
        <v>778</v>
      </c>
      <c r="AD3" t="s">
        <v>776</v>
      </c>
      <c r="AE3">
        <v>73.25</v>
      </c>
      <c r="AF3">
        <v>15.43</v>
      </c>
      <c r="AG3" s="243">
        <v>47086</v>
      </c>
      <c r="AH3">
        <v>0</v>
      </c>
      <c r="AI3" t="s">
        <v>520</v>
      </c>
      <c r="AJ3" t="s">
        <v>668</v>
      </c>
      <c r="AK3" t="s">
        <v>669</v>
      </c>
      <c r="AL3">
        <v>4.12</v>
      </c>
      <c r="AM3" t="s">
        <v>520</v>
      </c>
      <c r="AN3" s="243">
        <v>546612.78</v>
      </c>
      <c r="AO3">
        <v>410000</v>
      </c>
      <c r="AP3">
        <v>133.32</v>
      </c>
      <c r="AQ3" t="s">
        <v>670</v>
      </c>
      <c r="AR3" t="s">
        <v>857</v>
      </c>
      <c r="AS3">
        <v>32.43</v>
      </c>
      <c r="AT3">
        <v>43.23</v>
      </c>
      <c r="AU3" s="243">
        <v>13144759.289999999</v>
      </c>
      <c r="AV3">
        <v>23550000</v>
      </c>
      <c r="AW3">
        <v>55.82</v>
      </c>
      <c r="AX3" t="s">
        <v>759</v>
      </c>
      <c r="AY3" t="s">
        <v>752</v>
      </c>
      <c r="AZ3">
        <v>37.549999999999997</v>
      </c>
      <c r="BA3">
        <v>20.96</v>
      </c>
      <c r="BB3" s="243">
        <v>2591373.5099999998</v>
      </c>
      <c r="BC3">
        <v>0</v>
      </c>
      <c r="BD3" t="s">
        <v>520</v>
      </c>
      <c r="BE3" t="s">
        <v>668</v>
      </c>
      <c r="BF3" t="s">
        <v>669</v>
      </c>
      <c r="BG3">
        <v>10.76</v>
      </c>
      <c r="BH3" t="s">
        <v>520</v>
      </c>
    </row>
    <row r="4" spans="1:60">
      <c r="A4">
        <v>103</v>
      </c>
      <c r="B4" t="s">
        <v>133</v>
      </c>
      <c r="C4" t="s">
        <v>522</v>
      </c>
      <c r="D4" t="s">
        <v>0</v>
      </c>
      <c r="E4" s="243">
        <v>10951488.77</v>
      </c>
      <c r="F4">
        <v>8220000</v>
      </c>
      <c r="G4">
        <v>133.22999999999999</v>
      </c>
      <c r="H4" t="s">
        <v>681</v>
      </c>
      <c r="I4" t="s">
        <v>780</v>
      </c>
      <c r="J4">
        <v>11.68</v>
      </c>
      <c r="K4">
        <v>15.56</v>
      </c>
      <c r="L4" s="243">
        <v>11366871</v>
      </c>
      <c r="M4">
        <v>14260000</v>
      </c>
      <c r="N4">
        <v>79.709999999999994</v>
      </c>
      <c r="O4" t="s">
        <v>693</v>
      </c>
      <c r="P4" t="s">
        <v>860</v>
      </c>
      <c r="Q4">
        <v>30.54</v>
      </c>
      <c r="R4">
        <v>24.35</v>
      </c>
      <c r="S4" s="243">
        <v>621694</v>
      </c>
      <c r="T4">
        <v>1589000</v>
      </c>
      <c r="U4">
        <v>39.119999999999997</v>
      </c>
      <c r="V4" t="s">
        <v>674</v>
      </c>
      <c r="W4" t="s">
        <v>819</v>
      </c>
      <c r="X4">
        <v>1.86</v>
      </c>
      <c r="Y4">
        <v>0.73</v>
      </c>
      <c r="Z4" s="243">
        <v>3019849</v>
      </c>
      <c r="AA4">
        <v>1381000</v>
      </c>
      <c r="AB4">
        <v>218.67</v>
      </c>
      <c r="AC4" t="s">
        <v>722</v>
      </c>
      <c r="AD4" t="s">
        <v>839</v>
      </c>
      <c r="AE4">
        <v>0</v>
      </c>
      <c r="AF4">
        <v>0</v>
      </c>
      <c r="AG4" s="243">
        <v>172017</v>
      </c>
      <c r="AH4">
        <v>0</v>
      </c>
      <c r="AI4" t="s">
        <v>520</v>
      </c>
      <c r="AJ4" t="s">
        <v>668</v>
      </c>
      <c r="AK4" t="s">
        <v>669</v>
      </c>
      <c r="AL4">
        <v>0.14000000000000001</v>
      </c>
      <c r="AM4" t="s">
        <v>520</v>
      </c>
      <c r="AN4" s="243">
        <v>474765.41</v>
      </c>
      <c r="AO4">
        <v>460000</v>
      </c>
      <c r="AP4">
        <v>103.21</v>
      </c>
      <c r="AQ4" t="s">
        <v>754</v>
      </c>
      <c r="AR4" t="s">
        <v>810</v>
      </c>
      <c r="AS4">
        <v>62.57</v>
      </c>
      <c r="AT4">
        <v>64.58</v>
      </c>
      <c r="AU4" s="243">
        <v>26606685.18</v>
      </c>
      <c r="AV4">
        <v>25910000</v>
      </c>
      <c r="AW4">
        <v>102.69</v>
      </c>
      <c r="AX4" t="s">
        <v>737</v>
      </c>
      <c r="AY4" t="s">
        <v>758</v>
      </c>
      <c r="AZ4">
        <v>19.02</v>
      </c>
      <c r="BA4">
        <v>19.53</v>
      </c>
      <c r="BB4" s="243">
        <v>3174282.77</v>
      </c>
      <c r="BC4">
        <v>0</v>
      </c>
      <c r="BD4" t="s">
        <v>520</v>
      </c>
      <c r="BE4" t="s">
        <v>668</v>
      </c>
      <c r="BF4" t="s">
        <v>669</v>
      </c>
      <c r="BG4">
        <v>3.49</v>
      </c>
      <c r="BH4" t="s">
        <v>520</v>
      </c>
    </row>
    <row r="5" spans="1:60">
      <c r="A5">
        <v>104</v>
      </c>
      <c r="B5" t="s">
        <v>134</v>
      </c>
      <c r="C5" t="s">
        <v>521</v>
      </c>
      <c r="D5" t="s">
        <v>0</v>
      </c>
      <c r="E5" s="243">
        <v>25314573.390000001</v>
      </c>
      <c r="F5">
        <v>12100000</v>
      </c>
      <c r="G5">
        <v>209.21</v>
      </c>
      <c r="H5" t="s">
        <v>678</v>
      </c>
      <c r="I5" t="s">
        <v>765</v>
      </c>
      <c r="J5">
        <v>12.09</v>
      </c>
      <c r="K5">
        <v>25.3</v>
      </c>
      <c r="L5" s="243">
        <v>19923815</v>
      </c>
      <c r="M5">
        <v>20980000</v>
      </c>
      <c r="N5">
        <v>94.97</v>
      </c>
      <c r="O5" t="s">
        <v>730</v>
      </c>
      <c r="P5" t="s">
        <v>808</v>
      </c>
      <c r="Q5">
        <v>52.98</v>
      </c>
      <c r="R5">
        <v>50.31</v>
      </c>
      <c r="S5" s="243">
        <v>3041856.5</v>
      </c>
      <c r="T5">
        <v>3201000</v>
      </c>
      <c r="U5">
        <v>95.03</v>
      </c>
      <c r="V5" t="s">
        <v>666</v>
      </c>
      <c r="W5" t="s">
        <v>864</v>
      </c>
      <c r="X5">
        <v>21.63</v>
      </c>
      <c r="Y5">
        <v>20.55</v>
      </c>
      <c r="Z5" s="243">
        <v>467318</v>
      </c>
      <c r="AA5">
        <v>1169000</v>
      </c>
      <c r="AB5">
        <v>39.979999999999997</v>
      </c>
      <c r="AC5" t="s">
        <v>698</v>
      </c>
      <c r="AD5" t="s">
        <v>820</v>
      </c>
      <c r="AE5">
        <v>0</v>
      </c>
      <c r="AF5">
        <v>0</v>
      </c>
      <c r="AG5" s="243">
        <v>104799</v>
      </c>
      <c r="AH5">
        <v>0</v>
      </c>
      <c r="AI5" t="s">
        <v>520</v>
      </c>
      <c r="AJ5" t="s">
        <v>668</v>
      </c>
      <c r="AK5" t="s">
        <v>669</v>
      </c>
      <c r="AL5">
        <v>2.12</v>
      </c>
      <c r="AM5" t="s">
        <v>520</v>
      </c>
      <c r="AN5" s="243">
        <v>1439090.92</v>
      </c>
      <c r="AO5">
        <v>670000</v>
      </c>
      <c r="AP5">
        <v>214.79</v>
      </c>
      <c r="AQ5" t="s">
        <v>730</v>
      </c>
      <c r="AR5" t="s">
        <v>861</v>
      </c>
      <c r="AS5">
        <v>77.69</v>
      </c>
      <c r="AT5">
        <v>166.87</v>
      </c>
      <c r="AU5" s="243">
        <v>50291452.810000002</v>
      </c>
      <c r="AV5">
        <v>38120000</v>
      </c>
      <c r="AW5">
        <v>131.93</v>
      </c>
      <c r="AX5" t="s">
        <v>678</v>
      </c>
      <c r="AY5" t="s">
        <v>707</v>
      </c>
      <c r="AZ5">
        <v>30.61</v>
      </c>
      <c r="BA5">
        <v>40.39</v>
      </c>
      <c r="BB5" s="243">
        <v>5479368.3899999997</v>
      </c>
      <c r="BC5">
        <v>0</v>
      </c>
      <c r="BD5" t="s">
        <v>520</v>
      </c>
      <c r="BE5" t="s">
        <v>668</v>
      </c>
      <c r="BF5" t="s">
        <v>669</v>
      </c>
      <c r="BG5">
        <v>9.34</v>
      </c>
      <c r="BH5" t="s">
        <v>520</v>
      </c>
    </row>
    <row r="6" spans="1:60">
      <c r="A6">
        <v>105</v>
      </c>
      <c r="B6" t="s">
        <v>135</v>
      </c>
      <c r="C6" t="s">
        <v>519</v>
      </c>
      <c r="D6" t="s">
        <v>0</v>
      </c>
      <c r="E6" s="243">
        <v>10829181.74</v>
      </c>
      <c r="F6">
        <v>9610000</v>
      </c>
      <c r="G6">
        <v>112.69</v>
      </c>
      <c r="H6" t="s">
        <v>704</v>
      </c>
      <c r="I6" t="s">
        <v>867</v>
      </c>
      <c r="J6">
        <v>16.02</v>
      </c>
      <c r="K6">
        <v>18.05</v>
      </c>
      <c r="L6" s="243">
        <v>6570842</v>
      </c>
      <c r="M6">
        <v>16660000</v>
      </c>
      <c r="N6">
        <v>39.44</v>
      </c>
      <c r="O6" t="s">
        <v>676</v>
      </c>
      <c r="P6" t="s">
        <v>677</v>
      </c>
      <c r="Q6">
        <v>34.67</v>
      </c>
      <c r="R6">
        <v>13.67</v>
      </c>
      <c r="S6" s="243">
        <v>1139443.5</v>
      </c>
      <c r="T6">
        <v>1557000</v>
      </c>
      <c r="U6">
        <v>73.180000000000007</v>
      </c>
      <c r="V6" t="s">
        <v>771</v>
      </c>
      <c r="W6" t="s">
        <v>713</v>
      </c>
      <c r="X6">
        <v>1.71</v>
      </c>
      <c r="Y6">
        <v>1.25</v>
      </c>
      <c r="Z6" s="243">
        <v>13504770</v>
      </c>
      <c r="AA6">
        <v>1913000</v>
      </c>
      <c r="AB6">
        <v>705.95</v>
      </c>
      <c r="AC6" t="s">
        <v>716</v>
      </c>
      <c r="AD6" t="s">
        <v>718</v>
      </c>
      <c r="AE6">
        <v>0.03</v>
      </c>
      <c r="AF6">
        <v>0.23</v>
      </c>
      <c r="AG6" s="243">
        <v>172306</v>
      </c>
      <c r="AH6">
        <v>0</v>
      </c>
      <c r="AI6" t="s">
        <v>520</v>
      </c>
      <c r="AJ6" t="s">
        <v>668</v>
      </c>
      <c r="AK6" t="s">
        <v>669</v>
      </c>
      <c r="AL6">
        <v>5.72</v>
      </c>
      <c r="AM6" t="s">
        <v>520</v>
      </c>
      <c r="AN6" s="243">
        <v>554001.56999999995</v>
      </c>
      <c r="AO6">
        <v>530000</v>
      </c>
      <c r="AP6">
        <v>104.53</v>
      </c>
      <c r="AQ6" t="s">
        <v>737</v>
      </c>
      <c r="AR6" t="s">
        <v>879</v>
      </c>
      <c r="AS6">
        <v>38.53</v>
      </c>
      <c r="AT6">
        <v>40.28</v>
      </c>
      <c r="AU6" s="243">
        <v>32770544.809999999</v>
      </c>
      <c r="AV6">
        <v>30270000</v>
      </c>
      <c r="AW6">
        <v>108.26</v>
      </c>
      <c r="AX6" t="s">
        <v>686</v>
      </c>
      <c r="AY6" t="s">
        <v>891</v>
      </c>
      <c r="AZ6">
        <v>13</v>
      </c>
      <c r="BA6">
        <v>14.07</v>
      </c>
      <c r="BB6" s="243">
        <v>3439559.74</v>
      </c>
      <c r="BC6">
        <v>0</v>
      </c>
      <c r="BD6" t="s">
        <v>520</v>
      </c>
      <c r="BE6" t="s">
        <v>668</v>
      </c>
      <c r="BF6" t="s">
        <v>669</v>
      </c>
      <c r="BG6">
        <v>15.12</v>
      </c>
      <c r="BH6" t="s">
        <v>520</v>
      </c>
    </row>
    <row r="7" spans="1:60">
      <c r="A7">
        <v>106</v>
      </c>
      <c r="B7" t="s">
        <v>136</v>
      </c>
      <c r="C7" t="s">
        <v>519</v>
      </c>
      <c r="D7" t="s">
        <v>0</v>
      </c>
      <c r="E7" s="243">
        <v>15970216.439999999</v>
      </c>
      <c r="F7">
        <v>16630000</v>
      </c>
      <c r="G7">
        <v>96.03</v>
      </c>
      <c r="H7" t="s">
        <v>747</v>
      </c>
      <c r="I7" t="s">
        <v>807</v>
      </c>
      <c r="J7">
        <v>19.11</v>
      </c>
      <c r="K7">
        <v>18.350000000000001</v>
      </c>
      <c r="L7" s="243">
        <v>28306332</v>
      </c>
      <c r="M7">
        <v>28830000</v>
      </c>
      <c r="N7">
        <v>98.18</v>
      </c>
      <c r="O7" t="s">
        <v>695</v>
      </c>
      <c r="P7" t="s">
        <v>871</v>
      </c>
      <c r="Q7">
        <v>18.18</v>
      </c>
      <c r="R7">
        <v>17.850000000000001</v>
      </c>
      <c r="S7" s="243">
        <v>5823244</v>
      </c>
      <c r="T7">
        <v>4212000</v>
      </c>
      <c r="U7">
        <v>138.25</v>
      </c>
      <c r="V7" t="s">
        <v>688</v>
      </c>
      <c r="W7" t="s">
        <v>720</v>
      </c>
      <c r="X7">
        <v>2.2599999999999998</v>
      </c>
      <c r="Y7">
        <v>3.12</v>
      </c>
      <c r="Z7" s="243">
        <v>1748878</v>
      </c>
      <c r="AA7">
        <v>1798000</v>
      </c>
      <c r="AB7">
        <v>97.27</v>
      </c>
      <c r="AC7" t="s">
        <v>771</v>
      </c>
      <c r="AD7" t="s">
        <v>828</v>
      </c>
      <c r="AE7">
        <v>0.25</v>
      </c>
      <c r="AF7">
        <v>0.24</v>
      </c>
      <c r="AG7" s="243">
        <v>576564</v>
      </c>
      <c r="AH7">
        <v>0</v>
      </c>
      <c r="AI7" t="s">
        <v>520</v>
      </c>
      <c r="AJ7" t="s">
        <v>668</v>
      </c>
      <c r="AK7" t="s">
        <v>669</v>
      </c>
      <c r="AL7">
        <v>3.46</v>
      </c>
      <c r="AM7" t="s">
        <v>520</v>
      </c>
      <c r="AN7" s="243">
        <v>7423249.6699999999</v>
      </c>
      <c r="AO7">
        <v>920000</v>
      </c>
      <c r="AP7">
        <v>806.87</v>
      </c>
      <c r="AQ7" t="s">
        <v>728</v>
      </c>
      <c r="AR7" t="s">
        <v>750</v>
      </c>
      <c r="AS7">
        <v>6.82</v>
      </c>
      <c r="AT7">
        <v>55.07</v>
      </c>
      <c r="AU7" s="243">
        <v>59848484.109999999</v>
      </c>
      <c r="AV7">
        <v>52390000</v>
      </c>
      <c r="AW7">
        <v>114.24</v>
      </c>
      <c r="AX7" t="s">
        <v>693</v>
      </c>
      <c r="AY7" t="s">
        <v>715</v>
      </c>
      <c r="AZ7">
        <v>14.8</v>
      </c>
      <c r="BA7">
        <v>16.91</v>
      </c>
      <c r="BB7" s="243">
        <v>4815089.4400000004</v>
      </c>
      <c r="BC7">
        <v>0</v>
      </c>
      <c r="BD7" t="s">
        <v>520</v>
      </c>
      <c r="BE7" t="s">
        <v>668</v>
      </c>
      <c r="BF7" t="s">
        <v>669</v>
      </c>
      <c r="BG7">
        <v>21.45</v>
      </c>
      <c r="BH7" t="s">
        <v>520</v>
      </c>
    </row>
    <row r="8" spans="1:60">
      <c r="A8">
        <v>107</v>
      </c>
      <c r="B8" t="s">
        <v>73</v>
      </c>
      <c r="C8" t="s">
        <v>519</v>
      </c>
      <c r="D8" t="s">
        <v>0</v>
      </c>
      <c r="E8" s="243">
        <v>31687428.73</v>
      </c>
      <c r="F8">
        <v>19320000</v>
      </c>
      <c r="G8">
        <v>164.01</v>
      </c>
      <c r="H8" t="s">
        <v>701</v>
      </c>
      <c r="I8" t="s">
        <v>832</v>
      </c>
      <c r="J8">
        <v>12.79</v>
      </c>
      <c r="K8">
        <v>20.97</v>
      </c>
      <c r="L8" s="243">
        <v>44887472</v>
      </c>
      <c r="M8">
        <v>33510000</v>
      </c>
      <c r="N8">
        <v>133.94999999999999</v>
      </c>
      <c r="O8" t="s">
        <v>716</v>
      </c>
      <c r="P8" t="s">
        <v>842</v>
      </c>
      <c r="Q8">
        <v>54.52</v>
      </c>
      <c r="R8">
        <v>73.03</v>
      </c>
      <c r="S8" s="243">
        <v>2709348</v>
      </c>
      <c r="T8">
        <v>5182000</v>
      </c>
      <c r="U8">
        <v>52.28</v>
      </c>
      <c r="V8" t="s">
        <v>791</v>
      </c>
      <c r="W8" t="s">
        <v>675</v>
      </c>
      <c r="X8">
        <v>16.11</v>
      </c>
      <c r="Y8">
        <v>8.42</v>
      </c>
      <c r="Z8" s="243">
        <v>10305236</v>
      </c>
      <c r="AA8">
        <v>1798000</v>
      </c>
      <c r="AB8">
        <v>573.15</v>
      </c>
      <c r="AC8" t="s">
        <v>678</v>
      </c>
      <c r="AD8" t="s">
        <v>872</v>
      </c>
      <c r="AE8">
        <v>0.55000000000000004</v>
      </c>
      <c r="AF8">
        <v>3.14</v>
      </c>
      <c r="AG8" s="243">
        <v>158230</v>
      </c>
      <c r="AH8">
        <v>0</v>
      </c>
      <c r="AI8" t="s">
        <v>520</v>
      </c>
      <c r="AJ8" t="s">
        <v>668</v>
      </c>
      <c r="AK8" t="s">
        <v>669</v>
      </c>
      <c r="AL8">
        <v>0.74</v>
      </c>
      <c r="AM8" t="s">
        <v>520</v>
      </c>
      <c r="AN8" s="243">
        <v>2104288.42</v>
      </c>
      <c r="AO8">
        <v>1070000</v>
      </c>
      <c r="AP8">
        <v>196.66</v>
      </c>
      <c r="AQ8" t="s">
        <v>712</v>
      </c>
      <c r="AR8" t="s">
        <v>736</v>
      </c>
      <c r="AS8">
        <v>54.49</v>
      </c>
      <c r="AT8">
        <v>107.16</v>
      </c>
      <c r="AU8" s="243">
        <v>91852003.150000006</v>
      </c>
      <c r="AV8">
        <v>60880000</v>
      </c>
      <c r="AW8">
        <v>150.87</v>
      </c>
      <c r="AX8" t="s">
        <v>741</v>
      </c>
      <c r="AY8" t="s">
        <v>735</v>
      </c>
      <c r="AZ8">
        <v>32.840000000000003</v>
      </c>
      <c r="BA8">
        <v>49.55</v>
      </c>
      <c r="BB8" s="243">
        <v>12121177.73</v>
      </c>
      <c r="BC8">
        <v>0</v>
      </c>
      <c r="BD8" t="s">
        <v>520</v>
      </c>
      <c r="BE8" t="s">
        <v>668</v>
      </c>
      <c r="BF8" t="s">
        <v>669</v>
      </c>
      <c r="BG8">
        <v>10.14</v>
      </c>
      <c r="BH8" t="s">
        <v>520</v>
      </c>
    </row>
    <row r="9" spans="1:60">
      <c r="A9">
        <v>108</v>
      </c>
      <c r="B9" t="s">
        <v>1</v>
      </c>
      <c r="C9" t="s">
        <v>519</v>
      </c>
      <c r="D9" t="s">
        <v>0</v>
      </c>
      <c r="E9" s="243">
        <v>29792133.710000001</v>
      </c>
      <c r="F9">
        <v>21720000</v>
      </c>
      <c r="G9">
        <v>137.16</v>
      </c>
      <c r="H9" t="s">
        <v>714</v>
      </c>
      <c r="I9" t="s">
        <v>702</v>
      </c>
      <c r="J9">
        <v>15.36</v>
      </c>
      <c r="K9">
        <v>21.07</v>
      </c>
      <c r="L9" s="243">
        <v>16336254</v>
      </c>
      <c r="M9">
        <v>37670000</v>
      </c>
      <c r="N9">
        <v>43.37</v>
      </c>
      <c r="O9" t="s">
        <v>704</v>
      </c>
      <c r="P9" t="s">
        <v>721</v>
      </c>
      <c r="Q9">
        <v>31.86</v>
      </c>
      <c r="R9">
        <v>13.82</v>
      </c>
      <c r="S9" s="243">
        <v>5546987</v>
      </c>
      <c r="T9">
        <v>5927000</v>
      </c>
      <c r="U9">
        <v>93.59</v>
      </c>
      <c r="V9" t="s">
        <v>802</v>
      </c>
      <c r="W9" t="s">
        <v>687</v>
      </c>
      <c r="X9">
        <v>33.020000000000003</v>
      </c>
      <c r="Y9">
        <v>30.91</v>
      </c>
      <c r="Z9" s="243">
        <v>6100794</v>
      </c>
      <c r="AA9">
        <v>1913000</v>
      </c>
      <c r="AB9">
        <v>318.91000000000003</v>
      </c>
      <c r="AC9" t="s">
        <v>712</v>
      </c>
      <c r="AD9" t="s">
        <v>890</v>
      </c>
      <c r="AE9">
        <v>51.53</v>
      </c>
      <c r="AF9">
        <v>164.35</v>
      </c>
      <c r="AG9" s="243">
        <v>258404</v>
      </c>
      <c r="AH9">
        <v>0</v>
      </c>
      <c r="AI9" t="s">
        <v>520</v>
      </c>
      <c r="AJ9" t="s">
        <v>668</v>
      </c>
      <c r="AK9" t="s">
        <v>669</v>
      </c>
      <c r="AL9">
        <v>2.14</v>
      </c>
      <c r="AM9" t="s">
        <v>520</v>
      </c>
      <c r="AN9" s="243">
        <v>5188981.9800000004</v>
      </c>
      <c r="AO9">
        <v>1210000</v>
      </c>
      <c r="AP9">
        <v>428.84</v>
      </c>
      <c r="AQ9" t="s">
        <v>678</v>
      </c>
      <c r="AR9" t="s">
        <v>735</v>
      </c>
      <c r="AS9">
        <v>54.97</v>
      </c>
      <c r="AT9">
        <v>235.72</v>
      </c>
      <c r="AU9" s="243">
        <v>63223554.689999998</v>
      </c>
      <c r="AV9">
        <v>68440000</v>
      </c>
      <c r="AW9">
        <v>92.38</v>
      </c>
      <c r="AX9" t="s">
        <v>817</v>
      </c>
      <c r="AY9" t="s">
        <v>740</v>
      </c>
      <c r="AZ9">
        <v>27.86</v>
      </c>
      <c r="BA9">
        <v>25.74</v>
      </c>
      <c r="BB9" s="243">
        <v>10828506.710000001</v>
      </c>
      <c r="BC9">
        <v>0</v>
      </c>
      <c r="BD9" t="s">
        <v>520</v>
      </c>
      <c r="BE9" t="s">
        <v>668</v>
      </c>
      <c r="BF9" t="s">
        <v>669</v>
      </c>
      <c r="BG9">
        <v>9.0500000000000007</v>
      </c>
      <c r="BH9" t="s">
        <v>520</v>
      </c>
    </row>
    <row r="10" spans="1:60">
      <c r="A10">
        <v>109</v>
      </c>
      <c r="B10" t="s">
        <v>2</v>
      </c>
      <c r="C10" t="s">
        <v>521</v>
      </c>
      <c r="D10" t="s">
        <v>0</v>
      </c>
      <c r="E10" s="243">
        <v>10745555.189999999</v>
      </c>
      <c r="F10">
        <v>7990000</v>
      </c>
      <c r="G10">
        <v>134.49</v>
      </c>
      <c r="H10" t="s">
        <v>754</v>
      </c>
      <c r="I10" t="s">
        <v>733</v>
      </c>
      <c r="J10">
        <v>17.63</v>
      </c>
      <c r="K10">
        <v>23.71</v>
      </c>
      <c r="L10" s="243">
        <v>3508853</v>
      </c>
      <c r="M10">
        <v>13850000</v>
      </c>
      <c r="N10">
        <v>25.33</v>
      </c>
      <c r="O10" t="s">
        <v>759</v>
      </c>
      <c r="P10" t="s">
        <v>752</v>
      </c>
      <c r="Q10">
        <v>53.53</v>
      </c>
      <c r="R10">
        <v>13.56</v>
      </c>
      <c r="S10" s="243">
        <v>855183</v>
      </c>
      <c r="T10">
        <v>1426000</v>
      </c>
      <c r="U10">
        <v>59.97</v>
      </c>
      <c r="V10" t="s">
        <v>754</v>
      </c>
      <c r="W10" t="s">
        <v>878</v>
      </c>
      <c r="X10">
        <v>3.63</v>
      </c>
      <c r="Y10">
        <v>2.1800000000000002</v>
      </c>
      <c r="Z10" s="243">
        <v>1044961</v>
      </c>
      <c r="AA10">
        <v>1454000</v>
      </c>
      <c r="AB10">
        <v>71.87</v>
      </c>
      <c r="AC10" t="s">
        <v>714</v>
      </c>
      <c r="AD10" t="s">
        <v>881</v>
      </c>
      <c r="AE10">
        <v>0.36</v>
      </c>
      <c r="AF10">
        <v>0.26</v>
      </c>
      <c r="AG10" s="243">
        <v>45030</v>
      </c>
      <c r="AH10">
        <v>0</v>
      </c>
      <c r="AI10" t="s">
        <v>520</v>
      </c>
      <c r="AJ10" t="s">
        <v>668</v>
      </c>
      <c r="AK10" t="s">
        <v>669</v>
      </c>
      <c r="AL10">
        <v>8.11</v>
      </c>
      <c r="AM10" t="s">
        <v>520</v>
      </c>
      <c r="AN10" s="243">
        <v>104003.1</v>
      </c>
      <c r="AO10">
        <v>440000</v>
      </c>
      <c r="AP10">
        <v>23.64</v>
      </c>
      <c r="AQ10" t="s">
        <v>690</v>
      </c>
      <c r="AR10" t="s">
        <v>843</v>
      </c>
      <c r="AS10">
        <v>21.47</v>
      </c>
      <c r="AT10">
        <v>5.08</v>
      </c>
      <c r="AU10" s="243">
        <v>16303585.289999999</v>
      </c>
      <c r="AV10">
        <v>25160000</v>
      </c>
      <c r="AW10">
        <v>64.8</v>
      </c>
      <c r="AX10" t="s">
        <v>683</v>
      </c>
      <c r="AY10" t="s">
        <v>684</v>
      </c>
      <c r="AZ10">
        <v>23.51</v>
      </c>
      <c r="BA10">
        <v>15.24</v>
      </c>
      <c r="BB10" s="243">
        <v>4509964.1900000004</v>
      </c>
      <c r="BC10">
        <v>0</v>
      </c>
      <c r="BD10" t="s">
        <v>520</v>
      </c>
      <c r="BE10" t="s">
        <v>668</v>
      </c>
      <c r="BF10" t="s">
        <v>669</v>
      </c>
      <c r="BG10">
        <v>7.44</v>
      </c>
      <c r="BH10" t="s">
        <v>520</v>
      </c>
    </row>
    <row r="11" spans="1:60">
      <c r="A11">
        <v>110</v>
      </c>
      <c r="B11" t="s">
        <v>74</v>
      </c>
      <c r="C11" t="s">
        <v>523</v>
      </c>
      <c r="D11" t="s">
        <v>0</v>
      </c>
      <c r="E11" s="243">
        <v>10118733.039999999</v>
      </c>
      <c r="F11">
        <v>9400000</v>
      </c>
      <c r="G11">
        <v>107.65</v>
      </c>
      <c r="H11" t="s">
        <v>674</v>
      </c>
      <c r="I11" t="s">
        <v>762</v>
      </c>
      <c r="J11">
        <v>21.19</v>
      </c>
      <c r="K11">
        <v>22.81</v>
      </c>
      <c r="L11" s="243">
        <v>20040887</v>
      </c>
      <c r="M11">
        <v>16310000</v>
      </c>
      <c r="N11">
        <v>122.87</v>
      </c>
      <c r="O11" t="s">
        <v>734</v>
      </c>
      <c r="P11" t="s">
        <v>835</v>
      </c>
      <c r="Q11">
        <v>42.81</v>
      </c>
      <c r="R11">
        <v>52.6</v>
      </c>
      <c r="S11" s="243">
        <v>2752547</v>
      </c>
      <c r="T11">
        <v>2491000</v>
      </c>
      <c r="U11">
        <v>110.5</v>
      </c>
      <c r="V11" t="s">
        <v>701</v>
      </c>
      <c r="W11" t="s">
        <v>706</v>
      </c>
      <c r="X11">
        <v>31.29</v>
      </c>
      <c r="Y11">
        <v>34.57</v>
      </c>
      <c r="Z11" s="243">
        <v>118548</v>
      </c>
      <c r="AA11">
        <v>909000</v>
      </c>
      <c r="AB11">
        <v>13.04</v>
      </c>
      <c r="AC11" t="s">
        <v>747</v>
      </c>
      <c r="AD11" t="s">
        <v>888</v>
      </c>
      <c r="AE11">
        <v>0.85</v>
      </c>
      <c r="AF11">
        <v>0.11</v>
      </c>
      <c r="AG11" s="243">
        <v>23834</v>
      </c>
      <c r="AH11">
        <v>0</v>
      </c>
      <c r="AI11" t="s">
        <v>520</v>
      </c>
      <c r="AJ11" t="s">
        <v>668</v>
      </c>
      <c r="AK11" t="s">
        <v>669</v>
      </c>
      <c r="AL11">
        <v>8.91</v>
      </c>
      <c r="AM11" t="s">
        <v>520</v>
      </c>
      <c r="AN11" s="243">
        <v>47630.51</v>
      </c>
      <c r="AO11">
        <v>520000</v>
      </c>
      <c r="AP11">
        <v>9.16</v>
      </c>
      <c r="AQ11" t="s">
        <v>751</v>
      </c>
      <c r="AR11" t="s">
        <v>726</v>
      </c>
      <c r="AS11">
        <v>57.88</v>
      </c>
      <c r="AT11">
        <v>5.3</v>
      </c>
      <c r="AU11" s="243">
        <v>33102179.550000001</v>
      </c>
      <c r="AV11">
        <v>29630000</v>
      </c>
      <c r="AW11">
        <v>111.72</v>
      </c>
      <c r="AX11" t="s">
        <v>802</v>
      </c>
      <c r="AY11" t="s">
        <v>800</v>
      </c>
      <c r="AZ11">
        <v>35.090000000000003</v>
      </c>
      <c r="BA11">
        <v>39.200000000000003</v>
      </c>
      <c r="BB11" s="243">
        <v>2884998.04</v>
      </c>
      <c r="BC11">
        <v>0</v>
      </c>
      <c r="BD11" t="s">
        <v>520</v>
      </c>
      <c r="BE11" t="s">
        <v>668</v>
      </c>
      <c r="BF11" t="s">
        <v>669</v>
      </c>
      <c r="BG11">
        <v>24.11</v>
      </c>
      <c r="BH11" t="s">
        <v>520</v>
      </c>
    </row>
    <row r="12" spans="1:60">
      <c r="A12">
        <v>111</v>
      </c>
      <c r="B12" t="s">
        <v>75</v>
      </c>
      <c r="C12" t="s">
        <v>519</v>
      </c>
      <c r="D12" t="s">
        <v>0</v>
      </c>
      <c r="E12" s="243">
        <v>38278640.600000001</v>
      </c>
      <c r="F12">
        <v>17000000</v>
      </c>
      <c r="G12">
        <v>225.17</v>
      </c>
      <c r="H12" t="s">
        <v>716</v>
      </c>
      <c r="I12" t="s">
        <v>836</v>
      </c>
      <c r="J12">
        <v>7.78</v>
      </c>
      <c r="K12">
        <v>17.52</v>
      </c>
      <c r="L12" s="243">
        <v>10069556</v>
      </c>
      <c r="M12">
        <v>29470000</v>
      </c>
      <c r="N12">
        <v>34.17</v>
      </c>
      <c r="O12" t="s">
        <v>747</v>
      </c>
      <c r="P12" t="s">
        <v>673</v>
      </c>
      <c r="Q12">
        <v>24.55</v>
      </c>
      <c r="R12">
        <v>8.39</v>
      </c>
      <c r="S12" s="243">
        <v>3775351</v>
      </c>
      <c r="T12">
        <v>4686000</v>
      </c>
      <c r="U12">
        <v>80.569999999999993</v>
      </c>
      <c r="V12" t="s">
        <v>670</v>
      </c>
      <c r="W12" t="s">
        <v>800</v>
      </c>
      <c r="X12">
        <v>7.77</v>
      </c>
      <c r="Y12">
        <v>6.26</v>
      </c>
      <c r="Z12" s="243">
        <v>4678780</v>
      </c>
      <c r="AA12">
        <v>1454000</v>
      </c>
      <c r="AB12">
        <v>321.79000000000002</v>
      </c>
      <c r="AC12" t="s">
        <v>730</v>
      </c>
      <c r="AD12" t="s">
        <v>824</v>
      </c>
      <c r="AE12">
        <v>0.14000000000000001</v>
      </c>
      <c r="AF12">
        <v>0.44</v>
      </c>
      <c r="AG12" s="243">
        <v>431426</v>
      </c>
      <c r="AH12">
        <v>0</v>
      </c>
      <c r="AI12" t="s">
        <v>520</v>
      </c>
      <c r="AJ12" t="s">
        <v>668</v>
      </c>
      <c r="AK12" t="s">
        <v>669</v>
      </c>
      <c r="AL12">
        <v>3.63</v>
      </c>
      <c r="AM12" t="s">
        <v>520</v>
      </c>
      <c r="AN12" s="243">
        <v>966023.6</v>
      </c>
      <c r="AO12">
        <v>940000</v>
      </c>
      <c r="AP12">
        <v>102.77</v>
      </c>
      <c r="AQ12" t="s">
        <v>681</v>
      </c>
      <c r="AR12" t="s">
        <v>738</v>
      </c>
      <c r="AS12">
        <v>10.15</v>
      </c>
      <c r="AT12">
        <v>10.44</v>
      </c>
      <c r="AU12" s="243">
        <v>58199777.200000003</v>
      </c>
      <c r="AV12">
        <v>53550000</v>
      </c>
      <c r="AW12">
        <v>108.68</v>
      </c>
      <c r="AX12" t="s">
        <v>660</v>
      </c>
      <c r="AY12" t="s">
        <v>871</v>
      </c>
      <c r="AZ12">
        <v>10.08</v>
      </c>
      <c r="BA12">
        <v>10.95</v>
      </c>
      <c r="BB12" s="243">
        <v>12712331.220000001</v>
      </c>
      <c r="BC12">
        <v>0</v>
      </c>
      <c r="BD12" t="s">
        <v>520</v>
      </c>
      <c r="BE12" t="s">
        <v>668</v>
      </c>
      <c r="BF12" t="s">
        <v>669</v>
      </c>
      <c r="BG12">
        <v>9.7200000000000006</v>
      </c>
      <c r="BH12" t="s">
        <v>520</v>
      </c>
    </row>
    <row r="13" spans="1:60">
      <c r="A13">
        <v>112</v>
      </c>
      <c r="B13" t="s">
        <v>137</v>
      </c>
      <c r="C13" t="s">
        <v>519</v>
      </c>
      <c r="D13" t="s">
        <v>0</v>
      </c>
      <c r="E13" s="243">
        <v>17795292.91</v>
      </c>
      <c r="F13">
        <v>15680000</v>
      </c>
      <c r="G13">
        <v>113.49</v>
      </c>
      <c r="H13" t="s">
        <v>745</v>
      </c>
      <c r="I13" t="s">
        <v>869</v>
      </c>
      <c r="J13">
        <v>13.68</v>
      </c>
      <c r="K13">
        <v>15.53</v>
      </c>
      <c r="L13" s="243">
        <v>7447026</v>
      </c>
      <c r="M13">
        <v>27180000</v>
      </c>
      <c r="N13">
        <v>27.4</v>
      </c>
      <c r="O13" t="s">
        <v>683</v>
      </c>
      <c r="P13" t="s">
        <v>760</v>
      </c>
      <c r="Q13">
        <v>48.44</v>
      </c>
      <c r="R13">
        <v>13.27</v>
      </c>
      <c r="S13" s="243">
        <v>3597757</v>
      </c>
      <c r="T13">
        <v>3747000</v>
      </c>
      <c r="U13">
        <v>96.02</v>
      </c>
      <c r="V13" t="s">
        <v>722</v>
      </c>
      <c r="W13" t="s">
        <v>702</v>
      </c>
      <c r="X13">
        <v>1.07</v>
      </c>
      <c r="Y13">
        <v>1.03</v>
      </c>
      <c r="Z13" s="243">
        <v>530242</v>
      </c>
      <c r="AA13">
        <v>1913000</v>
      </c>
      <c r="AB13">
        <v>27.72</v>
      </c>
      <c r="AC13" t="s">
        <v>745</v>
      </c>
      <c r="AD13" t="s">
        <v>798</v>
      </c>
      <c r="AE13">
        <v>266.93</v>
      </c>
      <c r="AF13">
        <v>73.989999999999995</v>
      </c>
      <c r="AG13" s="243">
        <v>181068</v>
      </c>
      <c r="AH13">
        <v>0</v>
      </c>
      <c r="AI13" t="s">
        <v>520</v>
      </c>
      <c r="AJ13" t="s">
        <v>668</v>
      </c>
      <c r="AK13" t="s">
        <v>669</v>
      </c>
      <c r="AL13">
        <v>3.01</v>
      </c>
      <c r="AM13" t="s">
        <v>520</v>
      </c>
      <c r="AN13" s="243">
        <v>5587684.0999999996</v>
      </c>
      <c r="AO13">
        <v>870000</v>
      </c>
      <c r="AP13">
        <v>642.26</v>
      </c>
      <c r="AQ13" t="s">
        <v>716</v>
      </c>
      <c r="AR13" t="s">
        <v>765</v>
      </c>
      <c r="AS13">
        <v>0.56999999999999995</v>
      </c>
      <c r="AT13">
        <v>3.66</v>
      </c>
      <c r="AU13" s="243">
        <v>35139070.009999998</v>
      </c>
      <c r="AV13">
        <v>49390000</v>
      </c>
      <c r="AW13">
        <v>71.150000000000006</v>
      </c>
      <c r="AX13" t="s">
        <v>747</v>
      </c>
      <c r="AY13" t="s">
        <v>663</v>
      </c>
      <c r="AZ13">
        <v>21.44</v>
      </c>
      <c r="BA13">
        <v>15.25</v>
      </c>
      <c r="BB13" s="243">
        <v>6847970.9100000001</v>
      </c>
      <c r="BC13">
        <v>0</v>
      </c>
      <c r="BD13" t="s">
        <v>520</v>
      </c>
      <c r="BE13" t="s">
        <v>668</v>
      </c>
      <c r="BF13" t="s">
        <v>669</v>
      </c>
      <c r="BG13">
        <v>7.07</v>
      </c>
      <c r="BH13" t="s">
        <v>520</v>
      </c>
    </row>
    <row r="14" spans="1:60">
      <c r="A14">
        <v>113</v>
      </c>
      <c r="B14" t="s">
        <v>3</v>
      </c>
      <c r="C14" t="s">
        <v>522</v>
      </c>
      <c r="D14" t="s">
        <v>0</v>
      </c>
      <c r="E14" s="243">
        <v>32709704.489999998</v>
      </c>
      <c r="F14">
        <v>14650000</v>
      </c>
      <c r="G14">
        <v>223.27</v>
      </c>
      <c r="H14" t="s">
        <v>741</v>
      </c>
      <c r="I14" t="s">
        <v>729</v>
      </c>
      <c r="J14">
        <v>13.32</v>
      </c>
      <c r="K14">
        <v>29.73</v>
      </c>
      <c r="L14" s="243">
        <v>26232605</v>
      </c>
      <c r="M14">
        <v>25410000</v>
      </c>
      <c r="N14">
        <v>103.24</v>
      </c>
      <c r="O14" t="s">
        <v>688</v>
      </c>
      <c r="P14" t="s">
        <v>820</v>
      </c>
      <c r="Q14">
        <v>12.05</v>
      </c>
      <c r="R14">
        <v>12.44</v>
      </c>
      <c r="S14" s="243">
        <v>587432</v>
      </c>
      <c r="T14">
        <v>3803000</v>
      </c>
      <c r="U14">
        <v>15.45</v>
      </c>
      <c r="V14" t="s">
        <v>683</v>
      </c>
      <c r="W14" t="s">
        <v>826</v>
      </c>
      <c r="X14">
        <v>0.18</v>
      </c>
      <c r="Y14">
        <v>0.03</v>
      </c>
      <c r="Z14" s="243">
        <v>18884604</v>
      </c>
      <c r="AA14">
        <v>1497000</v>
      </c>
      <c r="AB14">
        <v>1261.5</v>
      </c>
      <c r="AC14" t="s">
        <v>668</v>
      </c>
      <c r="AD14" t="s">
        <v>836</v>
      </c>
      <c r="AE14">
        <v>0.1</v>
      </c>
      <c r="AF14">
        <v>1.22</v>
      </c>
      <c r="AG14" s="243">
        <v>132543</v>
      </c>
      <c r="AH14">
        <v>0</v>
      </c>
      <c r="AI14" t="s">
        <v>520</v>
      </c>
      <c r="AJ14" t="s">
        <v>668</v>
      </c>
      <c r="AK14" t="s">
        <v>669</v>
      </c>
      <c r="AL14">
        <v>20.03</v>
      </c>
      <c r="AM14" t="s">
        <v>520</v>
      </c>
      <c r="AN14" s="243">
        <v>968819.82</v>
      </c>
      <c r="AO14">
        <v>810000</v>
      </c>
      <c r="AP14">
        <v>119.61</v>
      </c>
      <c r="AQ14" t="s">
        <v>686</v>
      </c>
      <c r="AR14" t="s">
        <v>799</v>
      </c>
      <c r="AS14">
        <v>69.209999999999994</v>
      </c>
      <c r="AT14">
        <v>82.78</v>
      </c>
      <c r="AU14" s="243">
        <v>79515708.310000002</v>
      </c>
      <c r="AV14">
        <v>46170000</v>
      </c>
      <c r="AW14">
        <v>172.22</v>
      </c>
      <c r="AX14" t="s">
        <v>668</v>
      </c>
      <c r="AY14" t="s">
        <v>750</v>
      </c>
      <c r="AZ14">
        <v>10.35</v>
      </c>
      <c r="BA14">
        <v>17.829999999999998</v>
      </c>
      <c r="BB14" s="243">
        <v>8535816.4900000002</v>
      </c>
      <c r="BC14">
        <v>0</v>
      </c>
      <c r="BD14" t="s">
        <v>520</v>
      </c>
      <c r="BE14" t="s">
        <v>668</v>
      </c>
      <c r="BF14" t="s">
        <v>669</v>
      </c>
      <c r="BG14">
        <v>17.190000000000001</v>
      </c>
      <c r="BH14" t="s">
        <v>520</v>
      </c>
    </row>
    <row r="15" spans="1:60">
      <c r="A15">
        <v>114</v>
      </c>
      <c r="B15" t="s">
        <v>138</v>
      </c>
      <c r="C15" t="s">
        <v>521</v>
      </c>
      <c r="D15" t="s">
        <v>0</v>
      </c>
      <c r="E15" s="243">
        <v>13686601.41</v>
      </c>
      <c r="F15">
        <v>13270000</v>
      </c>
      <c r="G15">
        <v>103.14</v>
      </c>
      <c r="H15" t="s">
        <v>708</v>
      </c>
      <c r="I15" t="s">
        <v>784</v>
      </c>
      <c r="J15">
        <v>21.65</v>
      </c>
      <c r="K15">
        <v>22.33</v>
      </c>
      <c r="L15" s="243">
        <v>26115592</v>
      </c>
      <c r="M15">
        <v>23020000</v>
      </c>
      <c r="N15">
        <v>113.45</v>
      </c>
      <c r="O15" t="s">
        <v>678</v>
      </c>
      <c r="P15" t="s">
        <v>702</v>
      </c>
      <c r="Q15">
        <v>60.65</v>
      </c>
      <c r="R15">
        <v>68.81</v>
      </c>
      <c r="S15" s="243">
        <v>4886106</v>
      </c>
      <c r="T15">
        <v>3090000</v>
      </c>
      <c r="U15">
        <v>158.13</v>
      </c>
      <c r="V15" t="s">
        <v>678</v>
      </c>
      <c r="W15" t="s">
        <v>772</v>
      </c>
      <c r="X15">
        <v>4.1399999999999997</v>
      </c>
      <c r="Y15">
        <v>6.54</v>
      </c>
      <c r="Z15" s="243">
        <v>2926367</v>
      </c>
      <c r="AA15">
        <v>1700000</v>
      </c>
      <c r="AB15">
        <v>172.14</v>
      </c>
      <c r="AC15" t="s">
        <v>802</v>
      </c>
      <c r="AD15" t="s">
        <v>794</v>
      </c>
      <c r="AE15">
        <v>0.02</v>
      </c>
      <c r="AF15">
        <v>0.03</v>
      </c>
      <c r="AG15" s="243">
        <v>283713</v>
      </c>
      <c r="AH15">
        <v>0</v>
      </c>
      <c r="AI15" t="s">
        <v>520</v>
      </c>
      <c r="AJ15" t="s">
        <v>668</v>
      </c>
      <c r="AK15" t="s">
        <v>669</v>
      </c>
      <c r="AL15">
        <v>2.0699999999999998</v>
      </c>
      <c r="AM15" t="s">
        <v>520</v>
      </c>
      <c r="AN15" s="243">
        <v>547746.75</v>
      </c>
      <c r="AO15">
        <v>740000</v>
      </c>
      <c r="AP15">
        <v>74.02</v>
      </c>
      <c r="AQ15" t="s">
        <v>791</v>
      </c>
      <c r="AR15" t="s">
        <v>713</v>
      </c>
      <c r="AS15">
        <v>17.149999999999999</v>
      </c>
      <c r="AT15">
        <v>12.7</v>
      </c>
      <c r="AU15" s="243">
        <v>48446126.159999996</v>
      </c>
      <c r="AV15">
        <v>41820000</v>
      </c>
      <c r="AW15">
        <v>115.84</v>
      </c>
      <c r="AX15" t="s">
        <v>764</v>
      </c>
      <c r="AY15" t="s">
        <v>733</v>
      </c>
      <c r="AZ15">
        <v>39.44</v>
      </c>
      <c r="BA15">
        <v>45.69</v>
      </c>
      <c r="BB15" s="243">
        <v>5391099.4100000001</v>
      </c>
      <c r="BC15">
        <v>0</v>
      </c>
      <c r="BD15" t="s">
        <v>520</v>
      </c>
      <c r="BE15" t="s">
        <v>668</v>
      </c>
      <c r="BF15" t="s">
        <v>669</v>
      </c>
      <c r="BG15">
        <v>16.64</v>
      </c>
      <c r="BH15" t="s">
        <v>520</v>
      </c>
    </row>
    <row r="16" spans="1:60">
      <c r="A16">
        <v>115</v>
      </c>
      <c r="B16" t="s">
        <v>139</v>
      </c>
      <c r="C16" t="s">
        <v>521</v>
      </c>
      <c r="D16" t="s">
        <v>0</v>
      </c>
      <c r="E16" s="243">
        <v>9771170.6600000001</v>
      </c>
      <c r="F16">
        <v>10760000</v>
      </c>
      <c r="G16">
        <v>90.81</v>
      </c>
      <c r="H16" t="s">
        <v>683</v>
      </c>
      <c r="I16" t="s">
        <v>748</v>
      </c>
      <c r="J16">
        <v>8.3699999999999992</v>
      </c>
      <c r="K16">
        <v>7.6</v>
      </c>
      <c r="L16" s="243">
        <v>27891215</v>
      </c>
      <c r="M16">
        <v>18660000</v>
      </c>
      <c r="N16">
        <v>149.47</v>
      </c>
      <c r="O16" t="s">
        <v>668</v>
      </c>
      <c r="P16" t="s">
        <v>824</v>
      </c>
      <c r="Q16">
        <v>0.55000000000000004</v>
      </c>
      <c r="R16">
        <v>0.82</v>
      </c>
      <c r="S16" s="243">
        <v>4857462</v>
      </c>
      <c r="T16">
        <v>2721000</v>
      </c>
      <c r="U16">
        <v>178.52</v>
      </c>
      <c r="V16" t="s">
        <v>741</v>
      </c>
      <c r="W16" t="s">
        <v>788</v>
      </c>
      <c r="X16">
        <v>6.36</v>
      </c>
      <c r="Y16">
        <v>11.36</v>
      </c>
      <c r="Z16" s="243">
        <v>223678</v>
      </c>
      <c r="AA16">
        <v>1169000</v>
      </c>
      <c r="AB16">
        <v>19.13</v>
      </c>
      <c r="AC16" t="s">
        <v>676</v>
      </c>
      <c r="AD16" t="s">
        <v>862</v>
      </c>
      <c r="AE16">
        <v>26.77</v>
      </c>
      <c r="AF16">
        <v>5.12</v>
      </c>
      <c r="AG16" s="243">
        <v>157237</v>
      </c>
      <c r="AH16">
        <v>0</v>
      </c>
      <c r="AI16" t="s">
        <v>520</v>
      </c>
      <c r="AJ16" t="s">
        <v>668</v>
      </c>
      <c r="AK16" t="s">
        <v>669</v>
      </c>
      <c r="AL16">
        <v>1.85</v>
      </c>
      <c r="AM16" t="s">
        <v>520</v>
      </c>
      <c r="AN16" s="243">
        <v>546307.77</v>
      </c>
      <c r="AO16">
        <v>600000</v>
      </c>
      <c r="AP16">
        <v>91.05</v>
      </c>
      <c r="AQ16" t="s">
        <v>664</v>
      </c>
      <c r="AR16" t="s">
        <v>800</v>
      </c>
      <c r="AS16">
        <v>0</v>
      </c>
      <c r="AT16">
        <v>0</v>
      </c>
      <c r="AU16" s="243">
        <v>43447070.43</v>
      </c>
      <c r="AV16">
        <v>33910000</v>
      </c>
      <c r="AW16">
        <v>128.12</v>
      </c>
      <c r="AX16" t="s">
        <v>723</v>
      </c>
      <c r="AY16" t="s">
        <v>794</v>
      </c>
      <c r="AZ16">
        <v>3.09</v>
      </c>
      <c r="BA16">
        <v>3.96</v>
      </c>
      <c r="BB16" s="243">
        <v>2886620.66</v>
      </c>
      <c r="BC16">
        <v>0</v>
      </c>
      <c r="BD16" t="s">
        <v>520</v>
      </c>
      <c r="BE16" t="s">
        <v>668</v>
      </c>
      <c r="BF16" t="s">
        <v>669</v>
      </c>
      <c r="BG16">
        <v>10.24</v>
      </c>
      <c r="BH16" t="s">
        <v>520</v>
      </c>
    </row>
    <row r="17" spans="1:60">
      <c r="A17">
        <v>116</v>
      </c>
      <c r="B17" t="s">
        <v>140</v>
      </c>
      <c r="C17" t="s">
        <v>522</v>
      </c>
      <c r="D17" t="s">
        <v>0</v>
      </c>
      <c r="E17" s="243">
        <v>17072298.309999999</v>
      </c>
      <c r="F17">
        <v>9580000</v>
      </c>
      <c r="G17">
        <v>178.21</v>
      </c>
      <c r="H17" t="s">
        <v>730</v>
      </c>
      <c r="I17" t="s">
        <v>735</v>
      </c>
      <c r="J17">
        <v>10.1</v>
      </c>
      <c r="K17">
        <v>18.010000000000002</v>
      </c>
      <c r="L17" s="243">
        <v>8876349</v>
      </c>
      <c r="M17">
        <v>16610000</v>
      </c>
      <c r="N17">
        <v>53.44</v>
      </c>
      <c r="O17" t="s">
        <v>725</v>
      </c>
      <c r="P17" t="s">
        <v>855</v>
      </c>
      <c r="Q17">
        <v>27.01</v>
      </c>
      <c r="R17">
        <v>14.43</v>
      </c>
      <c r="S17" s="243">
        <v>987689</v>
      </c>
      <c r="T17">
        <v>2255000</v>
      </c>
      <c r="U17">
        <v>43.8</v>
      </c>
      <c r="V17" t="s">
        <v>778</v>
      </c>
      <c r="W17" t="s">
        <v>691</v>
      </c>
      <c r="X17">
        <v>3.04</v>
      </c>
      <c r="Y17">
        <v>1.33</v>
      </c>
      <c r="Z17" s="243">
        <v>423222</v>
      </c>
      <c r="AA17">
        <v>1205000</v>
      </c>
      <c r="AB17">
        <v>35.119999999999997</v>
      </c>
      <c r="AC17" t="s">
        <v>743</v>
      </c>
      <c r="AD17" t="s">
        <v>858</v>
      </c>
      <c r="AE17">
        <v>0.05</v>
      </c>
      <c r="AF17">
        <v>0.02</v>
      </c>
      <c r="AG17" s="243">
        <v>46100</v>
      </c>
      <c r="AH17">
        <v>0</v>
      </c>
      <c r="AI17" t="s">
        <v>520</v>
      </c>
      <c r="AJ17" t="s">
        <v>668</v>
      </c>
      <c r="AK17" t="s">
        <v>669</v>
      </c>
      <c r="AL17">
        <v>4.42</v>
      </c>
      <c r="AM17" t="s">
        <v>520</v>
      </c>
      <c r="AN17" s="243">
        <v>139743</v>
      </c>
      <c r="AO17">
        <v>530000</v>
      </c>
      <c r="AP17">
        <v>26.37</v>
      </c>
      <c r="AQ17" t="s">
        <v>674</v>
      </c>
      <c r="AR17" t="s">
        <v>675</v>
      </c>
      <c r="AS17">
        <v>0</v>
      </c>
      <c r="AT17">
        <v>0</v>
      </c>
      <c r="AU17" s="243">
        <v>27545401.309999999</v>
      </c>
      <c r="AV17">
        <v>30180000</v>
      </c>
      <c r="AW17">
        <v>91.27</v>
      </c>
      <c r="AX17" t="s">
        <v>704</v>
      </c>
      <c r="AY17" t="s">
        <v>756</v>
      </c>
      <c r="AZ17">
        <v>15.08</v>
      </c>
      <c r="BA17">
        <v>13.77</v>
      </c>
      <c r="BB17" s="243">
        <v>4677134.3099999996</v>
      </c>
      <c r="BC17">
        <v>0</v>
      </c>
      <c r="BD17" t="s">
        <v>520</v>
      </c>
      <c r="BE17" t="s">
        <v>668</v>
      </c>
      <c r="BF17" t="s">
        <v>669</v>
      </c>
      <c r="BG17">
        <v>17.739999999999998</v>
      </c>
      <c r="BH17" t="s">
        <v>520</v>
      </c>
    </row>
    <row r="18" spans="1:60">
      <c r="A18">
        <v>117</v>
      </c>
      <c r="B18" t="s">
        <v>399</v>
      </c>
      <c r="C18" t="s">
        <v>522</v>
      </c>
      <c r="D18" t="s">
        <v>0</v>
      </c>
      <c r="E18" s="243">
        <v>23281183.75</v>
      </c>
      <c r="F18">
        <v>12320000</v>
      </c>
      <c r="G18">
        <v>188.97</v>
      </c>
      <c r="H18" t="s">
        <v>688</v>
      </c>
      <c r="I18" t="s">
        <v>761</v>
      </c>
      <c r="J18">
        <v>29.92</v>
      </c>
      <c r="K18">
        <v>56.54</v>
      </c>
      <c r="L18" s="243">
        <v>15147969</v>
      </c>
      <c r="M18">
        <v>21370000</v>
      </c>
      <c r="N18">
        <v>70.88</v>
      </c>
      <c r="O18" t="s">
        <v>771</v>
      </c>
      <c r="P18" t="s">
        <v>888</v>
      </c>
      <c r="Q18">
        <v>59.69</v>
      </c>
      <c r="R18">
        <v>42.31</v>
      </c>
      <c r="S18" s="243">
        <v>1545539</v>
      </c>
      <c r="T18">
        <v>3164000</v>
      </c>
      <c r="U18">
        <v>48.85</v>
      </c>
      <c r="V18" t="s">
        <v>743</v>
      </c>
      <c r="W18" t="s">
        <v>833</v>
      </c>
      <c r="X18">
        <v>55.28</v>
      </c>
      <c r="Y18">
        <v>27</v>
      </c>
      <c r="Z18" s="243">
        <v>3643817</v>
      </c>
      <c r="AA18">
        <v>1296000</v>
      </c>
      <c r="AB18">
        <v>281.16000000000003</v>
      </c>
      <c r="AC18" t="s">
        <v>701</v>
      </c>
      <c r="AD18" t="s">
        <v>832</v>
      </c>
      <c r="AE18">
        <v>1.96</v>
      </c>
      <c r="AF18">
        <v>5.52</v>
      </c>
      <c r="AG18" s="243">
        <v>93040</v>
      </c>
      <c r="AH18">
        <v>0</v>
      </c>
      <c r="AI18" t="s">
        <v>520</v>
      </c>
      <c r="AJ18" t="s">
        <v>668</v>
      </c>
      <c r="AK18" t="s">
        <v>669</v>
      </c>
      <c r="AL18">
        <v>2.95</v>
      </c>
      <c r="AM18" t="s">
        <v>520</v>
      </c>
      <c r="AN18" s="243">
        <v>400731.34</v>
      </c>
      <c r="AO18">
        <v>680000</v>
      </c>
      <c r="AP18">
        <v>58.93</v>
      </c>
      <c r="AQ18" t="s">
        <v>743</v>
      </c>
      <c r="AR18" t="s">
        <v>785</v>
      </c>
      <c r="AS18">
        <v>160.9</v>
      </c>
      <c r="AT18">
        <v>94.82</v>
      </c>
      <c r="AU18" s="243">
        <v>44112280.090000004</v>
      </c>
      <c r="AV18">
        <v>38830000</v>
      </c>
      <c r="AW18">
        <v>113.6</v>
      </c>
      <c r="AX18" t="s">
        <v>722</v>
      </c>
      <c r="AY18" t="s">
        <v>738</v>
      </c>
      <c r="AZ18">
        <v>39.86</v>
      </c>
      <c r="BA18">
        <v>45.28</v>
      </c>
      <c r="BB18" s="243">
        <v>5954099.75</v>
      </c>
      <c r="BC18">
        <v>0</v>
      </c>
      <c r="BD18" t="s">
        <v>520</v>
      </c>
      <c r="BE18" t="s">
        <v>668</v>
      </c>
      <c r="BF18" t="s">
        <v>669</v>
      </c>
      <c r="BG18">
        <v>8.84</v>
      </c>
      <c r="BH18" t="s">
        <v>520</v>
      </c>
    </row>
    <row r="19" spans="1:60">
      <c r="A19">
        <v>118</v>
      </c>
      <c r="B19" t="s">
        <v>141</v>
      </c>
      <c r="C19" t="s">
        <v>522</v>
      </c>
      <c r="D19" t="s">
        <v>0</v>
      </c>
      <c r="E19" s="243">
        <v>25861596.719999999</v>
      </c>
      <c r="F19">
        <v>13530000</v>
      </c>
      <c r="G19">
        <v>191.14</v>
      </c>
      <c r="H19" t="s">
        <v>723</v>
      </c>
      <c r="I19" t="s">
        <v>870</v>
      </c>
      <c r="J19">
        <v>8.5500000000000007</v>
      </c>
      <c r="K19">
        <v>16.34</v>
      </c>
      <c r="L19" s="243">
        <v>10541237</v>
      </c>
      <c r="M19">
        <v>23470000</v>
      </c>
      <c r="N19">
        <v>44.91</v>
      </c>
      <c r="O19" t="s">
        <v>745</v>
      </c>
      <c r="P19" t="s">
        <v>705</v>
      </c>
      <c r="Q19">
        <v>14.84</v>
      </c>
      <c r="R19">
        <v>6.66</v>
      </c>
      <c r="S19" s="243">
        <v>2159879</v>
      </c>
      <c r="T19">
        <v>3832000</v>
      </c>
      <c r="U19">
        <v>56.36</v>
      </c>
      <c r="V19" t="s">
        <v>725</v>
      </c>
      <c r="W19" t="s">
        <v>770</v>
      </c>
      <c r="X19">
        <v>7.26</v>
      </c>
      <c r="Y19">
        <v>4.09</v>
      </c>
      <c r="Z19" s="243">
        <v>254636</v>
      </c>
      <c r="AA19">
        <v>1058000</v>
      </c>
      <c r="AB19">
        <v>24.07</v>
      </c>
      <c r="AC19" t="s">
        <v>704</v>
      </c>
      <c r="AD19" t="s">
        <v>869</v>
      </c>
      <c r="AE19">
        <v>0.09</v>
      </c>
      <c r="AF19">
        <v>0.02</v>
      </c>
      <c r="AG19" s="243">
        <v>134385</v>
      </c>
      <c r="AH19">
        <v>0</v>
      </c>
      <c r="AI19" t="s">
        <v>520</v>
      </c>
      <c r="AJ19" t="s">
        <v>668</v>
      </c>
      <c r="AK19" t="s">
        <v>669</v>
      </c>
      <c r="AL19">
        <v>3.22</v>
      </c>
      <c r="AM19" t="s">
        <v>520</v>
      </c>
      <c r="AN19" s="243">
        <v>305172.33</v>
      </c>
      <c r="AO19">
        <v>750000</v>
      </c>
      <c r="AP19">
        <v>40.69</v>
      </c>
      <c r="AQ19" t="s">
        <v>778</v>
      </c>
      <c r="AR19" t="s">
        <v>744</v>
      </c>
      <c r="AS19">
        <v>40.229999999999997</v>
      </c>
      <c r="AT19">
        <v>16.37</v>
      </c>
      <c r="AU19" s="243">
        <v>39256906.049999997</v>
      </c>
      <c r="AV19">
        <v>42640000</v>
      </c>
      <c r="AW19">
        <v>92.07</v>
      </c>
      <c r="AX19" t="s">
        <v>743</v>
      </c>
      <c r="AY19" t="s">
        <v>805</v>
      </c>
      <c r="AZ19">
        <v>10.34</v>
      </c>
      <c r="BA19">
        <v>9.52</v>
      </c>
      <c r="BB19" s="243">
        <v>7959941.7199999997</v>
      </c>
      <c r="BC19">
        <v>0</v>
      </c>
      <c r="BD19" t="s">
        <v>520</v>
      </c>
      <c r="BE19" t="s">
        <v>668</v>
      </c>
      <c r="BF19" t="s">
        <v>669</v>
      </c>
      <c r="BG19">
        <v>7.15</v>
      </c>
      <c r="BH19" t="s">
        <v>520</v>
      </c>
    </row>
    <row r="20" spans="1:60">
      <c r="A20">
        <v>119</v>
      </c>
      <c r="B20" t="s">
        <v>76</v>
      </c>
      <c r="C20" t="s">
        <v>523</v>
      </c>
      <c r="D20" t="s">
        <v>0</v>
      </c>
      <c r="E20" s="243">
        <v>11052967.91</v>
      </c>
      <c r="F20">
        <v>8040000</v>
      </c>
      <c r="G20">
        <v>137.47</v>
      </c>
      <c r="H20" t="s">
        <v>771</v>
      </c>
      <c r="I20" t="s">
        <v>857</v>
      </c>
      <c r="J20">
        <v>11.85</v>
      </c>
      <c r="K20">
        <v>16.29</v>
      </c>
      <c r="L20" s="243">
        <v>9787248</v>
      </c>
      <c r="M20">
        <v>13940000</v>
      </c>
      <c r="N20">
        <v>70.209999999999994</v>
      </c>
      <c r="O20" t="s">
        <v>714</v>
      </c>
      <c r="P20" t="s">
        <v>807</v>
      </c>
      <c r="Q20">
        <v>76.69</v>
      </c>
      <c r="R20">
        <v>53.84</v>
      </c>
      <c r="S20" s="243">
        <v>2590827</v>
      </c>
      <c r="T20">
        <v>1509000</v>
      </c>
      <c r="U20">
        <v>171.69</v>
      </c>
      <c r="V20" t="s">
        <v>734</v>
      </c>
      <c r="W20" t="s">
        <v>753</v>
      </c>
      <c r="X20">
        <v>6.43</v>
      </c>
      <c r="Y20">
        <v>11.05</v>
      </c>
      <c r="Z20" s="243">
        <v>4313172</v>
      </c>
      <c r="AA20">
        <v>1381000</v>
      </c>
      <c r="AB20">
        <v>312.32</v>
      </c>
      <c r="AC20" t="s">
        <v>764</v>
      </c>
      <c r="AD20" t="s">
        <v>742</v>
      </c>
      <c r="AE20">
        <v>0</v>
      </c>
      <c r="AF20">
        <v>0</v>
      </c>
      <c r="AG20" s="243">
        <v>33606</v>
      </c>
      <c r="AH20">
        <v>0</v>
      </c>
      <c r="AI20" t="s">
        <v>520</v>
      </c>
      <c r="AJ20" t="s">
        <v>668</v>
      </c>
      <c r="AK20" t="s">
        <v>669</v>
      </c>
      <c r="AL20">
        <v>2.33</v>
      </c>
      <c r="AM20" t="s">
        <v>520</v>
      </c>
      <c r="AN20" s="243">
        <v>588189.78</v>
      </c>
      <c r="AO20">
        <v>450000</v>
      </c>
      <c r="AP20">
        <v>130.71</v>
      </c>
      <c r="AQ20" t="s">
        <v>660</v>
      </c>
      <c r="AR20" t="s">
        <v>702</v>
      </c>
      <c r="AS20">
        <v>24.76</v>
      </c>
      <c r="AT20">
        <v>32.36</v>
      </c>
      <c r="AU20" s="243">
        <v>28366010.690000001</v>
      </c>
      <c r="AV20">
        <v>25320000</v>
      </c>
      <c r="AW20">
        <v>112.03</v>
      </c>
      <c r="AX20" t="s">
        <v>666</v>
      </c>
      <c r="AY20" t="s">
        <v>809</v>
      </c>
      <c r="AZ20">
        <v>32.18</v>
      </c>
      <c r="BA20">
        <v>36.049999999999997</v>
      </c>
      <c r="BB20" s="243">
        <v>3460314.91</v>
      </c>
      <c r="BC20">
        <v>0</v>
      </c>
      <c r="BD20" t="s">
        <v>520</v>
      </c>
      <c r="BE20" t="s">
        <v>668</v>
      </c>
      <c r="BF20" t="s">
        <v>669</v>
      </c>
      <c r="BG20">
        <v>7.9</v>
      </c>
      <c r="BH20" t="s">
        <v>520</v>
      </c>
    </row>
    <row r="21" spans="1:60">
      <c r="A21">
        <v>120</v>
      </c>
      <c r="B21" t="s">
        <v>142</v>
      </c>
      <c r="C21" t="s">
        <v>519</v>
      </c>
      <c r="D21" t="s">
        <v>0</v>
      </c>
      <c r="E21" s="243">
        <v>27669981.25</v>
      </c>
      <c r="F21">
        <v>15740000</v>
      </c>
      <c r="G21">
        <v>175.79</v>
      </c>
      <c r="H21" t="s">
        <v>712</v>
      </c>
      <c r="I21" t="s">
        <v>824</v>
      </c>
      <c r="J21">
        <v>20.89</v>
      </c>
      <c r="K21">
        <v>36.729999999999997</v>
      </c>
      <c r="L21" s="243">
        <v>30921214</v>
      </c>
      <c r="M21">
        <v>27300000</v>
      </c>
      <c r="N21">
        <v>113.26</v>
      </c>
      <c r="O21" t="s">
        <v>783</v>
      </c>
      <c r="P21" t="s">
        <v>687</v>
      </c>
      <c r="Q21">
        <v>60.79</v>
      </c>
      <c r="R21">
        <v>68.86</v>
      </c>
      <c r="S21" s="243">
        <v>5354402</v>
      </c>
      <c r="T21">
        <v>3990000</v>
      </c>
      <c r="U21">
        <v>134.19999999999999</v>
      </c>
      <c r="V21" t="s">
        <v>730</v>
      </c>
      <c r="W21" t="s">
        <v>796</v>
      </c>
      <c r="X21">
        <v>62.77</v>
      </c>
      <c r="Y21">
        <v>84.23</v>
      </c>
      <c r="Z21" s="243">
        <v>10101635</v>
      </c>
      <c r="AA21">
        <v>1700000</v>
      </c>
      <c r="AB21">
        <v>594.21</v>
      </c>
      <c r="AC21" t="s">
        <v>734</v>
      </c>
      <c r="AD21" t="s">
        <v>727</v>
      </c>
      <c r="AE21">
        <v>0.18</v>
      </c>
      <c r="AF21">
        <v>1.0900000000000001</v>
      </c>
      <c r="AG21" s="243">
        <v>90000</v>
      </c>
      <c r="AH21">
        <v>0</v>
      </c>
      <c r="AI21" t="s">
        <v>520</v>
      </c>
      <c r="AJ21" t="s">
        <v>668</v>
      </c>
      <c r="AK21" t="s">
        <v>669</v>
      </c>
      <c r="AL21">
        <v>7.45</v>
      </c>
      <c r="AM21" t="s">
        <v>520</v>
      </c>
      <c r="AN21" s="243">
        <v>2089058.24</v>
      </c>
      <c r="AO21">
        <v>870000</v>
      </c>
      <c r="AP21">
        <v>240.12</v>
      </c>
      <c r="AQ21" t="s">
        <v>695</v>
      </c>
      <c r="AR21" t="s">
        <v>803</v>
      </c>
      <c r="AS21">
        <v>3.07</v>
      </c>
      <c r="AT21">
        <v>7.37</v>
      </c>
      <c r="AU21" s="243">
        <v>76226290.489999995</v>
      </c>
      <c r="AV21">
        <v>49600000</v>
      </c>
      <c r="AW21">
        <v>153.68</v>
      </c>
      <c r="AX21" t="s">
        <v>728</v>
      </c>
      <c r="AY21" t="s">
        <v>761</v>
      </c>
      <c r="AZ21">
        <v>36.770000000000003</v>
      </c>
      <c r="BA21">
        <v>56.51</v>
      </c>
      <c r="BB21" s="243">
        <v>7339333.25</v>
      </c>
      <c r="BC21">
        <v>0</v>
      </c>
      <c r="BD21" t="s">
        <v>520</v>
      </c>
      <c r="BE21" t="s">
        <v>668</v>
      </c>
      <c r="BF21" t="s">
        <v>669</v>
      </c>
      <c r="BG21">
        <v>16.48</v>
      </c>
      <c r="BH21" t="s">
        <v>520</v>
      </c>
    </row>
    <row r="22" spans="1:60">
      <c r="A22">
        <v>121</v>
      </c>
      <c r="B22" t="s">
        <v>4</v>
      </c>
      <c r="C22" t="s">
        <v>525</v>
      </c>
      <c r="D22" t="s">
        <v>0</v>
      </c>
      <c r="E22" s="243">
        <v>11415445.99</v>
      </c>
      <c r="F22">
        <v>11680000</v>
      </c>
      <c r="G22">
        <v>97.73</v>
      </c>
      <c r="H22" t="s">
        <v>690</v>
      </c>
      <c r="I22" t="s">
        <v>755</v>
      </c>
      <c r="J22">
        <v>6.47</v>
      </c>
      <c r="K22">
        <v>6.32</v>
      </c>
      <c r="L22" s="243">
        <v>9305294</v>
      </c>
      <c r="M22">
        <v>20250000</v>
      </c>
      <c r="N22">
        <v>45.95</v>
      </c>
      <c r="O22" t="s">
        <v>757</v>
      </c>
      <c r="P22" t="s">
        <v>811</v>
      </c>
      <c r="Q22">
        <v>30.07</v>
      </c>
      <c r="R22">
        <v>13.82</v>
      </c>
      <c r="S22" s="243">
        <v>3530139</v>
      </c>
      <c r="T22">
        <v>2593000</v>
      </c>
      <c r="U22">
        <v>136.13999999999999</v>
      </c>
      <c r="V22" t="s">
        <v>695</v>
      </c>
      <c r="W22" t="s">
        <v>842</v>
      </c>
      <c r="X22">
        <v>23.25</v>
      </c>
      <c r="Y22">
        <v>31.66</v>
      </c>
      <c r="Z22" s="243">
        <v>6982094</v>
      </c>
      <c r="AA22">
        <v>1617000</v>
      </c>
      <c r="AB22">
        <v>431.79</v>
      </c>
      <c r="AC22" t="s">
        <v>688</v>
      </c>
      <c r="AD22" t="s">
        <v>863</v>
      </c>
      <c r="AE22">
        <v>0.23</v>
      </c>
      <c r="AF22">
        <v>0.99</v>
      </c>
      <c r="AG22" s="243">
        <v>154104</v>
      </c>
      <c r="AH22">
        <v>0</v>
      </c>
      <c r="AI22" t="s">
        <v>520</v>
      </c>
      <c r="AJ22" t="s">
        <v>668</v>
      </c>
      <c r="AK22" t="s">
        <v>669</v>
      </c>
      <c r="AL22">
        <v>4.49</v>
      </c>
      <c r="AM22" t="s">
        <v>520</v>
      </c>
      <c r="AN22" s="243">
        <v>121028.09</v>
      </c>
      <c r="AO22">
        <v>650000</v>
      </c>
      <c r="AP22">
        <v>18.62</v>
      </c>
      <c r="AQ22" t="s">
        <v>662</v>
      </c>
      <c r="AR22" t="s">
        <v>885</v>
      </c>
      <c r="AS22">
        <v>3.88</v>
      </c>
      <c r="AT22">
        <v>0.72</v>
      </c>
      <c r="AU22" s="243">
        <v>31508105.079999998</v>
      </c>
      <c r="AV22">
        <v>36790000</v>
      </c>
      <c r="AW22">
        <v>85.64</v>
      </c>
      <c r="AX22" t="s">
        <v>676</v>
      </c>
      <c r="AY22" t="s">
        <v>797</v>
      </c>
      <c r="AZ22">
        <v>13.92</v>
      </c>
      <c r="BA22">
        <v>11.92</v>
      </c>
      <c r="BB22" s="243">
        <v>3931143.99</v>
      </c>
      <c r="BC22">
        <v>0</v>
      </c>
      <c r="BD22" t="s">
        <v>520</v>
      </c>
      <c r="BE22" t="s">
        <v>668</v>
      </c>
      <c r="BF22" t="s">
        <v>669</v>
      </c>
      <c r="BG22">
        <v>5.7</v>
      </c>
      <c r="BH22" t="s">
        <v>520</v>
      </c>
    </row>
    <row r="23" spans="1:60">
      <c r="A23">
        <v>122</v>
      </c>
      <c r="B23" t="s">
        <v>77</v>
      </c>
      <c r="C23" t="s">
        <v>525</v>
      </c>
      <c r="D23" t="s">
        <v>0</v>
      </c>
      <c r="E23" s="243">
        <v>20148579.32</v>
      </c>
      <c r="F23">
        <v>12900000</v>
      </c>
      <c r="G23">
        <v>156.19</v>
      </c>
      <c r="H23" t="s">
        <v>666</v>
      </c>
      <c r="I23" t="s">
        <v>856</v>
      </c>
      <c r="J23">
        <v>10.25</v>
      </c>
      <c r="K23">
        <v>16.02</v>
      </c>
      <c r="L23" s="243">
        <v>17571228</v>
      </c>
      <c r="M23">
        <v>22370000</v>
      </c>
      <c r="N23">
        <v>78.55</v>
      </c>
      <c r="O23" t="s">
        <v>722</v>
      </c>
      <c r="P23" t="s">
        <v>719</v>
      </c>
      <c r="Q23">
        <v>35.78</v>
      </c>
      <c r="R23">
        <v>28.1</v>
      </c>
      <c r="S23" s="243">
        <v>1980766</v>
      </c>
      <c r="T23">
        <v>2852000</v>
      </c>
      <c r="U23">
        <v>69.45</v>
      </c>
      <c r="V23" t="s">
        <v>714</v>
      </c>
      <c r="W23" t="s">
        <v>886</v>
      </c>
      <c r="X23">
        <v>0.05</v>
      </c>
      <c r="Y23">
        <v>0.04</v>
      </c>
      <c r="Z23" s="243">
        <v>1243154</v>
      </c>
      <c r="AA23">
        <v>1798000</v>
      </c>
      <c r="AB23">
        <v>69.14</v>
      </c>
      <c r="AC23" t="s">
        <v>754</v>
      </c>
      <c r="AD23" t="s">
        <v>702</v>
      </c>
      <c r="AE23">
        <v>0.06</v>
      </c>
      <c r="AF23">
        <v>0.04</v>
      </c>
      <c r="AG23" s="243">
        <v>42288</v>
      </c>
      <c r="AH23">
        <v>0</v>
      </c>
      <c r="AI23" t="s">
        <v>520</v>
      </c>
      <c r="AJ23" t="s">
        <v>668</v>
      </c>
      <c r="AK23" t="s">
        <v>669</v>
      </c>
      <c r="AL23">
        <v>10.029999999999999</v>
      </c>
      <c r="AM23" t="s">
        <v>520</v>
      </c>
      <c r="AN23" s="243">
        <v>2187068.77</v>
      </c>
      <c r="AO23">
        <v>720000</v>
      </c>
      <c r="AP23">
        <v>303.76</v>
      </c>
      <c r="AQ23" t="s">
        <v>688</v>
      </c>
      <c r="AR23" t="s">
        <v>795</v>
      </c>
      <c r="AS23">
        <v>5.9</v>
      </c>
      <c r="AT23">
        <v>17.920000000000002</v>
      </c>
      <c r="AU23" s="243">
        <v>43173084.090000004</v>
      </c>
      <c r="AV23">
        <v>40640000</v>
      </c>
      <c r="AW23">
        <v>106.23</v>
      </c>
      <c r="AX23" t="s">
        <v>771</v>
      </c>
      <c r="AY23" t="s">
        <v>845</v>
      </c>
      <c r="AZ23">
        <v>19.66</v>
      </c>
      <c r="BA23">
        <v>20.89</v>
      </c>
      <c r="BB23" s="243">
        <v>4694557.32</v>
      </c>
      <c r="BC23">
        <v>0</v>
      </c>
      <c r="BD23" t="s">
        <v>520</v>
      </c>
      <c r="BE23" t="s">
        <v>668</v>
      </c>
      <c r="BF23" t="s">
        <v>669</v>
      </c>
      <c r="BG23">
        <v>26.16</v>
      </c>
      <c r="BH23" t="s">
        <v>520</v>
      </c>
    </row>
    <row r="24" spans="1:60">
      <c r="A24">
        <v>123</v>
      </c>
      <c r="B24" t="s">
        <v>5</v>
      </c>
      <c r="C24" t="s">
        <v>519</v>
      </c>
      <c r="D24" t="s">
        <v>0</v>
      </c>
      <c r="E24" s="243">
        <v>15636352.1</v>
      </c>
      <c r="F24">
        <v>14030000</v>
      </c>
      <c r="G24">
        <v>111.45</v>
      </c>
      <c r="H24" t="s">
        <v>778</v>
      </c>
      <c r="I24" t="s">
        <v>829</v>
      </c>
      <c r="J24">
        <v>14.46</v>
      </c>
      <c r="K24">
        <v>16.11</v>
      </c>
      <c r="L24" s="243">
        <v>18473803</v>
      </c>
      <c r="M24">
        <v>24330000</v>
      </c>
      <c r="N24">
        <v>75.930000000000007</v>
      </c>
      <c r="O24" t="s">
        <v>802</v>
      </c>
      <c r="P24" t="s">
        <v>825</v>
      </c>
      <c r="Q24">
        <v>24.06</v>
      </c>
      <c r="R24">
        <v>18.27</v>
      </c>
      <c r="S24" s="243">
        <v>2142049</v>
      </c>
      <c r="T24">
        <v>4074000</v>
      </c>
      <c r="U24">
        <v>52.58</v>
      </c>
      <c r="V24" t="s">
        <v>664</v>
      </c>
      <c r="W24" t="s">
        <v>825</v>
      </c>
      <c r="X24">
        <v>1.52</v>
      </c>
      <c r="Y24">
        <v>0.8</v>
      </c>
      <c r="Z24" s="243">
        <v>187924</v>
      </c>
      <c r="AA24">
        <v>986000</v>
      </c>
      <c r="AB24">
        <v>19.059999999999999</v>
      </c>
      <c r="AC24" t="s">
        <v>674</v>
      </c>
      <c r="AD24" t="s">
        <v>848</v>
      </c>
      <c r="AE24">
        <v>1.29</v>
      </c>
      <c r="AF24">
        <v>0.25</v>
      </c>
      <c r="AG24" s="243">
        <v>264910</v>
      </c>
      <c r="AH24">
        <v>0</v>
      </c>
      <c r="AI24" t="s">
        <v>520</v>
      </c>
      <c r="AJ24" t="s">
        <v>668</v>
      </c>
      <c r="AK24" t="s">
        <v>669</v>
      </c>
      <c r="AL24">
        <v>1.99</v>
      </c>
      <c r="AM24" t="s">
        <v>520</v>
      </c>
      <c r="AN24" s="243">
        <v>4542493.41</v>
      </c>
      <c r="AO24">
        <v>780000</v>
      </c>
      <c r="AP24">
        <v>582.37</v>
      </c>
      <c r="AQ24" t="s">
        <v>741</v>
      </c>
      <c r="AR24" t="s">
        <v>717</v>
      </c>
      <c r="AS24">
        <v>11.04</v>
      </c>
      <c r="AT24">
        <v>64.290000000000006</v>
      </c>
      <c r="AU24" s="243">
        <v>41247531.509999998</v>
      </c>
      <c r="AV24">
        <v>44200000</v>
      </c>
      <c r="AW24">
        <v>93.32</v>
      </c>
      <c r="AX24" t="s">
        <v>698</v>
      </c>
      <c r="AY24" t="s">
        <v>838</v>
      </c>
      <c r="AZ24">
        <v>17.57</v>
      </c>
      <c r="BA24">
        <v>16.399999999999999</v>
      </c>
      <c r="BB24" s="243">
        <v>6258133.0999999996</v>
      </c>
      <c r="BC24">
        <v>0</v>
      </c>
      <c r="BD24" t="s">
        <v>520</v>
      </c>
      <c r="BE24" t="s">
        <v>668</v>
      </c>
      <c r="BF24" t="s">
        <v>669</v>
      </c>
      <c r="BG24">
        <v>16.86</v>
      </c>
      <c r="BH24" t="s">
        <v>520</v>
      </c>
    </row>
    <row r="25" spans="1:60">
      <c r="A25">
        <v>124</v>
      </c>
      <c r="B25" t="s">
        <v>143</v>
      </c>
      <c r="C25" t="s">
        <v>525</v>
      </c>
      <c r="D25" t="s">
        <v>0</v>
      </c>
      <c r="E25" s="243">
        <v>11372345.210000001</v>
      </c>
      <c r="F25">
        <v>9110000</v>
      </c>
      <c r="G25">
        <v>124.83</v>
      </c>
      <c r="H25" t="s">
        <v>664</v>
      </c>
      <c r="I25" t="s">
        <v>781</v>
      </c>
      <c r="J25">
        <v>6.88</v>
      </c>
      <c r="K25">
        <v>8.59</v>
      </c>
      <c r="L25" s="243">
        <v>5499380</v>
      </c>
      <c r="M25">
        <v>15790000</v>
      </c>
      <c r="N25">
        <v>34.83</v>
      </c>
      <c r="O25" t="s">
        <v>662</v>
      </c>
      <c r="P25" t="s">
        <v>812</v>
      </c>
      <c r="Q25">
        <v>19.579999999999998</v>
      </c>
      <c r="R25">
        <v>6.82</v>
      </c>
      <c r="S25" s="243">
        <v>2176374</v>
      </c>
      <c r="T25">
        <v>1783000</v>
      </c>
      <c r="U25">
        <v>122.06</v>
      </c>
      <c r="V25" t="s">
        <v>712</v>
      </c>
      <c r="W25" t="s">
        <v>868</v>
      </c>
      <c r="X25">
        <v>18.760000000000002</v>
      </c>
      <c r="Y25">
        <v>22.9</v>
      </c>
      <c r="Z25" s="243">
        <v>531083</v>
      </c>
      <c r="AA25">
        <v>1497000</v>
      </c>
      <c r="AB25">
        <v>35.479999999999997</v>
      </c>
      <c r="AC25" t="s">
        <v>817</v>
      </c>
      <c r="AD25" t="s">
        <v>871</v>
      </c>
      <c r="AE25">
        <v>2.6</v>
      </c>
      <c r="AF25">
        <v>0.92</v>
      </c>
      <c r="AG25" s="243">
        <v>149535</v>
      </c>
      <c r="AH25">
        <v>0</v>
      </c>
      <c r="AI25" t="s">
        <v>520</v>
      </c>
      <c r="AJ25" t="s">
        <v>668</v>
      </c>
      <c r="AK25" t="s">
        <v>669</v>
      </c>
      <c r="AL25">
        <v>7.83</v>
      </c>
      <c r="AM25" t="s">
        <v>520</v>
      </c>
      <c r="AN25" s="243">
        <v>2626255.63</v>
      </c>
      <c r="AO25">
        <v>510000</v>
      </c>
      <c r="AP25">
        <v>514.95000000000005</v>
      </c>
      <c r="AQ25" t="s">
        <v>734</v>
      </c>
      <c r="AR25" t="s">
        <v>872</v>
      </c>
      <c r="AS25">
        <v>8.52</v>
      </c>
      <c r="AT25">
        <v>43.86</v>
      </c>
      <c r="AU25" s="243">
        <v>22354972.84</v>
      </c>
      <c r="AV25">
        <v>28690000</v>
      </c>
      <c r="AW25">
        <v>77.92</v>
      </c>
      <c r="AX25" t="s">
        <v>708</v>
      </c>
      <c r="AY25" t="s">
        <v>721</v>
      </c>
      <c r="AZ25">
        <v>11.26</v>
      </c>
      <c r="BA25">
        <v>8.77</v>
      </c>
      <c r="BB25" s="243">
        <v>3951773.21</v>
      </c>
      <c r="BC25">
        <v>0</v>
      </c>
      <c r="BD25" t="s">
        <v>520</v>
      </c>
      <c r="BE25" t="s">
        <v>668</v>
      </c>
      <c r="BF25" t="s">
        <v>669</v>
      </c>
      <c r="BG25">
        <v>6.83</v>
      </c>
      <c r="BH25" t="s">
        <v>520</v>
      </c>
    </row>
    <row r="26" spans="1:60">
      <c r="A26">
        <v>125</v>
      </c>
      <c r="B26" t="s">
        <v>144</v>
      </c>
      <c r="C26" t="s">
        <v>519</v>
      </c>
      <c r="D26" t="s">
        <v>0</v>
      </c>
      <c r="E26" s="243">
        <v>22616257.989999998</v>
      </c>
      <c r="F26">
        <v>13160000</v>
      </c>
      <c r="G26">
        <v>171.86</v>
      </c>
      <c r="H26" t="s">
        <v>764</v>
      </c>
      <c r="I26" t="s">
        <v>742</v>
      </c>
      <c r="J26">
        <v>8.39</v>
      </c>
      <c r="K26">
        <v>14.42</v>
      </c>
      <c r="L26" s="243">
        <v>11323918</v>
      </c>
      <c r="M26">
        <v>22820000</v>
      </c>
      <c r="N26">
        <v>49.62</v>
      </c>
      <c r="O26" t="s">
        <v>817</v>
      </c>
      <c r="P26" t="s">
        <v>779</v>
      </c>
      <c r="Q26">
        <v>36.020000000000003</v>
      </c>
      <c r="R26">
        <v>17.87</v>
      </c>
      <c r="S26" s="243">
        <v>1279433</v>
      </c>
      <c r="T26">
        <v>2837000</v>
      </c>
      <c r="U26">
        <v>45.1</v>
      </c>
      <c r="V26" t="s">
        <v>745</v>
      </c>
      <c r="W26" t="s">
        <v>807</v>
      </c>
      <c r="X26">
        <v>16.2</v>
      </c>
      <c r="Y26">
        <v>7.3</v>
      </c>
      <c r="Z26" s="243">
        <v>4414329</v>
      </c>
      <c r="AA26">
        <v>1913000</v>
      </c>
      <c r="AB26">
        <v>230.75</v>
      </c>
      <c r="AC26" t="s">
        <v>693</v>
      </c>
      <c r="AD26" t="s">
        <v>753</v>
      </c>
      <c r="AE26">
        <v>0</v>
      </c>
      <c r="AF26">
        <v>0.01</v>
      </c>
      <c r="AG26" s="243">
        <v>71790</v>
      </c>
      <c r="AH26">
        <v>0</v>
      </c>
      <c r="AI26" t="s">
        <v>520</v>
      </c>
      <c r="AJ26" t="s">
        <v>668</v>
      </c>
      <c r="AK26" t="s">
        <v>669</v>
      </c>
      <c r="AL26">
        <v>11.42</v>
      </c>
      <c r="AM26" t="s">
        <v>520</v>
      </c>
      <c r="AN26" s="243">
        <v>384184.54</v>
      </c>
      <c r="AO26">
        <v>730000</v>
      </c>
      <c r="AP26">
        <v>52.63</v>
      </c>
      <c r="AQ26" t="s">
        <v>745</v>
      </c>
      <c r="AR26" t="s">
        <v>869</v>
      </c>
      <c r="AS26">
        <v>5.25</v>
      </c>
      <c r="AT26">
        <v>2.76</v>
      </c>
      <c r="AU26" s="243">
        <v>40089912.530000001</v>
      </c>
      <c r="AV26">
        <v>41460000</v>
      </c>
      <c r="AW26">
        <v>96.7</v>
      </c>
      <c r="AX26" t="s">
        <v>681</v>
      </c>
      <c r="AY26" t="s">
        <v>850</v>
      </c>
      <c r="AZ26">
        <v>15.5</v>
      </c>
      <c r="BA26">
        <v>14.98</v>
      </c>
      <c r="BB26" s="243">
        <v>7237689.9900000002</v>
      </c>
      <c r="BC26">
        <v>0</v>
      </c>
      <c r="BD26" t="s">
        <v>520</v>
      </c>
      <c r="BE26" t="s">
        <v>668</v>
      </c>
      <c r="BF26" t="s">
        <v>669</v>
      </c>
      <c r="BG26">
        <v>11.05</v>
      </c>
      <c r="BH26" t="s">
        <v>520</v>
      </c>
    </row>
    <row r="27" spans="1:60">
      <c r="A27">
        <v>126</v>
      </c>
      <c r="B27" t="s">
        <v>145</v>
      </c>
      <c r="C27" t="s">
        <v>519</v>
      </c>
      <c r="D27" t="s">
        <v>0</v>
      </c>
      <c r="E27" s="243">
        <v>18105725.870000001</v>
      </c>
      <c r="F27">
        <v>14570000</v>
      </c>
      <c r="G27">
        <v>124.27</v>
      </c>
      <c r="H27" t="s">
        <v>791</v>
      </c>
      <c r="I27" t="s">
        <v>713</v>
      </c>
      <c r="J27">
        <v>9.36</v>
      </c>
      <c r="K27">
        <v>11.63</v>
      </c>
      <c r="L27" s="243">
        <v>5675526</v>
      </c>
      <c r="M27">
        <v>25260000</v>
      </c>
      <c r="N27">
        <v>22.47</v>
      </c>
      <c r="O27" t="s">
        <v>751</v>
      </c>
      <c r="P27" t="s">
        <v>877</v>
      </c>
      <c r="Q27">
        <v>66.27</v>
      </c>
      <c r="R27">
        <v>14.89</v>
      </c>
      <c r="S27" s="243">
        <v>1356457</v>
      </c>
      <c r="T27">
        <v>3347000</v>
      </c>
      <c r="U27">
        <v>40.53</v>
      </c>
      <c r="V27" t="s">
        <v>676</v>
      </c>
      <c r="W27" t="s">
        <v>740</v>
      </c>
      <c r="X27">
        <v>5.37</v>
      </c>
      <c r="Y27">
        <v>2.1800000000000002</v>
      </c>
      <c r="Z27" s="243">
        <v>13886324</v>
      </c>
      <c r="AA27">
        <v>1913000</v>
      </c>
      <c r="AB27">
        <v>725.89</v>
      </c>
      <c r="AC27" t="s">
        <v>728</v>
      </c>
      <c r="AD27" t="s">
        <v>763</v>
      </c>
      <c r="AE27">
        <v>0</v>
      </c>
      <c r="AF27">
        <v>0</v>
      </c>
      <c r="AG27" s="243">
        <v>2351799</v>
      </c>
      <c r="AH27">
        <v>0</v>
      </c>
      <c r="AI27" t="s">
        <v>520</v>
      </c>
      <c r="AJ27" t="s">
        <v>668</v>
      </c>
      <c r="AK27" t="s">
        <v>669</v>
      </c>
      <c r="AL27">
        <v>0.08</v>
      </c>
      <c r="AM27" t="s">
        <v>520</v>
      </c>
      <c r="AN27" s="243">
        <v>14877096.26</v>
      </c>
      <c r="AO27">
        <v>810000</v>
      </c>
      <c r="AP27">
        <v>1836.68</v>
      </c>
      <c r="AQ27" t="s">
        <v>668</v>
      </c>
      <c r="AR27" t="s">
        <v>669</v>
      </c>
      <c r="AS27">
        <v>28.2</v>
      </c>
      <c r="AT27">
        <v>517.9</v>
      </c>
      <c r="AU27" s="243">
        <v>56252928.130000003</v>
      </c>
      <c r="AV27">
        <v>45900000</v>
      </c>
      <c r="AW27">
        <v>122.56</v>
      </c>
      <c r="AX27" t="s">
        <v>688</v>
      </c>
      <c r="AY27" t="s">
        <v>830</v>
      </c>
      <c r="AZ27">
        <v>17.29</v>
      </c>
      <c r="BA27">
        <v>21.19</v>
      </c>
      <c r="BB27" s="243">
        <v>6056838.8700000001</v>
      </c>
      <c r="BC27">
        <v>0</v>
      </c>
      <c r="BD27" t="s">
        <v>520</v>
      </c>
      <c r="BE27" t="s">
        <v>668</v>
      </c>
      <c r="BF27" t="s">
        <v>669</v>
      </c>
      <c r="BG27">
        <v>7.96</v>
      </c>
      <c r="BH27" t="s">
        <v>520</v>
      </c>
    </row>
    <row r="28" spans="1:60">
      <c r="A28">
        <v>127</v>
      </c>
      <c r="B28" t="s">
        <v>146</v>
      </c>
      <c r="C28" t="s">
        <v>519</v>
      </c>
      <c r="D28" t="s">
        <v>0</v>
      </c>
      <c r="E28" s="243">
        <v>17259099.789999999</v>
      </c>
      <c r="F28">
        <v>11390000</v>
      </c>
      <c r="G28">
        <v>151.53</v>
      </c>
      <c r="H28" t="s">
        <v>802</v>
      </c>
      <c r="I28" t="s">
        <v>736</v>
      </c>
      <c r="J28">
        <v>4.7300000000000004</v>
      </c>
      <c r="K28">
        <v>7.17</v>
      </c>
      <c r="L28" s="243">
        <v>15445251</v>
      </c>
      <c r="M28">
        <v>19760000</v>
      </c>
      <c r="N28">
        <v>78.16</v>
      </c>
      <c r="O28" t="s">
        <v>666</v>
      </c>
      <c r="P28" t="s">
        <v>746</v>
      </c>
      <c r="Q28">
        <v>18.09</v>
      </c>
      <c r="R28">
        <v>14.14</v>
      </c>
      <c r="S28" s="243">
        <v>3355140</v>
      </c>
      <c r="T28">
        <v>2790000</v>
      </c>
      <c r="U28">
        <v>120.26</v>
      </c>
      <c r="V28" t="s">
        <v>764</v>
      </c>
      <c r="W28" t="s">
        <v>685</v>
      </c>
      <c r="X28">
        <v>23.45</v>
      </c>
      <c r="Y28">
        <v>28.21</v>
      </c>
      <c r="Z28" s="243">
        <v>479329</v>
      </c>
      <c r="AA28">
        <v>1330000</v>
      </c>
      <c r="AB28">
        <v>36.04</v>
      </c>
      <c r="AC28" t="s">
        <v>791</v>
      </c>
      <c r="AD28" t="s">
        <v>844</v>
      </c>
      <c r="AE28">
        <v>0.81</v>
      </c>
      <c r="AF28">
        <v>0.28999999999999998</v>
      </c>
      <c r="AG28" s="243">
        <v>78643</v>
      </c>
      <c r="AH28">
        <v>0</v>
      </c>
      <c r="AI28" t="s">
        <v>520</v>
      </c>
      <c r="AJ28" t="s">
        <v>668</v>
      </c>
      <c r="AK28" t="s">
        <v>669</v>
      </c>
      <c r="AL28">
        <v>2.95</v>
      </c>
      <c r="AM28" t="s">
        <v>520</v>
      </c>
      <c r="AN28" s="243">
        <v>2689945.17</v>
      </c>
      <c r="AO28">
        <v>630000</v>
      </c>
      <c r="AP28">
        <v>426.98</v>
      </c>
      <c r="AQ28" t="s">
        <v>783</v>
      </c>
      <c r="AR28" t="s">
        <v>689</v>
      </c>
      <c r="AS28">
        <v>0</v>
      </c>
      <c r="AT28">
        <v>0</v>
      </c>
      <c r="AU28" s="243">
        <v>39307407.960000001</v>
      </c>
      <c r="AV28">
        <v>35900000</v>
      </c>
      <c r="AW28">
        <v>109.49</v>
      </c>
      <c r="AX28" t="s">
        <v>670</v>
      </c>
      <c r="AY28" t="s">
        <v>713</v>
      </c>
      <c r="AZ28">
        <v>11.21</v>
      </c>
      <c r="BA28">
        <v>12.27</v>
      </c>
      <c r="BB28" s="243">
        <v>4250008.79</v>
      </c>
      <c r="BC28">
        <v>0</v>
      </c>
      <c r="BD28" t="s">
        <v>520</v>
      </c>
      <c r="BE28" t="s">
        <v>668</v>
      </c>
      <c r="BF28" t="s">
        <v>669</v>
      </c>
      <c r="BG28">
        <v>9.2100000000000009</v>
      </c>
      <c r="BH28" t="s">
        <v>520</v>
      </c>
    </row>
    <row r="29" spans="1:60">
      <c r="A29">
        <v>128</v>
      </c>
      <c r="B29" t="s">
        <v>78</v>
      </c>
      <c r="C29" t="s">
        <v>523</v>
      </c>
      <c r="D29" t="s">
        <v>0</v>
      </c>
      <c r="E29" s="243">
        <v>8982568.1600000001</v>
      </c>
      <c r="F29">
        <v>8330000</v>
      </c>
      <c r="G29">
        <v>107.83</v>
      </c>
      <c r="H29" t="s">
        <v>676</v>
      </c>
      <c r="I29" t="s">
        <v>862</v>
      </c>
      <c r="J29">
        <v>12.38</v>
      </c>
      <c r="K29">
        <v>13.35</v>
      </c>
      <c r="L29" s="243">
        <v>15150376</v>
      </c>
      <c r="M29">
        <v>14440000</v>
      </c>
      <c r="N29">
        <v>104.92</v>
      </c>
      <c r="O29" t="s">
        <v>723</v>
      </c>
      <c r="P29" t="s">
        <v>703</v>
      </c>
      <c r="Q29">
        <v>51.11</v>
      </c>
      <c r="R29">
        <v>53.63</v>
      </c>
      <c r="S29" s="243">
        <v>145788</v>
      </c>
      <c r="T29">
        <v>1212000</v>
      </c>
      <c r="U29">
        <v>12.03</v>
      </c>
      <c r="V29" t="s">
        <v>759</v>
      </c>
      <c r="W29" t="s">
        <v>663</v>
      </c>
      <c r="X29">
        <v>16.86</v>
      </c>
      <c r="Y29">
        <v>2.0299999999999998</v>
      </c>
      <c r="Z29" s="243">
        <v>878266</v>
      </c>
      <c r="AA29">
        <v>1798000</v>
      </c>
      <c r="AB29">
        <v>48.85</v>
      </c>
      <c r="AC29" t="s">
        <v>725</v>
      </c>
      <c r="AD29" t="s">
        <v>879</v>
      </c>
      <c r="AE29">
        <v>3.44</v>
      </c>
      <c r="AF29">
        <v>1.68</v>
      </c>
      <c r="AG29" s="243">
        <v>70446</v>
      </c>
      <c r="AH29">
        <v>0</v>
      </c>
      <c r="AI29" t="s">
        <v>520</v>
      </c>
      <c r="AJ29" t="s">
        <v>668</v>
      </c>
      <c r="AK29" t="s">
        <v>669</v>
      </c>
      <c r="AL29">
        <v>4.57</v>
      </c>
      <c r="AM29" t="s">
        <v>520</v>
      </c>
      <c r="AN29" s="243">
        <v>451223.91</v>
      </c>
      <c r="AO29">
        <v>460000</v>
      </c>
      <c r="AP29">
        <v>98.09</v>
      </c>
      <c r="AQ29" t="s">
        <v>725</v>
      </c>
      <c r="AR29" t="s">
        <v>809</v>
      </c>
      <c r="AS29">
        <v>47.44</v>
      </c>
      <c r="AT29">
        <v>46.54</v>
      </c>
      <c r="AU29" s="243">
        <v>25678668.07</v>
      </c>
      <c r="AV29">
        <v>26240000</v>
      </c>
      <c r="AW29">
        <v>97.86</v>
      </c>
      <c r="AX29" t="s">
        <v>754</v>
      </c>
      <c r="AY29" t="s">
        <v>675</v>
      </c>
      <c r="AZ29">
        <v>35.549999999999997</v>
      </c>
      <c r="BA29">
        <v>34.79</v>
      </c>
      <c r="BB29" s="243">
        <v>3985877.16</v>
      </c>
      <c r="BC29">
        <v>0</v>
      </c>
      <c r="BD29" t="s">
        <v>520</v>
      </c>
      <c r="BE29" t="s">
        <v>668</v>
      </c>
      <c r="BF29" t="s">
        <v>669</v>
      </c>
      <c r="BG29">
        <v>12.56</v>
      </c>
      <c r="BH29" t="s">
        <v>520</v>
      </c>
    </row>
    <row r="30" spans="1:60">
      <c r="A30">
        <v>129</v>
      </c>
      <c r="B30" t="s">
        <v>79</v>
      </c>
      <c r="C30" t="s">
        <v>524</v>
      </c>
      <c r="D30" t="s">
        <v>0</v>
      </c>
      <c r="E30" s="243">
        <v>21869013.260000002</v>
      </c>
      <c r="F30">
        <v>10200000</v>
      </c>
      <c r="G30">
        <v>214.4</v>
      </c>
      <c r="H30" t="s">
        <v>734</v>
      </c>
      <c r="I30" t="s">
        <v>763</v>
      </c>
      <c r="J30">
        <v>23.75</v>
      </c>
      <c r="K30">
        <v>50.91</v>
      </c>
      <c r="L30" s="243">
        <v>14275859</v>
      </c>
      <c r="M30">
        <v>17680000</v>
      </c>
      <c r="N30">
        <v>80.75</v>
      </c>
      <c r="O30" t="s">
        <v>701</v>
      </c>
      <c r="P30" t="s">
        <v>814</v>
      </c>
      <c r="Q30">
        <v>41.44</v>
      </c>
      <c r="R30">
        <v>33.46</v>
      </c>
      <c r="S30" s="243">
        <v>787439</v>
      </c>
      <c r="T30">
        <v>2622000</v>
      </c>
      <c r="U30">
        <v>30.03</v>
      </c>
      <c r="V30" t="s">
        <v>662</v>
      </c>
      <c r="W30" t="s">
        <v>782</v>
      </c>
      <c r="X30">
        <v>7.68</v>
      </c>
      <c r="Y30">
        <v>2.31</v>
      </c>
      <c r="Z30" s="243">
        <v>146485</v>
      </c>
      <c r="AA30">
        <v>1058000</v>
      </c>
      <c r="AB30">
        <v>13.85</v>
      </c>
      <c r="AC30" t="s">
        <v>662</v>
      </c>
      <c r="AD30" t="s">
        <v>843</v>
      </c>
      <c r="AE30">
        <v>11.46</v>
      </c>
      <c r="AF30">
        <v>1.59</v>
      </c>
      <c r="AG30" s="243">
        <v>65635</v>
      </c>
      <c r="AH30">
        <v>0</v>
      </c>
      <c r="AI30" t="s">
        <v>520</v>
      </c>
      <c r="AJ30" t="s">
        <v>668</v>
      </c>
      <c r="AK30" t="s">
        <v>669</v>
      </c>
      <c r="AL30">
        <v>14.2</v>
      </c>
      <c r="AM30" t="s">
        <v>520</v>
      </c>
      <c r="AN30" s="243">
        <v>981820.07</v>
      </c>
      <c r="AO30">
        <v>570000</v>
      </c>
      <c r="AP30">
        <v>172.25</v>
      </c>
      <c r="AQ30" t="s">
        <v>701</v>
      </c>
      <c r="AR30" t="s">
        <v>853</v>
      </c>
      <c r="AS30">
        <v>0</v>
      </c>
      <c r="AT30">
        <v>0</v>
      </c>
      <c r="AU30" s="243">
        <v>38126251.329999998</v>
      </c>
      <c r="AV30">
        <v>32130000</v>
      </c>
      <c r="AW30">
        <v>118.66</v>
      </c>
      <c r="AX30" t="s">
        <v>730</v>
      </c>
      <c r="AY30" t="s">
        <v>767</v>
      </c>
      <c r="AZ30">
        <v>29.36</v>
      </c>
      <c r="BA30">
        <v>34.840000000000003</v>
      </c>
      <c r="BB30" s="243">
        <v>6459741.2599999998</v>
      </c>
      <c r="BC30">
        <v>0</v>
      </c>
      <c r="BD30" t="s">
        <v>520</v>
      </c>
      <c r="BE30" t="s">
        <v>668</v>
      </c>
      <c r="BF30" t="s">
        <v>669</v>
      </c>
      <c r="BG30">
        <v>14.91</v>
      </c>
      <c r="BH30" t="s">
        <v>520</v>
      </c>
    </row>
    <row r="31" spans="1:60">
      <c r="A31">
        <v>130</v>
      </c>
      <c r="B31" t="s">
        <v>147</v>
      </c>
      <c r="C31" t="s">
        <v>519</v>
      </c>
      <c r="D31" t="s">
        <v>0</v>
      </c>
      <c r="E31" s="243">
        <v>6268058.4000000004</v>
      </c>
      <c r="F31">
        <v>8950000</v>
      </c>
      <c r="G31">
        <v>70.03</v>
      </c>
      <c r="H31" t="s">
        <v>759</v>
      </c>
      <c r="I31" t="s">
        <v>826</v>
      </c>
      <c r="J31">
        <v>11.79</v>
      </c>
      <c r="K31">
        <v>8.26</v>
      </c>
      <c r="L31" s="243">
        <v>5526135</v>
      </c>
      <c r="M31">
        <v>15510000</v>
      </c>
      <c r="N31">
        <v>35.630000000000003</v>
      </c>
      <c r="O31" t="s">
        <v>690</v>
      </c>
      <c r="P31" t="s">
        <v>663</v>
      </c>
      <c r="Q31">
        <v>16.059999999999999</v>
      </c>
      <c r="R31">
        <v>5.72</v>
      </c>
      <c r="S31" s="243">
        <v>190181</v>
      </c>
      <c r="T31">
        <v>1776000</v>
      </c>
      <c r="U31">
        <v>10.71</v>
      </c>
      <c r="V31" t="s">
        <v>751</v>
      </c>
      <c r="W31" t="s">
        <v>673</v>
      </c>
      <c r="X31">
        <v>36.76</v>
      </c>
      <c r="Y31">
        <v>3.94</v>
      </c>
      <c r="Z31" s="243">
        <v>2318712</v>
      </c>
      <c r="AA31">
        <v>1454000</v>
      </c>
      <c r="AB31">
        <v>159.47</v>
      </c>
      <c r="AC31" t="s">
        <v>670</v>
      </c>
      <c r="AD31" t="s">
        <v>861</v>
      </c>
      <c r="AE31">
        <v>0</v>
      </c>
      <c r="AF31">
        <v>0</v>
      </c>
      <c r="AG31" s="243">
        <v>232515</v>
      </c>
      <c r="AH31">
        <v>0</v>
      </c>
      <c r="AI31" t="s">
        <v>520</v>
      </c>
      <c r="AJ31" t="s">
        <v>668</v>
      </c>
      <c r="AK31" t="s">
        <v>669</v>
      </c>
      <c r="AL31">
        <v>0.37</v>
      </c>
      <c r="AM31" t="s">
        <v>520</v>
      </c>
      <c r="AN31" s="243">
        <v>57869.81</v>
      </c>
      <c r="AO31">
        <v>500000</v>
      </c>
      <c r="AP31">
        <v>11.57</v>
      </c>
      <c r="AQ31" t="s">
        <v>683</v>
      </c>
      <c r="AR31" t="s">
        <v>859</v>
      </c>
      <c r="AS31">
        <v>0</v>
      </c>
      <c r="AT31">
        <v>0</v>
      </c>
      <c r="AU31" s="243">
        <v>14593471.210000001</v>
      </c>
      <c r="AV31">
        <v>28190000</v>
      </c>
      <c r="AW31">
        <v>51.77</v>
      </c>
      <c r="AX31" t="s">
        <v>751</v>
      </c>
      <c r="AY31" t="s">
        <v>877</v>
      </c>
      <c r="AZ31">
        <v>11.63</v>
      </c>
      <c r="BA31">
        <v>6.02</v>
      </c>
      <c r="BB31" s="243">
        <v>2799737.4</v>
      </c>
      <c r="BC31">
        <v>0</v>
      </c>
      <c r="BD31" t="s">
        <v>520</v>
      </c>
      <c r="BE31" t="s">
        <v>668</v>
      </c>
      <c r="BF31" t="s">
        <v>669</v>
      </c>
      <c r="BG31">
        <v>4.99</v>
      </c>
      <c r="BH31" t="s">
        <v>520</v>
      </c>
    </row>
    <row r="32" spans="1:60">
      <c r="A32">
        <v>132</v>
      </c>
      <c r="B32" t="s">
        <v>6</v>
      </c>
      <c r="C32" t="s">
        <v>527</v>
      </c>
      <c r="D32" t="s">
        <v>0</v>
      </c>
      <c r="E32" s="243">
        <v>8387097.4699999997</v>
      </c>
      <c r="F32">
        <v>4670000</v>
      </c>
      <c r="G32">
        <v>179.6</v>
      </c>
      <c r="H32" t="s">
        <v>695</v>
      </c>
      <c r="I32" t="s">
        <v>773</v>
      </c>
      <c r="J32">
        <v>47.81</v>
      </c>
      <c r="K32">
        <v>85.86</v>
      </c>
      <c r="L32" s="243">
        <v>5975418</v>
      </c>
      <c r="M32">
        <v>8110000</v>
      </c>
      <c r="N32">
        <v>73.680000000000007</v>
      </c>
      <c r="O32" t="s">
        <v>660</v>
      </c>
      <c r="P32" t="s">
        <v>833</v>
      </c>
      <c r="Q32">
        <v>80.290000000000006</v>
      </c>
      <c r="R32">
        <v>59.15</v>
      </c>
      <c r="S32" s="243">
        <v>723163</v>
      </c>
      <c r="T32">
        <v>704000</v>
      </c>
      <c r="U32">
        <v>102.72</v>
      </c>
      <c r="V32" t="s">
        <v>693</v>
      </c>
      <c r="W32" t="s">
        <v>823</v>
      </c>
      <c r="X32">
        <v>24.52</v>
      </c>
      <c r="Y32">
        <v>25.19</v>
      </c>
      <c r="Z32" s="243">
        <v>37301</v>
      </c>
      <c r="AA32">
        <v>986000</v>
      </c>
      <c r="AB32">
        <v>3.78</v>
      </c>
      <c r="AC32" t="s">
        <v>759</v>
      </c>
      <c r="AD32" t="s">
        <v>677</v>
      </c>
      <c r="AE32">
        <v>0.04</v>
      </c>
      <c r="AF32">
        <v>0</v>
      </c>
      <c r="AG32" s="243">
        <v>26644</v>
      </c>
      <c r="AH32">
        <v>0</v>
      </c>
      <c r="AI32" t="s">
        <v>520</v>
      </c>
      <c r="AJ32" t="s">
        <v>668</v>
      </c>
      <c r="AK32" t="s">
        <v>669</v>
      </c>
      <c r="AL32">
        <v>7.32</v>
      </c>
      <c r="AM32" t="s">
        <v>520</v>
      </c>
      <c r="AN32" s="243">
        <v>25020.880000000001</v>
      </c>
      <c r="AO32">
        <v>260000</v>
      </c>
      <c r="AP32">
        <v>9.6199999999999992</v>
      </c>
      <c r="AQ32" t="s">
        <v>759</v>
      </c>
      <c r="AR32" t="s">
        <v>797</v>
      </c>
      <c r="AS32">
        <v>100</v>
      </c>
      <c r="AT32">
        <v>9.6199999999999992</v>
      </c>
      <c r="AU32" s="243">
        <v>15174644.35</v>
      </c>
      <c r="AV32">
        <v>14730000</v>
      </c>
      <c r="AW32">
        <v>103.02</v>
      </c>
      <c r="AX32" t="s">
        <v>714</v>
      </c>
      <c r="AY32" t="s">
        <v>878</v>
      </c>
      <c r="AZ32">
        <v>59.38</v>
      </c>
      <c r="BA32">
        <v>61.18</v>
      </c>
      <c r="BB32" s="243">
        <v>2124376.4700000002</v>
      </c>
      <c r="BC32">
        <v>0</v>
      </c>
      <c r="BD32" t="s">
        <v>520</v>
      </c>
      <c r="BE32" t="s">
        <v>668</v>
      </c>
      <c r="BF32" t="s">
        <v>669</v>
      </c>
      <c r="BG32">
        <v>16.54</v>
      </c>
      <c r="BH32" t="s">
        <v>520</v>
      </c>
    </row>
    <row r="33" spans="1:60">
      <c r="A33">
        <v>133</v>
      </c>
      <c r="B33" t="s">
        <v>148</v>
      </c>
      <c r="C33" t="s">
        <v>522</v>
      </c>
      <c r="D33" t="s">
        <v>0</v>
      </c>
      <c r="E33" s="243">
        <v>10858192.15</v>
      </c>
      <c r="F33">
        <v>7380000</v>
      </c>
      <c r="G33">
        <v>147.13</v>
      </c>
      <c r="H33" t="s">
        <v>670</v>
      </c>
      <c r="I33" t="s">
        <v>868</v>
      </c>
      <c r="J33">
        <v>6.09</v>
      </c>
      <c r="K33">
        <v>8.9600000000000009</v>
      </c>
      <c r="L33" s="243">
        <v>7875393</v>
      </c>
      <c r="M33">
        <v>12800000</v>
      </c>
      <c r="N33">
        <v>61.53</v>
      </c>
      <c r="O33" t="s">
        <v>754</v>
      </c>
      <c r="P33" t="s">
        <v>819</v>
      </c>
      <c r="Q33">
        <v>30.8</v>
      </c>
      <c r="R33">
        <v>18.95</v>
      </c>
      <c r="S33" s="243">
        <v>690875</v>
      </c>
      <c r="T33">
        <v>1567000</v>
      </c>
      <c r="U33">
        <v>44.09</v>
      </c>
      <c r="V33" t="s">
        <v>704</v>
      </c>
      <c r="W33" t="s">
        <v>709</v>
      </c>
      <c r="X33">
        <v>1.67</v>
      </c>
      <c r="Y33">
        <v>0.74</v>
      </c>
      <c r="Z33" s="243">
        <v>7574794</v>
      </c>
      <c r="AA33">
        <v>1103000</v>
      </c>
      <c r="AB33">
        <v>686.74</v>
      </c>
      <c r="AC33" t="s">
        <v>741</v>
      </c>
      <c r="AD33" t="s">
        <v>717</v>
      </c>
      <c r="AE33">
        <v>0</v>
      </c>
      <c r="AF33">
        <v>0.01</v>
      </c>
      <c r="AG33" s="243">
        <v>73753</v>
      </c>
      <c r="AH33">
        <v>0</v>
      </c>
      <c r="AI33" t="s">
        <v>520</v>
      </c>
      <c r="AJ33" t="s">
        <v>668</v>
      </c>
      <c r="AK33" t="s">
        <v>669</v>
      </c>
      <c r="AL33">
        <v>3.08</v>
      </c>
      <c r="AM33" t="s">
        <v>520</v>
      </c>
      <c r="AN33" s="243">
        <v>74283.48</v>
      </c>
      <c r="AO33">
        <v>410000</v>
      </c>
      <c r="AP33">
        <v>18.12</v>
      </c>
      <c r="AQ33" t="s">
        <v>747</v>
      </c>
      <c r="AR33" t="s">
        <v>873</v>
      </c>
      <c r="AS33">
        <v>34.64</v>
      </c>
      <c r="AT33">
        <v>6.28</v>
      </c>
      <c r="AU33" s="243">
        <v>27147290.629999999</v>
      </c>
      <c r="AV33">
        <v>23260000</v>
      </c>
      <c r="AW33">
        <v>116.71</v>
      </c>
      <c r="AX33" t="s">
        <v>712</v>
      </c>
      <c r="AY33" t="s">
        <v>864</v>
      </c>
      <c r="AZ33">
        <v>11.52</v>
      </c>
      <c r="BA33">
        <v>13.44</v>
      </c>
      <c r="BB33" s="243">
        <v>3185593.15</v>
      </c>
      <c r="BC33">
        <v>0</v>
      </c>
      <c r="BD33" t="s">
        <v>520</v>
      </c>
      <c r="BE33" t="s">
        <v>668</v>
      </c>
      <c r="BF33" t="s">
        <v>669</v>
      </c>
      <c r="BG33">
        <v>6.66</v>
      </c>
      <c r="BH33" t="s">
        <v>520</v>
      </c>
    </row>
    <row r="34" spans="1:60">
      <c r="A34">
        <v>134</v>
      </c>
      <c r="B34" t="s">
        <v>149</v>
      </c>
      <c r="C34" t="s">
        <v>523</v>
      </c>
      <c r="D34" t="s">
        <v>7</v>
      </c>
      <c r="E34" s="243">
        <v>7289178.2199999997</v>
      </c>
      <c r="F34">
        <v>11820000</v>
      </c>
      <c r="G34">
        <v>61.67</v>
      </c>
      <c r="H34" t="s">
        <v>1470</v>
      </c>
      <c r="I34" t="s">
        <v>812</v>
      </c>
      <c r="J34">
        <v>27.02</v>
      </c>
      <c r="K34">
        <v>16.670000000000002</v>
      </c>
      <c r="L34" s="243">
        <v>26139430</v>
      </c>
      <c r="M34">
        <v>20500000</v>
      </c>
      <c r="N34">
        <v>127.51</v>
      </c>
      <c r="O34" t="s">
        <v>1494</v>
      </c>
      <c r="P34" t="s">
        <v>830</v>
      </c>
      <c r="Q34">
        <v>33.83</v>
      </c>
      <c r="R34">
        <v>43.13</v>
      </c>
      <c r="S34" s="243">
        <v>943820</v>
      </c>
      <c r="T34">
        <v>3284000</v>
      </c>
      <c r="U34">
        <v>28.74</v>
      </c>
      <c r="V34" t="s">
        <v>1472</v>
      </c>
      <c r="W34" t="s">
        <v>775</v>
      </c>
      <c r="X34">
        <v>25.93</v>
      </c>
      <c r="Y34">
        <v>7.45</v>
      </c>
      <c r="Z34" s="243">
        <v>113432</v>
      </c>
      <c r="AA34">
        <v>986000</v>
      </c>
      <c r="AB34">
        <v>11.5</v>
      </c>
      <c r="AC34" t="s">
        <v>1513</v>
      </c>
      <c r="AD34" t="s">
        <v>740</v>
      </c>
      <c r="AE34">
        <v>1.5</v>
      </c>
      <c r="AF34">
        <v>0.17</v>
      </c>
      <c r="AG34" s="243">
        <v>38190</v>
      </c>
      <c r="AH34">
        <v>0</v>
      </c>
      <c r="AI34" t="s">
        <v>520</v>
      </c>
      <c r="AJ34" t="s">
        <v>1474</v>
      </c>
      <c r="AK34" t="s">
        <v>669</v>
      </c>
      <c r="AL34">
        <v>23.19</v>
      </c>
      <c r="AM34" t="s">
        <v>520</v>
      </c>
      <c r="AN34" s="243">
        <v>96382.9</v>
      </c>
      <c r="AO34">
        <v>660000</v>
      </c>
      <c r="AP34">
        <v>14.6</v>
      </c>
      <c r="AQ34" t="s">
        <v>1475</v>
      </c>
      <c r="AR34" t="s">
        <v>846</v>
      </c>
      <c r="AS34">
        <v>9.6300000000000008</v>
      </c>
      <c r="AT34">
        <v>1.41</v>
      </c>
      <c r="AU34" s="243">
        <v>34620433.119999997</v>
      </c>
      <c r="AV34">
        <v>37250000</v>
      </c>
      <c r="AW34">
        <v>92.94</v>
      </c>
      <c r="AX34" t="s">
        <v>1476</v>
      </c>
      <c r="AY34" t="s">
        <v>691</v>
      </c>
      <c r="AZ34">
        <v>31.99</v>
      </c>
      <c r="BA34">
        <v>29.74</v>
      </c>
      <c r="BB34" s="243">
        <v>3419977.22</v>
      </c>
      <c r="BC34">
        <v>0</v>
      </c>
      <c r="BD34" t="s">
        <v>520</v>
      </c>
      <c r="BE34" t="s">
        <v>1474</v>
      </c>
      <c r="BF34" t="s">
        <v>669</v>
      </c>
      <c r="BG34">
        <v>24.33</v>
      </c>
      <c r="BH34" t="s">
        <v>520</v>
      </c>
    </row>
    <row r="35" spans="1:60">
      <c r="A35">
        <v>136</v>
      </c>
      <c r="B35" t="s">
        <v>150</v>
      </c>
      <c r="C35" t="s">
        <v>527</v>
      </c>
      <c r="D35" t="s">
        <v>0</v>
      </c>
      <c r="E35" s="243">
        <v>5874577.5</v>
      </c>
      <c r="F35">
        <v>4550000</v>
      </c>
      <c r="G35">
        <v>129.11000000000001</v>
      </c>
      <c r="H35" t="s">
        <v>698</v>
      </c>
      <c r="I35" t="s">
        <v>810</v>
      </c>
      <c r="J35">
        <v>13.84</v>
      </c>
      <c r="K35">
        <v>17.87</v>
      </c>
      <c r="L35" s="243">
        <v>11262271</v>
      </c>
      <c r="M35">
        <v>7890000</v>
      </c>
      <c r="N35">
        <v>142.74</v>
      </c>
      <c r="O35" t="s">
        <v>728</v>
      </c>
      <c r="P35" t="s">
        <v>839</v>
      </c>
      <c r="Q35">
        <v>73.64</v>
      </c>
      <c r="R35">
        <v>105.12</v>
      </c>
      <c r="S35" s="243">
        <v>286128</v>
      </c>
      <c r="T35">
        <v>143000</v>
      </c>
      <c r="U35">
        <v>200.09</v>
      </c>
      <c r="V35" t="s">
        <v>716</v>
      </c>
      <c r="W35" t="s">
        <v>773</v>
      </c>
      <c r="X35">
        <v>27.18</v>
      </c>
      <c r="Y35">
        <v>54.38</v>
      </c>
      <c r="Z35" s="243">
        <v>1058104</v>
      </c>
      <c r="AA35">
        <v>1497000</v>
      </c>
      <c r="AB35">
        <v>70.680000000000007</v>
      </c>
      <c r="AC35" t="s">
        <v>737</v>
      </c>
      <c r="AD35" t="s">
        <v>857</v>
      </c>
      <c r="AE35">
        <v>0.03</v>
      </c>
      <c r="AF35">
        <v>0.02</v>
      </c>
      <c r="AG35" s="243">
        <v>11370</v>
      </c>
      <c r="AH35">
        <v>0</v>
      </c>
      <c r="AI35" t="s">
        <v>520</v>
      </c>
      <c r="AJ35" t="s">
        <v>668</v>
      </c>
      <c r="AK35" t="s">
        <v>669</v>
      </c>
      <c r="AL35">
        <v>25.97</v>
      </c>
      <c r="AM35" t="s">
        <v>520</v>
      </c>
      <c r="AN35" s="243">
        <v>230729.72</v>
      </c>
      <c r="AO35">
        <v>250000</v>
      </c>
      <c r="AP35">
        <v>92.29</v>
      </c>
      <c r="AQ35" t="s">
        <v>698</v>
      </c>
      <c r="AR35" t="s">
        <v>703</v>
      </c>
      <c r="AS35">
        <v>72.22</v>
      </c>
      <c r="AT35">
        <v>66.650000000000006</v>
      </c>
      <c r="AU35" s="243">
        <v>18723180.219999999</v>
      </c>
      <c r="AV35">
        <v>14330000</v>
      </c>
      <c r="AW35">
        <v>130.66</v>
      </c>
      <c r="AX35" t="s">
        <v>783</v>
      </c>
      <c r="AY35" t="s">
        <v>840</v>
      </c>
      <c r="AZ35">
        <v>49.96</v>
      </c>
      <c r="BA35">
        <v>65.28</v>
      </c>
      <c r="BB35" s="243">
        <v>1694448.5</v>
      </c>
      <c r="BC35">
        <v>0</v>
      </c>
      <c r="BD35" t="s">
        <v>520</v>
      </c>
      <c r="BE35" t="s">
        <v>668</v>
      </c>
      <c r="BF35" t="s">
        <v>669</v>
      </c>
      <c r="BG35">
        <v>8.64</v>
      </c>
      <c r="BH35" t="s">
        <v>520</v>
      </c>
    </row>
    <row r="36" spans="1:60">
      <c r="A36">
        <v>137</v>
      </c>
      <c r="B36" t="s">
        <v>151</v>
      </c>
      <c r="C36" t="s">
        <v>522</v>
      </c>
      <c r="D36" t="s">
        <v>7</v>
      </c>
      <c r="E36" s="243">
        <v>8568162.0299999993</v>
      </c>
      <c r="F36">
        <v>7060000</v>
      </c>
      <c r="G36">
        <v>121.36</v>
      </c>
      <c r="H36" t="s">
        <v>1514</v>
      </c>
      <c r="I36" t="s">
        <v>858</v>
      </c>
      <c r="J36">
        <v>25.63</v>
      </c>
      <c r="K36">
        <v>31.1</v>
      </c>
      <c r="L36" s="243">
        <v>8761399</v>
      </c>
      <c r="M36">
        <v>12240000</v>
      </c>
      <c r="N36">
        <v>71.58</v>
      </c>
      <c r="O36" t="s">
        <v>1484</v>
      </c>
      <c r="P36" t="s">
        <v>789</v>
      </c>
      <c r="Q36">
        <v>30.23</v>
      </c>
      <c r="R36">
        <v>21.64</v>
      </c>
      <c r="S36" s="243">
        <v>2513484</v>
      </c>
      <c r="T36">
        <v>1292000</v>
      </c>
      <c r="U36">
        <v>194.54</v>
      </c>
      <c r="V36" t="s">
        <v>1494</v>
      </c>
      <c r="W36" t="s">
        <v>689</v>
      </c>
      <c r="X36">
        <v>39.57</v>
      </c>
      <c r="Y36">
        <v>76.98</v>
      </c>
      <c r="Z36" s="243">
        <v>1367772</v>
      </c>
      <c r="AA36">
        <v>1258000</v>
      </c>
      <c r="AB36">
        <v>108.73</v>
      </c>
      <c r="AC36" t="s">
        <v>1497</v>
      </c>
      <c r="AD36" t="s">
        <v>854</v>
      </c>
      <c r="AE36">
        <v>0</v>
      </c>
      <c r="AF36">
        <v>0</v>
      </c>
      <c r="AG36" s="243">
        <v>242597</v>
      </c>
      <c r="AH36">
        <v>0</v>
      </c>
      <c r="AI36" t="s">
        <v>520</v>
      </c>
      <c r="AJ36" t="s">
        <v>1474</v>
      </c>
      <c r="AK36" t="s">
        <v>669</v>
      </c>
      <c r="AL36">
        <v>0.53</v>
      </c>
      <c r="AM36" t="s">
        <v>520</v>
      </c>
      <c r="AN36" s="243">
        <v>616359.5</v>
      </c>
      <c r="AO36">
        <v>390000</v>
      </c>
      <c r="AP36">
        <v>158.04</v>
      </c>
      <c r="AQ36" t="s">
        <v>1495</v>
      </c>
      <c r="AR36" t="s">
        <v>835</v>
      </c>
      <c r="AS36">
        <v>6.6</v>
      </c>
      <c r="AT36">
        <v>10.43</v>
      </c>
      <c r="AU36" s="243">
        <v>22069773.530000001</v>
      </c>
      <c r="AV36">
        <v>22240000</v>
      </c>
      <c r="AW36">
        <v>99.23</v>
      </c>
      <c r="AX36" t="s">
        <v>1491</v>
      </c>
      <c r="AY36" t="s">
        <v>746</v>
      </c>
      <c r="AZ36">
        <v>26.65</v>
      </c>
      <c r="BA36">
        <v>26.44</v>
      </c>
      <c r="BB36" s="243">
        <v>2569488.0299999998</v>
      </c>
      <c r="BC36">
        <v>0</v>
      </c>
      <c r="BD36" t="s">
        <v>520</v>
      </c>
      <c r="BE36" t="s">
        <v>1474</v>
      </c>
      <c r="BF36" t="s">
        <v>669</v>
      </c>
      <c r="BG36">
        <v>16.47</v>
      </c>
      <c r="BH36" t="s">
        <v>520</v>
      </c>
    </row>
    <row r="37" spans="1:60">
      <c r="A37">
        <v>143</v>
      </c>
      <c r="B37" t="s">
        <v>80</v>
      </c>
      <c r="C37" t="s">
        <v>523</v>
      </c>
      <c r="D37" t="s">
        <v>7</v>
      </c>
      <c r="E37" s="243">
        <v>10638940.32</v>
      </c>
      <c r="F37">
        <v>6510000</v>
      </c>
      <c r="G37">
        <v>163.41999999999999</v>
      </c>
      <c r="H37" t="s">
        <v>1487</v>
      </c>
      <c r="I37" t="s">
        <v>841</v>
      </c>
      <c r="J37">
        <v>10.57</v>
      </c>
      <c r="K37">
        <v>17.28</v>
      </c>
      <c r="L37" s="243">
        <v>18307124</v>
      </c>
      <c r="M37">
        <v>11280000</v>
      </c>
      <c r="N37">
        <v>162.30000000000001</v>
      </c>
      <c r="O37" t="s">
        <v>1488</v>
      </c>
      <c r="P37" t="s">
        <v>727</v>
      </c>
      <c r="Q37">
        <v>17.88</v>
      </c>
      <c r="R37">
        <v>29.02</v>
      </c>
      <c r="S37" s="243">
        <v>6175360</v>
      </c>
      <c r="T37">
        <v>1247000</v>
      </c>
      <c r="U37">
        <v>495.22</v>
      </c>
      <c r="V37" t="s">
        <v>1474</v>
      </c>
      <c r="W37" t="s">
        <v>692</v>
      </c>
      <c r="X37">
        <v>7.39</v>
      </c>
      <c r="Y37">
        <v>36.6</v>
      </c>
      <c r="Z37" s="243">
        <v>486067</v>
      </c>
      <c r="AA37">
        <v>1103000</v>
      </c>
      <c r="AB37">
        <v>44.07</v>
      </c>
      <c r="AC37" t="s">
        <v>1477</v>
      </c>
      <c r="AD37" t="s">
        <v>800</v>
      </c>
      <c r="AE37">
        <v>0.08</v>
      </c>
      <c r="AF37">
        <v>0.04</v>
      </c>
      <c r="AG37" s="243">
        <v>60233</v>
      </c>
      <c r="AH37">
        <v>0</v>
      </c>
      <c r="AI37" t="s">
        <v>520</v>
      </c>
      <c r="AJ37" t="s">
        <v>1474</v>
      </c>
      <c r="AK37" t="s">
        <v>669</v>
      </c>
      <c r="AL37">
        <v>4.87</v>
      </c>
      <c r="AM37" t="s">
        <v>520</v>
      </c>
      <c r="AN37" s="243">
        <v>2241774.91</v>
      </c>
      <c r="AO37">
        <v>360000</v>
      </c>
      <c r="AP37">
        <v>622.72</v>
      </c>
      <c r="AQ37" t="s">
        <v>1496</v>
      </c>
      <c r="AR37" t="s">
        <v>718</v>
      </c>
      <c r="AS37">
        <v>0.14000000000000001</v>
      </c>
      <c r="AT37">
        <v>0.9</v>
      </c>
      <c r="AU37" s="243">
        <v>37909499.229999997</v>
      </c>
      <c r="AV37">
        <v>20500000</v>
      </c>
      <c r="AW37">
        <v>184.92</v>
      </c>
      <c r="AX37" t="s">
        <v>1474</v>
      </c>
      <c r="AY37" t="s">
        <v>836</v>
      </c>
      <c r="AZ37">
        <v>12.82</v>
      </c>
      <c r="BA37">
        <v>23.72</v>
      </c>
      <c r="BB37" s="243">
        <v>2648683.3199999998</v>
      </c>
      <c r="BC37">
        <v>0</v>
      </c>
      <c r="BD37" t="s">
        <v>520</v>
      </c>
      <c r="BE37" t="s">
        <v>1474</v>
      </c>
      <c r="BF37" t="s">
        <v>669</v>
      </c>
      <c r="BG37">
        <v>11.28</v>
      </c>
      <c r="BH37" t="s">
        <v>520</v>
      </c>
    </row>
    <row r="38" spans="1:60">
      <c r="A38">
        <v>145</v>
      </c>
      <c r="B38" t="s">
        <v>81</v>
      </c>
      <c r="C38" t="s">
        <v>523</v>
      </c>
      <c r="D38" t="s">
        <v>0</v>
      </c>
      <c r="E38" s="243">
        <v>7689359.0599999996</v>
      </c>
      <c r="F38">
        <v>5670000</v>
      </c>
      <c r="G38">
        <v>135.61000000000001</v>
      </c>
      <c r="H38" t="s">
        <v>737</v>
      </c>
      <c r="I38" t="s">
        <v>799</v>
      </c>
      <c r="J38">
        <v>6.33</v>
      </c>
      <c r="K38">
        <v>8.58</v>
      </c>
      <c r="L38" s="243">
        <v>3922522</v>
      </c>
      <c r="M38">
        <v>9830000</v>
      </c>
      <c r="N38">
        <v>39.9</v>
      </c>
      <c r="O38" t="s">
        <v>778</v>
      </c>
      <c r="P38" t="s">
        <v>822</v>
      </c>
      <c r="Q38">
        <v>53.15</v>
      </c>
      <c r="R38">
        <v>21.21</v>
      </c>
      <c r="S38" s="243">
        <v>635195</v>
      </c>
      <c r="T38">
        <v>845000</v>
      </c>
      <c r="U38">
        <v>75.17</v>
      </c>
      <c r="V38" t="s">
        <v>686</v>
      </c>
      <c r="W38" t="s">
        <v>781</v>
      </c>
      <c r="X38">
        <v>34.06</v>
      </c>
      <c r="Y38">
        <v>25.61</v>
      </c>
      <c r="Z38" s="243">
        <v>218944</v>
      </c>
      <c r="AA38">
        <v>1205000</v>
      </c>
      <c r="AB38">
        <v>18.170000000000002</v>
      </c>
      <c r="AC38" t="s">
        <v>690</v>
      </c>
      <c r="AD38" t="s">
        <v>860</v>
      </c>
      <c r="AE38">
        <v>10.76</v>
      </c>
      <c r="AF38">
        <v>1.96</v>
      </c>
      <c r="AG38" s="243">
        <v>31788</v>
      </c>
      <c r="AH38">
        <v>0</v>
      </c>
      <c r="AI38" t="s">
        <v>520</v>
      </c>
      <c r="AJ38" t="s">
        <v>668</v>
      </c>
      <c r="AK38" t="s">
        <v>669</v>
      </c>
      <c r="AL38">
        <v>26.05</v>
      </c>
      <c r="AM38" t="s">
        <v>520</v>
      </c>
      <c r="AN38" s="243">
        <v>153958.99</v>
      </c>
      <c r="AO38">
        <v>310000</v>
      </c>
      <c r="AP38">
        <v>49.66</v>
      </c>
      <c r="AQ38" t="s">
        <v>704</v>
      </c>
      <c r="AR38" t="s">
        <v>806</v>
      </c>
      <c r="AS38">
        <v>2.95</v>
      </c>
      <c r="AT38">
        <v>1.46</v>
      </c>
      <c r="AU38" s="243">
        <v>12651767.050000001</v>
      </c>
      <c r="AV38">
        <v>17860000</v>
      </c>
      <c r="AW38">
        <v>70.84</v>
      </c>
      <c r="AX38" t="s">
        <v>672</v>
      </c>
      <c r="AY38" t="s">
        <v>812</v>
      </c>
      <c r="AZ38">
        <v>22.32</v>
      </c>
      <c r="BA38">
        <v>15.81</v>
      </c>
      <c r="BB38" s="243">
        <v>2526319.06</v>
      </c>
      <c r="BC38">
        <v>0</v>
      </c>
      <c r="BD38" t="s">
        <v>520</v>
      </c>
      <c r="BE38" t="s">
        <v>668</v>
      </c>
      <c r="BF38" t="s">
        <v>669</v>
      </c>
      <c r="BG38">
        <v>8.66</v>
      </c>
      <c r="BH38" t="s">
        <v>520</v>
      </c>
    </row>
    <row r="39" spans="1:60">
      <c r="A39">
        <v>147</v>
      </c>
      <c r="B39" t="s">
        <v>152</v>
      </c>
      <c r="C39" t="s">
        <v>522</v>
      </c>
      <c r="D39" t="s">
        <v>0</v>
      </c>
      <c r="E39" s="243">
        <v>16603428.140000001</v>
      </c>
      <c r="F39">
        <v>11900000</v>
      </c>
      <c r="G39">
        <v>139.52000000000001</v>
      </c>
      <c r="H39" t="s">
        <v>660</v>
      </c>
      <c r="I39" t="s">
        <v>787</v>
      </c>
      <c r="J39">
        <v>12.37</v>
      </c>
      <c r="K39">
        <v>17.260000000000002</v>
      </c>
      <c r="L39" s="243">
        <v>14870839</v>
      </c>
      <c r="M39">
        <v>20640000</v>
      </c>
      <c r="N39">
        <v>72.05</v>
      </c>
      <c r="O39" t="s">
        <v>686</v>
      </c>
      <c r="P39" t="s">
        <v>843</v>
      </c>
      <c r="Q39">
        <v>66.98</v>
      </c>
      <c r="R39">
        <v>48.26</v>
      </c>
      <c r="S39" s="243">
        <v>1571547</v>
      </c>
      <c r="T39">
        <v>2813000</v>
      </c>
      <c r="U39">
        <v>55.87</v>
      </c>
      <c r="V39" t="s">
        <v>698</v>
      </c>
      <c r="W39" t="s">
        <v>862</v>
      </c>
      <c r="X39">
        <v>9.26</v>
      </c>
      <c r="Y39">
        <v>5.17</v>
      </c>
      <c r="Z39" s="243">
        <v>977401</v>
      </c>
      <c r="AA39">
        <v>1497000</v>
      </c>
      <c r="AB39">
        <v>65.290000000000006</v>
      </c>
      <c r="AC39" t="s">
        <v>681</v>
      </c>
      <c r="AD39" t="s">
        <v>864</v>
      </c>
      <c r="AE39">
        <v>2.0499999999999998</v>
      </c>
      <c r="AF39">
        <v>1.34</v>
      </c>
      <c r="AG39" s="243">
        <v>43751</v>
      </c>
      <c r="AH39">
        <v>0</v>
      </c>
      <c r="AI39" t="s">
        <v>520</v>
      </c>
      <c r="AJ39" t="s">
        <v>668</v>
      </c>
      <c r="AK39" t="s">
        <v>669</v>
      </c>
      <c r="AL39">
        <v>17.149999999999999</v>
      </c>
      <c r="AM39" t="s">
        <v>520</v>
      </c>
      <c r="AN39" s="243">
        <v>921536.39</v>
      </c>
      <c r="AO39">
        <v>660000</v>
      </c>
      <c r="AP39">
        <v>139.63</v>
      </c>
      <c r="AQ39" t="s">
        <v>802</v>
      </c>
      <c r="AR39" t="s">
        <v>671</v>
      </c>
      <c r="AS39">
        <v>48.96</v>
      </c>
      <c r="AT39">
        <v>68.36</v>
      </c>
      <c r="AU39" s="243">
        <v>34988502.530000001</v>
      </c>
      <c r="AV39">
        <v>37510000</v>
      </c>
      <c r="AW39">
        <v>93.28</v>
      </c>
      <c r="AX39" t="s">
        <v>664</v>
      </c>
      <c r="AY39" t="s">
        <v>807</v>
      </c>
      <c r="AZ39">
        <v>36.119999999999997</v>
      </c>
      <c r="BA39">
        <v>33.69</v>
      </c>
      <c r="BB39" s="243">
        <v>4316525.1399999997</v>
      </c>
      <c r="BC39">
        <v>0</v>
      </c>
      <c r="BD39" t="s">
        <v>520</v>
      </c>
      <c r="BE39" t="s">
        <v>668</v>
      </c>
      <c r="BF39" t="s">
        <v>669</v>
      </c>
      <c r="BG39">
        <v>9.9</v>
      </c>
      <c r="BH39" t="s">
        <v>520</v>
      </c>
    </row>
    <row r="40" spans="1:60">
      <c r="A40">
        <v>148</v>
      </c>
      <c r="B40" t="s">
        <v>82</v>
      </c>
      <c r="C40" t="s">
        <v>526</v>
      </c>
      <c r="D40" t="s">
        <v>0</v>
      </c>
      <c r="E40" s="243">
        <v>12644405.619999999</v>
      </c>
      <c r="F40">
        <v>7990000</v>
      </c>
      <c r="G40">
        <v>158.25</v>
      </c>
      <c r="H40" t="s">
        <v>693</v>
      </c>
      <c r="I40" t="s">
        <v>840</v>
      </c>
      <c r="J40">
        <v>9.23</v>
      </c>
      <c r="K40">
        <v>14.6</v>
      </c>
      <c r="L40" s="243">
        <v>7538265</v>
      </c>
      <c r="M40">
        <v>13850000</v>
      </c>
      <c r="N40">
        <v>54.43</v>
      </c>
      <c r="O40" t="s">
        <v>681</v>
      </c>
      <c r="P40" t="s">
        <v>859</v>
      </c>
      <c r="Q40">
        <v>21.09</v>
      </c>
      <c r="R40">
        <v>11.48</v>
      </c>
      <c r="S40" s="243">
        <v>1561302</v>
      </c>
      <c r="T40">
        <v>1971000</v>
      </c>
      <c r="U40">
        <v>79.209999999999994</v>
      </c>
      <c r="V40" t="s">
        <v>660</v>
      </c>
      <c r="W40" t="s">
        <v>804</v>
      </c>
      <c r="X40">
        <v>3.41</v>
      </c>
      <c r="Y40">
        <v>2.7</v>
      </c>
      <c r="Z40" s="243">
        <v>73644</v>
      </c>
      <c r="AA40">
        <v>909000</v>
      </c>
      <c r="AB40">
        <v>8.1</v>
      </c>
      <c r="AC40" t="s">
        <v>672</v>
      </c>
      <c r="AD40" t="s">
        <v>855</v>
      </c>
      <c r="AE40">
        <v>1.94</v>
      </c>
      <c r="AF40">
        <v>0.16</v>
      </c>
      <c r="AG40" s="243">
        <v>49041</v>
      </c>
      <c r="AH40">
        <v>0</v>
      </c>
      <c r="AI40" t="s">
        <v>520</v>
      </c>
      <c r="AJ40" t="s">
        <v>668</v>
      </c>
      <c r="AK40" t="s">
        <v>669</v>
      </c>
      <c r="AL40">
        <v>7.57</v>
      </c>
      <c r="AM40" t="s">
        <v>520</v>
      </c>
      <c r="AN40" s="243">
        <v>172806.13</v>
      </c>
      <c r="AO40">
        <v>440000</v>
      </c>
      <c r="AP40">
        <v>39.270000000000003</v>
      </c>
      <c r="AQ40" t="s">
        <v>676</v>
      </c>
      <c r="AR40" t="s">
        <v>848</v>
      </c>
      <c r="AS40">
        <v>42.92</v>
      </c>
      <c r="AT40">
        <v>16.86</v>
      </c>
      <c r="AU40" s="243">
        <v>22039463.75</v>
      </c>
      <c r="AV40">
        <v>25160000</v>
      </c>
      <c r="AW40">
        <v>87.6</v>
      </c>
      <c r="AX40" t="s">
        <v>778</v>
      </c>
      <c r="AY40" t="s">
        <v>859</v>
      </c>
      <c r="AZ40">
        <v>13.11</v>
      </c>
      <c r="BA40">
        <v>11.48</v>
      </c>
      <c r="BB40" s="243">
        <v>3219196.62</v>
      </c>
      <c r="BC40">
        <v>0</v>
      </c>
      <c r="BD40" t="s">
        <v>520</v>
      </c>
      <c r="BE40" t="s">
        <v>668</v>
      </c>
      <c r="BF40" t="s">
        <v>669</v>
      </c>
      <c r="BG40">
        <v>8.85</v>
      </c>
      <c r="BH40" t="s">
        <v>520</v>
      </c>
    </row>
    <row r="41" spans="1:60">
      <c r="A41">
        <v>149</v>
      </c>
      <c r="B41" t="s">
        <v>153</v>
      </c>
      <c r="C41" t="s">
        <v>519</v>
      </c>
      <c r="D41" t="s">
        <v>0</v>
      </c>
      <c r="E41" s="243">
        <v>12482711.43</v>
      </c>
      <c r="F41">
        <v>10380000</v>
      </c>
      <c r="G41">
        <v>120.26</v>
      </c>
      <c r="H41" t="s">
        <v>743</v>
      </c>
      <c r="I41" t="s">
        <v>891</v>
      </c>
      <c r="J41">
        <v>10.87</v>
      </c>
      <c r="K41">
        <v>13.07</v>
      </c>
      <c r="L41" s="243">
        <v>8711822</v>
      </c>
      <c r="M41">
        <v>18000000</v>
      </c>
      <c r="N41">
        <v>48.4</v>
      </c>
      <c r="O41" t="s">
        <v>743</v>
      </c>
      <c r="P41" t="s">
        <v>774</v>
      </c>
      <c r="Q41">
        <v>9.1999999999999993</v>
      </c>
      <c r="R41">
        <v>4.45</v>
      </c>
      <c r="S41" s="243">
        <v>576892</v>
      </c>
      <c r="T41">
        <v>1942000</v>
      </c>
      <c r="U41">
        <v>29.71</v>
      </c>
      <c r="V41" t="s">
        <v>747</v>
      </c>
      <c r="W41" t="s">
        <v>792</v>
      </c>
      <c r="X41">
        <v>1.75</v>
      </c>
      <c r="Y41">
        <v>0.52</v>
      </c>
      <c r="Z41" s="243">
        <v>7462893</v>
      </c>
      <c r="AA41">
        <v>1798000</v>
      </c>
      <c r="AB41">
        <v>415.07</v>
      </c>
      <c r="AC41" t="s">
        <v>695</v>
      </c>
      <c r="AD41" t="s">
        <v>773</v>
      </c>
      <c r="AE41">
        <v>0.24</v>
      </c>
      <c r="AF41">
        <v>0.99</v>
      </c>
      <c r="AG41" s="243">
        <v>128331</v>
      </c>
      <c r="AH41">
        <v>0</v>
      </c>
      <c r="AI41" t="s">
        <v>520</v>
      </c>
      <c r="AJ41" t="s">
        <v>668</v>
      </c>
      <c r="AK41" t="s">
        <v>669</v>
      </c>
      <c r="AL41">
        <v>5.49</v>
      </c>
      <c r="AM41" t="s">
        <v>520</v>
      </c>
      <c r="AN41" s="243">
        <v>1021519.48</v>
      </c>
      <c r="AO41">
        <v>580000</v>
      </c>
      <c r="AP41">
        <v>176.12</v>
      </c>
      <c r="AQ41" t="s">
        <v>764</v>
      </c>
      <c r="AR41" t="s">
        <v>731</v>
      </c>
      <c r="AS41">
        <v>51.88</v>
      </c>
      <c r="AT41">
        <v>91.37</v>
      </c>
      <c r="AU41" s="243">
        <v>30384168.91</v>
      </c>
      <c r="AV41">
        <v>32700000</v>
      </c>
      <c r="AW41">
        <v>92.92</v>
      </c>
      <c r="AX41" t="s">
        <v>791</v>
      </c>
      <c r="AY41" t="s">
        <v>885</v>
      </c>
      <c r="AZ41">
        <v>8.9600000000000009</v>
      </c>
      <c r="BA41">
        <v>8.33</v>
      </c>
      <c r="BB41" s="243">
        <v>5035776.43</v>
      </c>
      <c r="BC41">
        <v>0</v>
      </c>
      <c r="BD41" t="s">
        <v>520</v>
      </c>
      <c r="BE41" t="s">
        <v>668</v>
      </c>
      <c r="BF41" t="s">
        <v>669</v>
      </c>
      <c r="BG41">
        <v>12.88</v>
      </c>
      <c r="BH41" t="s">
        <v>520</v>
      </c>
    </row>
    <row r="42" spans="1:60">
      <c r="A42">
        <v>151</v>
      </c>
      <c r="B42" t="s">
        <v>154</v>
      </c>
      <c r="C42" t="s">
        <v>521</v>
      </c>
      <c r="D42" t="s">
        <v>7</v>
      </c>
      <c r="E42" s="243">
        <v>13302855.699999999</v>
      </c>
      <c r="F42">
        <v>13020000</v>
      </c>
      <c r="G42">
        <v>102.17</v>
      </c>
      <c r="H42" t="s">
        <v>1473</v>
      </c>
      <c r="I42" t="s">
        <v>675</v>
      </c>
      <c r="J42">
        <v>10.64</v>
      </c>
      <c r="K42">
        <v>10.87</v>
      </c>
      <c r="L42" s="243">
        <v>15115554</v>
      </c>
      <c r="M42">
        <v>22580000</v>
      </c>
      <c r="N42">
        <v>66.94</v>
      </c>
      <c r="O42" t="s">
        <v>1475</v>
      </c>
      <c r="P42" t="s">
        <v>885</v>
      </c>
      <c r="Q42">
        <v>38.049999999999997</v>
      </c>
      <c r="R42">
        <v>25.47</v>
      </c>
      <c r="S42" s="243">
        <v>2900102</v>
      </c>
      <c r="T42">
        <v>3414000</v>
      </c>
      <c r="U42">
        <v>84.95</v>
      </c>
      <c r="V42" t="s">
        <v>1492</v>
      </c>
      <c r="W42" t="s">
        <v>793</v>
      </c>
      <c r="X42">
        <v>24.15</v>
      </c>
      <c r="Y42">
        <v>20.51</v>
      </c>
      <c r="Z42" s="243">
        <v>181091</v>
      </c>
      <c r="AA42">
        <v>1296000</v>
      </c>
      <c r="AB42">
        <v>13.97</v>
      </c>
      <c r="AC42" t="s">
        <v>1511</v>
      </c>
      <c r="AD42" t="s">
        <v>833</v>
      </c>
      <c r="AE42">
        <v>8.7799999999999994</v>
      </c>
      <c r="AF42">
        <v>1.23</v>
      </c>
      <c r="AG42" s="243">
        <v>60317</v>
      </c>
      <c r="AH42">
        <v>0</v>
      </c>
      <c r="AI42" t="s">
        <v>520</v>
      </c>
      <c r="AJ42" t="s">
        <v>1474</v>
      </c>
      <c r="AK42" t="s">
        <v>669</v>
      </c>
      <c r="AL42">
        <v>12.79</v>
      </c>
      <c r="AM42" t="s">
        <v>520</v>
      </c>
      <c r="AN42" s="243">
        <v>3513444.61</v>
      </c>
      <c r="AO42">
        <v>720000</v>
      </c>
      <c r="AP42">
        <v>487.98</v>
      </c>
      <c r="AQ42" t="s">
        <v>1479</v>
      </c>
      <c r="AR42" t="s">
        <v>761</v>
      </c>
      <c r="AS42">
        <v>1.38</v>
      </c>
      <c r="AT42">
        <v>6.73</v>
      </c>
      <c r="AU42" s="243">
        <v>35073364.310000002</v>
      </c>
      <c r="AV42">
        <v>41030000</v>
      </c>
      <c r="AW42">
        <v>85.48</v>
      </c>
      <c r="AX42" t="s">
        <v>1493</v>
      </c>
      <c r="AY42" t="s">
        <v>726</v>
      </c>
      <c r="AZ42">
        <v>22.64</v>
      </c>
      <c r="BA42">
        <v>19.350000000000001</v>
      </c>
      <c r="BB42" s="243">
        <v>5573739.0999999996</v>
      </c>
      <c r="BC42">
        <v>0</v>
      </c>
      <c r="BD42" t="s">
        <v>520</v>
      </c>
      <c r="BE42" t="s">
        <v>1474</v>
      </c>
      <c r="BF42" t="s">
        <v>669</v>
      </c>
      <c r="BG42">
        <v>5.29</v>
      </c>
      <c r="BH42" t="s">
        <v>520</v>
      </c>
    </row>
    <row r="43" spans="1:60">
      <c r="A43">
        <v>152</v>
      </c>
      <c r="B43" t="s">
        <v>155</v>
      </c>
      <c r="C43" t="s">
        <v>524</v>
      </c>
      <c r="D43" t="s">
        <v>0</v>
      </c>
      <c r="E43" s="243">
        <v>19232893.32</v>
      </c>
      <c r="F43">
        <v>13840000</v>
      </c>
      <c r="G43">
        <v>138.97</v>
      </c>
      <c r="H43" t="s">
        <v>686</v>
      </c>
      <c r="I43" t="s">
        <v>671</v>
      </c>
      <c r="J43">
        <v>14.16</v>
      </c>
      <c r="K43">
        <v>19.68</v>
      </c>
      <c r="L43" s="243">
        <v>12529477</v>
      </c>
      <c r="M43">
        <v>24010000</v>
      </c>
      <c r="N43">
        <v>52.18</v>
      </c>
      <c r="O43" t="s">
        <v>664</v>
      </c>
      <c r="P43" t="s">
        <v>782</v>
      </c>
      <c r="Q43">
        <v>18.170000000000002</v>
      </c>
      <c r="R43">
        <v>9.48</v>
      </c>
      <c r="S43" s="243">
        <v>2890726</v>
      </c>
      <c r="T43">
        <v>4169000</v>
      </c>
      <c r="U43">
        <v>69.34</v>
      </c>
      <c r="V43" t="s">
        <v>737</v>
      </c>
      <c r="W43" t="s">
        <v>700</v>
      </c>
      <c r="X43">
        <v>7.19</v>
      </c>
      <c r="Y43">
        <v>4.99</v>
      </c>
      <c r="Z43" s="243">
        <v>3998713</v>
      </c>
      <c r="AA43">
        <v>831000</v>
      </c>
      <c r="AB43">
        <v>481.19</v>
      </c>
      <c r="AC43" t="s">
        <v>783</v>
      </c>
      <c r="AD43" t="s">
        <v>769</v>
      </c>
      <c r="AE43">
        <v>0.01</v>
      </c>
      <c r="AF43">
        <v>0.03</v>
      </c>
      <c r="AG43" s="243">
        <v>31201</v>
      </c>
      <c r="AH43">
        <v>0</v>
      </c>
      <c r="AI43" t="s">
        <v>520</v>
      </c>
      <c r="AJ43" t="s">
        <v>668</v>
      </c>
      <c r="AK43" t="s">
        <v>669</v>
      </c>
      <c r="AL43">
        <v>7</v>
      </c>
      <c r="AM43" t="s">
        <v>520</v>
      </c>
      <c r="AN43" s="243">
        <v>1131513.5</v>
      </c>
      <c r="AO43">
        <v>770000</v>
      </c>
      <c r="AP43">
        <v>146.94999999999999</v>
      </c>
      <c r="AQ43" t="s">
        <v>693</v>
      </c>
      <c r="AR43" t="s">
        <v>696</v>
      </c>
      <c r="AS43">
        <v>7.35</v>
      </c>
      <c r="AT43">
        <v>10.8</v>
      </c>
      <c r="AU43" s="243">
        <v>39814523.82</v>
      </c>
      <c r="AV43">
        <v>43620000</v>
      </c>
      <c r="AW43">
        <v>91.28</v>
      </c>
      <c r="AX43" t="s">
        <v>745</v>
      </c>
      <c r="AY43" t="s">
        <v>819</v>
      </c>
      <c r="AZ43">
        <v>13.3</v>
      </c>
      <c r="BA43">
        <v>12.14</v>
      </c>
      <c r="BB43" s="243">
        <v>7234541.3200000003</v>
      </c>
      <c r="BC43">
        <v>0</v>
      </c>
      <c r="BD43" t="s">
        <v>520</v>
      </c>
      <c r="BE43" t="s">
        <v>668</v>
      </c>
      <c r="BF43" t="s">
        <v>669</v>
      </c>
      <c r="BG43">
        <v>8.9700000000000006</v>
      </c>
      <c r="BH43" t="s">
        <v>520</v>
      </c>
    </row>
    <row r="44" spans="1:60">
      <c r="A44">
        <v>153</v>
      </c>
      <c r="B44" t="s">
        <v>156</v>
      </c>
      <c r="C44" t="s">
        <v>521</v>
      </c>
      <c r="D44" t="s">
        <v>0</v>
      </c>
      <c r="E44" s="243">
        <v>13887844.24</v>
      </c>
      <c r="F44">
        <v>11960000</v>
      </c>
      <c r="G44">
        <v>116.12</v>
      </c>
      <c r="H44" t="s">
        <v>757</v>
      </c>
      <c r="I44" t="s">
        <v>665</v>
      </c>
      <c r="J44">
        <v>8.66</v>
      </c>
      <c r="K44">
        <v>10.06</v>
      </c>
      <c r="L44" s="243">
        <v>26214572</v>
      </c>
      <c r="M44">
        <v>20740000</v>
      </c>
      <c r="N44">
        <v>126.4</v>
      </c>
      <c r="O44" t="s">
        <v>741</v>
      </c>
      <c r="P44" t="s">
        <v>749</v>
      </c>
      <c r="Q44">
        <v>11.55</v>
      </c>
      <c r="R44">
        <v>14.6</v>
      </c>
      <c r="S44" s="243">
        <v>1010178</v>
      </c>
      <c r="T44">
        <v>3262000</v>
      </c>
      <c r="U44">
        <v>30.97</v>
      </c>
      <c r="V44" t="s">
        <v>690</v>
      </c>
      <c r="W44" t="s">
        <v>768</v>
      </c>
      <c r="X44">
        <v>0</v>
      </c>
      <c r="Y44">
        <v>0</v>
      </c>
      <c r="Z44" s="243">
        <v>45058</v>
      </c>
      <c r="AA44">
        <v>1058000</v>
      </c>
      <c r="AB44">
        <v>4.26</v>
      </c>
      <c r="AC44" t="s">
        <v>683</v>
      </c>
      <c r="AD44" t="s">
        <v>774</v>
      </c>
      <c r="AE44">
        <v>6.52</v>
      </c>
      <c r="AF44">
        <v>0.28000000000000003</v>
      </c>
      <c r="AG44" s="243">
        <v>25050</v>
      </c>
      <c r="AH44">
        <v>0</v>
      </c>
      <c r="AI44" t="s">
        <v>520</v>
      </c>
      <c r="AJ44" t="s">
        <v>668</v>
      </c>
      <c r="AK44" t="s">
        <v>669</v>
      </c>
      <c r="AL44">
        <v>9.34</v>
      </c>
      <c r="AM44" t="s">
        <v>520</v>
      </c>
      <c r="AN44" s="243">
        <v>2028613.17</v>
      </c>
      <c r="AO44">
        <v>660000</v>
      </c>
      <c r="AP44">
        <v>307.37</v>
      </c>
      <c r="AQ44" t="s">
        <v>723</v>
      </c>
      <c r="AR44" t="s">
        <v>841</v>
      </c>
      <c r="AS44">
        <v>44.99</v>
      </c>
      <c r="AT44">
        <v>138.30000000000001</v>
      </c>
      <c r="AU44" s="243">
        <v>43211315.409999996</v>
      </c>
      <c r="AV44">
        <v>37680000</v>
      </c>
      <c r="AW44">
        <v>114.68</v>
      </c>
      <c r="AX44" t="s">
        <v>701</v>
      </c>
      <c r="AY44" t="s">
        <v>827</v>
      </c>
      <c r="AZ44">
        <v>11.91</v>
      </c>
      <c r="BA44">
        <v>13.66</v>
      </c>
      <c r="BB44" s="243">
        <v>5390867.2400000002</v>
      </c>
      <c r="BC44">
        <v>0</v>
      </c>
      <c r="BD44" t="s">
        <v>520</v>
      </c>
      <c r="BE44" t="s">
        <v>668</v>
      </c>
      <c r="BF44" t="s">
        <v>669</v>
      </c>
      <c r="BG44">
        <v>6.93</v>
      </c>
      <c r="BH44" t="s">
        <v>520</v>
      </c>
    </row>
    <row r="45" spans="1:60">
      <c r="A45">
        <v>154</v>
      </c>
      <c r="B45" t="s">
        <v>8</v>
      </c>
      <c r="C45" t="s">
        <v>527</v>
      </c>
      <c r="D45" t="s">
        <v>0</v>
      </c>
      <c r="E45" s="243">
        <v>10660238.800000001</v>
      </c>
      <c r="F45">
        <v>5350000</v>
      </c>
      <c r="G45">
        <v>199.26</v>
      </c>
      <c r="H45" t="s">
        <v>783</v>
      </c>
      <c r="I45" t="s">
        <v>717</v>
      </c>
      <c r="J45">
        <v>24.99</v>
      </c>
      <c r="K45">
        <v>49.79</v>
      </c>
      <c r="L45" s="243">
        <v>6193475</v>
      </c>
      <c r="M45">
        <v>9270000</v>
      </c>
      <c r="N45">
        <v>66.81</v>
      </c>
      <c r="O45" t="s">
        <v>737</v>
      </c>
      <c r="P45" t="s">
        <v>873</v>
      </c>
      <c r="Q45">
        <v>3.88</v>
      </c>
      <c r="R45">
        <v>2.59</v>
      </c>
      <c r="S45" s="243">
        <v>4881354</v>
      </c>
      <c r="T45">
        <v>1730000</v>
      </c>
      <c r="U45">
        <v>282.16000000000003</v>
      </c>
      <c r="V45" t="s">
        <v>728</v>
      </c>
      <c r="W45" t="s">
        <v>717</v>
      </c>
      <c r="X45">
        <v>9.9499999999999993</v>
      </c>
      <c r="Y45">
        <v>28.08</v>
      </c>
      <c r="Z45" s="243">
        <v>235492</v>
      </c>
      <c r="AA45">
        <v>200000</v>
      </c>
      <c r="AB45">
        <v>117.75</v>
      </c>
      <c r="AC45" t="s">
        <v>686</v>
      </c>
      <c r="AD45" t="s">
        <v>731</v>
      </c>
      <c r="AE45">
        <v>0.88</v>
      </c>
      <c r="AF45">
        <v>1.04</v>
      </c>
      <c r="AG45" s="243">
        <v>37596</v>
      </c>
      <c r="AH45">
        <v>0</v>
      </c>
      <c r="AI45" t="s">
        <v>520</v>
      </c>
      <c r="AJ45" t="s">
        <v>668</v>
      </c>
      <c r="AK45" t="s">
        <v>669</v>
      </c>
      <c r="AL45">
        <v>2.85</v>
      </c>
      <c r="AM45" t="s">
        <v>520</v>
      </c>
      <c r="AN45" s="243">
        <v>316156.03999999998</v>
      </c>
      <c r="AO45">
        <v>300000</v>
      </c>
      <c r="AP45">
        <v>105.39</v>
      </c>
      <c r="AQ45" t="s">
        <v>714</v>
      </c>
      <c r="AR45" t="s">
        <v>715</v>
      </c>
      <c r="AS45">
        <v>13.74</v>
      </c>
      <c r="AT45">
        <v>14.48</v>
      </c>
      <c r="AU45" s="243">
        <v>22324311.84</v>
      </c>
      <c r="AV45">
        <v>16850000</v>
      </c>
      <c r="AW45">
        <v>132.49</v>
      </c>
      <c r="AX45" t="s">
        <v>734</v>
      </c>
      <c r="AY45" t="s">
        <v>852</v>
      </c>
      <c r="AZ45">
        <v>15.39</v>
      </c>
      <c r="BA45">
        <v>20.39</v>
      </c>
      <c r="BB45" s="243">
        <v>2605464.7999999998</v>
      </c>
      <c r="BC45">
        <v>0</v>
      </c>
      <c r="BD45" t="s">
        <v>520</v>
      </c>
      <c r="BE45" t="s">
        <v>668</v>
      </c>
      <c r="BF45" t="s">
        <v>669</v>
      </c>
      <c r="BG45">
        <v>8.36</v>
      </c>
      <c r="BH45" t="s">
        <v>520</v>
      </c>
    </row>
    <row r="46" spans="1:60">
      <c r="A46">
        <v>156</v>
      </c>
      <c r="B46" t="s">
        <v>157</v>
      </c>
      <c r="C46" t="s">
        <v>521</v>
      </c>
      <c r="D46" t="s">
        <v>0</v>
      </c>
      <c r="E46" s="243">
        <v>10161328.380000001</v>
      </c>
      <c r="F46">
        <v>8360000</v>
      </c>
      <c r="G46">
        <v>121.55</v>
      </c>
      <c r="H46" t="s">
        <v>817</v>
      </c>
      <c r="I46" t="s">
        <v>821</v>
      </c>
      <c r="J46">
        <v>4.04</v>
      </c>
      <c r="K46">
        <v>4.9000000000000004</v>
      </c>
      <c r="L46" s="243">
        <v>7327731</v>
      </c>
      <c r="M46">
        <v>14500000</v>
      </c>
      <c r="N46">
        <v>50.54</v>
      </c>
      <c r="O46" t="s">
        <v>791</v>
      </c>
      <c r="P46" t="s">
        <v>792</v>
      </c>
      <c r="Q46">
        <v>8.08</v>
      </c>
      <c r="R46">
        <v>4.08</v>
      </c>
      <c r="S46" s="243">
        <v>4320320</v>
      </c>
      <c r="T46">
        <v>1330000</v>
      </c>
      <c r="U46">
        <v>324.83999999999997</v>
      </c>
      <c r="V46" t="s">
        <v>668</v>
      </c>
      <c r="W46" t="s">
        <v>883</v>
      </c>
      <c r="X46">
        <v>3.31</v>
      </c>
      <c r="Y46">
        <v>10.75</v>
      </c>
      <c r="Z46" s="243">
        <v>2160104</v>
      </c>
      <c r="AA46">
        <v>1700000</v>
      </c>
      <c r="AB46">
        <v>127.06</v>
      </c>
      <c r="AC46" t="s">
        <v>660</v>
      </c>
      <c r="AD46" t="s">
        <v>736</v>
      </c>
      <c r="AE46">
        <v>0</v>
      </c>
      <c r="AF46">
        <v>0</v>
      </c>
      <c r="AG46" s="243">
        <v>30562</v>
      </c>
      <c r="AH46">
        <v>0</v>
      </c>
      <c r="AI46" t="s">
        <v>520</v>
      </c>
      <c r="AJ46" t="s">
        <v>668</v>
      </c>
      <c r="AK46" t="s">
        <v>669</v>
      </c>
      <c r="AL46">
        <v>1.62</v>
      </c>
      <c r="AM46" t="s">
        <v>520</v>
      </c>
      <c r="AN46" s="243">
        <v>114393.25</v>
      </c>
      <c r="AO46">
        <v>460000</v>
      </c>
      <c r="AP46">
        <v>24.87</v>
      </c>
      <c r="AQ46" t="s">
        <v>708</v>
      </c>
      <c r="AR46" t="s">
        <v>850</v>
      </c>
      <c r="AS46">
        <v>0</v>
      </c>
      <c r="AT46">
        <v>0</v>
      </c>
      <c r="AU46" s="243">
        <v>24114438.629999999</v>
      </c>
      <c r="AV46">
        <v>26350000</v>
      </c>
      <c r="AW46">
        <v>91.52</v>
      </c>
      <c r="AX46" t="s">
        <v>757</v>
      </c>
      <c r="AY46" t="s">
        <v>748</v>
      </c>
      <c r="AZ46">
        <v>4.75</v>
      </c>
      <c r="BA46">
        <v>4.3499999999999996</v>
      </c>
      <c r="BB46" s="243">
        <v>3027955.38</v>
      </c>
      <c r="BC46">
        <v>0</v>
      </c>
      <c r="BD46" t="s">
        <v>520</v>
      </c>
      <c r="BE46" t="s">
        <v>668</v>
      </c>
      <c r="BF46" t="s">
        <v>669</v>
      </c>
      <c r="BG46">
        <v>3.97</v>
      </c>
      <c r="BH46" t="s">
        <v>520</v>
      </c>
    </row>
    <row r="47" spans="1:60">
      <c r="A47">
        <v>157</v>
      </c>
      <c r="B47" t="s">
        <v>158</v>
      </c>
      <c r="C47" t="s">
        <v>525</v>
      </c>
      <c r="D47" t="s">
        <v>0</v>
      </c>
      <c r="E47" s="243">
        <v>12324031.75</v>
      </c>
      <c r="F47">
        <v>7870000</v>
      </c>
      <c r="G47">
        <v>156.6</v>
      </c>
      <c r="H47" t="s">
        <v>722</v>
      </c>
      <c r="I47" t="s">
        <v>803</v>
      </c>
      <c r="J47">
        <v>15.5</v>
      </c>
      <c r="K47">
        <v>24.27</v>
      </c>
      <c r="L47" s="243">
        <v>4416306</v>
      </c>
      <c r="M47">
        <v>13650000</v>
      </c>
      <c r="N47">
        <v>32.35</v>
      </c>
      <c r="O47" t="s">
        <v>672</v>
      </c>
      <c r="P47" t="s">
        <v>684</v>
      </c>
      <c r="Q47">
        <v>37.340000000000003</v>
      </c>
      <c r="R47">
        <v>12.08</v>
      </c>
      <c r="S47" s="243">
        <v>742451</v>
      </c>
      <c r="T47">
        <v>1941000</v>
      </c>
      <c r="U47">
        <v>38.25</v>
      </c>
      <c r="V47" t="s">
        <v>708</v>
      </c>
      <c r="W47" t="s">
        <v>756</v>
      </c>
      <c r="X47">
        <v>27.61</v>
      </c>
      <c r="Y47">
        <v>10.56</v>
      </c>
      <c r="Z47" s="243">
        <v>362131</v>
      </c>
      <c r="AA47">
        <v>909000</v>
      </c>
      <c r="AB47">
        <v>39.840000000000003</v>
      </c>
      <c r="AC47" t="s">
        <v>664</v>
      </c>
      <c r="AD47" t="s">
        <v>682</v>
      </c>
      <c r="AE47">
        <v>2.74</v>
      </c>
      <c r="AF47">
        <v>1.0900000000000001</v>
      </c>
      <c r="AG47" s="243">
        <v>197012</v>
      </c>
      <c r="AH47">
        <v>0</v>
      </c>
      <c r="AI47" t="s">
        <v>520</v>
      </c>
      <c r="AJ47" t="s">
        <v>668</v>
      </c>
      <c r="AK47" t="s">
        <v>669</v>
      </c>
      <c r="AL47">
        <v>4.75</v>
      </c>
      <c r="AM47" t="s">
        <v>520</v>
      </c>
      <c r="AN47" s="243">
        <v>623071.84</v>
      </c>
      <c r="AO47">
        <v>440000</v>
      </c>
      <c r="AP47">
        <v>141.61000000000001</v>
      </c>
      <c r="AQ47" t="s">
        <v>666</v>
      </c>
      <c r="AR47" t="s">
        <v>823</v>
      </c>
      <c r="AS47">
        <v>0</v>
      </c>
      <c r="AT47">
        <v>0</v>
      </c>
      <c r="AU47" s="243">
        <v>18665003.59</v>
      </c>
      <c r="AV47">
        <v>24810000</v>
      </c>
      <c r="AW47">
        <v>75.23</v>
      </c>
      <c r="AX47" t="s">
        <v>690</v>
      </c>
      <c r="AY47" t="s">
        <v>826</v>
      </c>
      <c r="AZ47">
        <v>20.27</v>
      </c>
      <c r="BA47">
        <v>15.25</v>
      </c>
      <c r="BB47" s="243">
        <v>4248999.75</v>
      </c>
      <c r="BC47">
        <v>0</v>
      </c>
      <c r="BD47" t="s">
        <v>520</v>
      </c>
      <c r="BE47" t="s">
        <v>668</v>
      </c>
      <c r="BF47" t="s">
        <v>669</v>
      </c>
      <c r="BG47">
        <v>13.32</v>
      </c>
      <c r="BH47" t="s">
        <v>520</v>
      </c>
    </row>
    <row r="48" spans="1:60">
      <c r="A48">
        <v>158</v>
      </c>
      <c r="B48" t="s">
        <v>159</v>
      </c>
      <c r="C48" t="s">
        <v>522</v>
      </c>
      <c r="D48" t="s">
        <v>7</v>
      </c>
      <c r="E48" s="243">
        <v>8772915.5999999996</v>
      </c>
      <c r="F48">
        <v>11390000</v>
      </c>
      <c r="G48">
        <v>77.02</v>
      </c>
      <c r="H48" t="s">
        <v>1486</v>
      </c>
      <c r="I48" t="s">
        <v>705</v>
      </c>
      <c r="J48">
        <v>16.37</v>
      </c>
      <c r="K48">
        <v>12.61</v>
      </c>
      <c r="L48" s="243">
        <v>27443456</v>
      </c>
      <c r="M48">
        <v>19750000</v>
      </c>
      <c r="N48">
        <v>138.94999999999999</v>
      </c>
      <c r="O48" t="s">
        <v>1485</v>
      </c>
      <c r="P48" t="s">
        <v>840</v>
      </c>
      <c r="Q48">
        <v>17.82</v>
      </c>
      <c r="R48">
        <v>24.76</v>
      </c>
      <c r="S48" s="243">
        <v>9252504</v>
      </c>
      <c r="T48">
        <v>2207000</v>
      </c>
      <c r="U48">
        <v>419.23</v>
      </c>
      <c r="V48" t="s">
        <v>1488</v>
      </c>
      <c r="W48" t="s">
        <v>729</v>
      </c>
      <c r="X48">
        <v>35.700000000000003</v>
      </c>
      <c r="Y48">
        <v>149.66999999999999</v>
      </c>
      <c r="Z48" s="243">
        <v>1795063</v>
      </c>
      <c r="AA48">
        <v>1913000</v>
      </c>
      <c r="AB48">
        <v>93.83</v>
      </c>
      <c r="AC48" t="s">
        <v>1498</v>
      </c>
      <c r="AD48" t="s">
        <v>696</v>
      </c>
      <c r="AE48">
        <v>0.81</v>
      </c>
      <c r="AF48">
        <v>0.76</v>
      </c>
      <c r="AG48" s="243">
        <v>46437</v>
      </c>
      <c r="AH48">
        <v>0</v>
      </c>
      <c r="AI48" t="s">
        <v>520</v>
      </c>
      <c r="AJ48" t="s">
        <v>1474</v>
      </c>
      <c r="AK48" t="s">
        <v>669</v>
      </c>
      <c r="AL48">
        <v>4.78</v>
      </c>
      <c r="AM48" t="s">
        <v>520</v>
      </c>
      <c r="AN48" s="243">
        <v>7179690.1200000001</v>
      </c>
      <c r="AO48">
        <v>630000</v>
      </c>
      <c r="AP48">
        <v>1139.6300000000001</v>
      </c>
      <c r="AQ48" t="s">
        <v>1488</v>
      </c>
      <c r="AR48" t="s">
        <v>729</v>
      </c>
      <c r="AS48">
        <v>81.89</v>
      </c>
      <c r="AT48">
        <v>933.25</v>
      </c>
      <c r="AU48" s="243">
        <v>54490065.719999999</v>
      </c>
      <c r="AV48">
        <v>35890000</v>
      </c>
      <c r="AW48">
        <v>151.83000000000001</v>
      </c>
      <c r="AX48" t="s">
        <v>1479</v>
      </c>
      <c r="AY48" t="s">
        <v>773</v>
      </c>
      <c r="AZ48">
        <v>28.49</v>
      </c>
      <c r="BA48">
        <v>43.26</v>
      </c>
      <c r="BB48" s="243">
        <v>3196698.28</v>
      </c>
      <c r="BC48">
        <v>0</v>
      </c>
      <c r="BD48" t="s">
        <v>520</v>
      </c>
      <c r="BE48" t="s">
        <v>1474</v>
      </c>
      <c r="BF48" t="s">
        <v>669</v>
      </c>
      <c r="BG48">
        <v>8.61</v>
      </c>
      <c r="BH48" t="s">
        <v>520</v>
      </c>
    </row>
    <row r="49" spans="1:60">
      <c r="A49">
        <v>159</v>
      </c>
      <c r="B49" t="s">
        <v>83</v>
      </c>
      <c r="C49" t="s">
        <v>522</v>
      </c>
      <c r="D49" t="s">
        <v>7</v>
      </c>
      <c r="E49" s="243">
        <v>21442376.170000002</v>
      </c>
      <c r="F49">
        <v>16600000</v>
      </c>
      <c r="G49">
        <v>129.16999999999999</v>
      </c>
      <c r="H49" t="s">
        <v>1495</v>
      </c>
      <c r="I49" t="s">
        <v>879</v>
      </c>
      <c r="J49">
        <v>9.36</v>
      </c>
      <c r="K49">
        <v>12.09</v>
      </c>
      <c r="L49" s="243">
        <v>31552799</v>
      </c>
      <c r="M49">
        <v>28790000</v>
      </c>
      <c r="N49">
        <v>109.6</v>
      </c>
      <c r="O49" t="s">
        <v>1500</v>
      </c>
      <c r="P49" t="s">
        <v>827</v>
      </c>
      <c r="Q49">
        <v>34.42</v>
      </c>
      <c r="R49">
        <v>37.72</v>
      </c>
      <c r="S49" s="243">
        <v>8128491.75</v>
      </c>
      <c r="T49">
        <v>4097000</v>
      </c>
      <c r="U49">
        <v>198.4</v>
      </c>
      <c r="V49" t="s">
        <v>1471</v>
      </c>
      <c r="W49" t="s">
        <v>735</v>
      </c>
      <c r="X49">
        <v>22.39</v>
      </c>
      <c r="Y49">
        <v>44.42</v>
      </c>
      <c r="Z49" s="243">
        <v>24428587</v>
      </c>
      <c r="AA49">
        <v>1913000</v>
      </c>
      <c r="AB49">
        <v>1276.98</v>
      </c>
      <c r="AC49" t="s">
        <v>1488</v>
      </c>
      <c r="AD49" t="s">
        <v>692</v>
      </c>
      <c r="AE49">
        <v>0.61</v>
      </c>
      <c r="AF49">
        <v>7.81</v>
      </c>
      <c r="AG49" s="243">
        <v>85492</v>
      </c>
      <c r="AH49">
        <v>0</v>
      </c>
      <c r="AI49" t="s">
        <v>520</v>
      </c>
      <c r="AJ49" t="s">
        <v>1474</v>
      </c>
      <c r="AK49" t="s">
        <v>669</v>
      </c>
      <c r="AL49">
        <v>1.83</v>
      </c>
      <c r="AM49" t="s">
        <v>520</v>
      </c>
      <c r="AN49" s="243">
        <v>1506622.47</v>
      </c>
      <c r="AO49">
        <v>920000</v>
      </c>
      <c r="AP49">
        <v>163.76</v>
      </c>
      <c r="AQ49" t="s">
        <v>1500</v>
      </c>
      <c r="AR49" t="s">
        <v>685</v>
      </c>
      <c r="AS49">
        <v>0</v>
      </c>
      <c r="AT49">
        <v>0</v>
      </c>
      <c r="AU49" s="243">
        <v>87144368.390000001</v>
      </c>
      <c r="AV49">
        <v>52320000</v>
      </c>
      <c r="AW49">
        <v>166.56</v>
      </c>
      <c r="AX49" t="s">
        <v>1487</v>
      </c>
      <c r="AY49" t="s">
        <v>727</v>
      </c>
      <c r="AZ49">
        <v>17.03</v>
      </c>
      <c r="BA49">
        <v>28.36</v>
      </c>
      <c r="BB49" s="243">
        <v>5229101.91</v>
      </c>
      <c r="BC49">
        <v>0</v>
      </c>
      <c r="BD49" t="s">
        <v>520</v>
      </c>
      <c r="BE49" t="s">
        <v>1474</v>
      </c>
      <c r="BF49" t="s">
        <v>669</v>
      </c>
      <c r="BG49">
        <v>6.16</v>
      </c>
      <c r="BH49" t="s">
        <v>520</v>
      </c>
    </row>
    <row r="50" spans="1:60">
      <c r="A50">
        <v>160</v>
      </c>
      <c r="B50" t="s">
        <v>9</v>
      </c>
      <c r="C50" t="s">
        <v>521</v>
      </c>
      <c r="D50" t="s">
        <v>7</v>
      </c>
      <c r="E50" s="243">
        <v>9142951.5800000001</v>
      </c>
      <c r="F50">
        <v>11200000</v>
      </c>
      <c r="G50">
        <v>81.63</v>
      </c>
      <c r="H50" t="s">
        <v>1475</v>
      </c>
      <c r="I50" t="s">
        <v>782</v>
      </c>
      <c r="J50">
        <v>19.329999999999998</v>
      </c>
      <c r="K50">
        <v>15.78</v>
      </c>
      <c r="L50" s="243">
        <v>20582421</v>
      </c>
      <c r="M50">
        <v>19420000</v>
      </c>
      <c r="N50">
        <v>105.99</v>
      </c>
      <c r="O50" t="s">
        <v>1489</v>
      </c>
      <c r="P50" t="s">
        <v>738</v>
      </c>
      <c r="Q50">
        <v>43.46</v>
      </c>
      <c r="R50">
        <v>46.06</v>
      </c>
      <c r="S50" s="243">
        <v>7871686</v>
      </c>
      <c r="T50">
        <v>2433000</v>
      </c>
      <c r="U50">
        <v>323.54000000000002</v>
      </c>
      <c r="V50" t="s">
        <v>1496</v>
      </c>
      <c r="W50" t="s">
        <v>750</v>
      </c>
      <c r="X50">
        <v>30.08</v>
      </c>
      <c r="Y50">
        <v>97.33</v>
      </c>
      <c r="Z50" s="243">
        <v>183672</v>
      </c>
      <c r="AA50">
        <v>1617000</v>
      </c>
      <c r="AB50">
        <v>11.36</v>
      </c>
      <c r="AC50" t="s">
        <v>1478</v>
      </c>
      <c r="AD50" t="s">
        <v>786</v>
      </c>
      <c r="AE50">
        <v>2.25</v>
      </c>
      <c r="AF50">
        <v>0.26</v>
      </c>
      <c r="AG50" s="243">
        <v>597705</v>
      </c>
      <c r="AH50">
        <v>0</v>
      </c>
      <c r="AI50" t="s">
        <v>520</v>
      </c>
      <c r="AJ50" t="s">
        <v>1474</v>
      </c>
      <c r="AK50" t="s">
        <v>669</v>
      </c>
      <c r="AL50">
        <v>0.55000000000000004</v>
      </c>
      <c r="AM50" t="s">
        <v>520</v>
      </c>
      <c r="AN50" s="243">
        <v>2073812.08</v>
      </c>
      <c r="AO50">
        <v>620000</v>
      </c>
      <c r="AP50">
        <v>334.49</v>
      </c>
      <c r="AQ50" t="s">
        <v>1497</v>
      </c>
      <c r="AR50" t="s">
        <v>890</v>
      </c>
      <c r="AS50">
        <v>59.14</v>
      </c>
      <c r="AT50">
        <v>197.8</v>
      </c>
      <c r="AU50" s="243">
        <v>40452247.659999996</v>
      </c>
      <c r="AV50">
        <v>35290000</v>
      </c>
      <c r="AW50">
        <v>114.63</v>
      </c>
      <c r="AX50" t="s">
        <v>1510</v>
      </c>
      <c r="AY50" t="s">
        <v>884</v>
      </c>
      <c r="AZ50">
        <v>35.39</v>
      </c>
      <c r="BA50">
        <v>40.56</v>
      </c>
      <c r="BB50" s="243">
        <v>2854435.58</v>
      </c>
      <c r="BC50">
        <v>0</v>
      </c>
      <c r="BD50" t="s">
        <v>520</v>
      </c>
      <c r="BE50" t="s">
        <v>1474</v>
      </c>
      <c r="BF50" t="s">
        <v>669</v>
      </c>
      <c r="BG50">
        <v>9.9499999999999993</v>
      </c>
      <c r="BH50" t="s">
        <v>520</v>
      </c>
    </row>
    <row r="51" spans="1:60">
      <c r="A51">
        <v>161</v>
      </c>
      <c r="B51" t="s">
        <v>160</v>
      </c>
      <c r="C51" t="s">
        <v>527</v>
      </c>
      <c r="D51" t="s">
        <v>7</v>
      </c>
      <c r="E51" s="243">
        <v>12074896.85</v>
      </c>
      <c r="F51">
        <v>8570000</v>
      </c>
      <c r="G51">
        <v>140.9</v>
      </c>
      <c r="H51" t="s">
        <v>1494</v>
      </c>
      <c r="I51" t="s">
        <v>831</v>
      </c>
      <c r="J51">
        <v>18.63</v>
      </c>
      <c r="K51">
        <v>26.25</v>
      </c>
      <c r="L51" s="243">
        <v>14593778</v>
      </c>
      <c r="M51">
        <v>14860000</v>
      </c>
      <c r="N51">
        <v>98.21</v>
      </c>
      <c r="O51" t="s">
        <v>1499</v>
      </c>
      <c r="P51" t="s">
        <v>816</v>
      </c>
      <c r="Q51">
        <v>83.46</v>
      </c>
      <c r="R51">
        <v>81.96</v>
      </c>
      <c r="S51" s="243">
        <v>2192865</v>
      </c>
      <c r="T51">
        <v>2181000</v>
      </c>
      <c r="U51">
        <v>100.54</v>
      </c>
      <c r="V51" t="s">
        <v>1482</v>
      </c>
      <c r="W51" t="s">
        <v>881</v>
      </c>
      <c r="X51">
        <v>57.37</v>
      </c>
      <c r="Y51">
        <v>57.68</v>
      </c>
      <c r="Z51" s="243">
        <v>163499</v>
      </c>
      <c r="AA51">
        <v>909000</v>
      </c>
      <c r="AB51">
        <v>17.989999999999998</v>
      </c>
      <c r="AC51" t="s">
        <v>1482</v>
      </c>
      <c r="AD51" t="s">
        <v>746</v>
      </c>
      <c r="AE51">
        <v>3.89</v>
      </c>
      <c r="AF51">
        <v>0.7</v>
      </c>
      <c r="AG51" s="243">
        <v>115741</v>
      </c>
      <c r="AH51">
        <v>0</v>
      </c>
      <c r="AI51" t="s">
        <v>520</v>
      </c>
      <c r="AJ51" t="s">
        <v>1474</v>
      </c>
      <c r="AK51" t="s">
        <v>669</v>
      </c>
      <c r="AL51">
        <v>1.1200000000000001</v>
      </c>
      <c r="AM51" t="s">
        <v>520</v>
      </c>
      <c r="AN51" s="243">
        <v>330309.61</v>
      </c>
      <c r="AO51">
        <v>480000</v>
      </c>
      <c r="AP51">
        <v>68.81</v>
      </c>
      <c r="AQ51" t="s">
        <v>1492</v>
      </c>
      <c r="AR51" t="s">
        <v>821</v>
      </c>
      <c r="AS51">
        <v>100</v>
      </c>
      <c r="AT51">
        <v>68.81</v>
      </c>
      <c r="AU51" s="243">
        <v>29471089.460000001</v>
      </c>
      <c r="AV51">
        <v>27000000</v>
      </c>
      <c r="AW51">
        <v>109.15</v>
      </c>
      <c r="AX51" t="s">
        <v>1495</v>
      </c>
      <c r="AY51" t="s">
        <v>816</v>
      </c>
      <c r="AZ51">
        <v>54.38</v>
      </c>
      <c r="BA51">
        <v>59.35</v>
      </c>
      <c r="BB51" s="243">
        <v>3412305.85</v>
      </c>
      <c r="BC51">
        <v>0</v>
      </c>
      <c r="BD51" t="s">
        <v>520</v>
      </c>
      <c r="BE51" t="s">
        <v>1474</v>
      </c>
      <c r="BF51" t="s">
        <v>669</v>
      </c>
      <c r="BG51">
        <v>10.16</v>
      </c>
      <c r="BH51" t="s">
        <v>520</v>
      </c>
    </row>
    <row r="52" spans="1:60">
      <c r="A52">
        <v>162</v>
      </c>
      <c r="B52" t="s">
        <v>10</v>
      </c>
      <c r="C52" t="s">
        <v>519</v>
      </c>
      <c r="D52" t="s">
        <v>7</v>
      </c>
      <c r="E52" s="243">
        <v>24513110.300000001</v>
      </c>
      <c r="F52">
        <v>18160000</v>
      </c>
      <c r="G52">
        <v>134.97999999999999</v>
      </c>
      <c r="H52" t="s">
        <v>1510</v>
      </c>
      <c r="I52" t="s">
        <v>661</v>
      </c>
      <c r="J52">
        <v>5.81</v>
      </c>
      <c r="K52">
        <v>7.84</v>
      </c>
      <c r="L52" s="243">
        <v>65763472</v>
      </c>
      <c r="M52">
        <v>31490000</v>
      </c>
      <c r="N52">
        <v>208.84</v>
      </c>
      <c r="O52" t="s">
        <v>1474</v>
      </c>
      <c r="P52" t="s">
        <v>729</v>
      </c>
      <c r="Q52">
        <v>3.63</v>
      </c>
      <c r="R52">
        <v>7.58</v>
      </c>
      <c r="S52" s="243">
        <v>10552313</v>
      </c>
      <c r="T52">
        <v>4943000</v>
      </c>
      <c r="U52">
        <v>213.48</v>
      </c>
      <c r="V52" t="s">
        <v>1497</v>
      </c>
      <c r="W52" t="s">
        <v>863</v>
      </c>
      <c r="X52">
        <v>1.59</v>
      </c>
      <c r="Y52">
        <v>3.38</v>
      </c>
      <c r="Z52" s="243">
        <v>4476945</v>
      </c>
      <c r="AA52">
        <v>1617000</v>
      </c>
      <c r="AB52">
        <v>276.87</v>
      </c>
      <c r="AC52" t="s">
        <v>1487</v>
      </c>
      <c r="AD52" t="s">
        <v>841</v>
      </c>
      <c r="AE52">
        <v>0.85</v>
      </c>
      <c r="AF52">
        <v>2.37</v>
      </c>
      <c r="AG52" s="243">
        <v>56326</v>
      </c>
      <c r="AH52">
        <v>0</v>
      </c>
      <c r="AI52" t="s">
        <v>520</v>
      </c>
      <c r="AJ52" t="s">
        <v>1474</v>
      </c>
      <c r="AK52" t="s">
        <v>669</v>
      </c>
      <c r="AL52">
        <v>5.37</v>
      </c>
      <c r="AM52" t="s">
        <v>520</v>
      </c>
      <c r="AN52" s="243">
        <v>222283.88</v>
      </c>
      <c r="AO52">
        <v>1010000</v>
      </c>
      <c r="AP52">
        <v>22.01</v>
      </c>
      <c r="AQ52" t="s">
        <v>1490</v>
      </c>
      <c r="AR52" t="s">
        <v>807</v>
      </c>
      <c r="AS52">
        <v>43.72</v>
      </c>
      <c r="AT52">
        <v>9.6199999999999992</v>
      </c>
      <c r="AU52" s="243">
        <v>105584450.18000001</v>
      </c>
      <c r="AV52">
        <v>57220000</v>
      </c>
      <c r="AW52">
        <v>184.52</v>
      </c>
      <c r="AX52" t="s">
        <v>1488</v>
      </c>
      <c r="AY52" t="s">
        <v>729</v>
      </c>
      <c r="AZ52">
        <v>3.9</v>
      </c>
      <c r="BA52">
        <v>7.2</v>
      </c>
      <c r="BB52" s="243">
        <v>6681014.2999999998</v>
      </c>
      <c r="BC52">
        <v>0</v>
      </c>
      <c r="BD52" t="s">
        <v>520</v>
      </c>
      <c r="BE52" t="s">
        <v>1474</v>
      </c>
      <c r="BF52" t="s">
        <v>669</v>
      </c>
      <c r="BG52">
        <v>4.38</v>
      </c>
      <c r="BH52" t="s">
        <v>520</v>
      </c>
    </row>
    <row r="53" spans="1:60">
      <c r="A53">
        <v>163</v>
      </c>
      <c r="B53" t="s">
        <v>12</v>
      </c>
      <c r="C53" t="s">
        <v>524</v>
      </c>
      <c r="D53" t="s">
        <v>11</v>
      </c>
      <c r="E53" s="243">
        <v>14306091.859999999</v>
      </c>
      <c r="F53">
        <v>10050000</v>
      </c>
      <c r="G53">
        <v>142.35</v>
      </c>
      <c r="H53" t="s">
        <v>1539</v>
      </c>
      <c r="I53" t="s">
        <v>706</v>
      </c>
      <c r="J53">
        <v>26.09</v>
      </c>
      <c r="K53">
        <v>37.14</v>
      </c>
      <c r="L53" s="243">
        <v>6645848</v>
      </c>
      <c r="M53">
        <v>17440000</v>
      </c>
      <c r="N53">
        <v>38.11</v>
      </c>
      <c r="O53" t="s">
        <v>1502</v>
      </c>
      <c r="P53" t="s">
        <v>826</v>
      </c>
      <c r="Q53">
        <v>34.93</v>
      </c>
      <c r="R53">
        <v>13.31</v>
      </c>
      <c r="S53" s="243">
        <v>1360380</v>
      </c>
      <c r="T53">
        <v>2133000</v>
      </c>
      <c r="U53">
        <v>63.78</v>
      </c>
      <c r="V53" t="s">
        <v>1519</v>
      </c>
      <c r="W53" t="s">
        <v>867</v>
      </c>
      <c r="X53">
        <v>2.2400000000000002</v>
      </c>
      <c r="Y53">
        <v>1.43</v>
      </c>
      <c r="Z53" s="243">
        <v>476120</v>
      </c>
      <c r="AA53">
        <v>1497000</v>
      </c>
      <c r="AB53">
        <v>31.8</v>
      </c>
      <c r="AC53" t="s">
        <v>1536</v>
      </c>
      <c r="AD53" t="s">
        <v>886</v>
      </c>
      <c r="AE53">
        <v>0.21</v>
      </c>
      <c r="AF53">
        <v>7.0000000000000007E-2</v>
      </c>
      <c r="AG53" s="243">
        <v>157233</v>
      </c>
      <c r="AH53">
        <v>0</v>
      </c>
      <c r="AI53" t="s">
        <v>520</v>
      </c>
      <c r="AJ53" t="s">
        <v>1505</v>
      </c>
      <c r="AK53" t="s">
        <v>669</v>
      </c>
      <c r="AL53">
        <v>7.12</v>
      </c>
      <c r="AM53" t="s">
        <v>520</v>
      </c>
      <c r="AN53" s="243">
        <v>932239.06</v>
      </c>
      <c r="AO53">
        <v>560000</v>
      </c>
      <c r="AP53">
        <v>166.47</v>
      </c>
      <c r="AQ53" t="s">
        <v>1506</v>
      </c>
      <c r="AR53" t="s">
        <v>749</v>
      </c>
      <c r="AS53">
        <v>75.03</v>
      </c>
      <c r="AT53">
        <v>124.91</v>
      </c>
      <c r="AU53" s="243">
        <v>23877911.920000002</v>
      </c>
      <c r="AV53">
        <v>31680000</v>
      </c>
      <c r="AW53">
        <v>75.37</v>
      </c>
      <c r="AX53" t="s">
        <v>1507</v>
      </c>
      <c r="AY53" t="s">
        <v>677</v>
      </c>
      <c r="AZ53">
        <v>28.46</v>
      </c>
      <c r="BA53">
        <v>21.45</v>
      </c>
      <c r="BB53" s="243">
        <v>4322824.8600000003</v>
      </c>
      <c r="BC53">
        <v>0</v>
      </c>
      <c r="BD53" t="s">
        <v>520</v>
      </c>
      <c r="BE53" t="s">
        <v>1505</v>
      </c>
      <c r="BF53" t="s">
        <v>669</v>
      </c>
      <c r="BG53">
        <v>13.03</v>
      </c>
      <c r="BH53" t="s">
        <v>520</v>
      </c>
    </row>
    <row r="54" spans="1:60">
      <c r="A54">
        <v>164</v>
      </c>
      <c r="B54" t="s">
        <v>161</v>
      </c>
      <c r="C54" t="s">
        <v>521</v>
      </c>
      <c r="D54" t="s">
        <v>7</v>
      </c>
      <c r="E54" s="243">
        <v>22853320.199999999</v>
      </c>
      <c r="F54">
        <v>11950000</v>
      </c>
      <c r="G54">
        <v>191.24</v>
      </c>
      <c r="H54" t="s">
        <v>1474</v>
      </c>
      <c r="I54" t="s">
        <v>769</v>
      </c>
      <c r="J54">
        <v>5.48</v>
      </c>
      <c r="K54">
        <v>10.48</v>
      </c>
      <c r="L54" s="243">
        <v>10848804</v>
      </c>
      <c r="M54">
        <v>20720000</v>
      </c>
      <c r="N54">
        <v>52.36</v>
      </c>
      <c r="O54" t="s">
        <v>1508</v>
      </c>
      <c r="P54" t="s">
        <v>874</v>
      </c>
      <c r="Q54">
        <v>65.63</v>
      </c>
      <c r="R54">
        <v>34.36</v>
      </c>
      <c r="S54" s="243">
        <v>1667593</v>
      </c>
      <c r="T54">
        <v>2397000</v>
      </c>
      <c r="U54">
        <v>69.569999999999993</v>
      </c>
      <c r="V54" t="s">
        <v>1476</v>
      </c>
      <c r="W54" t="s">
        <v>699</v>
      </c>
      <c r="X54">
        <v>30.96</v>
      </c>
      <c r="Y54">
        <v>21.54</v>
      </c>
      <c r="Z54" s="243">
        <v>1247987</v>
      </c>
      <c r="AA54">
        <v>1913000</v>
      </c>
      <c r="AB54">
        <v>65.239999999999995</v>
      </c>
      <c r="AC54" t="s">
        <v>1481</v>
      </c>
      <c r="AD54" t="s">
        <v>687</v>
      </c>
      <c r="AE54">
        <v>0.42</v>
      </c>
      <c r="AF54">
        <v>0.28000000000000003</v>
      </c>
      <c r="AG54" s="243">
        <v>40934</v>
      </c>
      <c r="AH54">
        <v>0</v>
      </c>
      <c r="AI54" t="s">
        <v>520</v>
      </c>
      <c r="AJ54" t="s">
        <v>1474</v>
      </c>
      <c r="AK54" t="s">
        <v>669</v>
      </c>
      <c r="AL54">
        <v>7.88</v>
      </c>
      <c r="AM54" t="s">
        <v>520</v>
      </c>
      <c r="AN54" s="243">
        <v>349638.85</v>
      </c>
      <c r="AO54">
        <v>660000</v>
      </c>
      <c r="AP54">
        <v>52.98</v>
      </c>
      <c r="AQ54" t="s">
        <v>1473</v>
      </c>
      <c r="AR54" t="s">
        <v>808</v>
      </c>
      <c r="AS54">
        <v>91.39</v>
      </c>
      <c r="AT54">
        <v>48.41</v>
      </c>
      <c r="AU54" s="243">
        <v>37008277.049999997</v>
      </c>
      <c r="AV54">
        <v>37640000</v>
      </c>
      <c r="AW54">
        <v>98.32</v>
      </c>
      <c r="AX54" t="s">
        <v>1513</v>
      </c>
      <c r="AY54" t="s">
        <v>825</v>
      </c>
      <c r="AZ54">
        <v>24.9</v>
      </c>
      <c r="BA54">
        <v>24.48</v>
      </c>
      <c r="BB54" s="243">
        <v>4524859.2</v>
      </c>
      <c r="BC54">
        <v>0</v>
      </c>
      <c r="BD54" t="s">
        <v>520</v>
      </c>
      <c r="BE54" t="s">
        <v>1474</v>
      </c>
      <c r="BF54" t="s">
        <v>669</v>
      </c>
      <c r="BG54">
        <v>7.3</v>
      </c>
      <c r="BH54" t="s">
        <v>520</v>
      </c>
    </row>
    <row r="55" spans="1:60">
      <c r="A55">
        <v>165</v>
      </c>
      <c r="B55" t="s">
        <v>13</v>
      </c>
      <c r="C55" t="s">
        <v>521</v>
      </c>
      <c r="D55" t="s">
        <v>7</v>
      </c>
      <c r="E55" s="243">
        <v>19644964.870000001</v>
      </c>
      <c r="F55">
        <v>14560000</v>
      </c>
      <c r="G55">
        <v>134.91999999999999</v>
      </c>
      <c r="H55" t="s">
        <v>1500</v>
      </c>
      <c r="I55" t="s">
        <v>837</v>
      </c>
      <c r="J55">
        <v>11.67</v>
      </c>
      <c r="K55">
        <v>15.74</v>
      </c>
      <c r="L55" s="243">
        <v>25511923</v>
      </c>
      <c r="M55">
        <v>25260000</v>
      </c>
      <c r="N55">
        <v>101</v>
      </c>
      <c r="O55" t="s">
        <v>1477</v>
      </c>
      <c r="P55" t="s">
        <v>781</v>
      </c>
      <c r="Q55">
        <v>16.829999999999998</v>
      </c>
      <c r="R55">
        <v>17</v>
      </c>
      <c r="S55" s="243">
        <v>3174656</v>
      </c>
      <c r="T55">
        <v>3643000</v>
      </c>
      <c r="U55">
        <v>87.14</v>
      </c>
      <c r="V55" t="s">
        <v>1511</v>
      </c>
      <c r="W55" t="s">
        <v>827</v>
      </c>
      <c r="X55">
        <v>2.5299999999999998</v>
      </c>
      <c r="Y55">
        <v>2.2000000000000002</v>
      </c>
      <c r="Z55" s="243">
        <v>42223</v>
      </c>
      <c r="AA55">
        <v>1617000</v>
      </c>
      <c r="AB55">
        <v>2.61</v>
      </c>
      <c r="AC55" t="s">
        <v>1475</v>
      </c>
      <c r="AD55" t="s">
        <v>812</v>
      </c>
      <c r="AE55">
        <v>7.03</v>
      </c>
      <c r="AF55">
        <v>0.18</v>
      </c>
      <c r="AG55" s="243">
        <v>25945</v>
      </c>
      <c r="AH55">
        <v>0</v>
      </c>
      <c r="AI55" t="s">
        <v>520</v>
      </c>
      <c r="AJ55" t="s">
        <v>1474</v>
      </c>
      <c r="AK55" t="s">
        <v>669</v>
      </c>
      <c r="AL55">
        <v>25.5</v>
      </c>
      <c r="AM55" t="s">
        <v>520</v>
      </c>
      <c r="AN55" s="243">
        <v>679256.33</v>
      </c>
      <c r="AO55">
        <v>810000</v>
      </c>
      <c r="AP55">
        <v>83.86</v>
      </c>
      <c r="AQ55" t="s">
        <v>1482</v>
      </c>
      <c r="AR55" t="s">
        <v>820</v>
      </c>
      <c r="AS55">
        <v>5.19</v>
      </c>
      <c r="AT55">
        <v>4.3499999999999996</v>
      </c>
      <c r="AU55" s="243">
        <v>49078968.200000003</v>
      </c>
      <c r="AV55">
        <v>45890000</v>
      </c>
      <c r="AW55">
        <v>106.95</v>
      </c>
      <c r="AX55" t="s">
        <v>1499</v>
      </c>
      <c r="AY55" t="s">
        <v>886</v>
      </c>
      <c r="AZ55">
        <v>13.68</v>
      </c>
      <c r="BA55">
        <v>14.63</v>
      </c>
      <c r="BB55" s="243">
        <v>6559055.8700000001</v>
      </c>
      <c r="BC55">
        <v>0</v>
      </c>
      <c r="BD55" t="s">
        <v>520</v>
      </c>
      <c r="BE55" t="s">
        <v>1474</v>
      </c>
      <c r="BF55" t="s">
        <v>669</v>
      </c>
      <c r="BG55">
        <v>17.5</v>
      </c>
      <c r="BH55" t="s">
        <v>520</v>
      </c>
    </row>
    <row r="56" spans="1:60">
      <c r="A56">
        <v>166</v>
      </c>
      <c r="B56" t="s">
        <v>84</v>
      </c>
      <c r="C56" t="s">
        <v>525</v>
      </c>
      <c r="D56" t="s">
        <v>7</v>
      </c>
      <c r="E56" s="243">
        <v>10445871.859999999</v>
      </c>
      <c r="F56">
        <v>11330000</v>
      </c>
      <c r="G56">
        <v>92.2</v>
      </c>
      <c r="H56" t="s">
        <v>1484</v>
      </c>
      <c r="I56" t="s">
        <v>740</v>
      </c>
      <c r="J56">
        <v>10.43</v>
      </c>
      <c r="K56">
        <v>9.6199999999999992</v>
      </c>
      <c r="L56" s="243">
        <v>14540278</v>
      </c>
      <c r="M56">
        <v>19650000</v>
      </c>
      <c r="N56">
        <v>74</v>
      </c>
      <c r="O56" t="s">
        <v>1512</v>
      </c>
      <c r="P56" t="s">
        <v>850</v>
      </c>
      <c r="Q56">
        <v>13.73</v>
      </c>
      <c r="R56">
        <v>10.16</v>
      </c>
      <c r="S56" s="243">
        <v>2112551</v>
      </c>
      <c r="T56">
        <v>2956000</v>
      </c>
      <c r="U56">
        <v>71.47</v>
      </c>
      <c r="V56" t="s">
        <v>1509</v>
      </c>
      <c r="W56" t="s">
        <v>858</v>
      </c>
      <c r="X56">
        <v>14.57</v>
      </c>
      <c r="Y56">
        <v>10.41</v>
      </c>
      <c r="Z56" s="243">
        <v>847210</v>
      </c>
      <c r="AA56">
        <v>1144000</v>
      </c>
      <c r="AB56">
        <v>74.06</v>
      </c>
      <c r="AC56" t="s">
        <v>1500</v>
      </c>
      <c r="AD56" t="s">
        <v>671</v>
      </c>
      <c r="AE56">
        <v>0</v>
      </c>
      <c r="AF56">
        <v>0</v>
      </c>
      <c r="AG56" s="243">
        <v>38312</v>
      </c>
      <c r="AH56">
        <v>0</v>
      </c>
      <c r="AI56" t="s">
        <v>520</v>
      </c>
      <c r="AJ56" t="s">
        <v>1474</v>
      </c>
      <c r="AK56" t="s">
        <v>669</v>
      </c>
      <c r="AL56">
        <v>2.33</v>
      </c>
      <c r="AM56" t="s">
        <v>520</v>
      </c>
      <c r="AN56" s="243">
        <v>495554.52</v>
      </c>
      <c r="AO56">
        <v>630000</v>
      </c>
      <c r="AP56">
        <v>78.66</v>
      </c>
      <c r="AQ56" t="s">
        <v>1511</v>
      </c>
      <c r="AR56" t="s">
        <v>875</v>
      </c>
      <c r="AS56">
        <v>20.72</v>
      </c>
      <c r="AT56">
        <v>16.3</v>
      </c>
      <c r="AU56" s="243">
        <v>28479777.379999999</v>
      </c>
      <c r="AV56">
        <v>35710000</v>
      </c>
      <c r="AW56">
        <v>79.75</v>
      </c>
      <c r="AX56" t="s">
        <v>1475</v>
      </c>
      <c r="AY56" t="s">
        <v>775</v>
      </c>
      <c r="AZ56">
        <v>12.28</v>
      </c>
      <c r="BA56">
        <v>9.7899999999999991</v>
      </c>
      <c r="BB56" s="243">
        <v>4319313.8600000003</v>
      </c>
      <c r="BC56">
        <v>0</v>
      </c>
      <c r="BD56" t="s">
        <v>520</v>
      </c>
      <c r="BE56" t="s">
        <v>1474</v>
      </c>
      <c r="BF56" t="s">
        <v>669</v>
      </c>
      <c r="BG56">
        <v>11.16</v>
      </c>
      <c r="BH56" t="s">
        <v>520</v>
      </c>
    </row>
    <row r="57" spans="1:60">
      <c r="A57">
        <v>167</v>
      </c>
      <c r="B57" t="s">
        <v>162</v>
      </c>
      <c r="C57" t="s">
        <v>522</v>
      </c>
      <c r="D57" t="s">
        <v>7</v>
      </c>
      <c r="E57" s="243">
        <v>21135123.780000001</v>
      </c>
      <c r="F57">
        <v>15950000</v>
      </c>
      <c r="G57">
        <v>132.51</v>
      </c>
      <c r="H57" t="s">
        <v>1481</v>
      </c>
      <c r="I57" t="s">
        <v>827</v>
      </c>
      <c r="J57">
        <v>10.39</v>
      </c>
      <c r="K57">
        <v>13.76</v>
      </c>
      <c r="L57" s="243">
        <v>22863927</v>
      </c>
      <c r="M57">
        <v>27660000</v>
      </c>
      <c r="N57">
        <v>82.66</v>
      </c>
      <c r="O57" t="s">
        <v>1473</v>
      </c>
      <c r="P57" t="s">
        <v>762</v>
      </c>
      <c r="Q57">
        <v>76.459999999999994</v>
      </c>
      <c r="R57">
        <v>63.21</v>
      </c>
      <c r="S57" s="243">
        <v>6516688</v>
      </c>
      <c r="T57">
        <v>4616000</v>
      </c>
      <c r="U57">
        <v>141.18</v>
      </c>
      <c r="V57" t="s">
        <v>1481</v>
      </c>
      <c r="W57" t="s">
        <v>861</v>
      </c>
      <c r="X57">
        <v>9.93</v>
      </c>
      <c r="Y57">
        <v>14.02</v>
      </c>
      <c r="Z57" s="243">
        <v>224256</v>
      </c>
      <c r="AA57">
        <v>1144000</v>
      </c>
      <c r="AB57">
        <v>19.600000000000001</v>
      </c>
      <c r="AC57" t="s">
        <v>1499</v>
      </c>
      <c r="AD57" t="s">
        <v>770</v>
      </c>
      <c r="AE57">
        <v>1.36</v>
      </c>
      <c r="AF57">
        <v>0.27</v>
      </c>
      <c r="AG57" s="243">
        <v>85558</v>
      </c>
      <c r="AH57">
        <v>0</v>
      </c>
      <c r="AI57" t="s">
        <v>520</v>
      </c>
      <c r="AJ57" t="s">
        <v>1474</v>
      </c>
      <c r="AK57" t="s">
        <v>669</v>
      </c>
      <c r="AL57">
        <v>5.35</v>
      </c>
      <c r="AM57" t="s">
        <v>520</v>
      </c>
      <c r="AN57" s="243">
        <v>3771883.54</v>
      </c>
      <c r="AO57">
        <v>890000</v>
      </c>
      <c r="AP57">
        <v>423.81</v>
      </c>
      <c r="AQ57" t="s">
        <v>1480</v>
      </c>
      <c r="AR57" t="s">
        <v>679</v>
      </c>
      <c r="AS57">
        <v>66.489999999999995</v>
      </c>
      <c r="AT57">
        <v>281.79000000000002</v>
      </c>
      <c r="AU57" s="243">
        <v>54597436.32</v>
      </c>
      <c r="AV57">
        <v>50260000</v>
      </c>
      <c r="AW57">
        <v>108.63</v>
      </c>
      <c r="AX57" t="s">
        <v>1489</v>
      </c>
      <c r="AY57" t="s">
        <v>858</v>
      </c>
      <c r="AZ57">
        <v>41.83</v>
      </c>
      <c r="BA57">
        <v>45.45</v>
      </c>
      <c r="BB57" s="243">
        <v>7283385.7800000003</v>
      </c>
      <c r="BC57">
        <v>0</v>
      </c>
      <c r="BD57" t="s">
        <v>520</v>
      </c>
      <c r="BE57" t="s">
        <v>1474</v>
      </c>
      <c r="BF57" t="s">
        <v>669</v>
      </c>
      <c r="BG57">
        <v>9.58</v>
      </c>
      <c r="BH57" t="s">
        <v>520</v>
      </c>
    </row>
    <row r="58" spans="1:60">
      <c r="A58">
        <v>168</v>
      </c>
      <c r="B58" t="s">
        <v>163</v>
      </c>
      <c r="C58" t="s">
        <v>525</v>
      </c>
      <c r="D58" t="s">
        <v>7</v>
      </c>
      <c r="E58" s="243">
        <v>16669402.6</v>
      </c>
      <c r="F58">
        <v>15250000</v>
      </c>
      <c r="G58">
        <v>109.31</v>
      </c>
      <c r="H58" t="s">
        <v>1492</v>
      </c>
      <c r="I58" t="s">
        <v>744</v>
      </c>
      <c r="J58">
        <v>13.1</v>
      </c>
      <c r="K58">
        <v>14.32</v>
      </c>
      <c r="L58" s="243">
        <v>32539590</v>
      </c>
      <c r="M58">
        <v>26450000</v>
      </c>
      <c r="N58">
        <v>123.02</v>
      </c>
      <c r="O58" t="s">
        <v>1498</v>
      </c>
      <c r="P58" t="s">
        <v>847</v>
      </c>
      <c r="Q58">
        <v>43.41</v>
      </c>
      <c r="R58">
        <v>53.4</v>
      </c>
      <c r="S58" s="243">
        <v>1667452</v>
      </c>
      <c r="T58">
        <v>4524000</v>
      </c>
      <c r="U58">
        <v>36.86</v>
      </c>
      <c r="V58" t="s">
        <v>1475</v>
      </c>
      <c r="W58" t="s">
        <v>849</v>
      </c>
      <c r="X58">
        <v>39</v>
      </c>
      <c r="Y58">
        <v>14.38</v>
      </c>
      <c r="Z58" s="243">
        <v>31208</v>
      </c>
      <c r="AA58">
        <v>986000</v>
      </c>
      <c r="AB58">
        <v>3.17</v>
      </c>
      <c r="AC58" t="s">
        <v>1493</v>
      </c>
      <c r="AD58" t="s">
        <v>826</v>
      </c>
      <c r="AE58">
        <v>2.1</v>
      </c>
      <c r="AF58">
        <v>7.0000000000000007E-2</v>
      </c>
      <c r="AG58" s="243">
        <v>69579</v>
      </c>
      <c r="AH58">
        <v>0</v>
      </c>
      <c r="AI58" t="s">
        <v>520</v>
      </c>
      <c r="AJ58" t="s">
        <v>1474</v>
      </c>
      <c r="AK58" t="s">
        <v>669</v>
      </c>
      <c r="AL58">
        <v>2.78</v>
      </c>
      <c r="AM58" t="s">
        <v>520</v>
      </c>
      <c r="AN58" s="243">
        <v>2706691.93</v>
      </c>
      <c r="AO58">
        <v>850000</v>
      </c>
      <c r="AP58">
        <v>318.43</v>
      </c>
      <c r="AQ58" t="s">
        <v>1471</v>
      </c>
      <c r="AR58" t="s">
        <v>887</v>
      </c>
      <c r="AS58">
        <v>0</v>
      </c>
      <c r="AT58">
        <v>0</v>
      </c>
      <c r="AU58" s="243">
        <v>53683923.530000001</v>
      </c>
      <c r="AV58">
        <v>48060000</v>
      </c>
      <c r="AW58">
        <v>111.7</v>
      </c>
      <c r="AX58" t="s">
        <v>1500</v>
      </c>
      <c r="AY58" t="s">
        <v>804</v>
      </c>
      <c r="AZ58">
        <v>31.6</v>
      </c>
      <c r="BA58">
        <v>35.29</v>
      </c>
      <c r="BB58" s="243">
        <v>5345201.5999999996</v>
      </c>
      <c r="BC58">
        <v>0</v>
      </c>
      <c r="BD58" t="s">
        <v>520</v>
      </c>
      <c r="BE58" t="s">
        <v>1474</v>
      </c>
      <c r="BF58" t="s">
        <v>669</v>
      </c>
      <c r="BG58">
        <v>13.71</v>
      </c>
      <c r="BH58" t="s">
        <v>520</v>
      </c>
    </row>
    <row r="59" spans="1:60">
      <c r="A59">
        <v>169</v>
      </c>
      <c r="B59" t="s">
        <v>85</v>
      </c>
      <c r="C59" t="s">
        <v>523</v>
      </c>
      <c r="D59" t="s">
        <v>7</v>
      </c>
      <c r="E59" s="243">
        <v>18027527.449999999</v>
      </c>
      <c r="F59">
        <v>12570000</v>
      </c>
      <c r="G59">
        <v>143.41999999999999</v>
      </c>
      <c r="H59" t="s">
        <v>1471</v>
      </c>
      <c r="I59" t="s">
        <v>847</v>
      </c>
      <c r="J59">
        <v>11.58</v>
      </c>
      <c r="K59">
        <v>16.61</v>
      </c>
      <c r="L59" s="243">
        <v>16394663</v>
      </c>
      <c r="M59">
        <v>21810000</v>
      </c>
      <c r="N59">
        <v>75.17</v>
      </c>
      <c r="O59" t="s">
        <v>1509</v>
      </c>
      <c r="P59" t="s">
        <v>675</v>
      </c>
      <c r="Q59">
        <v>22.15</v>
      </c>
      <c r="R59">
        <v>16.649999999999999</v>
      </c>
      <c r="S59" s="243">
        <v>2004790</v>
      </c>
      <c r="T59">
        <v>3159000</v>
      </c>
      <c r="U59">
        <v>63.46</v>
      </c>
      <c r="V59" t="s">
        <v>1484</v>
      </c>
      <c r="W59" t="s">
        <v>801</v>
      </c>
      <c r="X59">
        <v>1.55</v>
      </c>
      <c r="Y59">
        <v>0.99</v>
      </c>
      <c r="Z59" s="243">
        <v>15312</v>
      </c>
      <c r="AA59">
        <v>1381000</v>
      </c>
      <c r="AB59">
        <v>1.1100000000000001</v>
      </c>
      <c r="AC59" t="s">
        <v>1470</v>
      </c>
      <c r="AD59" t="s">
        <v>877</v>
      </c>
      <c r="AE59">
        <v>3.32</v>
      </c>
      <c r="AF59">
        <v>0.04</v>
      </c>
      <c r="AG59" s="243">
        <v>86457</v>
      </c>
      <c r="AH59">
        <v>0</v>
      </c>
      <c r="AI59" t="s">
        <v>520</v>
      </c>
      <c r="AJ59" t="s">
        <v>1474</v>
      </c>
      <c r="AK59" t="s">
        <v>669</v>
      </c>
      <c r="AL59">
        <v>6.02</v>
      </c>
      <c r="AM59" t="s">
        <v>520</v>
      </c>
      <c r="AN59" s="243">
        <v>185721.11</v>
      </c>
      <c r="AO59">
        <v>700000</v>
      </c>
      <c r="AP59">
        <v>26.53</v>
      </c>
      <c r="AQ59" t="s">
        <v>1484</v>
      </c>
      <c r="AR59" t="s">
        <v>784</v>
      </c>
      <c r="AS59">
        <v>0</v>
      </c>
      <c r="AT59">
        <v>0</v>
      </c>
      <c r="AU59" s="243">
        <v>36714470.560000002</v>
      </c>
      <c r="AV59">
        <v>39620000</v>
      </c>
      <c r="AW59">
        <v>92.67</v>
      </c>
      <c r="AX59" t="s">
        <v>1512</v>
      </c>
      <c r="AY59" t="s">
        <v>777</v>
      </c>
      <c r="AZ59">
        <v>15.68</v>
      </c>
      <c r="BA59">
        <v>14.53</v>
      </c>
      <c r="BB59" s="243">
        <v>6325754.4500000002</v>
      </c>
      <c r="BC59">
        <v>0</v>
      </c>
      <c r="BD59" t="s">
        <v>520</v>
      </c>
      <c r="BE59" t="s">
        <v>1474</v>
      </c>
      <c r="BF59" t="s">
        <v>669</v>
      </c>
      <c r="BG59">
        <v>10.43</v>
      </c>
      <c r="BH59" t="s">
        <v>520</v>
      </c>
    </row>
    <row r="60" spans="1:60">
      <c r="A60">
        <v>170</v>
      </c>
      <c r="B60" t="s">
        <v>164</v>
      </c>
      <c r="C60" t="s">
        <v>521</v>
      </c>
      <c r="D60" t="s">
        <v>7</v>
      </c>
      <c r="E60" s="243">
        <v>8662295.1400000006</v>
      </c>
      <c r="F60">
        <v>10240000</v>
      </c>
      <c r="G60">
        <v>84.59</v>
      </c>
      <c r="H60" t="s">
        <v>1493</v>
      </c>
      <c r="I60" t="s">
        <v>768</v>
      </c>
      <c r="J60">
        <v>11.84</v>
      </c>
      <c r="K60">
        <v>10.01</v>
      </c>
      <c r="L60" s="243">
        <v>19349448</v>
      </c>
      <c r="M60">
        <v>17750000</v>
      </c>
      <c r="N60">
        <v>109.01</v>
      </c>
      <c r="O60" t="s">
        <v>1481</v>
      </c>
      <c r="P60" t="s">
        <v>884</v>
      </c>
      <c r="Q60">
        <v>30.5</v>
      </c>
      <c r="R60">
        <v>33.24</v>
      </c>
      <c r="S60" s="243">
        <v>1568548</v>
      </c>
      <c r="T60">
        <v>2370000</v>
      </c>
      <c r="U60">
        <v>66.180000000000007</v>
      </c>
      <c r="V60" t="s">
        <v>1512</v>
      </c>
      <c r="W60" t="s">
        <v>808</v>
      </c>
      <c r="X60">
        <v>25.04</v>
      </c>
      <c r="Y60">
        <v>16.57</v>
      </c>
      <c r="Z60" s="243">
        <v>1510189</v>
      </c>
      <c r="AA60">
        <v>1330000</v>
      </c>
      <c r="AB60">
        <v>113.55</v>
      </c>
      <c r="AC60" t="s">
        <v>1479</v>
      </c>
      <c r="AD60" t="s">
        <v>853</v>
      </c>
      <c r="AE60">
        <v>0.28999999999999998</v>
      </c>
      <c r="AF60">
        <v>0.33</v>
      </c>
      <c r="AG60" s="243">
        <v>38250</v>
      </c>
      <c r="AH60">
        <v>0</v>
      </c>
      <c r="AI60" t="s">
        <v>520</v>
      </c>
      <c r="AJ60" t="s">
        <v>1474</v>
      </c>
      <c r="AK60" t="s">
        <v>669</v>
      </c>
      <c r="AL60">
        <v>9.77</v>
      </c>
      <c r="AM60" t="s">
        <v>520</v>
      </c>
      <c r="AN60" s="243">
        <v>666489.75</v>
      </c>
      <c r="AO60">
        <v>570000</v>
      </c>
      <c r="AP60">
        <v>116.93</v>
      </c>
      <c r="AQ60" t="s">
        <v>1514</v>
      </c>
      <c r="AR60" t="s">
        <v>837</v>
      </c>
      <c r="AS60">
        <v>3.82</v>
      </c>
      <c r="AT60">
        <v>4.47</v>
      </c>
      <c r="AU60" s="243">
        <v>31795219.890000001</v>
      </c>
      <c r="AV60">
        <v>32260000</v>
      </c>
      <c r="AW60">
        <v>98.56</v>
      </c>
      <c r="AX60" t="s">
        <v>1473</v>
      </c>
      <c r="AY60" t="s">
        <v>766</v>
      </c>
      <c r="AZ60">
        <v>23.12</v>
      </c>
      <c r="BA60">
        <v>22.79</v>
      </c>
      <c r="BB60" s="243">
        <v>3494824.14</v>
      </c>
      <c r="BC60">
        <v>0</v>
      </c>
      <c r="BD60" t="s">
        <v>520</v>
      </c>
      <c r="BE60" t="s">
        <v>1474</v>
      </c>
      <c r="BF60" t="s">
        <v>669</v>
      </c>
      <c r="BG60">
        <v>8.67</v>
      </c>
      <c r="BH60" t="s">
        <v>520</v>
      </c>
    </row>
    <row r="61" spans="1:60">
      <c r="A61">
        <v>171</v>
      </c>
      <c r="B61" t="s">
        <v>86</v>
      </c>
      <c r="C61" t="s">
        <v>524</v>
      </c>
      <c r="D61" t="s">
        <v>7</v>
      </c>
      <c r="E61" s="243">
        <v>8582649.4499999993</v>
      </c>
      <c r="F61">
        <v>9670000</v>
      </c>
      <c r="G61">
        <v>88.76</v>
      </c>
      <c r="H61" t="s">
        <v>1490</v>
      </c>
      <c r="I61" t="s">
        <v>849</v>
      </c>
      <c r="J61">
        <v>9.98</v>
      </c>
      <c r="K61">
        <v>8.85</v>
      </c>
      <c r="L61" s="243">
        <v>22100295</v>
      </c>
      <c r="M61">
        <v>16760000</v>
      </c>
      <c r="N61">
        <v>131.86000000000001</v>
      </c>
      <c r="O61" t="s">
        <v>1497</v>
      </c>
      <c r="P61" t="s">
        <v>732</v>
      </c>
      <c r="Q61">
        <v>6.08</v>
      </c>
      <c r="R61">
        <v>8.01</v>
      </c>
      <c r="S61" s="243">
        <v>3573034</v>
      </c>
      <c r="T61">
        <v>2581000</v>
      </c>
      <c r="U61">
        <v>138.44</v>
      </c>
      <c r="V61" t="s">
        <v>1495</v>
      </c>
      <c r="W61" t="s">
        <v>790</v>
      </c>
      <c r="X61">
        <v>9.09</v>
      </c>
      <c r="Y61">
        <v>12.58</v>
      </c>
      <c r="Z61" s="243">
        <v>87207</v>
      </c>
      <c r="AA61">
        <v>909000</v>
      </c>
      <c r="AB61">
        <v>9.59</v>
      </c>
      <c r="AC61" t="s">
        <v>1476</v>
      </c>
      <c r="AD61" t="s">
        <v>846</v>
      </c>
      <c r="AE61">
        <v>0.79</v>
      </c>
      <c r="AF61">
        <v>0.08</v>
      </c>
      <c r="AG61" s="243">
        <v>142417</v>
      </c>
      <c r="AH61">
        <v>0</v>
      </c>
      <c r="AI61" t="s">
        <v>520</v>
      </c>
      <c r="AJ61" t="s">
        <v>1474</v>
      </c>
      <c r="AK61" t="s">
        <v>669</v>
      </c>
      <c r="AL61">
        <v>1</v>
      </c>
      <c r="AM61" t="s">
        <v>520</v>
      </c>
      <c r="AN61" s="243">
        <v>1046902.72</v>
      </c>
      <c r="AO61">
        <v>540000</v>
      </c>
      <c r="AP61">
        <v>193.87</v>
      </c>
      <c r="AQ61" t="s">
        <v>1510</v>
      </c>
      <c r="AR61" t="s">
        <v>796</v>
      </c>
      <c r="AS61">
        <v>13.21</v>
      </c>
      <c r="AT61">
        <v>25.61</v>
      </c>
      <c r="AU61" s="243">
        <v>35532505.170000002</v>
      </c>
      <c r="AV61">
        <v>30460000</v>
      </c>
      <c r="AW61">
        <v>116.65</v>
      </c>
      <c r="AX61" t="s">
        <v>1494</v>
      </c>
      <c r="AY61" t="s">
        <v>687</v>
      </c>
      <c r="AZ61">
        <v>7.5</v>
      </c>
      <c r="BA61">
        <v>8.75</v>
      </c>
      <c r="BB61" s="243">
        <v>3550333.45</v>
      </c>
      <c r="BC61">
        <v>0</v>
      </c>
      <c r="BD61" t="s">
        <v>520</v>
      </c>
      <c r="BE61" t="s">
        <v>1474</v>
      </c>
      <c r="BF61" t="s">
        <v>669</v>
      </c>
      <c r="BG61">
        <v>5.94</v>
      </c>
      <c r="BH61" t="s">
        <v>520</v>
      </c>
    </row>
    <row r="62" spans="1:60">
      <c r="A62">
        <v>172</v>
      </c>
      <c r="B62" t="s">
        <v>14</v>
      </c>
      <c r="C62" t="s">
        <v>526</v>
      </c>
      <c r="D62" t="s">
        <v>7</v>
      </c>
      <c r="E62" s="243">
        <v>10705703.289999999</v>
      </c>
      <c r="F62">
        <v>6310000</v>
      </c>
      <c r="G62">
        <v>169.66</v>
      </c>
      <c r="H62" t="s">
        <v>1496</v>
      </c>
      <c r="I62" t="s">
        <v>887</v>
      </c>
      <c r="J62">
        <v>20.56</v>
      </c>
      <c r="K62">
        <v>34.89</v>
      </c>
      <c r="L62" s="243">
        <v>5837649</v>
      </c>
      <c r="M62">
        <v>10950000</v>
      </c>
      <c r="N62">
        <v>53.31</v>
      </c>
      <c r="O62" t="s">
        <v>1472</v>
      </c>
      <c r="P62" t="s">
        <v>797</v>
      </c>
      <c r="Q62">
        <v>55.31</v>
      </c>
      <c r="R62">
        <v>29.49</v>
      </c>
      <c r="S62" s="243">
        <v>1473849</v>
      </c>
      <c r="T62">
        <v>1371000</v>
      </c>
      <c r="U62">
        <v>107.5</v>
      </c>
      <c r="V62" t="s">
        <v>1477</v>
      </c>
      <c r="W62" t="s">
        <v>831</v>
      </c>
      <c r="X62">
        <v>7.55</v>
      </c>
      <c r="Y62">
        <v>8.11</v>
      </c>
      <c r="Z62" s="243">
        <v>44647</v>
      </c>
      <c r="AA62">
        <v>909000</v>
      </c>
      <c r="AB62">
        <v>4.91</v>
      </c>
      <c r="AC62" t="s">
        <v>1512</v>
      </c>
      <c r="AD62" t="s">
        <v>775</v>
      </c>
      <c r="AE62">
        <v>0.05</v>
      </c>
      <c r="AF62">
        <v>0</v>
      </c>
      <c r="AG62" s="243">
        <v>21937</v>
      </c>
      <c r="AH62">
        <v>0</v>
      </c>
      <c r="AI62" t="s">
        <v>520</v>
      </c>
      <c r="AJ62" t="s">
        <v>1474</v>
      </c>
      <c r="AK62" t="s">
        <v>669</v>
      </c>
      <c r="AL62">
        <v>12.84</v>
      </c>
      <c r="AM62" t="s">
        <v>520</v>
      </c>
      <c r="AN62" s="243">
        <v>121710.7</v>
      </c>
      <c r="AO62">
        <v>350000</v>
      </c>
      <c r="AP62">
        <v>34.770000000000003</v>
      </c>
      <c r="AQ62" t="s">
        <v>1512</v>
      </c>
      <c r="AR62" t="s">
        <v>860</v>
      </c>
      <c r="AS62">
        <v>69.489999999999995</v>
      </c>
      <c r="AT62">
        <v>24.16</v>
      </c>
      <c r="AU62" s="243">
        <v>18205495.989999998</v>
      </c>
      <c r="AV62">
        <v>19890000</v>
      </c>
      <c r="AW62">
        <v>91.53</v>
      </c>
      <c r="AX62" t="s">
        <v>1484</v>
      </c>
      <c r="AY62" t="s">
        <v>815</v>
      </c>
      <c r="AZ62">
        <v>30.92</v>
      </c>
      <c r="BA62">
        <v>28.3</v>
      </c>
      <c r="BB62" s="243">
        <v>3267322.29</v>
      </c>
      <c r="BC62">
        <v>0</v>
      </c>
      <c r="BD62" t="s">
        <v>520</v>
      </c>
      <c r="BE62" t="s">
        <v>1474</v>
      </c>
      <c r="BF62" t="s">
        <v>669</v>
      </c>
      <c r="BG62">
        <v>12.35</v>
      </c>
      <c r="BH62" t="s">
        <v>520</v>
      </c>
    </row>
    <row r="63" spans="1:60">
      <c r="A63">
        <v>173</v>
      </c>
      <c r="B63" t="s">
        <v>15</v>
      </c>
      <c r="C63" t="s">
        <v>523</v>
      </c>
      <c r="D63" t="s">
        <v>11</v>
      </c>
      <c r="E63" s="243">
        <v>12896785.949999999</v>
      </c>
      <c r="F63">
        <v>8770000</v>
      </c>
      <c r="G63">
        <v>147.06</v>
      </c>
      <c r="H63" t="s">
        <v>1518</v>
      </c>
      <c r="I63" t="s">
        <v>830</v>
      </c>
      <c r="J63">
        <v>12.17</v>
      </c>
      <c r="K63">
        <v>17.89</v>
      </c>
      <c r="L63" s="243">
        <v>8438969</v>
      </c>
      <c r="M63">
        <v>15210000</v>
      </c>
      <c r="N63">
        <v>55.48</v>
      </c>
      <c r="O63" t="s">
        <v>1516</v>
      </c>
      <c r="P63" t="s">
        <v>849</v>
      </c>
      <c r="Q63">
        <v>31.14</v>
      </c>
      <c r="R63">
        <v>17.28</v>
      </c>
      <c r="S63" s="243">
        <v>1831067</v>
      </c>
      <c r="T63">
        <v>1706000</v>
      </c>
      <c r="U63">
        <v>107.33</v>
      </c>
      <c r="V63" t="s">
        <v>1525</v>
      </c>
      <c r="W63" t="s">
        <v>696</v>
      </c>
      <c r="X63">
        <v>39.56</v>
      </c>
      <c r="Y63">
        <v>42.46</v>
      </c>
      <c r="Z63" s="243">
        <v>2120846</v>
      </c>
      <c r="AA63">
        <v>1454000</v>
      </c>
      <c r="AB63">
        <v>145.86000000000001</v>
      </c>
      <c r="AC63" t="s">
        <v>1518</v>
      </c>
      <c r="AD63" t="s">
        <v>720</v>
      </c>
      <c r="AE63">
        <v>0</v>
      </c>
      <c r="AF63">
        <v>0</v>
      </c>
      <c r="AG63" s="243">
        <v>74745</v>
      </c>
      <c r="AH63">
        <v>0</v>
      </c>
      <c r="AI63" t="s">
        <v>520</v>
      </c>
      <c r="AJ63" t="s">
        <v>1505</v>
      </c>
      <c r="AK63" t="s">
        <v>669</v>
      </c>
      <c r="AL63">
        <v>4.03</v>
      </c>
      <c r="AM63" t="s">
        <v>520</v>
      </c>
      <c r="AN63" s="243">
        <v>298136.03999999998</v>
      </c>
      <c r="AO63">
        <v>490000</v>
      </c>
      <c r="AP63">
        <v>60.84</v>
      </c>
      <c r="AQ63" t="s">
        <v>1534</v>
      </c>
      <c r="AR63" t="s">
        <v>700</v>
      </c>
      <c r="AS63">
        <v>27.22</v>
      </c>
      <c r="AT63">
        <v>16.559999999999999</v>
      </c>
      <c r="AU63" s="243">
        <v>25660548.989999998</v>
      </c>
      <c r="AV63">
        <v>27630000</v>
      </c>
      <c r="AW63">
        <v>92.87</v>
      </c>
      <c r="AX63" t="s">
        <v>1521</v>
      </c>
      <c r="AY63" t="s">
        <v>873</v>
      </c>
      <c r="AZ63">
        <v>19.510000000000002</v>
      </c>
      <c r="BA63">
        <v>18.12</v>
      </c>
      <c r="BB63" s="243">
        <v>3497233.95</v>
      </c>
      <c r="BC63">
        <v>0</v>
      </c>
      <c r="BD63" t="s">
        <v>520</v>
      </c>
      <c r="BE63" t="s">
        <v>1505</v>
      </c>
      <c r="BF63" t="s">
        <v>669</v>
      </c>
      <c r="BG63">
        <v>11.46</v>
      </c>
      <c r="BH63" t="s">
        <v>520</v>
      </c>
    </row>
    <row r="64" spans="1:60">
      <c r="A64">
        <v>174</v>
      </c>
      <c r="B64" t="s">
        <v>16</v>
      </c>
      <c r="C64" t="s">
        <v>519</v>
      </c>
      <c r="D64" t="s">
        <v>7</v>
      </c>
      <c r="E64" s="243">
        <v>23958643.93</v>
      </c>
      <c r="F64">
        <v>16310000</v>
      </c>
      <c r="G64">
        <v>146.9</v>
      </c>
      <c r="H64" t="s">
        <v>1497</v>
      </c>
      <c r="I64" t="s">
        <v>749</v>
      </c>
      <c r="J64">
        <v>15.75</v>
      </c>
      <c r="K64">
        <v>23.13</v>
      </c>
      <c r="L64" s="243">
        <v>27073027</v>
      </c>
      <c r="M64">
        <v>28280000</v>
      </c>
      <c r="N64">
        <v>95.73</v>
      </c>
      <c r="O64" t="s">
        <v>1482</v>
      </c>
      <c r="P64" t="s">
        <v>785</v>
      </c>
      <c r="Q64">
        <v>27.68</v>
      </c>
      <c r="R64">
        <v>26.5</v>
      </c>
      <c r="S64" s="243">
        <v>6371884.5</v>
      </c>
      <c r="T64">
        <v>3977000</v>
      </c>
      <c r="U64">
        <v>160.22</v>
      </c>
      <c r="V64" t="s">
        <v>1500</v>
      </c>
      <c r="W64" t="s">
        <v>707</v>
      </c>
      <c r="X64">
        <v>34.47</v>
      </c>
      <c r="Y64">
        <v>55.23</v>
      </c>
      <c r="Z64" s="243">
        <v>26680166</v>
      </c>
      <c r="AA64">
        <v>1913000</v>
      </c>
      <c r="AB64">
        <v>1394.68</v>
      </c>
      <c r="AC64" t="s">
        <v>1474</v>
      </c>
      <c r="AD64" t="s">
        <v>669</v>
      </c>
      <c r="AE64">
        <v>0.01</v>
      </c>
      <c r="AF64">
        <v>0.1</v>
      </c>
      <c r="AG64" s="243">
        <v>110980</v>
      </c>
      <c r="AH64">
        <v>0</v>
      </c>
      <c r="AI64" t="s">
        <v>520</v>
      </c>
      <c r="AJ64" t="s">
        <v>1474</v>
      </c>
      <c r="AK64" t="s">
        <v>669</v>
      </c>
      <c r="AL64">
        <v>35.24</v>
      </c>
      <c r="AM64" t="s">
        <v>520</v>
      </c>
      <c r="AN64" s="243">
        <v>1750321.64</v>
      </c>
      <c r="AO64">
        <v>900000</v>
      </c>
      <c r="AP64">
        <v>194.48</v>
      </c>
      <c r="AQ64" t="s">
        <v>1498</v>
      </c>
      <c r="AR64" t="s">
        <v>842</v>
      </c>
      <c r="AS64">
        <v>82.08</v>
      </c>
      <c r="AT64">
        <v>159.63</v>
      </c>
      <c r="AU64" s="243">
        <v>85945023.069999993</v>
      </c>
      <c r="AV64">
        <v>51380000</v>
      </c>
      <c r="AW64">
        <v>167.27</v>
      </c>
      <c r="AX64" t="s">
        <v>1496</v>
      </c>
      <c r="AY64" t="s">
        <v>717</v>
      </c>
      <c r="AZ64">
        <v>17.38</v>
      </c>
      <c r="BA64">
        <v>29.08</v>
      </c>
      <c r="BB64" s="243">
        <v>5515957.9299999997</v>
      </c>
      <c r="BC64">
        <v>0</v>
      </c>
      <c r="BD64" t="s">
        <v>520</v>
      </c>
      <c r="BE64" t="s">
        <v>1474</v>
      </c>
      <c r="BF64" t="s">
        <v>669</v>
      </c>
      <c r="BG64">
        <v>20.74</v>
      </c>
      <c r="BH64" t="s">
        <v>520</v>
      </c>
    </row>
    <row r="65" spans="1:60" s="93" customFormat="1">
      <c r="A65" s="93">
        <v>175</v>
      </c>
      <c r="B65" s="93" t="s">
        <v>165</v>
      </c>
      <c r="C65" s="93" t="s">
        <v>521</v>
      </c>
      <c r="D65" s="93" t="s">
        <v>7</v>
      </c>
      <c r="E65" s="334">
        <f>E188+E189</f>
        <v>12924555.5</v>
      </c>
      <c r="F65" s="93">
        <v>11130000</v>
      </c>
      <c r="G65" s="93">
        <v>111.31</v>
      </c>
      <c r="H65" s="93" t="s">
        <v>1511</v>
      </c>
      <c r="I65" s="93" t="s">
        <v>878</v>
      </c>
      <c r="J65" s="93">
        <v>8.24</v>
      </c>
      <c r="K65" s="93">
        <v>9.18</v>
      </c>
      <c r="L65" s="334">
        <f>L188+L189</f>
        <v>20368229</v>
      </c>
      <c r="M65" s="93">
        <v>19300000</v>
      </c>
      <c r="N65" s="93">
        <v>99.75</v>
      </c>
      <c r="O65" s="93" t="s">
        <v>1514</v>
      </c>
      <c r="P65" s="93" t="s">
        <v>713</v>
      </c>
      <c r="Q65" s="93">
        <v>30.99</v>
      </c>
      <c r="R65" s="93">
        <v>30.91</v>
      </c>
      <c r="S65" s="334">
        <f>S188+S189</f>
        <v>4086400</v>
      </c>
      <c r="T65" s="93">
        <v>1591500</v>
      </c>
      <c r="U65" s="93">
        <v>242.22</v>
      </c>
      <c r="V65" s="93" t="s">
        <v>1485</v>
      </c>
      <c r="W65" s="93" t="s">
        <v>769</v>
      </c>
      <c r="X65" s="93">
        <v>4.97</v>
      </c>
      <c r="Y65" s="93">
        <v>12.05</v>
      </c>
      <c r="Z65" s="334">
        <f>Z188+Z189</f>
        <v>1130219</v>
      </c>
      <c r="AA65" s="93">
        <v>2418500</v>
      </c>
      <c r="AB65" s="93">
        <v>46.56</v>
      </c>
      <c r="AC65" s="93" t="s">
        <v>1489</v>
      </c>
      <c r="AD65" s="93" t="s">
        <v>738</v>
      </c>
      <c r="AE65" s="93">
        <v>10.66</v>
      </c>
      <c r="AF65" s="93">
        <v>4.96</v>
      </c>
      <c r="AG65" s="334">
        <f>AG188+AG189</f>
        <v>72284</v>
      </c>
      <c r="AH65" s="93">
        <v>0</v>
      </c>
      <c r="AI65" s="93" t="s">
        <v>520</v>
      </c>
      <c r="AJ65" s="93" t="s">
        <v>1474</v>
      </c>
      <c r="AK65" s="93" t="s">
        <v>669</v>
      </c>
      <c r="AL65" s="93">
        <v>8.16</v>
      </c>
      <c r="AM65" s="93" t="s">
        <v>520</v>
      </c>
      <c r="AN65" s="334">
        <f>AN188+AN189</f>
        <v>327759.03000000003</v>
      </c>
      <c r="AO65" s="93">
        <v>620000</v>
      </c>
      <c r="AP65" s="93">
        <v>52.86</v>
      </c>
      <c r="AQ65" s="93" t="s">
        <v>1513</v>
      </c>
      <c r="AR65" s="93" t="s">
        <v>845</v>
      </c>
      <c r="AS65" s="93">
        <v>62.19</v>
      </c>
      <c r="AT65" s="93">
        <v>32.880000000000003</v>
      </c>
      <c r="AU65" s="334">
        <f>AU188+AU189</f>
        <v>38909446.530000001</v>
      </c>
      <c r="AV65" s="93">
        <v>35060000</v>
      </c>
      <c r="AW65" s="93">
        <v>105.59</v>
      </c>
      <c r="AX65" s="93" t="s">
        <v>1482</v>
      </c>
      <c r="AY65" s="93" t="s">
        <v>869</v>
      </c>
      <c r="AZ65" s="93">
        <v>20.28</v>
      </c>
      <c r="BA65" s="93">
        <v>21.42</v>
      </c>
      <c r="BB65" s="334">
        <f>BB188+BB189</f>
        <v>3718078.5</v>
      </c>
      <c r="BC65" s="93">
        <v>0</v>
      </c>
      <c r="BD65" s="93" t="s">
        <v>520</v>
      </c>
      <c r="BE65" s="93" t="s">
        <v>1474</v>
      </c>
      <c r="BF65" s="93" t="s">
        <v>669</v>
      </c>
      <c r="BG65" s="93">
        <v>8.06</v>
      </c>
      <c r="BH65" s="93" t="s">
        <v>520</v>
      </c>
    </row>
    <row r="66" spans="1:60">
      <c r="A66">
        <v>176</v>
      </c>
      <c r="B66" t="s">
        <v>166</v>
      </c>
      <c r="C66" t="s">
        <v>523</v>
      </c>
      <c r="D66" t="s">
        <v>11</v>
      </c>
      <c r="E66" s="243">
        <v>6568450.2199999997</v>
      </c>
      <c r="F66">
        <v>7230000</v>
      </c>
      <c r="G66">
        <v>90.85</v>
      </c>
      <c r="H66" t="s">
        <v>1524</v>
      </c>
      <c r="I66" t="s">
        <v>815</v>
      </c>
      <c r="J66">
        <v>9.61</v>
      </c>
      <c r="K66">
        <v>8.73</v>
      </c>
      <c r="L66" s="243">
        <v>11004342</v>
      </c>
      <c r="M66">
        <v>12540000</v>
      </c>
      <c r="N66">
        <v>87.75</v>
      </c>
      <c r="O66" t="s">
        <v>1529</v>
      </c>
      <c r="P66" t="s">
        <v>776</v>
      </c>
      <c r="Q66">
        <v>30.13</v>
      </c>
      <c r="R66">
        <v>26.44</v>
      </c>
      <c r="S66" s="243">
        <v>767328</v>
      </c>
      <c r="T66">
        <v>1451000</v>
      </c>
      <c r="U66">
        <v>52.88</v>
      </c>
      <c r="V66" t="s">
        <v>1529</v>
      </c>
      <c r="W66" t="s">
        <v>746</v>
      </c>
      <c r="X66">
        <v>38.94</v>
      </c>
      <c r="Y66">
        <v>20.59</v>
      </c>
      <c r="Z66" s="243">
        <v>135768</v>
      </c>
      <c r="AA66">
        <v>1169000</v>
      </c>
      <c r="AB66">
        <v>11.61</v>
      </c>
      <c r="AC66" t="s">
        <v>1532</v>
      </c>
      <c r="AD66" t="s">
        <v>777</v>
      </c>
      <c r="AE66">
        <v>0.28000000000000003</v>
      </c>
      <c r="AF66">
        <v>0.03</v>
      </c>
      <c r="AG66" s="243">
        <v>28660</v>
      </c>
      <c r="AH66">
        <v>0</v>
      </c>
      <c r="AI66" t="s">
        <v>520</v>
      </c>
      <c r="AJ66" t="s">
        <v>1505</v>
      </c>
      <c r="AK66" t="s">
        <v>669</v>
      </c>
      <c r="AL66">
        <v>1.6</v>
      </c>
      <c r="AM66" t="s">
        <v>520</v>
      </c>
      <c r="AN66" s="243">
        <v>2981243.71</v>
      </c>
      <c r="AO66">
        <v>400000</v>
      </c>
      <c r="AP66">
        <v>745.31</v>
      </c>
      <c r="AQ66" t="s">
        <v>1523</v>
      </c>
      <c r="AR66" t="s">
        <v>763</v>
      </c>
      <c r="AS66">
        <v>25.68</v>
      </c>
      <c r="AT66">
        <v>191.38</v>
      </c>
      <c r="AU66" s="243">
        <v>21485791.93</v>
      </c>
      <c r="AV66">
        <v>22790000</v>
      </c>
      <c r="AW66">
        <v>94.28</v>
      </c>
      <c r="AX66" t="s">
        <v>1520</v>
      </c>
      <c r="AY66" t="s">
        <v>888</v>
      </c>
      <c r="AZ66">
        <v>23.33</v>
      </c>
      <c r="BA66">
        <v>21.99</v>
      </c>
      <c r="BB66" s="243">
        <v>2333636.2200000002</v>
      </c>
      <c r="BC66">
        <v>0</v>
      </c>
      <c r="BD66" t="s">
        <v>520</v>
      </c>
      <c r="BE66" t="s">
        <v>1505</v>
      </c>
      <c r="BF66" t="s">
        <v>669</v>
      </c>
      <c r="BG66">
        <v>10.53</v>
      </c>
      <c r="BH66" t="s">
        <v>520</v>
      </c>
    </row>
    <row r="67" spans="1:60">
      <c r="A67">
        <v>177</v>
      </c>
      <c r="B67" t="s">
        <v>647</v>
      </c>
      <c r="C67" t="s">
        <v>527</v>
      </c>
      <c r="D67" t="s">
        <v>0</v>
      </c>
      <c r="E67" s="243">
        <v>2139352.38</v>
      </c>
      <c r="F67">
        <v>2210000</v>
      </c>
      <c r="G67">
        <v>96.8</v>
      </c>
      <c r="H67" t="s">
        <v>662</v>
      </c>
      <c r="I67" t="s">
        <v>888</v>
      </c>
      <c r="J67">
        <v>56.22</v>
      </c>
      <c r="K67">
        <v>54.42</v>
      </c>
      <c r="L67" s="243">
        <v>2907794</v>
      </c>
      <c r="M67">
        <v>3840000</v>
      </c>
      <c r="N67">
        <v>75.72</v>
      </c>
      <c r="O67" t="s">
        <v>670</v>
      </c>
      <c r="P67" t="s">
        <v>784</v>
      </c>
      <c r="Q67">
        <v>54.77</v>
      </c>
      <c r="R67">
        <v>41.47</v>
      </c>
      <c r="S67" s="243">
        <v>356219</v>
      </c>
      <c r="T67">
        <v>600000</v>
      </c>
      <c r="U67">
        <v>59.37</v>
      </c>
      <c r="V67" t="s">
        <v>681</v>
      </c>
      <c r="W67" t="s">
        <v>758</v>
      </c>
      <c r="X67">
        <v>28.13</v>
      </c>
      <c r="Y67">
        <v>16.7</v>
      </c>
      <c r="Z67" s="243">
        <v>5006</v>
      </c>
      <c r="AA67">
        <v>200000</v>
      </c>
      <c r="AB67">
        <v>2.5</v>
      </c>
      <c r="AC67" t="s">
        <v>751</v>
      </c>
      <c r="AD67" t="s">
        <v>673</v>
      </c>
      <c r="AE67">
        <v>201.32</v>
      </c>
      <c r="AF67">
        <v>5.04</v>
      </c>
      <c r="AG67" s="243">
        <v>3859</v>
      </c>
      <c r="AH67">
        <v>0</v>
      </c>
      <c r="AI67" t="s">
        <v>520</v>
      </c>
      <c r="AJ67" t="s">
        <v>668</v>
      </c>
      <c r="AK67" t="s">
        <v>669</v>
      </c>
      <c r="AL67">
        <v>60.2</v>
      </c>
      <c r="AM67" t="s">
        <v>520</v>
      </c>
      <c r="AN67" s="243">
        <v>67676.23</v>
      </c>
      <c r="AO67">
        <v>120000</v>
      </c>
      <c r="AP67">
        <v>56.4</v>
      </c>
      <c r="AQ67" t="s">
        <v>757</v>
      </c>
      <c r="AR67" t="s">
        <v>798</v>
      </c>
      <c r="AS67">
        <v>0</v>
      </c>
      <c r="AT67">
        <v>0</v>
      </c>
      <c r="AU67" s="243">
        <v>5479906.6100000003</v>
      </c>
      <c r="AV67">
        <v>6970000</v>
      </c>
      <c r="AW67">
        <v>78.62</v>
      </c>
      <c r="AX67" t="s">
        <v>674</v>
      </c>
      <c r="AY67" t="s">
        <v>811</v>
      </c>
      <c r="AZ67">
        <v>53.06</v>
      </c>
      <c r="BA67">
        <v>41.72</v>
      </c>
      <c r="BB67" s="243">
        <v>264300.38</v>
      </c>
      <c r="BC67">
        <v>0</v>
      </c>
      <c r="BD67" t="s">
        <v>520</v>
      </c>
      <c r="BE67" t="s">
        <v>668</v>
      </c>
      <c r="BF67" t="s">
        <v>669</v>
      </c>
      <c r="BG67">
        <v>106.32</v>
      </c>
      <c r="BH67" t="s">
        <v>520</v>
      </c>
    </row>
    <row r="68" spans="1:60">
      <c r="A68">
        <v>178</v>
      </c>
      <c r="B68" t="s">
        <v>17</v>
      </c>
      <c r="C68" t="s">
        <v>523</v>
      </c>
      <c r="D68" t="s">
        <v>0</v>
      </c>
      <c r="E68" s="243">
        <v>24284492.469999999</v>
      </c>
      <c r="F68">
        <v>10590000</v>
      </c>
      <c r="G68">
        <v>229.32</v>
      </c>
      <c r="H68" t="s">
        <v>728</v>
      </c>
      <c r="I68" t="s">
        <v>692</v>
      </c>
      <c r="J68">
        <v>10.130000000000001</v>
      </c>
      <c r="K68">
        <v>23.22</v>
      </c>
      <c r="L68" s="243">
        <v>15345149</v>
      </c>
      <c r="M68">
        <v>18360000</v>
      </c>
      <c r="N68">
        <v>83.58</v>
      </c>
      <c r="O68" t="s">
        <v>764</v>
      </c>
      <c r="P68" t="s">
        <v>848</v>
      </c>
      <c r="Q68">
        <v>22.66</v>
      </c>
      <c r="R68">
        <v>18.940000000000001</v>
      </c>
      <c r="S68" s="243">
        <v>773455</v>
      </c>
      <c r="T68">
        <v>2989000</v>
      </c>
      <c r="U68">
        <v>25.88</v>
      </c>
      <c r="V68" t="s">
        <v>672</v>
      </c>
      <c r="W68" t="s">
        <v>811</v>
      </c>
      <c r="X68">
        <v>25.69</v>
      </c>
      <c r="Y68">
        <v>6.65</v>
      </c>
      <c r="Z68" s="243">
        <v>245215</v>
      </c>
      <c r="AA68">
        <v>831000</v>
      </c>
      <c r="AB68">
        <v>29.51</v>
      </c>
      <c r="AC68" t="s">
        <v>757</v>
      </c>
      <c r="AD68" t="s">
        <v>865</v>
      </c>
      <c r="AE68">
        <v>0.35</v>
      </c>
      <c r="AF68">
        <v>0.1</v>
      </c>
      <c r="AG68" s="243">
        <v>72714</v>
      </c>
      <c r="AH68">
        <v>0</v>
      </c>
      <c r="AI68" t="s">
        <v>520</v>
      </c>
      <c r="AJ68" t="s">
        <v>668</v>
      </c>
      <c r="AK68" t="s">
        <v>669</v>
      </c>
      <c r="AL68">
        <v>10.32</v>
      </c>
      <c r="AM68" t="s">
        <v>520</v>
      </c>
      <c r="AN68" s="243">
        <v>94604.38</v>
      </c>
      <c r="AO68">
        <v>590000</v>
      </c>
      <c r="AP68">
        <v>16.03</v>
      </c>
      <c r="AQ68" t="s">
        <v>672</v>
      </c>
      <c r="AR68" t="s">
        <v>819</v>
      </c>
      <c r="AS68">
        <v>87.83</v>
      </c>
      <c r="AT68">
        <v>14.08</v>
      </c>
      <c r="AU68" s="243">
        <v>40815629.850000001</v>
      </c>
      <c r="AV68">
        <v>33360000</v>
      </c>
      <c r="AW68">
        <v>122.35</v>
      </c>
      <c r="AX68" t="s">
        <v>695</v>
      </c>
      <c r="AY68" t="s">
        <v>749</v>
      </c>
      <c r="AZ68">
        <v>15.25</v>
      </c>
      <c r="BA68">
        <v>18.66</v>
      </c>
      <c r="BB68" s="243">
        <v>5530126.4699999997</v>
      </c>
      <c r="BC68">
        <v>0</v>
      </c>
      <c r="BD68" t="s">
        <v>520</v>
      </c>
      <c r="BE68" t="s">
        <v>668</v>
      </c>
      <c r="BF68" t="s">
        <v>669</v>
      </c>
      <c r="BG68">
        <v>10.77</v>
      </c>
      <c r="BH68" t="s">
        <v>520</v>
      </c>
    </row>
    <row r="69" spans="1:60">
      <c r="A69">
        <v>179</v>
      </c>
      <c r="B69" t="s">
        <v>167</v>
      </c>
      <c r="C69" t="s">
        <v>522</v>
      </c>
      <c r="D69" t="s">
        <v>7</v>
      </c>
      <c r="E69" s="243">
        <v>14734765.369999999</v>
      </c>
      <c r="F69">
        <v>11470000</v>
      </c>
      <c r="G69">
        <v>128.46</v>
      </c>
      <c r="H69" t="s">
        <v>1489</v>
      </c>
      <c r="I69" t="s">
        <v>809</v>
      </c>
      <c r="J69">
        <v>27</v>
      </c>
      <c r="K69">
        <v>34.68</v>
      </c>
      <c r="L69" s="243">
        <v>17101074</v>
      </c>
      <c r="M69">
        <v>19890000</v>
      </c>
      <c r="N69">
        <v>85.98</v>
      </c>
      <c r="O69" t="s">
        <v>1491</v>
      </c>
      <c r="P69" t="s">
        <v>818</v>
      </c>
      <c r="Q69">
        <v>60.09</v>
      </c>
      <c r="R69">
        <v>51.66</v>
      </c>
      <c r="S69" s="243">
        <v>4714425</v>
      </c>
      <c r="T69">
        <v>2844000</v>
      </c>
      <c r="U69">
        <v>165.77</v>
      </c>
      <c r="V69" t="s">
        <v>1510</v>
      </c>
      <c r="W69" t="s">
        <v>839</v>
      </c>
      <c r="X69">
        <v>67.489999999999995</v>
      </c>
      <c r="Y69">
        <v>111.88</v>
      </c>
      <c r="Z69" s="243">
        <v>712654</v>
      </c>
      <c r="AA69">
        <v>1296000</v>
      </c>
      <c r="AB69">
        <v>54.99</v>
      </c>
      <c r="AC69" t="s">
        <v>1495</v>
      </c>
      <c r="AD69" t="s">
        <v>884</v>
      </c>
      <c r="AE69">
        <v>0.06</v>
      </c>
      <c r="AF69">
        <v>0.03</v>
      </c>
      <c r="AG69" s="243">
        <v>144573</v>
      </c>
      <c r="AH69">
        <v>0</v>
      </c>
      <c r="AI69" t="s">
        <v>520</v>
      </c>
      <c r="AJ69" t="s">
        <v>1474</v>
      </c>
      <c r="AK69" t="s">
        <v>669</v>
      </c>
      <c r="AL69">
        <v>2.85</v>
      </c>
      <c r="AM69" t="s">
        <v>520</v>
      </c>
      <c r="AN69" s="243">
        <v>1270254.28</v>
      </c>
      <c r="AO69">
        <v>640000</v>
      </c>
      <c r="AP69">
        <v>198.48</v>
      </c>
      <c r="AQ69" t="s">
        <v>1494</v>
      </c>
      <c r="AR69" t="s">
        <v>720</v>
      </c>
      <c r="AS69">
        <v>43.63</v>
      </c>
      <c r="AT69">
        <v>86.59</v>
      </c>
      <c r="AU69" s="243">
        <v>38677745.649999999</v>
      </c>
      <c r="AV69">
        <v>36140000</v>
      </c>
      <c r="AW69">
        <v>107.02</v>
      </c>
      <c r="AX69" t="s">
        <v>1514</v>
      </c>
      <c r="AY69" t="s">
        <v>699</v>
      </c>
      <c r="AZ69">
        <v>46.52</v>
      </c>
      <c r="BA69">
        <v>49.79</v>
      </c>
      <c r="BB69" s="243">
        <v>5340354.37</v>
      </c>
      <c r="BC69">
        <v>0</v>
      </c>
      <c r="BD69" t="s">
        <v>520</v>
      </c>
      <c r="BE69" t="s">
        <v>1474</v>
      </c>
      <c r="BF69" t="s">
        <v>669</v>
      </c>
      <c r="BG69">
        <v>12.67</v>
      </c>
      <c r="BH69" t="s">
        <v>520</v>
      </c>
    </row>
    <row r="70" spans="1:60">
      <c r="A70">
        <v>180</v>
      </c>
      <c r="B70" t="s">
        <v>168</v>
      </c>
      <c r="C70" t="s">
        <v>525</v>
      </c>
      <c r="D70" t="s">
        <v>7</v>
      </c>
      <c r="E70" s="243">
        <v>14375622.380000001</v>
      </c>
      <c r="F70">
        <v>12560000</v>
      </c>
      <c r="G70">
        <v>114.46</v>
      </c>
      <c r="H70" t="s">
        <v>1482</v>
      </c>
      <c r="I70" t="s">
        <v>845</v>
      </c>
      <c r="J70">
        <v>23.23</v>
      </c>
      <c r="K70">
        <v>26.59</v>
      </c>
      <c r="L70" s="243">
        <v>14638426</v>
      </c>
      <c r="M70">
        <v>21780000</v>
      </c>
      <c r="N70">
        <v>67.209999999999994</v>
      </c>
      <c r="O70" t="s">
        <v>1493</v>
      </c>
      <c r="P70" t="s">
        <v>691</v>
      </c>
      <c r="Q70">
        <v>25.89</v>
      </c>
      <c r="R70">
        <v>17.399999999999999</v>
      </c>
      <c r="S70" s="243">
        <v>674779</v>
      </c>
      <c r="T70">
        <v>3282000</v>
      </c>
      <c r="U70">
        <v>20.56</v>
      </c>
      <c r="V70" t="s">
        <v>1470</v>
      </c>
      <c r="W70" t="s">
        <v>721</v>
      </c>
      <c r="X70">
        <v>0.02</v>
      </c>
      <c r="Y70">
        <v>0.01</v>
      </c>
      <c r="Z70" s="243">
        <v>153214</v>
      </c>
      <c r="AA70">
        <v>1258000</v>
      </c>
      <c r="AB70">
        <v>12.18</v>
      </c>
      <c r="AC70" t="s">
        <v>1473</v>
      </c>
      <c r="AD70" t="s">
        <v>709</v>
      </c>
      <c r="AE70">
        <v>0.15</v>
      </c>
      <c r="AF70">
        <v>0.02</v>
      </c>
      <c r="AG70" s="243">
        <v>42032</v>
      </c>
      <c r="AH70">
        <v>0</v>
      </c>
      <c r="AI70" t="s">
        <v>520</v>
      </c>
      <c r="AJ70" t="s">
        <v>1474</v>
      </c>
      <c r="AK70" t="s">
        <v>669</v>
      </c>
      <c r="AL70">
        <v>8.83</v>
      </c>
      <c r="AM70" t="s">
        <v>520</v>
      </c>
      <c r="AN70" s="243">
        <v>606760.85</v>
      </c>
      <c r="AO70">
        <v>700000</v>
      </c>
      <c r="AP70">
        <v>86.68</v>
      </c>
      <c r="AQ70" t="s">
        <v>1499</v>
      </c>
      <c r="AR70" t="s">
        <v>697</v>
      </c>
      <c r="AS70">
        <v>0</v>
      </c>
      <c r="AT70">
        <v>0</v>
      </c>
      <c r="AU70" s="243">
        <v>30490834.23</v>
      </c>
      <c r="AV70">
        <v>39580000</v>
      </c>
      <c r="AW70">
        <v>77.040000000000006</v>
      </c>
      <c r="AX70" t="s">
        <v>1470</v>
      </c>
      <c r="AY70" t="s">
        <v>822</v>
      </c>
      <c r="AZ70">
        <v>23.4</v>
      </c>
      <c r="BA70">
        <v>18.03</v>
      </c>
      <c r="BB70" s="243">
        <v>4374168.38</v>
      </c>
      <c r="BC70">
        <v>0</v>
      </c>
      <c r="BD70" t="s">
        <v>520</v>
      </c>
      <c r="BE70" t="s">
        <v>1474</v>
      </c>
      <c r="BF70" t="s">
        <v>669</v>
      </c>
      <c r="BG70">
        <v>6.63</v>
      </c>
      <c r="BH70" t="s">
        <v>520</v>
      </c>
    </row>
    <row r="71" spans="1:60">
      <c r="A71">
        <v>182</v>
      </c>
      <c r="B71" t="s">
        <v>169</v>
      </c>
      <c r="C71" t="s">
        <v>527</v>
      </c>
      <c r="D71" t="s">
        <v>7</v>
      </c>
      <c r="E71" s="243">
        <v>7528209.2400000002</v>
      </c>
      <c r="F71">
        <v>7400000</v>
      </c>
      <c r="G71">
        <v>101.73</v>
      </c>
      <c r="H71" t="s">
        <v>1513</v>
      </c>
      <c r="I71" t="s">
        <v>711</v>
      </c>
      <c r="J71">
        <v>16.329999999999998</v>
      </c>
      <c r="K71">
        <v>16.62</v>
      </c>
      <c r="L71" s="243">
        <v>9560942</v>
      </c>
      <c r="M71">
        <v>12830000</v>
      </c>
      <c r="N71">
        <v>74.52</v>
      </c>
      <c r="O71" t="s">
        <v>1476</v>
      </c>
      <c r="P71" t="s">
        <v>711</v>
      </c>
      <c r="Q71">
        <v>26.97</v>
      </c>
      <c r="R71">
        <v>20.100000000000001</v>
      </c>
      <c r="S71" s="243">
        <v>546531</v>
      </c>
      <c r="T71">
        <v>1374000</v>
      </c>
      <c r="U71">
        <v>39.78</v>
      </c>
      <c r="V71" t="s">
        <v>1493</v>
      </c>
      <c r="W71" t="s">
        <v>805</v>
      </c>
      <c r="X71">
        <v>1.61</v>
      </c>
      <c r="Y71">
        <v>0.64</v>
      </c>
      <c r="Z71" s="243">
        <v>172968</v>
      </c>
      <c r="AA71">
        <v>1296000</v>
      </c>
      <c r="AB71">
        <v>13.35</v>
      </c>
      <c r="AC71" t="s">
        <v>1492</v>
      </c>
      <c r="AD71" t="s">
        <v>789</v>
      </c>
      <c r="AE71">
        <v>0.37</v>
      </c>
      <c r="AF71">
        <v>0.05</v>
      </c>
      <c r="AG71" s="243">
        <v>97787</v>
      </c>
      <c r="AH71">
        <v>0</v>
      </c>
      <c r="AI71" t="s">
        <v>520</v>
      </c>
      <c r="AJ71" t="s">
        <v>1474</v>
      </c>
      <c r="AK71" t="s">
        <v>669</v>
      </c>
      <c r="AL71">
        <v>2.59</v>
      </c>
      <c r="AM71" t="s">
        <v>520</v>
      </c>
      <c r="AN71" s="243">
        <v>656640.21</v>
      </c>
      <c r="AO71">
        <v>410000</v>
      </c>
      <c r="AP71">
        <v>160.16</v>
      </c>
      <c r="AQ71" t="s">
        <v>1481</v>
      </c>
      <c r="AR71" t="s">
        <v>847</v>
      </c>
      <c r="AS71">
        <v>65.680000000000007</v>
      </c>
      <c r="AT71">
        <v>105.19</v>
      </c>
      <c r="AU71" s="243">
        <v>18563077.449999999</v>
      </c>
      <c r="AV71">
        <v>23310000</v>
      </c>
      <c r="AW71">
        <v>79.64</v>
      </c>
      <c r="AX71" t="s">
        <v>1486</v>
      </c>
      <c r="AY71" t="s">
        <v>779</v>
      </c>
      <c r="AZ71">
        <v>22.9</v>
      </c>
      <c r="BA71">
        <v>18.239999999999998</v>
      </c>
      <c r="BB71" s="243">
        <v>2706392.24</v>
      </c>
      <c r="BC71">
        <v>0</v>
      </c>
      <c r="BD71" t="s">
        <v>520</v>
      </c>
      <c r="BE71" t="s">
        <v>1474</v>
      </c>
      <c r="BF71" t="s">
        <v>669</v>
      </c>
      <c r="BG71">
        <v>15.1</v>
      </c>
      <c r="BH71" t="s">
        <v>520</v>
      </c>
    </row>
    <row r="72" spans="1:60">
      <c r="A72">
        <v>183</v>
      </c>
      <c r="B72" t="s">
        <v>18</v>
      </c>
      <c r="C72" t="s">
        <v>527</v>
      </c>
      <c r="D72" t="s">
        <v>7</v>
      </c>
      <c r="E72" s="243">
        <v>7591308.5999999996</v>
      </c>
      <c r="F72">
        <v>7620000</v>
      </c>
      <c r="G72">
        <v>99.62</v>
      </c>
      <c r="H72" t="s">
        <v>1509</v>
      </c>
      <c r="I72" t="s">
        <v>833</v>
      </c>
      <c r="J72">
        <v>10.25</v>
      </c>
      <c r="K72">
        <v>10.210000000000001</v>
      </c>
      <c r="L72" s="243">
        <v>10376980</v>
      </c>
      <c r="M72">
        <v>13210000</v>
      </c>
      <c r="N72">
        <v>78.55</v>
      </c>
      <c r="O72" t="s">
        <v>1513</v>
      </c>
      <c r="P72" t="s">
        <v>719</v>
      </c>
      <c r="Q72">
        <v>74.66</v>
      </c>
      <c r="R72">
        <v>58.65</v>
      </c>
      <c r="S72" s="243">
        <v>76064</v>
      </c>
      <c r="T72">
        <v>1454000</v>
      </c>
      <c r="U72">
        <v>5.23</v>
      </c>
      <c r="V72" t="s">
        <v>1508</v>
      </c>
      <c r="W72" t="s">
        <v>877</v>
      </c>
      <c r="X72">
        <v>0</v>
      </c>
      <c r="Y72">
        <v>0</v>
      </c>
      <c r="Z72" s="243">
        <v>960950</v>
      </c>
      <c r="AA72">
        <v>1296000</v>
      </c>
      <c r="AB72">
        <v>74.150000000000006</v>
      </c>
      <c r="AC72" t="s">
        <v>1510</v>
      </c>
      <c r="AD72" t="s">
        <v>823</v>
      </c>
      <c r="AE72">
        <v>0</v>
      </c>
      <c r="AF72">
        <v>0</v>
      </c>
      <c r="AG72" s="243">
        <v>38653</v>
      </c>
      <c r="AH72">
        <v>0</v>
      </c>
      <c r="AI72" t="s">
        <v>520</v>
      </c>
      <c r="AJ72" t="s">
        <v>1474</v>
      </c>
      <c r="AK72" t="s">
        <v>669</v>
      </c>
      <c r="AL72">
        <v>9.93</v>
      </c>
      <c r="AM72" t="s">
        <v>520</v>
      </c>
      <c r="AN72" s="243">
        <v>0</v>
      </c>
      <c r="AO72">
        <v>420000</v>
      </c>
      <c r="AP72">
        <v>0</v>
      </c>
      <c r="AQ72" t="s">
        <v>1470</v>
      </c>
      <c r="AR72" t="s">
        <v>680</v>
      </c>
      <c r="AS72">
        <v>0</v>
      </c>
      <c r="AT72">
        <v>0</v>
      </c>
      <c r="AU72" s="243">
        <v>19043955.600000001</v>
      </c>
      <c r="AV72">
        <v>24000000</v>
      </c>
      <c r="AW72">
        <v>79.349999999999994</v>
      </c>
      <c r="AX72" t="s">
        <v>1472</v>
      </c>
      <c r="AY72" t="s">
        <v>774</v>
      </c>
      <c r="AZ72">
        <v>44.79</v>
      </c>
      <c r="BA72">
        <v>35.54</v>
      </c>
      <c r="BB72" s="243">
        <v>3281674.6</v>
      </c>
      <c r="BC72">
        <v>0</v>
      </c>
      <c r="BD72" t="s">
        <v>520</v>
      </c>
      <c r="BE72" t="s">
        <v>1474</v>
      </c>
      <c r="BF72" t="s">
        <v>669</v>
      </c>
      <c r="BG72">
        <v>5.77</v>
      </c>
      <c r="BH72" t="s">
        <v>520</v>
      </c>
    </row>
    <row r="73" spans="1:60">
      <c r="A73">
        <v>184</v>
      </c>
      <c r="B73" t="s">
        <v>19</v>
      </c>
      <c r="C73" t="s">
        <v>524</v>
      </c>
      <c r="D73" t="s">
        <v>7</v>
      </c>
      <c r="E73" s="243">
        <v>9856112.8100000005</v>
      </c>
      <c r="F73">
        <v>8560000</v>
      </c>
      <c r="G73">
        <v>115.14</v>
      </c>
      <c r="H73" t="s">
        <v>1499</v>
      </c>
      <c r="I73" t="s">
        <v>798</v>
      </c>
      <c r="J73">
        <v>18.760000000000002</v>
      </c>
      <c r="K73">
        <v>21.6</v>
      </c>
      <c r="L73" s="243">
        <v>21456917</v>
      </c>
      <c r="M73">
        <v>14840000</v>
      </c>
      <c r="N73">
        <v>144.59</v>
      </c>
      <c r="O73" t="s">
        <v>1496</v>
      </c>
      <c r="P73" t="s">
        <v>832</v>
      </c>
      <c r="Q73">
        <v>2.6</v>
      </c>
      <c r="R73">
        <v>3.76</v>
      </c>
      <c r="S73" s="243">
        <v>6078133.5</v>
      </c>
      <c r="T73">
        <v>2259000</v>
      </c>
      <c r="U73">
        <v>269.06</v>
      </c>
      <c r="V73" t="s">
        <v>1487</v>
      </c>
      <c r="W73" t="s">
        <v>727</v>
      </c>
      <c r="X73">
        <v>0</v>
      </c>
      <c r="Y73">
        <v>0.01</v>
      </c>
      <c r="Z73" s="243">
        <v>5754</v>
      </c>
      <c r="AA73">
        <v>831000</v>
      </c>
      <c r="AB73">
        <v>0.69</v>
      </c>
      <c r="AC73" t="s">
        <v>1508</v>
      </c>
      <c r="AD73" t="s">
        <v>1621</v>
      </c>
      <c r="AE73">
        <v>0</v>
      </c>
      <c r="AF73">
        <v>0</v>
      </c>
      <c r="AG73" s="243">
        <v>16123</v>
      </c>
      <c r="AH73">
        <v>0</v>
      </c>
      <c r="AI73" t="s">
        <v>520</v>
      </c>
      <c r="AJ73" t="s">
        <v>1474</v>
      </c>
      <c r="AK73" t="s">
        <v>669</v>
      </c>
      <c r="AL73">
        <v>0.52</v>
      </c>
      <c r="AM73" t="s">
        <v>520</v>
      </c>
      <c r="AN73" s="243">
        <v>2655825.9199999999</v>
      </c>
      <c r="AO73">
        <v>470000</v>
      </c>
      <c r="AP73">
        <v>565.07000000000005</v>
      </c>
      <c r="AQ73" t="s">
        <v>1487</v>
      </c>
      <c r="AR73" t="s">
        <v>727</v>
      </c>
      <c r="AS73">
        <v>0</v>
      </c>
      <c r="AT73">
        <v>0</v>
      </c>
      <c r="AU73" s="243">
        <v>40068866.229999997</v>
      </c>
      <c r="AV73">
        <v>26960000</v>
      </c>
      <c r="AW73">
        <v>148.62</v>
      </c>
      <c r="AX73" t="s">
        <v>1480</v>
      </c>
      <c r="AY73" t="s">
        <v>679</v>
      </c>
      <c r="AZ73">
        <v>6.01</v>
      </c>
      <c r="BA73">
        <v>8.93</v>
      </c>
      <c r="BB73" s="243">
        <v>2094304.81</v>
      </c>
      <c r="BC73">
        <v>0</v>
      </c>
      <c r="BD73" t="s">
        <v>520</v>
      </c>
      <c r="BE73" t="s">
        <v>1474</v>
      </c>
      <c r="BF73" t="s">
        <v>669</v>
      </c>
      <c r="BG73">
        <v>12.85</v>
      </c>
      <c r="BH73" t="s">
        <v>520</v>
      </c>
    </row>
    <row r="74" spans="1:60">
      <c r="A74">
        <v>185</v>
      </c>
      <c r="B74" t="s">
        <v>170</v>
      </c>
      <c r="C74" t="s">
        <v>523</v>
      </c>
      <c r="D74" t="s">
        <v>7</v>
      </c>
      <c r="E74" s="243">
        <v>19478876.460000001</v>
      </c>
      <c r="F74">
        <v>13190000</v>
      </c>
      <c r="G74">
        <v>147.68</v>
      </c>
      <c r="H74" t="s">
        <v>1480</v>
      </c>
      <c r="I74" t="s">
        <v>731</v>
      </c>
      <c r="J74">
        <v>31.5</v>
      </c>
      <c r="K74">
        <v>46.52</v>
      </c>
      <c r="L74" s="243">
        <v>21166605</v>
      </c>
      <c r="M74">
        <v>22870000</v>
      </c>
      <c r="N74">
        <v>92.55</v>
      </c>
      <c r="O74" t="s">
        <v>1492</v>
      </c>
      <c r="P74" t="s">
        <v>869</v>
      </c>
      <c r="Q74">
        <v>45.42</v>
      </c>
      <c r="R74">
        <v>42.04</v>
      </c>
      <c r="S74" s="243">
        <v>1575901</v>
      </c>
      <c r="T74">
        <v>3657000</v>
      </c>
      <c r="U74">
        <v>43.09</v>
      </c>
      <c r="V74" t="s">
        <v>1490</v>
      </c>
      <c r="W74" t="s">
        <v>873</v>
      </c>
      <c r="X74">
        <v>1.06</v>
      </c>
      <c r="Y74">
        <v>0.46</v>
      </c>
      <c r="Z74" s="243">
        <v>2332809</v>
      </c>
      <c r="AA74">
        <v>1103000</v>
      </c>
      <c r="AB74">
        <v>211.5</v>
      </c>
      <c r="AC74" t="s">
        <v>1485</v>
      </c>
      <c r="AD74" t="s">
        <v>852</v>
      </c>
      <c r="AE74">
        <v>0.01</v>
      </c>
      <c r="AF74">
        <v>0.02</v>
      </c>
      <c r="AG74" s="243">
        <v>213763</v>
      </c>
      <c r="AH74">
        <v>0</v>
      </c>
      <c r="AI74" t="s">
        <v>520</v>
      </c>
      <c r="AJ74" t="s">
        <v>1474</v>
      </c>
      <c r="AK74" t="s">
        <v>669</v>
      </c>
      <c r="AL74">
        <v>5.62</v>
      </c>
      <c r="AM74" t="s">
        <v>520</v>
      </c>
      <c r="AN74" s="243">
        <v>267146.95</v>
      </c>
      <c r="AO74">
        <v>730000</v>
      </c>
      <c r="AP74">
        <v>36.6</v>
      </c>
      <c r="AQ74" t="s">
        <v>1476</v>
      </c>
      <c r="AR74" t="s">
        <v>762</v>
      </c>
      <c r="AS74">
        <v>86.98</v>
      </c>
      <c r="AT74">
        <v>31.83</v>
      </c>
      <c r="AU74" s="243">
        <v>45035101.409999996</v>
      </c>
      <c r="AV74">
        <v>41550000</v>
      </c>
      <c r="AW74">
        <v>108.39</v>
      </c>
      <c r="AX74" t="s">
        <v>1477</v>
      </c>
      <c r="AY74" t="s">
        <v>880</v>
      </c>
      <c r="AZ74">
        <v>35.549999999999997</v>
      </c>
      <c r="BA74">
        <v>38.54</v>
      </c>
      <c r="BB74" s="243">
        <v>5679386.46</v>
      </c>
      <c r="BC74">
        <v>0</v>
      </c>
      <c r="BD74" t="s">
        <v>520</v>
      </c>
      <c r="BE74" t="s">
        <v>1474</v>
      </c>
      <c r="BF74" t="s">
        <v>669</v>
      </c>
      <c r="BG74">
        <v>24.62</v>
      </c>
      <c r="BH74" t="s">
        <v>520</v>
      </c>
    </row>
    <row r="75" spans="1:60">
      <c r="A75">
        <v>186</v>
      </c>
      <c r="B75" t="s">
        <v>87</v>
      </c>
      <c r="C75" t="s">
        <v>523</v>
      </c>
      <c r="D75" t="s">
        <v>11</v>
      </c>
      <c r="E75" s="243">
        <v>6314953.9800000004</v>
      </c>
      <c r="F75">
        <v>8630000</v>
      </c>
      <c r="G75">
        <v>73.17</v>
      </c>
      <c r="H75" t="s">
        <v>1516</v>
      </c>
      <c r="I75" t="s">
        <v>721</v>
      </c>
      <c r="J75">
        <v>18.12</v>
      </c>
      <c r="K75">
        <v>13.26</v>
      </c>
      <c r="L75" s="243">
        <v>16013234</v>
      </c>
      <c r="M75">
        <v>14960000</v>
      </c>
      <c r="N75">
        <v>107.04</v>
      </c>
      <c r="O75" t="s">
        <v>1501</v>
      </c>
      <c r="P75" t="s">
        <v>879</v>
      </c>
      <c r="Q75">
        <v>17.440000000000001</v>
      </c>
      <c r="R75">
        <v>18.66</v>
      </c>
      <c r="S75" s="243">
        <v>1922346</v>
      </c>
      <c r="T75">
        <v>1410000</v>
      </c>
      <c r="U75">
        <v>136.34</v>
      </c>
      <c r="V75" t="s">
        <v>1517</v>
      </c>
      <c r="W75" t="s">
        <v>736</v>
      </c>
      <c r="X75">
        <v>6.07</v>
      </c>
      <c r="Y75">
        <v>8.27</v>
      </c>
      <c r="Z75" s="243">
        <v>764809</v>
      </c>
      <c r="AA75">
        <v>1700000</v>
      </c>
      <c r="AB75">
        <v>44.99</v>
      </c>
      <c r="AC75" t="s">
        <v>1529</v>
      </c>
      <c r="AD75" t="s">
        <v>809</v>
      </c>
      <c r="AE75">
        <v>0.01</v>
      </c>
      <c r="AF75">
        <v>0</v>
      </c>
      <c r="AG75" s="243">
        <v>18581</v>
      </c>
      <c r="AH75">
        <v>0</v>
      </c>
      <c r="AI75" t="s">
        <v>520</v>
      </c>
      <c r="AJ75" t="s">
        <v>1505</v>
      </c>
      <c r="AK75" t="s">
        <v>669</v>
      </c>
      <c r="AL75">
        <v>25.68</v>
      </c>
      <c r="AM75" t="s">
        <v>520</v>
      </c>
      <c r="AN75" s="243">
        <v>2220131.25</v>
      </c>
      <c r="AO75">
        <v>480000</v>
      </c>
      <c r="AP75">
        <v>462.53</v>
      </c>
      <c r="AQ75" t="s">
        <v>1535</v>
      </c>
      <c r="AR75" t="s">
        <v>813</v>
      </c>
      <c r="AS75">
        <v>25.05</v>
      </c>
      <c r="AT75">
        <v>115.88</v>
      </c>
      <c r="AU75" s="243">
        <v>27254055.23</v>
      </c>
      <c r="AV75">
        <v>27180000</v>
      </c>
      <c r="AW75">
        <v>100.27</v>
      </c>
      <c r="AX75" t="s">
        <v>1504</v>
      </c>
      <c r="AY75" t="s">
        <v>814</v>
      </c>
      <c r="AZ75">
        <v>16.93</v>
      </c>
      <c r="BA75">
        <v>16.98</v>
      </c>
      <c r="BB75" s="243">
        <v>2362971.98</v>
      </c>
      <c r="BC75">
        <v>0</v>
      </c>
      <c r="BD75" t="s">
        <v>520</v>
      </c>
      <c r="BE75" t="s">
        <v>1505</v>
      </c>
      <c r="BF75" t="s">
        <v>669</v>
      </c>
      <c r="BG75">
        <v>21.91</v>
      </c>
      <c r="BH75" t="s">
        <v>520</v>
      </c>
    </row>
    <row r="76" spans="1:60">
      <c r="A76">
        <v>187</v>
      </c>
      <c r="B76" t="s">
        <v>171</v>
      </c>
      <c r="C76" t="s">
        <v>524</v>
      </c>
      <c r="D76" t="s">
        <v>7</v>
      </c>
      <c r="E76" s="243">
        <v>9056900.4399999995</v>
      </c>
      <c r="F76">
        <v>8740000</v>
      </c>
      <c r="G76">
        <v>103.63</v>
      </c>
      <c r="H76" t="s">
        <v>1491</v>
      </c>
      <c r="I76" t="s">
        <v>851</v>
      </c>
      <c r="J76">
        <v>11.67</v>
      </c>
      <c r="K76">
        <v>12.09</v>
      </c>
      <c r="L76" s="243">
        <v>8070424</v>
      </c>
      <c r="M76">
        <v>15160000</v>
      </c>
      <c r="N76">
        <v>53.23</v>
      </c>
      <c r="O76" t="s">
        <v>1470</v>
      </c>
      <c r="P76" t="s">
        <v>726</v>
      </c>
      <c r="Q76">
        <v>30.35</v>
      </c>
      <c r="R76">
        <v>16.16</v>
      </c>
      <c r="S76" s="243">
        <v>3590326</v>
      </c>
      <c r="T76">
        <v>1991000</v>
      </c>
      <c r="U76">
        <v>180.33</v>
      </c>
      <c r="V76" t="s">
        <v>1498</v>
      </c>
      <c r="W76" t="s">
        <v>887</v>
      </c>
      <c r="X76">
        <v>2.66</v>
      </c>
      <c r="Y76">
        <v>4.8</v>
      </c>
      <c r="Z76" s="243">
        <v>8790420</v>
      </c>
      <c r="AA76">
        <v>1169000</v>
      </c>
      <c r="AB76">
        <v>751.96</v>
      </c>
      <c r="AC76" t="s">
        <v>1496</v>
      </c>
      <c r="AD76" t="s">
        <v>750</v>
      </c>
      <c r="AE76">
        <v>0</v>
      </c>
      <c r="AF76">
        <v>0.03</v>
      </c>
      <c r="AG76" s="243">
        <v>29271</v>
      </c>
      <c r="AH76">
        <v>0</v>
      </c>
      <c r="AI76" t="s">
        <v>520</v>
      </c>
      <c r="AJ76" t="s">
        <v>1474</v>
      </c>
      <c r="AK76" t="s">
        <v>669</v>
      </c>
      <c r="AL76">
        <v>2</v>
      </c>
      <c r="AM76" t="s">
        <v>520</v>
      </c>
      <c r="AN76" s="243">
        <v>2425062.9500000002</v>
      </c>
      <c r="AO76">
        <v>490000</v>
      </c>
      <c r="AP76">
        <v>494.91</v>
      </c>
      <c r="AQ76" t="s">
        <v>1485</v>
      </c>
      <c r="AR76" t="s">
        <v>769</v>
      </c>
      <c r="AS76">
        <v>0.45</v>
      </c>
      <c r="AT76">
        <v>2.2400000000000002</v>
      </c>
      <c r="AU76" s="243">
        <v>31962404.390000001</v>
      </c>
      <c r="AV76">
        <v>27550000</v>
      </c>
      <c r="AW76">
        <v>116.02</v>
      </c>
      <c r="AX76" t="s">
        <v>1498</v>
      </c>
      <c r="AY76" t="s">
        <v>837</v>
      </c>
      <c r="AZ76">
        <v>11.31</v>
      </c>
      <c r="BA76">
        <v>13.12</v>
      </c>
      <c r="BB76" s="243">
        <v>2795958.44</v>
      </c>
      <c r="BC76">
        <v>0</v>
      </c>
      <c r="BD76" t="s">
        <v>520</v>
      </c>
      <c r="BE76" t="s">
        <v>1474</v>
      </c>
      <c r="BF76" t="s">
        <v>669</v>
      </c>
      <c r="BG76">
        <v>4.91</v>
      </c>
      <c r="BH76" t="s">
        <v>520</v>
      </c>
    </row>
    <row r="77" spans="1:60">
      <c r="A77">
        <v>189</v>
      </c>
      <c r="B77" t="s">
        <v>172</v>
      </c>
      <c r="C77" t="s">
        <v>521</v>
      </c>
      <c r="D77" t="s">
        <v>0</v>
      </c>
      <c r="E77" s="243">
        <v>32129861.670000002</v>
      </c>
      <c r="F77">
        <v>11990000</v>
      </c>
      <c r="G77">
        <v>267.97000000000003</v>
      </c>
      <c r="H77" t="s">
        <v>668</v>
      </c>
      <c r="I77" t="s">
        <v>669</v>
      </c>
      <c r="J77">
        <v>4.32</v>
      </c>
      <c r="K77">
        <v>11.58</v>
      </c>
      <c r="L77" s="243">
        <v>17815045</v>
      </c>
      <c r="M77">
        <v>20790000</v>
      </c>
      <c r="N77">
        <v>85.69</v>
      </c>
      <c r="O77" t="s">
        <v>712</v>
      </c>
      <c r="P77" t="s">
        <v>744</v>
      </c>
      <c r="Q77">
        <v>3.31</v>
      </c>
      <c r="R77">
        <v>2.84</v>
      </c>
      <c r="S77" s="243">
        <v>4094901</v>
      </c>
      <c r="T77">
        <v>2703000</v>
      </c>
      <c r="U77">
        <v>151.49</v>
      </c>
      <c r="V77" t="s">
        <v>783</v>
      </c>
      <c r="W77" t="s">
        <v>667</v>
      </c>
      <c r="X77">
        <v>15.43</v>
      </c>
      <c r="Y77">
        <v>23.37</v>
      </c>
      <c r="Z77" s="243">
        <v>3076352</v>
      </c>
      <c r="AA77">
        <v>1617000</v>
      </c>
      <c r="AB77">
        <v>190.25</v>
      </c>
      <c r="AC77" t="s">
        <v>666</v>
      </c>
      <c r="AD77" t="s">
        <v>667</v>
      </c>
      <c r="AE77">
        <v>0.09</v>
      </c>
      <c r="AF77">
        <v>0.18</v>
      </c>
      <c r="AG77" s="243">
        <v>21533</v>
      </c>
      <c r="AH77">
        <v>0</v>
      </c>
      <c r="AI77" t="s">
        <v>520</v>
      </c>
      <c r="AJ77" t="s">
        <v>668</v>
      </c>
      <c r="AK77" t="s">
        <v>669</v>
      </c>
      <c r="AL77">
        <v>15.86</v>
      </c>
      <c r="AM77" t="s">
        <v>520</v>
      </c>
      <c r="AN77" s="243">
        <v>440841.21</v>
      </c>
      <c r="AO77">
        <v>670000</v>
      </c>
      <c r="AP77">
        <v>65.8</v>
      </c>
      <c r="AQ77" t="s">
        <v>817</v>
      </c>
      <c r="AR77" t="s">
        <v>880</v>
      </c>
      <c r="AS77">
        <v>0</v>
      </c>
      <c r="AT77">
        <v>0</v>
      </c>
      <c r="AU77" s="243">
        <v>57578533.880000003</v>
      </c>
      <c r="AV77">
        <v>37770000</v>
      </c>
      <c r="AW77">
        <v>152.44999999999999</v>
      </c>
      <c r="AX77" t="s">
        <v>716</v>
      </c>
      <c r="AY77" t="s">
        <v>863</v>
      </c>
      <c r="AZ77">
        <v>4.54</v>
      </c>
      <c r="BA77">
        <v>6.93</v>
      </c>
      <c r="BB77" s="243">
        <v>6091987.6699999999</v>
      </c>
      <c r="BC77">
        <v>0</v>
      </c>
      <c r="BD77" t="s">
        <v>520</v>
      </c>
      <c r="BE77" t="s">
        <v>668</v>
      </c>
      <c r="BF77" t="s">
        <v>669</v>
      </c>
      <c r="BG77">
        <v>6.78</v>
      </c>
      <c r="BH77" t="s">
        <v>520</v>
      </c>
    </row>
    <row r="78" spans="1:60">
      <c r="A78">
        <v>190</v>
      </c>
      <c r="B78" t="s">
        <v>173</v>
      </c>
      <c r="C78" t="s">
        <v>523</v>
      </c>
      <c r="D78" t="s">
        <v>7</v>
      </c>
      <c r="E78" s="243">
        <v>14814616.42</v>
      </c>
      <c r="F78">
        <v>10010000</v>
      </c>
      <c r="G78">
        <v>148</v>
      </c>
      <c r="H78" t="s">
        <v>1479</v>
      </c>
      <c r="I78" t="s">
        <v>876</v>
      </c>
      <c r="J78">
        <v>8.1199999999999992</v>
      </c>
      <c r="K78">
        <v>12.01</v>
      </c>
      <c r="L78" s="243">
        <v>12417148</v>
      </c>
      <c r="M78">
        <v>17350000</v>
      </c>
      <c r="N78">
        <v>71.569999999999993</v>
      </c>
      <c r="O78" t="s">
        <v>1490</v>
      </c>
      <c r="P78" t="s">
        <v>755</v>
      </c>
      <c r="Q78">
        <v>36.270000000000003</v>
      </c>
      <c r="R78">
        <v>25.96</v>
      </c>
      <c r="S78" s="243">
        <v>2146622.25</v>
      </c>
      <c r="T78">
        <v>2779000</v>
      </c>
      <c r="U78">
        <v>77.239999999999995</v>
      </c>
      <c r="V78" t="s">
        <v>1473</v>
      </c>
      <c r="W78" t="s">
        <v>697</v>
      </c>
      <c r="X78">
        <v>1.48</v>
      </c>
      <c r="Y78">
        <v>1.1399999999999999</v>
      </c>
      <c r="Z78" s="243">
        <v>93527</v>
      </c>
      <c r="AA78">
        <v>831000</v>
      </c>
      <c r="AB78">
        <v>11.25</v>
      </c>
      <c r="AC78" t="s">
        <v>1509</v>
      </c>
      <c r="AD78" t="s">
        <v>805</v>
      </c>
      <c r="AE78">
        <v>1.58</v>
      </c>
      <c r="AF78">
        <v>0.18</v>
      </c>
      <c r="AG78" s="243">
        <v>43838</v>
      </c>
      <c r="AH78">
        <v>0</v>
      </c>
      <c r="AI78" t="s">
        <v>520</v>
      </c>
      <c r="AJ78" t="s">
        <v>1474</v>
      </c>
      <c r="AK78" t="s">
        <v>669</v>
      </c>
      <c r="AL78">
        <v>6.32</v>
      </c>
      <c r="AM78" t="s">
        <v>520</v>
      </c>
      <c r="AN78" s="243">
        <v>339306.25</v>
      </c>
      <c r="AO78">
        <v>560000</v>
      </c>
      <c r="AP78">
        <v>60.59</v>
      </c>
      <c r="AQ78" t="s">
        <v>1491</v>
      </c>
      <c r="AR78" t="s">
        <v>865</v>
      </c>
      <c r="AS78">
        <v>0</v>
      </c>
      <c r="AT78">
        <v>0</v>
      </c>
      <c r="AU78" s="243">
        <v>29855057.920000002</v>
      </c>
      <c r="AV78">
        <v>31530000</v>
      </c>
      <c r="AW78">
        <v>94.69</v>
      </c>
      <c r="AX78" t="s">
        <v>1509</v>
      </c>
      <c r="AY78" t="s">
        <v>789</v>
      </c>
      <c r="AZ78">
        <v>19.23</v>
      </c>
      <c r="BA78">
        <v>18.21</v>
      </c>
      <c r="BB78" s="243">
        <v>4590812.42</v>
      </c>
      <c r="BC78">
        <v>0</v>
      </c>
      <c r="BD78" t="s">
        <v>520</v>
      </c>
      <c r="BE78" t="s">
        <v>1474</v>
      </c>
      <c r="BF78" t="s">
        <v>669</v>
      </c>
      <c r="BG78">
        <v>8.35</v>
      </c>
      <c r="BH78" t="s">
        <v>520</v>
      </c>
    </row>
    <row r="79" spans="1:60">
      <c r="A79">
        <v>191</v>
      </c>
      <c r="B79" t="s">
        <v>20</v>
      </c>
      <c r="C79" t="s">
        <v>525</v>
      </c>
      <c r="D79" t="s">
        <v>11</v>
      </c>
      <c r="E79" s="243">
        <v>20659415.25</v>
      </c>
      <c r="F79">
        <v>12840000</v>
      </c>
      <c r="G79">
        <v>160.9</v>
      </c>
      <c r="H79" t="s">
        <v>1527</v>
      </c>
      <c r="I79" t="s">
        <v>839</v>
      </c>
      <c r="J79">
        <v>20.82</v>
      </c>
      <c r="K79">
        <v>33.5</v>
      </c>
      <c r="L79" s="243">
        <v>25229314</v>
      </c>
      <c r="M79">
        <v>22270000</v>
      </c>
      <c r="N79">
        <v>113.29</v>
      </c>
      <c r="O79" t="s">
        <v>1539</v>
      </c>
      <c r="P79" t="s">
        <v>864</v>
      </c>
      <c r="Q79">
        <v>20.85</v>
      </c>
      <c r="R79">
        <v>23.63</v>
      </c>
      <c r="S79" s="243">
        <v>2997135</v>
      </c>
      <c r="T79">
        <v>3310000</v>
      </c>
      <c r="U79">
        <v>90.55</v>
      </c>
      <c r="V79" t="s">
        <v>1540</v>
      </c>
      <c r="W79" t="s">
        <v>799</v>
      </c>
      <c r="X79">
        <v>3.78</v>
      </c>
      <c r="Y79">
        <v>3.42</v>
      </c>
      <c r="Z79" s="243">
        <v>772047</v>
      </c>
      <c r="AA79">
        <v>1330000</v>
      </c>
      <c r="AB79">
        <v>58.05</v>
      </c>
      <c r="AC79" t="s">
        <v>1503</v>
      </c>
      <c r="AD79" t="s">
        <v>733</v>
      </c>
      <c r="AE79">
        <v>1.1299999999999999</v>
      </c>
      <c r="AF79">
        <v>0.66</v>
      </c>
      <c r="AG79" s="243">
        <v>128971</v>
      </c>
      <c r="AH79">
        <v>0</v>
      </c>
      <c r="AI79" t="s">
        <v>520</v>
      </c>
      <c r="AJ79" t="s">
        <v>1505</v>
      </c>
      <c r="AK79" t="s">
        <v>669</v>
      </c>
      <c r="AL79">
        <v>5.18</v>
      </c>
      <c r="AM79" t="s">
        <v>520</v>
      </c>
      <c r="AN79" s="243">
        <v>7479245.3200000003</v>
      </c>
      <c r="AO79">
        <v>710000</v>
      </c>
      <c r="AP79">
        <v>1053.4100000000001</v>
      </c>
      <c r="AQ79" t="s">
        <v>1505</v>
      </c>
      <c r="AR79" t="s">
        <v>883</v>
      </c>
      <c r="AS79">
        <v>15.38</v>
      </c>
      <c r="AT79">
        <v>161.97</v>
      </c>
      <c r="AU79" s="243">
        <v>57266127.57</v>
      </c>
      <c r="AV79">
        <v>40460000</v>
      </c>
      <c r="AW79">
        <v>141.54</v>
      </c>
      <c r="AX79" t="s">
        <v>1517</v>
      </c>
      <c r="AY79" t="s">
        <v>890</v>
      </c>
      <c r="AZ79">
        <v>18.93</v>
      </c>
      <c r="BA79">
        <v>26.79</v>
      </c>
      <c r="BB79" s="243">
        <v>5571605.25</v>
      </c>
      <c r="BC79">
        <v>0</v>
      </c>
      <c r="BD79" t="s">
        <v>520</v>
      </c>
      <c r="BE79" t="s">
        <v>1505</v>
      </c>
      <c r="BF79" t="s">
        <v>669</v>
      </c>
      <c r="BG79">
        <v>18.34</v>
      </c>
      <c r="BH79" t="s">
        <v>520</v>
      </c>
    </row>
    <row r="80" spans="1:60">
      <c r="A80">
        <v>192</v>
      </c>
      <c r="B80" t="s">
        <v>174</v>
      </c>
      <c r="C80" t="s">
        <v>519</v>
      </c>
      <c r="D80" t="s">
        <v>7</v>
      </c>
      <c r="E80" s="243">
        <v>7444325.3200000003</v>
      </c>
      <c r="F80">
        <v>12480000</v>
      </c>
      <c r="G80">
        <v>59.65</v>
      </c>
      <c r="H80" t="s">
        <v>1508</v>
      </c>
      <c r="I80" t="s">
        <v>673</v>
      </c>
      <c r="J80">
        <v>11.82</v>
      </c>
      <c r="K80">
        <v>7.05</v>
      </c>
      <c r="L80" s="243">
        <v>20101670</v>
      </c>
      <c r="M80">
        <v>21640000</v>
      </c>
      <c r="N80">
        <v>92.89</v>
      </c>
      <c r="O80" t="s">
        <v>1511</v>
      </c>
      <c r="P80" t="s">
        <v>845</v>
      </c>
      <c r="Q80">
        <v>10.39</v>
      </c>
      <c r="R80">
        <v>9.65</v>
      </c>
      <c r="S80" s="243">
        <v>950489</v>
      </c>
      <c r="T80">
        <v>2597000</v>
      </c>
      <c r="U80">
        <v>36.6</v>
      </c>
      <c r="V80" t="s">
        <v>1486</v>
      </c>
      <c r="W80" t="s">
        <v>855</v>
      </c>
      <c r="X80">
        <v>0.85</v>
      </c>
      <c r="Y80">
        <v>0.31</v>
      </c>
      <c r="Z80" s="243">
        <v>75568</v>
      </c>
      <c r="AA80">
        <v>1913000</v>
      </c>
      <c r="AB80">
        <v>3.95</v>
      </c>
      <c r="AC80" t="s">
        <v>1490</v>
      </c>
      <c r="AD80" t="s">
        <v>721</v>
      </c>
      <c r="AE80">
        <v>14.74</v>
      </c>
      <c r="AF80">
        <v>0.57999999999999996</v>
      </c>
      <c r="AG80" s="243">
        <v>128453</v>
      </c>
      <c r="AH80">
        <v>0</v>
      </c>
      <c r="AI80" t="s">
        <v>520</v>
      </c>
      <c r="AJ80" t="s">
        <v>1474</v>
      </c>
      <c r="AK80" t="s">
        <v>669</v>
      </c>
      <c r="AL80">
        <v>0.28000000000000003</v>
      </c>
      <c r="AM80" t="s">
        <v>520</v>
      </c>
      <c r="AN80" s="243">
        <v>8879626.4100000001</v>
      </c>
      <c r="AO80">
        <v>690000</v>
      </c>
      <c r="AP80">
        <v>1286.9000000000001</v>
      </c>
      <c r="AQ80" t="s">
        <v>1474</v>
      </c>
      <c r="AR80" t="s">
        <v>692</v>
      </c>
      <c r="AS80">
        <v>0</v>
      </c>
      <c r="AT80">
        <v>0</v>
      </c>
      <c r="AU80" s="243">
        <v>37580131.729999997</v>
      </c>
      <c r="AV80">
        <v>39320000</v>
      </c>
      <c r="AW80">
        <v>95.58</v>
      </c>
      <c r="AX80" t="s">
        <v>1478</v>
      </c>
      <c r="AY80" t="s">
        <v>833</v>
      </c>
      <c r="AZ80">
        <v>7.95</v>
      </c>
      <c r="BA80">
        <v>7.6</v>
      </c>
      <c r="BB80" s="243">
        <v>2847196.32</v>
      </c>
      <c r="BC80">
        <v>0</v>
      </c>
      <c r="BD80" t="s">
        <v>520</v>
      </c>
      <c r="BE80" t="s">
        <v>1474</v>
      </c>
      <c r="BF80" t="s">
        <v>669</v>
      </c>
      <c r="BG80">
        <v>7.08</v>
      </c>
      <c r="BH80" t="s">
        <v>520</v>
      </c>
    </row>
    <row r="81" spans="1:60">
      <c r="A81">
        <v>193</v>
      </c>
      <c r="B81" t="s">
        <v>21</v>
      </c>
      <c r="C81" t="s">
        <v>525</v>
      </c>
      <c r="D81" t="s">
        <v>11</v>
      </c>
      <c r="E81" s="243">
        <v>11090386.1</v>
      </c>
      <c r="F81">
        <v>10560000</v>
      </c>
      <c r="G81">
        <v>105.02</v>
      </c>
      <c r="H81" t="s">
        <v>1530</v>
      </c>
      <c r="I81" t="s">
        <v>746</v>
      </c>
      <c r="J81">
        <v>12.49</v>
      </c>
      <c r="K81">
        <v>13.12</v>
      </c>
      <c r="L81" s="243">
        <v>9179268</v>
      </c>
      <c r="M81">
        <v>18300000</v>
      </c>
      <c r="N81">
        <v>50.16</v>
      </c>
      <c r="O81" t="s">
        <v>1533</v>
      </c>
      <c r="P81" t="s">
        <v>710</v>
      </c>
      <c r="Q81">
        <v>62.94</v>
      </c>
      <c r="R81">
        <v>31.57</v>
      </c>
      <c r="S81" s="243">
        <v>1026050</v>
      </c>
      <c r="T81">
        <v>2193000</v>
      </c>
      <c r="U81">
        <v>46.79</v>
      </c>
      <c r="V81" t="s">
        <v>1520</v>
      </c>
      <c r="W81" t="s">
        <v>789</v>
      </c>
      <c r="X81">
        <v>54.82</v>
      </c>
      <c r="Y81">
        <v>25.65</v>
      </c>
      <c r="Z81" s="243">
        <v>6282482</v>
      </c>
      <c r="AA81">
        <v>1617000</v>
      </c>
      <c r="AB81">
        <v>388.53</v>
      </c>
      <c r="AC81" t="s">
        <v>1517</v>
      </c>
      <c r="AD81" t="s">
        <v>735</v>
      </c>
      <c r="AE81">
        <v>0</v>
      </c>
      <c r="AF81">
        <v>0</v>
      </c>
      <c r="AG81" s="243">
        <v>55673</v>
      </c>
      <c r="AH81">
        <v>0</v>
      </c>
      <c r="AI81" t="s">
        <v>520</v>
      </c>
      <c r="AJ81" t="s">
        <v>1505</v>
      </c>
      <c r="AK81" t="s">
        <v>669</v>
      </c>
      <c r="AL81">
        <v>5.66</v>
      </c>
      <c r="AM81" t="s">
        <v>520</v>
      </c>
      <c r="AN81" s="243">
        <v>355210.77</v>
      </c>
      <c r="AO81">
        <v>590000</v>
      </c>
      <c r="AP81">
        <v>60.21</v>
      </c>
      <c r="AQ81" t="s">
        <v>1522</v>
      </c>
      <c r="AR81" t="s">
        <v>665</v>
      </c>
      <c r="AS81">
        <v>40.18</v>
      </c>
      <c r="AT81">
        <v>24.19</v>
      </c>
      <c r="AU81" s="243">
        <v>27989069.870000001</v>
      </c>
      <c r="AV81">
        <v>33260000</v>
      </c>
      <c r="AW81">
        <v>84.15</v>
      </c>
      <c r="AX81" t="s">
        <v>1533</v>
      </c>
      <c r="AY81" t="s">
        <v>782</v>
      </c>
      <c r="AZ81">
        <v>28.12</v>
      </c>
      <c r="BA81">
        <v>23.66</v>
      </c>
      <c r="BB81" s="243">
        <v>4243665.0999999996</v>
      </c>
      <c r="BC81">
        <v>0</v>
      </c>
      <c r="BD81" t="s">
        <v>520</v>
      </c>
      <c r="BE81" t="s">
        <v>1505</v>
      </c>
      <c r="BF81" t="s">
        <v>669</v>
      </c>
      <c r="BG81">
        <v>9.49</v>
      </c>
      <c r="BH81" t="s">
        <v>520</v>
      </c>
    </row>
    <row r="82" spans="1:60">
      <c r="A82">
        <v>194</v>
      </c>
      <c r="B82" t="s">
        <v>175</v>
      </c>
      <c r="C82" t="s">
        <v>524</v>
      </c>
      <c r="D82" t="s">
        <v>11</v>
      </c>
      <c r="E82" s="243">
        <v>8702936.4399999995</v>
      </c>
      <c r="F82">
        <v>9640000</v>
      </c>
      <c r="G82">
        <v>90.28</v>
      </c>
      <c r="H82" t="s">
        <v>1521</v>
      </c>
      <c r="I82" t="s">
        <v>819</v>
      </c>
      <c r="J82">
        <v>8.06</v>
      </c>
      <c r="K82">
        <v>7.28</v>
      </c>
      <c r="L82" s="243">
        <v>8362319</v>
      </c>
      <c r="M82">
        <v>16710000</v>
      </c>
      <c r="N82">
        <v>50.04</v>
      </c>
      <c r="O82" t="s">
        <v>1507</v>
      </c>
      <c r="P82" t="s">
        <v>775</v>
      </c>
      <c r="Q82">
        <v>42.89</v>
      </c>
      <c r="R82">
        <v>21.46</v>
      </c>
      <c r="S82" s="243">
        <v>1367007</v>
      </c>
      <c r="T82">
        <v>2649000</v>
      </c>
      <c r="U82">
        <v>51.6</v>
      </c>
      <c r="V82" t="s">
        <v>1536</v>
      </c>
      <c r="W82" t="s">
        <v>711</v>
      </c>
      <c r="X82">
        <v>16.850000000000001</v>
      </c>
      <c r="Y82">
        <v>8.69</v>
      </c>
      <c r="Z82" s="243">
        <v>34620</v>
      </c>
      <c r="AA82">
        <v>831000</v>
      </c>
      <c r="AB82">
        <v>4.17</v>
      </c>
      <c r="AC82" t="s">
        <v>1507</v>
      </c>
      <c r="AD82" t="s">
        <v>811</v>
      </c>
      <c r="AE82">
        <v>13.23</v>
      </c>
      <c r="AF82">
        <v>0.55000000000000004</v>
      </c>
      <c r="AG82" s="243">
        <v>15155</v>
      </c>
      <c r="AH82">
        <v>0</v>
      </c>
      <c r="AI82" t="s">
        <v>520</v>
      </c>
      <c r="AJ82" t="s">
        <v>1505</v>
      </c>
      <c r="AK82" t="s">
        <v>669</v>
      </c>
      <c r="AL82">
        <v>3.62</v>
      </c>
      <c r="AM82" t="s">
        <v>520</v>
      </c>
      <c r="AN82" s="243">
        <v>816312.36</v>
      </c>
      <c r="AO82">
        <v>530000</v>
      </c>
      <c r="AP82">
        <v>154.02000000000001</v>
      </c>
      <c r="AQ82" t="s">
        <v>1528</v>
      </c>
      <c r="AR82" t="s">
        <v>706</v>
      </c>
      <c r="AS82">
        <v>5.09</v>
      </c>
      <c r="AT82">
        <v>7.84</v>
      </c>
      <c r="AU82" s="243">
        <v>19298349.800000001</v>
      </c>
      <c r="AV82">
        <v>30360000</v>
      </c>
      <c r="AW82">
        <v>63.57</v>
      </c>
      <c r="AX82" t="s">
        <v>1502</v>
      </c>
      <c r="AY82" t="s">
        <v>760</v>
      </c>
      <c r="AZ82">
        <v>23.66</v>
      </c>
      <c r="BA82">
        <v>15.04</v>
      </c>
      <c r="BB82" s="243">
        <v>3648371.44</v>
      </c>
      <c r="BC82">
        <v>0</v>
      </c>
      <c r="BD82" t="s">
        <v>520</v>
      </c>
      <c r="BE82" t="s">
        <v>1505</v>
      </c>
      <c r="BF82" t="s">
        <v>669</v>
      </c>
      <c r="BG82">
        <v>6.48</v>
      </c>
      <c r="BH82" t="s">
        <v>520</v>
      </c>
    </row>
    <row r="83" spans="1:60">
      <c r="A83">
        <v>195</v>
      </c>
      <c r="B83" t="s">
        <v>22</v>
      </c>
      <c r="C83" t="s">
        <v>527</v>
      </c>
      <c r="D83" t="s">
        <v>7</v>
      </c>
      <c r="E83" s="243">
        <v>11406447.68</v>
      </c>
      <c r="F83">
        <v>7650000</v>
      </c>
      <c r="G83">
        <v>149.1</v>
      </c>
      <c r="H83" t="s">
        <v>1485</v>
      </c>
      <c r="I83" t="s">
        <v>796</v>
      </c>
      <c r="J83">
        <v>9.11</v>
      </c>
      <c r="K83">
        <v>13.59</v>
      </c>
      <c r="L83" s="243">
        <v>8682675</v>
      </c>
      <c r="M83">
        <v>13260000</v>
      </c>
      <c r="N83">
        <v>65.48</v>
      </c>
      <c r="O83" t="s">
        <v>1486</v>
      </c>
      <c r="P83" t="s">
        <v>740</v>
      </c>
      <c r="Q83">
        <v>38.909999999999997</v>
      </c>
      <c r="R83">
        <v>25.48</v>
      </c>
      <c r="S83" s="243">
        <v>1425287</v>
      </c>
      <c r="T83">
        <v>1929000</v>
      </c>
      <c r="U83">
        <v>73.89</v>
      </c>
      <c r="V83" t="s">
        <v>1513</v>
      </c>
      <c r="W83" t="s">
        <v>875</v>
      </c>
      <c r="X83">
        <v>3.32</v>
      </c>
      <c r="Y83">
        <v>2.4500000000000002</v>
      </c>
      <c r="Z83" s="243">
        <v>215339</v>
      </c>
      <c r="AA83">
        <v>831000</v>
      </c>
      <c r="AB83">
        <v>25.91</v>
      </c>
      <c r="AC83" t="s">
        <v>1514</v>
      </c>
      <c r="AD83" t="s">
        <v>808</v>
      </c>
      <c r="AE83">
        <v>0.24</v>
      </c>
      <c r="AF83">
        <v>0.06</v>
      </c>
      <c r="AG83" s="243">
        <v>60399</v>
      </c>
      <c r="AH83">
        <v>0</v>
      </c>
      <c r="AI83" t="s">
        <v>520</v>
      </c>
      <c r="AJ83" t="s">
        <v>1474</v>
      </c>
      <c r="AK83" t="s">
        <v>669</v>
      </c>
      <c r="AL83">
        <v>15.47</v>
      </c>
      <c r="AM83" t="s">
        <v>520</v>
      </c>
      <c r="AN83" s="243">
        <v>169941.96</v>
      </c>
      <c r="AO83">
        <v>420000</v>
      </c>
      <c r="AP83">
        <v>40.46</v>
      </c>
      <c r="AQ83" t="s">
        <v>1509</v>
      </c>
      <c r="AR83" t="s">
        <v>770</v>
      </c>
      <c r="AS83">
        <v>47.13</v>
      </c>
      <c r="AT83">
        <v>19.07</v>
      </c>
      <c r="AU83" s="243">
        <v>21960089.640000001</v>
      </c>
      <c r="AV83">
        <v>24090000</v>
      </c>
      <c r="AW83">
        <v>91.16</v>
      </c>
      <c r="AX83" t="s">
        <v>1490</v>
      </c>
      <c r="AY83" t="s">
        <v>846</v>
      </c>
      <c r="AZ83">
        <v>20.74</v>
      </c>
      <c r="BA83">
        <v>18.91</v>
      </c>
      <c r="BB83" s="243">
        <v>4458797.68</v>
      </c>
      <c r="BC83">
        <v>0</v>
      </c>
      <c r="BD83" t="s">
        <v>520</v>
      </c>
      <c r="BE83" t="s">
        <v>1474</v>
      </c>
      <c r="BF83" t="s">
        <v>669</v>
      </c>
      <c r="BG83">
        <v>8.9700000000000006</v>
      </c>
      <c r="BH83" t="s">
        <v>520</v>
      </c>
    </row>
    <row r="84" spans="1:60">
      <c r="A84">
        <v>196</v>
      </c>
      <c r="B84" t="s">
        <v>88</v>
      </c>
      <c r="C84" t="s">
        <v>523</v>
      </c>
      <c r="D84" t="s">
        <v>11</v>
      </c>
      <c r="E84" s="243">
        <v>11834026.130000001</v>
      </c>
      <c r="F84">
        <v>9300000</v>
      </c>
      <c r="G84">
        <v>127.25</v>
      </c>
      <c r="H84" t="s">
        <v>1534</v>
      </c>
      <c r="I84" t="s">
        <v>804</v>
      </c>
      <c r="J84">
        <v>23.53</v>
      </c>
      <c r="K84">
        <v>29.94</v>
      </c>
      <c r="L84" s="243">
        <v>10547023</v>
      </c>
      <c r="M84">
        <v>16130000</v>
      </c>
      <c r="N84">
        <v>65.39</v>
      </c>
      <c r="O84" t="s">
        <v>1524</v>
      </c>
      <c r="P84" t="s">
        <v>805</v>
      </c>
      <c r="Q84">
        <v>22.16</v>
      </c>
      <c r="R84">
        <v>14.49</v>
      </c>
      <c r="S84" s="243">
        <v>1071901</v>
      </c>
      <c r="T84">
        <v>1969000</v>
      </c>
      <c r="U84">
        <v>54.44</v>
      </c>
      <c r="V84" t="s">
        <v>1526</v>
      </c>
      <c r="W84" t="s">
        <v>719</v>
      </c>
      <c r="X84">
        <v>12.36</v>
      </c>
      <c r="Y84">
        <v>6.73</v>
      </c>
      <c r="Z84" s="243">
        <v>984840</v>
      </c>
      <c r="AA84">
        <v>1381000</v>
      </c>
      <c r="AB84">
        <v>71.31</v>
      </c>
      <c r="AC84" t="s">
        <v>1522</v>
      </c>
      <c r="AD84" t="s">
        <v>767</v>
      </c>
      <c r="AE84">
        <v>3.18</v>
      </c>
      <c r="AF84">
        <v>2.27</v>
      </c>
      <c r="AG84" s="243">
        <v>17731</v>
      </c>
      <c r="AH84">
        <v>0</v>
      </c>
      <c r="AI84" t="s">
        <v>520</v>
      </c>
      <c r="AJ84" t="s">
        <v>1505</v>
      </c>
      <c r="AK84" t="s">
        <v>669</v>
      </c>
      <c r="AL84">
        <v>11.61</v>
      </c>
      <c r="AM84" t="s">
        <v>520</v>
      </c>
      <c r="AN84" s="243">
        <v>325088.74</v>
      </c>
      <c r="AO84">
        <v>520000</v>
      </c>
      <c r="AP84">
        <v>62.52</v>
      </c>
      <c r="AQ84" t="s">
        <v>1531</v>
      </c>
      <c r="AR84" t="s">
        <v>699</v>
      </c>
      <c r="AS84">
        <v>49.48</v>
      </c>
      <c r="AT84">
        <v>30.93</v>
      </c>
      <c r="AU84" s="243">
        <v>24780609.870000001</v>
      </c>
      <c r="AV84">
        <v>29300000</v>
      </c>
      <c r="AW84">
        <v>84.58</v>
      </c>
      <c r="AX84" t="s">
        <v>1516</v>
      </c>
      <c r="AY84" t="s">
        <v>768</v>
      </c>
      <c r="AZ84">
        <v>21.99</v>
      </c>
      <c r="BA84">
        <v>18.59</v>
      </c>
      <c r="BB84" s="243">
        <v>2783320.13</v>
      </c>
      <c r="BC84">
        <v>0</v>
      </c>
      <c r="BD84" t="s">
        <v>520</v>
      </c>
      <c r="BE84" t="s">
        <v>1505</v>
      </c>
      <c r="BF84" t="s">
        <v>669</v>
      </c>
      <c r="BG84">
        <v>17.72</v>
      </c>
      <c r="BH84" t="s">
        <v>520</v>
      </c>
    </row>
    <row r="85" spans="1:60">
      <c r="A85">
        <v>197</v>
      </c>
      <c r="B85" t="s">
        <v>23</v>
      </c>
      <c r="C85" t="s">
        <v>527</v>
      </c>
      <c r="D85" t="s">
        <v>11</v>
      </c>
      <c r="E85" s="243">
        <v>9116746.3900000006</v>
      </c>
      <c r="F85">
        <v>4130000</v>
      </c>
      <c r="G85">
        <v>220.74</v>
      </c>
      <c r="H85" t="s">
        <v>1505</v>
      </c>
      <c r="I85" t="s">
        <v>883</v>
      </c>
      <c r="J85">
        <v>66.739999999999995</v>
      </c>
      <c r="K85">
        <v>147.33000000000001</v>
      </c>
      <c r="L85" s="243">
        <v>11295115</v>
      </c>
      <c r="M85">
        <v>7160000</v>
      </c>
      <c r="N85">
        <v>157.75</v>
      </c>
      <c r="O85" t="s">
        <v>1517</v>
      </c>
      <c r="P85" t="s">
        <v>863</v>
      </c>
      <c r="Q85">
        <v>72.819999999999993</v>
      </c>
      <c r="R85">
        <v>114.88</v>
      </c>
      <c r="S85" s="243">
        <v>755627</v>
      </c>
      <c r="T85">
        <v>432000</v>
      </c>
      <c r="U85">
        <v>174.91</v>
      </c>
      <c r="V85" t="s">
        <v>1535</v>
      </c>
      <c r="W85" t="s">
        <v>832</v>
      </c>
      <c r="X85">
        <v>32.979999999999997</v>
      </c>
      <c r="Y85">
        <v>57.68</v>
      </c>
      <c r="Z85" s="243">
        <v>1187685</v>
      </c>
      <c r="AA85">
        <v>1058000</v>
      </c>
      <c r="AB85">
        <v>112.26</v>
      </c>
      <c r="AC85" t="s">
        <v>1501</v>
      </c>
      <c r="AD85" t="s">
        <v>685</v>
      </c>
      <c r="AE85">
        <v>4.71</v>
      </c>
      <c r="AF85">
        <v>5.29</v>
      </c>
      <c r="AG85" s="243">
        <v>10915</v>
      </c>
      <c r="AH85">
        <v>0</v>
      </c>
      <c r="AI85" t="s">
        <v>520</v>
      </c>
      <c r="AJ85" t="s">
        <v>1505</v>
      </c>
      <c r="AK85" t="s">
        <v>669</v>
      </c>
      <c r="AL85">
        <v>35.18</v>
      </c>
      <c r="AM85" t="s">
        <v>520</v>
      </c>
      <c r="AN85" s="243">
        <v>0</v>
      </c>
      <c r="AO85">
        <v>230000</v>
      </c>
      <c r="AP85">
        <v>0</v>
      </c>
      <c r="AQ85" t="s">
        <v>1533</v>
      </c>
      <c r="AR85" t="s">
        <v>680</v>
      </c>
      <c r="AS85">
        <v>0</v>
      </c>
      <c r="AT85">
        <v>0</v>
      </c>
      <c r="AU85" s="243">
        <v>22366088.390000001</v>
      </c>
      <c r="AV85">
        <v>13010000</v>
      </c>
      <c r="AW85">
        <v>171.91</v>
      </c>
      <c r="AX85" t="s">
        <v>1541</v>
      </c>
      <c r="AY85" t="s">
        <v>763</v>
      </c>
      <c r="AZ85">
        <v>65.36</v>
      </c>
      <c r="BA85">
        <v>112.37</v>
      </c>
      <c r="BB85" s="243">
        <v>1331936.3899999999</v>
      </c>
      <c r="BC85">
        <v>0</v>
      </c>
      <c r="BD85" t="s">
        <v>520</v>
      </c>
      <c r="BE85" t="s">
        <v>1505</v>
      </c>
      <c r="BF85" t="s">
        <v>669</v>
      </c>
      <c r="BG85">
        <v>29.04</v>
      </c>
      <c r="BH85" t="s">
        <v>520</v>
      </c>
    </row>
    <row r="86" spans="1:60">
      <c r="A86">
        <v>198</v>
      </c>
      <c r="B86" t="s">
        <v>176</v>
      </c>
      <c r="C86" t="s">
        <v>527</v>
      </c>
      <c r="D86" t="s">
        <v>11</v>
      </c>
      <c r="E86" s="243">
        <v>7365511.9500000002</v>
      </c>
      <c r="F86">
        <v>4520000</v>
      </c>
      <c r="G86">
        <v>162.94999999999999</v>
      </c>
      <c r="H86" t="s">
        <v>1525</v>
      </c>
      <c r="I86" t="s">
        <v>753</v>
      </c>
      <c r="J86">
        <v>38.19</v>
      </c>
      <c r="K86">
        <v>62.24</v>
      </c>
      <c r="L86" s="243">
        <v>7592103</v>
      </c>
      <c r="M86">
        <v>7830000</v>
      </c>
      <c r="N86">
        <v>96.96</v>
      </c>
      <c r="O86" t="s">
        <v>1534</v>
      </c>
      <c r="P86" t="s">
        <v>699</v>
      </c>
      <c r="Q86">
        <v>62.39</v>
      </c>
      <c r="R86">
        <v>60.49</v>
      </c>
      <c r="S86" s="243">
        <v>365769</v>
      </c>
      <c r="T86">
        <v>799000</v>
      </c>
      <c r="U86">
        <v>45.78</v>
      </c>
      <c r="V86" t="s">
        <v>1524</v>
      </c>
      <c r="W86" t="s">
        <v>888</v>
      </c>
      <c r="X86">
        <v>30.25</v>
      </c>
      <c r="Y86">
        <v>13.85</v>
      </c>
      <c r="Z86" s="243">
        <v>173602</v>
      </c>
      <c r="AA86">
        <v>831000</v>
      </c>
      <c r="AB86">
        <v>20.89</v>
      </c>
      <c r="AC86" t="s">
        <v>1521</v>
      </c>
      <c r="AD86" t="s">
        <v>758</v>
      </c>
      <c r="AE86">
        <v>1.3</v>
      </c>
      <c r="AF86">
        <v>0.27</v>
      </c>
      <c r="AG86" s="243">
        <v>11706</v>
      </c>
      <c r="AH86">
        <v>0</v>
      </c>
      <c r="AI86" t="s">
        <v>520</v>
      </c>
      <c r="AJ86" t="s">
        <v>1505</v>
      </c>
      <c r="AK86" t="s">
        <v>669</v>
      </c>
      <c r="AL86">
        <v>8.11</v>
      </c>
      <c r="AM86" t="s">
        <v>520</v>
      </c>
      <c r="AN86" s="243">
        <v>273424.92</v>
      </c>
      <c r="AO86">
        <v>250000</v>
      </c>
      <c r="AP86">
        <v>109.37</v>
      </c>
      <c r="AQ86" t="s">
        <v>1537</v>
      </c>
      <c r="AR86" t="s">
        <v>780</v>
      </c>
      <c r="AS86">
        <v>0</v>
      </c>
      <c r="AT86">
        <v>0</v>
      </c>
      <c r="AU86" s="243">
        <v>15782116.869999999</v>
      </c>
      <c r="AV86">
        <v>14230000</v>
      </c>
      <c r="AW86">
        <v>110.91</v>
      </c>
      <c r="AX86" t="s">
        <v>1538</v>
      </c>
      <c r="AY86" t="s">
        <v>697</v>
      </c>
      <c r="AZ86">
        <v>48.56</v>
      </c>
      <c r="BA86">
        <v>53.85</v>
      </c>
      <c r="BB86" s="243">
        <v>1948253.95</v>
      </c>
      <c r="BC86">
        <v>0</v>
      </c>
      <c r="BD86" t="s">
        <v>520</v>
      </c>
      <c r="BE86" t="s">
        <v>1505</v>
      </c>
      <c r="BF86" t="s">
        <v>669</v>
      </c>
      <c r="BG86">
        <v>23.7</v>
      </c>
      <c r="BH86" t="s">
        <v>520</v>
      </c>
    </row>
    <row r="87" spans="1:60">
      <c r="A87">
        <v>199</v>
      </c>
      <c r="B87" t="s">
        <v>24</v>
      </c>
      <c r="C87" t="s">
        <v>526</v>
      </c>
      <c r="D87" t="s">
        <v>11</v>
      </c>
      <c r="E87" s="243">
        <v>8883949.1699999999</v>
      </c>
      <c r="F87">
        <v>5950000</v>
      </c>
      <c r="G87">
        <v>149.31</v>
      </c>
      <c r="H87" t="s">
        <v>1528</v>
      </c>
      <c r="I87" t="s">
        <v>842</v>
      </c>
      <c r="J87">
        <v>27.44</v>
      </c>
      <c r="K87">
        <v>40.97</v>
      </c>
      <c r="L87" s="243">
        <v>7167594</v>
      </c>
      <c r="M87">
        <v>10310000</v>
      </c>
      <c r="N87">
        <v>69.52</v>
      </c>
      <c r="O87" t="s">
        <v>1530</v>
      </c>
      <c r="P87" t="s">
        <v>709</v>
      </c>
      <c r="Q87">
        <v>61.57</v>
      </c>
      <c r="R87">
        <v>42.8</v>
      </c>
      <c r="S87" s="243">
        <v>906302</v>
      </c>
      <c r="T87">
        <v>854000</v>
      </c>
      <c r="U87">
        <v>106.12</v>
      </c>
      <c r="V87" t="s">
        <v>1527</v>
      </c>
      <c r="W87" t="s">
        <v>866</v>
      </c>
      <c r="X87">
        <v>20.94</v>
      </c>
      <c r="Y87">
        <v>22.22</v>
      </c>
      <c r="Z87" s="243">
        <v>4845222</v>
      </c>
      <c r="AA87">
        <v>1296000</v>
      </c>
      <c r="AB87">
        <v>373.86</v>
      </c>
      <c r="AC87" t="s">
        <v>1527</v>
      </c>
      <c r="AD87" t="s">
        <v>679</v>
      </c>
      <c r="AE87">
        <v>0.63</v>
      </c>
      <c r="AF87">
        <v>2.37</v>
      </c>
      <c r="AG87" s="243">
        <v>11383</v>
      </c>
      <c r="AH87">
        <v>0</v>
      </c>
      <c r="AI87" t="s">
        <v>520</v>
      </c>
      <c r="AJ87" t="s">
        <v>1505</v>
      </c>
      <c r="AK87" t="s">
        <v>669</v>
      </c>
      <c r="AL87">
        <v>51.47</v>
      </c>
      <c r="AM87" t="s">
        <v>520</v>
      </c>
      <c r="AN87" s="243">
        <v>241047.89</v>
      </c>
      <c r="AO87">
        <v>330000</v>
      </c>
      <c r="AP87">
        <v>73.040000000000006</v>
      </c>
      <c r="AQ87" t="s">
        <v>1538</v>
      </c>
      <c r="AR87" t="s">
        <v>871</v>
      </c>
      <c r="AS87">
        <v>103.12</v>
      </c>
      <c r="AT87">
        <v>75.33</v>
      </c>
      <c r="AU87" s="243">
        <v>22055498.059999999</v>
      </c>
      <c r="AV87">
        <v>18740000</v>
      </c>
      <c r="AW87">
        <v>117.69</v>
      </c>
      <c r="AX87" t="s">
        <v>1539</v>
      </c>
      <c r="AY87" t="s">
        <v>702</v>
      </c>
      <c r="AZ87">
        <v>33.21</v>
      </c>
      <c r="BA87">
        <v>39.090000000000003</v>
      </c>
      <c r="BB87" s="243">
        <v>2198448.17</v>
      </c>
      <c r="BC87">
        <v>0</v>
      </c>
      <c r="BD87" t="s">
        <v>520</v>
      </c>
      <c r="BE87" t="s">
        <v>1505</v>
      </c>
      <c r="BF87" t="s">
        <v>669</v>
      </c>
      <c r="BG87">
        <v>18.82</v>
      </c>
      <c r="BH87" t="s">
        <v>520</v>
      </c>
    </row>
    <row r="88" spans="1:60">
      <c r="A88">
        <v>200</v>
      </c>
      <c r="B88" t="s">
        <v>89</v>
      </c>
      <c r="C88" t="s">
        <v>526</v>
      </c>
      <c r="D88" t="s">
        <v>7</v>
      </c>
      <c r="E88" s="243">
        <v>7609166.3899999997</v>
      </c>
      <c r="F88">
        <v>7550000</v>
      </c>
      <c r="G88">
        <v>100.78</v>
      </c>
      <c r="H88" t="s">
        <v>1478</v>
      </c>
      <c r="I88" t="s">
        <v>850</v>
      </c>
      <c r="J88">
        <v>15.03</v>
      </c>
      <c r="K88">
        <v>15.15</v>
      </c>
      <c r="L88" s="243">
        <v>13962806</v>
      </c>
      <c r="M88">
        <v>13100000</v>
      </c>
      <c r="N88">
        <v>106.59</v>
      </c>
      <c r="O88" t="s">
        <v>1495</v>
      </c>
      <c r="P88" t="s">
        <v>810</v>
      </c>
      <c r="Q88">
        <v>33.32</v>
      </c>
      <c r="R88">
        <v>35.51</v>
      </c>
      <c r="S88" s="243">
        <v>1994565</v>
      </c>
      <c r="T88">
        <v>1899000</v>
      </c>
      <c r="U88">
        <v>105.03</v>
      </c>
      <c r="V88" t="s">
        <v>1514</v>
      </c>
      <c r="W88" t="s">
        <v>882</v>
      </c>
      <c r="X88">
        <v>21.24</v>
      </c>
      <c r="Y88">
        <v>22.31</v>
      </c>
      <c r="Z88" s="243">
        <v>36297</v>
      </c>
      <c r="AA88">
        <v>831000</v>
      </c>
      <c r="AB88">
        <v>4.37</v>
      </c>
      <c r="AC88" t="s">
        <v>1484</v>
      </c>
      <c r="AD88" t="s">
        <v>779</v>
      </c>
      <c r="AE88">
        <v>14.99</v>
      </c>
      <c r="AF88">
        <v>0.65</v>
      </c>
      <c r="AG88" s="243">
        <v>12203</v>
      </c>
      <c r="AH88">
        <v>0</v>
      </c>
      <c r="AI88" t="s">
        <v>520</v>
      </c>
      <c r="AJ88" t="s">
        <v>1474</v>
      </c>
      <c r="AK88" t="s">
        <v>669</v>
      </c>
      <c r="AL88">
        <v>11.11</v>
      </c>
      <c r="AM88" t="s">
        <v>520</v>
      </c>
      <c r="AN88" s="243">
        <v>178197.18</v>
      </c>
      <c r="AO88">
        <v>420000</v>
      </c>
      <c r="AP88">
        <v>42.43</v>
      </c>
      <c r="AQ88" t="s">
        <v>1478</v>
      </c>
      <c r="AR88" t="s">
        <v>758</v>
      </c>
      <c r="AS88">
        <v>86.09</v>
      </c>
      <c r="AT88">
        <v>36.520000000000003</v>
      </c>
      <c r="AU88" s="243">
        <v>23793234.57</v>
      </c>
      <c r="AV88">
        <v>23800000</v>
      </c>
      <c r="AW88">
        <v>99.97</v>
      </c>
      <c r="AX88" t="s">
        <v>1492</v>
      </c>
      <c r="AY88" t="s">
        <v>719</v>
      </c>
      <c r="AZ88">
        <v>26.81</v>
      </c>
      <c r="BA88">
        <v>26.81</v>
      </c>
      <c r="BB88" s="243">
        <v>2754014.39</v>
      </c>
      <c r="BC88">
        <v>0</v>
      </c>
      <c r="BD88" t="s">
        <v>520</v>
      </c>
      <c r="BE88" t="s">
        <v>1474</v>
      </c>
      <c r="BF88" t="s">
        <v>669</v>
      </c>
      <c r="BG88">
        <v>6.23</v>
      </c>
      <c r="BH88" t="s">
        <v>520</v>
      </c>
    </row>
    <row r="89" spans="1:60">
      <c r="A89">
        <v>201</v>
      </c>
      <c r="B89" t="s">
        <v>90</v>
      </c>
      <c r="C89" t="s">
        <v>524</v>
      </c>
      <c r="D89" t="s">
        <v>7</v>
      </c>
      <c r="E89" s="243">
        <v>8297654.0800000001</v>
      </c>
      <c r="F89">
        <v>8440000</v>
      </c>
      <c r="G89">
        <v>98.31</v>
      </c>
      <c r="H89" t="s">
        <v>1476</v>
      </c>
      <c r="I89" t="s">
        <v>789</v>
      </c>
      <c r="J89">
        <v>15.86</v>
      </c>
      <c r="K89">
        <v>15.59</v>
      </c>
      <c r="L89" s="243">
        <v>19093614</v>
      </c>
      <c r="M89">
        <v>14630000</v>
      </c>
      <c r="N89">
        <v>130.51</v>
      </c>
      <c r="O89" t="s">
        <v>1471</v>
      </c>
      <c r="P89" t="s">
        <v>876</v>
      </c>
      <c r="Q89">
        <v>26.18</v>
      </c>
      <c r="R89">
        <v>34.159999999999997</v>
      </c>
      <c r="S89" s="243">
        <v>1655242</v>
      </c>
      <c r="T89">
        <v>1982000</v>
      </c>
      <c r="U89">
        <v>83.51</v>
      </c>
      <c r="V89" t="s">
        <v>1491</v>
      </c>
      <c r="W89" t="s">
        <v>715</v>
      </c>
      <c r="X89">
        <v>0.6</v>
      </c>
      <c r="Y89">
        <v>0.5</v>
      </c>
      <c r="Z89" s="243">
        <v>21736</v>
      </c>
      <c r="AA89">
        <v>1058000</v>
      </c>
      <c r="AB89">
        <v>2.0499999999999998</v>
      </c>
      <c r="AC89" t="s">
        <v>1472</v>
      </c>
      <c r="AD89" t="s">
        <v>760</v>
      </c>
      <c r="AE89">
        <v>3.23</v>
      </c>
      <c r="AF89">
        <v>7.0000000000000007E-2</v>
      </c>
      <c r="AG89" s="243">
        <v>13745</v>
      </c>
      <c r="AH89">
        <v>0</v>
      </c>
      <c r="AI89" t="s">
        <v>520</v>
      </c>
      <c r="AJ89" t="s">
        <v>1474</v>
      </c>
      <c r="AK89" t="s">
        <v>669</v>
      </c>
      <c r="AL89">
        <v>23.35</v>
      </c>
      <c r="AM89" t="s">
        <v>520</v>
      </c>
      <c r="AN89" s="243">
        <v>66241.850000000006</v>
      </c>
      <c r="AO89">
        <v>470000</v>
      </c>
      <c r="AP89">
        <v>14.09</v>
      </c>
      <c r="AQ89" t="s">
        <v>1486</v>
      </c>
      <c r="AR89" t="s">
        <v>849</v>
      </c>
      <c r="AS89">
        <v>0</v>
      </c>
      <c r="AT89">
        <v>0</v>
      </c>
      <c r="AU89" s="243">
        <v>29148232.93</v>
      </c>
      <c r="AV89">
        <v>26580000</v>
      </c>
      <c r="AW89">
        <v>109.66</v>
      </c>
      <c r="AX89" t="s">
        <v>1481</v>
      </c>
      <c r="AY89" t="s">
        <v>875</v>
      </c>
      <c r="AZ89">
        <v>21.71</v>
      </c>
      <c r="BA89">
        <v>23.81</v>
      </c>
      <c r="BB89" s="243">
        <v>2706927.08</v>
      </c>
      <c r="BC89">
        <v>0</v>
      </c>
      <c r="BD89" t="s">
        <v>520</v>
      </c>
      <c r="BE89" t="s">
        <v>1474</v>
      </c>
      <c r="BF89" t="s">
        <v>669</v>
      </c>
      <c r="BG89">
        <v>14.39</v>
      </c>
      <c r="BH89" t="s">
        <v>520</v>
      </c>
    </row>
    <row r="90" spans="1:60">
      <c r="A90">
        <v>211</v>
      </c>
      <c r="B90" t="s">
        <v>25</v>
      </c>
      <c r="C90" t="s">
        <v>523</v>
      </c>
      <c r="D90" t="s">
        <v>7</v>
      </c>
      <c r="E90" s="243">
        <v>13018562.789999999</v>
      </c>
      <c r="F90">
        <v>7360000</v>
      </c>
      <c r="G90">
        <v>176.88</v>
      </c>
      <c r="H90" t="s">
        <v>1488</v>
      </c>
      <c r="I90" t="s">
        <v>679</v>
      </c>
      <c r="J90">
        <v>10.37</v>
      </c>
      <c r="K90">
        <v>18.34</v>
      </c>
      <c r="L90" s="243">
        <v>18365946</v>
      </c>
      <c r="M90">
        <v>12770000</v>
      </c>
      <c r="N90">
        <v>143.82</v>
      </c>
      <c r="O90" t="s">
        <v>1487</v>
      </c>
      <c r="P90" t="s">
        <v>841</v>
      </c>
      <c r="Q90">
        <v>32.049999999999997</v>
      </c>
      <c r="R90">
        <v>46.1</v>
      </c>
      <c r="S90" s="243">
        <v>4426864</v>
      </c>
      <c r="T90">
        <v>1829000</v>
      </c>
      <c r="U90">
        <v>242.04</v>
      </c>
      <c r="V90" t="s">
        <v>1479</v>
      </c>
      <c r="W90" t="s">
        <v>870</v>
      </c>
      <c r="X90">
        <v>21.88</v>
      </c>
      <c r="Y90">
        <v>52.96</v>
      </c>
      <c r="Z90" s="243">
        <v>829778</v>
      </c>
      <c r="AA90">
        <v>831000</v>
      </c>
      <c r="AB90">
        <v>99.85</v>
      </c>
      <c r="AC90" t="s">
        <v>1494</v>
      </c>
      <c r="AD90" t="s">
        <v>706</v>
      </c>
      <c r="AE90">
        <v>1.62</v>
      </c>
      <c r="AF90">
        <v>1.62</v>
      </c>
      <c r="AG90" s="243">
        <v>24649</v>
      </c>
      <c r="AH90">
        <v>0</v>
      </c>
      <c r="AI90" t="s">
        <v>520</v>
      </c>
      <c r="AJ90" t="s">
        <v>1474</v>
      </c>
      <c r="AK90" t="s">
        <v>669</v>
      </c>
      <c r="AL90">
        <v>3.08</v>
      </c>
      <c r="AM90" t="s">
        <v>520</v>
      </c>
      <c r="AN90" s="243">
        <v>533464.39</v>
      </c>
      <c r="AO90">
        <v>410000</v>
      </c>
      <c r="AP90">
        <v>130.11000000000001</v>
      </c>
      <c r="AQ90" t="s">
        <v>1477</v>
      </c>
      <c r="AR90" t="s">
        <v>864</v>
      </c>
      <c r="AS90">
        <v>8.14</v>
      </c>
      <c r="AT90">
        <v>10.59</v>
      </c>
      <c r="AU90" s="243">
        <v>37199264.18</v>
      </c>
      <c r="AV90">
        <v>23200000</v>
      </c>
      <c r="AW90">
        <v>160.34</v>
      </c>
      <c r="AX90" t="s">
        <v>1485</v>
      </c>
      <c r="AY90" t="s">
        <v>872</v>
      </c>
      <c r="AZ90">
        <v>22.21</v>
      </c>
      <c r="BA90">
        <v>35.61</v>
      </c>
      <c r="BB90" s="243">
        <v>2494093.79</v>
      </c>
      <c r="BC90">
        <v>0</v>
      </c>
      <c r="BD90" t="s">
        <v>520</v>
      </c>
      <c r="BE90" t="s">
        <v>1474</v>
      </c>
      <c r="BF90" t="s">
        <v>669</v>
      </c>
      <c r="BG90">
        <v>14.66</v>
      </c>
      <c r="BH90" t="s">
        <v>520</v>
      </c>
    </row>
    <row r="91" spans="1:60">
      <c r="A91">
        <v>220</v>
      </c>
      <c r="B91" t="s">
        <v>26</v>
      </c>
      <c r="C91" t="s">
        <v>526</v>
      </c>
      <c r="D91" t="s">
        <v>7</v>
      </c>
      <c r="E91" s="243">
        <v>6662790.7999999998</v>
      </c>
      <c r="F91">
        <v>6960000</v>
      </c>
      <c r="G91">
        <v>95.73</v>
      </c>
      <c r="H91" t="s">
        <v>1512</v>
      </c>
      <c r="I91" t="s">
        <v>709</v>
      </c>
      <c r="J91">
        <v>27.65</v>
      </c>
      <c r="K91">
        <v>26.47</v>
      </c>
      <c r="L91" s="243">
        <v>13482128</v>
      </c>
      <c r="M91">
        <v>12070000</v>
      </c>
      <c r="N91">
        <v>111.7</v>
      </c>
      <c r="O91" t="s">
        <v>1510</v>
      </c>
      <c r="P91" t="s">
        <v>661</v>
      </c>
      <c r="Q91">
        <v>93.69</v>
      </c>
      <c r="R91">
        <v>104.65</v>
      </c>
      <c r="S91" s="243">
        <v>1044578</v>
      </c>
      <c r="T91">
        <v>1452000</v>
      </c>
      <c r="U91">
        <v>71.94</v>
      </c>
      <c r="V91" t="s">
        <v>1478</v>
      </c>
      <c r="W91" t="s">
        <v>816</v>
      </c>
      <c r="X91">
        <v>28</v>
      </c>
      <c r="Y91">
        <v>20.14</v>
      </c>
      <c r="Z91" s="243">
        <v>1096484</v>
      </c>
      <c r="AA91">
        <v>1058000</v>
      </c>
      <c r="AB91">
        <v>103.64</v>
      </c>
      <c r="AC91" t="s">
        <v>1471</v>
      </c>
      <c r="AD91" t="s">
        <v>835</v>
      </c>
      <c r="AE91">
        <v>0</v>
      </c>
      <c r="AF91">
        <v>0</v>
      </c>
      <c r="AG91" s="243">
        <v>18232</v>
      </c>
      <c r="AH91">
        <v>0</v>
      </c>
      <c r="AI91" t="s">
        <v>520</v>
      </c>
      <c r="AJ91" t="s">
        <v>1474</v>
      </c>
      <c r="AK91" t="s">
        <v>669</v>
      </c>
      <c r="AL91">
        <v>20.23</v>
      </c>
      <c r="AM91" t="s">
        <v>520</v>
      </c>
      <c r="AN91" s="243">
        <v>64390.17</v>
      </c>
      <c r="AO91">
        <v>390000</v>
      </c>
      <c r="AP91">
        <v>16.510000000000002</v>
      </c>
      <c r="AQ91" t="s">
        <v>1493</v>
      </c>
      <c r="AR91" t="s">
        <v>777</v>
      </c>
      <c r="AS91">
        <v>100</v>
      </c>
      <c r="AT91">
        <v>16.510000000000002</v>
      </c>
      <c r="AU91" s="243">
        <v>22368602.969999999</v>
      </c>
      <c r="AV91">
        <v>21930000</v>
      </c>
      <c r="AW91">
        <v>102</v>
      </c>
      <c r="AX91" t="s">
        <v>1511</v>
      </c>
      <c r="AY91" t="s">
        <v>889</v>
      </c>
      <c r="AZ91">
        <v>66.319999999999993</v>
      </c>
      <c r="BA91">
        <v>67.64</v>
      </c>
      <c r="BB91" s="243">
        <v>2525644.7999999998</v>
      </c>
      <c r="BC91">
        <v>0</v>
      </c>
      <c r="BD91" t="s">
        <v>520</v>
      </c>
      <c r="BE91" t="s">
        <v>1474</v>
      </c>
      <c r="BF91" t="s">
        <v>669</v>
      </c>
      <c r="BG91">
        <v>12.05</v>
      </c>
      <c r="BH91" t="s">
        <v>520</v>
      </c>
    </row>
    <row r="92" spans="1:60">
      <c r="A92">
        <v>221</v>
      </c>
      <c r="B92" t="s">
        <v>27</v>
      </c>
      <c r="C92" t="s">
        <v>527</v>
      </c>
      <c r="D92" t="s">
        <v>7</v>
      </c>
      <c r="E92" s="243">
        <v>9019452.6199999992</v>
      </c>
      <c r="F92">
        <v>7040000</v>
      </c>
      <c r="G92">
        <v>128.12</v>
      </c>
      <c r="H92" t="s">
        <v>1477</v>
      </c>
      <c r="I92" t="s">
        <v>703</v>
      </c>
      <c r="J92">
        <v>21.05</v>
      </c>
      <c r="K92">
        <v>26.97</v>
      </c>
      <c r="L92" s="243">
        <v>16437709</v>
      </c>
      <c r="M92">
        <v>12210000</v>
      </c>
      <c r="N92">
        <v>134.62</v>
      </c>
      <c r="O92" t="s">
        <v>1480</v>
      </c>
      <c r="P92" t="s">
        <v>720</v>
      </c>
      <c r="Q92">
        <v>45.01</v>
      </c>
      <c r="R92">
        <v>60.59</v>
      </c>
      <c r="S92" s="243">
        <v>1781963</v>
      </c>
      <c r="T92">
        <v>1719000</v>
      </c>
      <c r="U92">
        <v>103.66</v>
      </c>
      <c r="V92" t="s">
        <v>1499</v>
      </c>
      <c r="W92" t="s">
        <v>787</v>
      </c>
      <c r="X92">
        <v>49.06</v>
      </c>
      <c r="Y92">
        <v>50.86</v>
      </c>
      <c r="Z92" s="243">
        <v>940255</v>
      </c>
      <c r="AA92">
        <v>831000</v>
      </c>
      <c r="AB92">
        <v>113.15</v>
      </c>
      <c r="AC92" t="s">
        <v>1480</v>
      </c>
      <c r="AD92" t="s">
        <v>830</v>
      </c>
      <c r="AE92">
        <v>6.41</v>
      </c>
      <c r="AF92">
        <v>7.25</v>
      </c>
      <c r="AG92" s="243">
        <v>28371</v>
      </c>
      <c r="AH92">
        <v>0</v>
      </c>
      <c r="AI92" t="s">
        <v>520</v>
      </c>
      <c r="AJ92" t="s">
        <v>1474</v>
      </c>
      <c r="AK92" t="s">
        <v>669</v>
      </c>
      <c r="AL92">
        <v>14.51</v>
      </c>
      <c r="AM92" t="s">
        <v>520</v>
      </c>
      <c r="AN92" s="243">
        <v>10797.98</v>
      </c>
      <c r="AO92">
        <v>390000</v>
      </c>
      <c r="AP92">
        <v>2.77</v>
      </c>
      <c r="AQ92" t="s">
        <v>1472</v>
      </c>
      <c r="AR92" t="s">
        <v>826</v>
      </c>
      <c r="AS92">
        <v>0</v>
      </c>
      <c r="AT92">
        <v>0</v>
      </c>
      <c r="AU92" s="243">
        <v>28218548.600000001</v>
      </c>
      <c r="AV92">
        <v>22190000</v>
      </c>
      <c r="AW92">
        <v>127.17</v>
      </c>
      <c r="AX92" t="s">
        <v>1471</v>
      </c>
      <c r="AY92" t="s">
        <v>720</v>
      </c>
      <c r="AZ92">
        <v>36.270000000000003</v>
      </c>
      <c r="BA92">
        <v>46.12</v>
      </c>
      <c r="BB92" s="243">
        <v>2608179.62</v>
      </c>
      <c r="BC92">
        <v>0</v>
      </c>
      <c r="BD92" t="s">
        <v>520</v>
      </c>
      <c r="BE92" t="s">
        <v>1474</v>
      </c>
      <c r="BF92" t="s">
        <v>669</v>
      </c>
      <c r="BG92">
        <v>13.65</v>
      </c>
      <c r="BH92" t="s">
        <v>520</v>
      </c>
    </row>
    <row r="93" spans="1:60">
      <c r="A93">
        <v>240</v>
      </c>
      <c r="B93" t="s">
        <v>177</v>
      </c>
      <c r="C93" t="s">
        <v>522</v>
      </c>
      <c r="D93" t="s">
        <v>11</v>
      </c>
      <c r="E93" s="243">
        <v>15526238.800000001</v>
      </c>
      <c r="F93">
        <v>14570000</v>
      </c>
      <c r="G93">
        <v>106.56</v>
      </c>
      <c r="H93" t="s">
        <v>1529</v>
      </c>
      <c r="I93" t="s">
        <v>814</v>
      </c>
      <c r="J93">
        <v>12.45</v>
      </c>
      <c r="K93">
        <v>13.27</v>
      </c>
      <c r="L93" s="243">
        <v>24425207</v>
      </c>
      <c r="M93">
        <v>25270000</v>
      </c>
      <c r="N93">
        <v>96.66</v>
      </c>
      <c r="O93" t="s">
        <v>1522</v>
      </c>
      <c r="P93" t="s">
        <v>865</v>
      </c>
      <c r="Q93">
        <v>52.32</v>
      </c>
      <c r="R93">
        <v>50.57</v>
      </c>
      <c r="S93" s="243">
        <v>3312687</v>
      </c>
      <c r="T93">
        <v>3889000</v>
      </c>
      <c r="U93">
        <v>85.18</v>
      </c>
      <c r="V93" t="s">
        <v>1537</v>
      </c>
      <c r="W93" t="s">
        <v>884</v>
      </c>
      <c r="X93">
        <v>30.43</v>
      </c>
      <c r="Y93">
        <v>25.92</v>
      </c>
      <c r="Z93" s="243">
        <v>763012</v>
      </c>
      <c r="AA93">
        <v>1381000</v>
      </c>
      <c r="AB93">
        <v>55.25</v>
      </c>
      <c r="AC93" t="s">
        <v>1526</v>
      </c>
      <c r="AD93" t="s">
        <v>827</v>
      </c>
      <c r="AE93">
        <v>0</v>
      </c>
      <c r="AF93">
        <v>0</v>
      </c>
      <c r="AG93" s="243">
        <v>104972</v>
      </c>
      <c r="AH93">
        <v>0</v>
      </c>
      <c r="AI93" t="s">
        <v>520</v>
      </c>
      <c r="AJ93" t="s">
        <v>1505</v>
      </c>
      <c r="AK93" t="s">
        <v>669</v>
      </c>
      <c r="AL93">
        <v>3.12</v>
      </c>
      <c r="AM93" t="s">
        <v>520</v>
      </c>
      <c r="AN93" s="243">
        <v>856532.28</v>
      </c>
      <c r="AO93">
        <v>810000</v>
      </c>
      <c r="AP93">
        <v>105.74</v>
      </c>
      <c r="AQ93" t="s">
        <v>1539</v>
      </c>
      <c r="AR93" t="s">
        <v>793</v>
      </c>
      <c r="AS93">
        <v>0</v>
      </c>
      <c r="AT93">
        <v>0</v>
      </c>
      <c r="AU93" s="243">
        <v>44988649.079999998</v>
      </c>
      <c r="AV93">
        <v>45920000</v>
      </c>
      <c r="AW93">
        <v>97.97</v>
      </c>
      <c r="AX93" t="s">
        <v>1536</v>
      </c>
      <c r="AY93" t="s">
        <v>784</v>
      </c>
      <c r="AZ93">
        <v>34.950000000000003</v>
      </c>
      <c r="BA93">
        <v>34.24</v>
      </c>
      <c r="BB93" s="243">
        <v>4825361.8</v>
      </c>
      <c r="BC93">
        <v>0</v>
      </c>
      <c r="BD93" t="s">
        <v>520</v>
      </c>
      <c r="BE93" t="s">
        <v>1505</v>
      </c>
      <c r="BF93" t="s">
        <v>669</v>
      </c>
      <c r="BG93">
        <v>6.54</v>
      </c>
      <c r="BH93" t="s">
        <v>520</v>
      </c>
    </row>
    <row r="94" spans="1:60">
      <c r="A94">
        <v>241</v>
      </c>
      <c r="B94" t="s">
        <v>91</v>
      </c>
      <c r="C94" t="s">
        <v>522</v>
      </c>
      <c r="D94" t="s">
        <v>11</v>
      </c>
      <c r="E94" s="243">
        <v>24184478.170000002</v>
      </c>
      <c r="F94">
        <v>15670000</v>
      </c>
      <c r="G94">
        <v>154.34</v>
      </c>
      <c r="H94" t="s">
        <v>1540</v>
      </c>
      <c r="I94" t="s">
        <v>794</v>
      </c>
      <c r="J94">
        <v>18.89</v>
      </c>
      <c r="K94">
        <v>29.16</v>
      </c>
      <c r="L94" s="243">
        <v>26560287</v>
      </c>
      <c r="M94">
        <v>27170000</v>
      </c>
      <c r="N94">
        <v>97.76</v>
      </c>
      <c r="O94" t="s">
        <v>1531</v>
      </c>
      <c r="P94" t="s">
        <v>858</v>
      </c>
      <c r="Q94">
        <v>37.1</v>
      </c>
      <c r="R94">
        <v>36.26</v>
      </c>
      <c r="S94" s="243">
        <v>2186341</v>
      </c>
      <c r="T94">
        <v>3950000</v>
      </c>
      <c r="U94">
        <v>55.35</v>
      </c>
      <c r="V94" t="s">
        <v>1522</v>
      </c>
      <c r="W94" t="s">
        <v>762</v>
      </c>
      <c r="X94">
        <v>10.1</v>
      </c>
      <c r="Y94">
        <v>5.59</v>
      </c>
      <c r="Z94" s="243">
        <v>3490178</v>
      </c>
      <c r="AA94">
        <v>1700000</v>
      </c>
      <c r="AB94">
        <v>205.3</v>
      </c>
      <c r="AC94" t="s">
        <v>1528</v>
      </c>
      <c r="AD94" t="s">
        <v>840</v>
      </c>
      <c r="AE94">
        <v>0.03</v>
      </c>
      <c r="AF94">
        <v>0.06</v>
      </c>
      <c r="AG94" s="243">
        <v>83252</v>
      </c>
      <c r="AH94">
        <v>0</v>
      </c>
      <c r="AI94" t="s">
        <v>520</v>
      </c>
      <c r="AJ94" t="s">
        <v>1505</v>
      </c>
      <c r="AK94" t="s">
        <v>669</v>
      </c>
      <c r="AL94">
        <v>6.24</v>
      </c>
      <c r="AM94" t="s">
        <v>520</v>
      </c>
      <c r="AN94" s="243">
        <v>930429.43</v>
      </c>
      <c r="AO94">
        <v>870000</v>
      </c>
      <c r="AP94">
        <v>106.95</v>
      </c>
      <c r="AQ94" t="s">
        <v>1518</v>
      </c>
      <c r="AR94" t="s">
        <v>884</v>
      </c>
      <c r="AS94">
        <v>64.22</v>
      </c>
      <c r="AT94">
        <v>68.680000000000007</v>
      </c>
      <c r="AU94" s="243">
        <v>57434965.600000001</v>
      </c>
      <c r="AV94">
        <v>49360000</v>
      </c>
      <c r="AW94">
        <v>116.36</v>
      </c>
      <c r="AX94" t="s">
        <v>1501</v>
      </c>
      <c r="AY94" t="s">
        <v>661</v>
      </c>
      <c r="AZ94">
        <v>26.54</v>
      </c>
      <c r="BA94">
        <v>30.89</v>
      </c>
      <c r="BB94" s="243">
        <v>5426540.1699999999</v>
      </c>
      <c r="BC94">
        <v>0</v>
      </c>
      <c r="BD94" t="s">
        <v>520</v>
      </c>
      <c r="BE94" t="s">
        <v>1505</v>
      </c>
      <c r="BF94" t="s">
        <v>669</v>
      </c>
      <c r="BG94">
        <v>10.91</v>
      </c>
      <c r="BH94" t="s">
        <v>520</v>
      </c>
    </row>
    <row r="95" spans="1:60">
      <c r="A95">
        <v>242</v>
      </c>
      <c r="B95" t="s">
        <v>28</v>
      </c>
      <c r="C95" t="s">
        <v>521</v>
      </c>
      <c r="D95" t="s">
        <v>11</v>
      </c>
      <c r="E95" s="243">
        <v>20076694.129999999</v>
      </c>
      <c r="F95">
        <v>14880000</v>
      </c>
      <c r="G95">
        <v>134.91999999999999</v>
      </c>
      <c r="H95" t="s">
        <v>1519</v>
      </c>
      <c r="I95" t="s">
        <v>837</v>
      </c>
      <c r="J95">
        <v>15.95</v>
      </c>
      <c r="K95">
        <v>21.52</v>
      </c>
      <c r="L95" s="243">
        <v>16891712</v>
      </c>
      <c r="M95">
        <v>25800000</v>
      </c>
      <c r="N95">
        <v>65.47</v>
      </c>
      <c r="O95" t="s">
        <v>1520</v>
      </c>
      <c r="P95" t="s">
        <v>786</v>
      </c>
      <c r="Q95">
        <v>25.34</v>
      </c>
      <c r="R95">
        <v>16.59</v>
      </c>
      <c r="S95" s="243">
        <v>1460152</v>
      </c>
      <c r="T95">
        <v>4030000</v>
      </c>
      <c r="U95">
        <v>36.229999999999997</v>
      </c>
      <c r="V95" t="s">
        <v>1532</v>
      </c>
      <c r="W95" t="s">
        <v>797</v>
      </c>
      <c r="X95">
        <v>10</v>
      </c>
      <c r="Y95">
        <v>3.62</v>
      </c>
      <c r="Z95" s="243">
        <v>1383307</v>
      </c>
      <c r="AA95">
        <v>1330000</v>
      </c>
      <c r="AB95">
        <v>104.01</v>
      </c>
      <c r="AC95" t="s">
        <v>1538</v>
      </c>
      <c r="AD95" t="s">
        <v>847</v>
      </c>
      <c r="AE95">
        <v>4.26</v>
      </c>
      <c r="AF95">
        <v>4.43</v>
      </c>
      <c r="AG95" s="243">
        <v>56913</v>
      </c>
      <c r="AH95">
        <v>0</v>
      </c>
      <c r="AI95" t="s">
        <v>520</v>
      </c>
      <c r="AJ95" t="s">
        <v>1505</v>
      </c>
      <c r="AK95" t="s">
        <v>669</v>
      </c>
      <c r="AL95">
        <v>4.5199999999999996</v>
      </c>
      <c r="AM95" t="s">
        <v>520</v>
      </c>
      <c r="AN95" s="243">
        <v>692948.23</v>
      </c>
      <c r="AO95">
        <v>830000</v>
      </c>
      <c r="AP95">
        <v>83.49</v>
      </c>
      <c r="AQ95" t="s">
        <v>1501</v>
      </c>
      <c r="AR95" t="s">
        <v>682</v>
      </c>
      <c r="AS95">
        <v>7.22</v>
      </c>
      <c r="AT95">
        <v>6.03</v>
      </c>
      <c r="AU95" s="243">
        <v>40561726.359999999</v>
      </c>
      <c r="AV95">
        <v>46870000</v>
      </c>
      <c r="AW95">
        <v>86.54</v>
      </c>
      <c r="AX95" t="s">
        <v>1532</v>
      </c>
      <c r="AY95" t="s">
        <v>855</v>
      </c>
      <c r="AZ95">
        <v>19.079999999999998</v>
      </c>
      <c r="BA95">
        <v>16.52</v>
      </c>
      <c r="BB95" s="243">
        <v>5669920.1299999999</v>
      </c>
      <c r="BC95">
        <v>0</v>
      </c>
      <c r="BD95" t="s">
        <v>520</v>
      </c>
      <c r="BE95" t="s">
        <v>1505</v>
      </c>
      <c r="BF95" t="s">
        <v>669</v>
      </c>
      <c r="BG95">
        <v>7.15</v>
      </c>
      <c r="BH95" t="s">
        <v>520</v>
      </c>
    </row>
    <row r="96" spans="1:60">
      <c r="A96">
        <v>243</v>
      </c>
      <c r="B96" t="s">
        <v>92</v>
      </c>
      <c r="C96" t="s">
        <v>526</v>
      </c>
      <c r="D96" t="s">
        <v>11</v>
      </c>
      <c r="E96" s="243">
        <v>16813692.920000002</v>
      </c>
      <c r="F96">
        <v>11290000</v>
      </c>
      <c r="G96">
        <v>148.93</v>
      </c>
      <c r="H96" t="s">
        <v>1537</v>
      </c>
      <c r="I96" t="s">
        <v>732</v>
      </c>
      <c r="J96">
        <v>9.84</v>
      </c>
      <c r="K96">
        <v>14.65</v>
      </c>
      <c r="L96" s="243">
        <v>16380586</v>
      </c>
      <c r="M96">
        <v>19580000</v>
      </c>
      <c r="N96">
        <v>83.66</v>
      </c>
      <c r="O96" t="s">
        <v>1504</v>
      </c>
      <c r="P96" t="s">
        <v>862</v>
      </c>
      <c r="Q96">
        <v>13.36</v>
      </c>
      <c r="R96">
        <v>11.18</v>
      </c>
      <c r="S96" s="243">
        <v>1722357</v>
      </c>
      <c r="T96">
        <v>3161000</v>
      </c>
      <c r="U96">
        <v>54.49</v>
      </c>
      <c r="V96" t="s">
        <v>1503</v>
      </c>
      <c r="W96" t="s">
        <v>860</v>
      </c>
      <c r="X96">
        <v>3.06</v>
      </c>
      <c r="Y96">
        <v>1.67</v>
      </c>
      <c r="Z96" s="243">
        <v>27548</v>
      </c>
      <c r="AA96">
        <v>909000</v>
      </c>
      <c r="AB96">
        <v>3.03</v>
      </c>
      <c r="AC96" t="s">
        <v>1502</v>
      </c>
      <c r="AD96" t="s">
        <v>739</v>
      </c>
      <c r="AE96">
        <v>1.73</v>
      </c>
      <c r="AF96">
        <v>0.05</v>
      </c>
      <c r="AG96" s="243">
        <v>22209</v>
      </c>
      <c r="AH96">
        <v>0</v>
      </c>
      <c r="AI96" t="s">
        <v>520</v>
      </c>
      <c r="AJ96" t="s">
        <v>1505</v>
      </c>
      <c r="AK96" t="s">
        <v>669</v>
      </c>
      <c r="AL96">
        <v>10.14</v>
      </c>
      <c r="AM96" t="s">
        <v>520</v>
      </c>
      <c r="AN96" s="243">
        <v>2910922.07</v>
      </c>
      <c r="AO96">
        <v>630000</v>
      </c>
      <c r="AP96">
        <v>462.05</v>
      </c>
      <c r="AQ96" t="s">
        <v>1517</v>
      </c>
      <c r="AR96" t="s">
        <v>773</v>
      </c>
      <c r="AS96">
        <v>0</v>
      </c>
      <c r="AT96">
        <v>0</v>
      </c>
      <c r="AU96" s="243">
        <v>37877314.990000002</v>
      </c>
      <c r="AV96">
        <v>35570000</v>
      </c>
      <c r="AW96">
        <v>106.49</v>
      </c>
      <c r="AX96" t="s">
        <v>1529</v>
      </c>
      <c r="AY96" t="s">
        <v>808</v>
      </c>
      <c r="AZ96">
        <v>10.29</v>
      </c>
      <c r="BA96">
        <v>10.96</v>
      </c>
      <c r="BB96" s="243">
        <v>4922232.92</v>
      </c>
      <c r="BC96">
        <v>0</v>
      </c>
      <c r="BD96" t="s">
        <v>520</v>
      </c>
      <c r="BE96" t="s">
        <v>1505</v>
      </c>
      <c r="BF96" t="s">
        <v>669</v>
      </c>
      <c r="BG96">
        <v>9.0399999999999991</v>
      </c>
      <c r="BH96" t="s">
        <v>520</v>
      </c>
    </row>
    <row r="97" spans="1:60">
      <c r="A97">
        <v>244</v>
      </c>
      <c r="B97" t="s">
        <v>29</v>
      </c>
      <c r="C97" t="s">
        <v>525</v>
      </c>
      <c r="D97" t="s">
        <v>11</v>
      </c>
      <c r="E97" s="243">
        <v>23281559.100000001</v>
      </c>
      <c r="F97">
        <v>12560000</v>
      </c>
      <c r="G97">
        <v>185.36</v>
      </c>
      <c r="H97" t="s">
        <v>1535</v>
      </c>
      <c r="I97" t="s">
        <v>863</v>
      </c>
      <c r="J97">
        <v>20.52</v>
      </c>
      <c r="K97">
        <v>38.04</v>
      </c>
      <c r="L97" s="243">
        <v>13825308</v>
      </c>
      <c r="M97">
        <v>21780000</v>
      </c>
      <c r="N97">
        <v>63.48</v>
      </c>
      <c r="O97" t="s">
        <v>1532</v>
      </c>
      <c r="P97" t="s">
        <v>748</v>
      </c>
      <c r="Q97">
        <v>63.51</v>
      </c>
      <c r="R97">
        <v>40.31</v>
      </c>
      <c r="S97" s="243">
        <v>2413610</v>
      </c>
      <c r="T97">
        <v>3371000</v>
      </c>
      <c r="U97">
        <v>71.599999999999994</v>
      </c>
      <c r="V97" t="s">
        <v>1501</v>
      </c>
      <c r="W97" t="s">
        <v>821</v>
      </c>
      <c r="X97">
        <v>17.809999999999999</v>
      </c>
      <c r="Y97">
        <v>12.75</v>
      </c>
      <c r="Z97" s="243">
        <v>956828</v>
      </c>
      <c r="AA97">
        <v>1169000</v>
      </c>
      <c r="AB97">
        <v>81.849999999999994</v>
      </c>
      <c r="AC97" t="s">
        <v>1531</v>
      </c>
      <c r="AD97" t="s">
        <v>866</v>
      </c>
      <c r="AE97">
        <v>0.17</v>
      </c>
      <c r="AF97">
        <v>0.14000000000000001</v>
      </c>
      <c r="AG97" s="243">
        <v>18532</v>
      </c>
      <c r="AH97">
        <v>0</v>
      </c>
      <c r="AI97" t="s">
        <v>520</v>
      </c>
      <c r="AJ97" t="s">
        <v>1505</v>
      </c>
      <c r="AK97" t="s">
        <v>669</v>
      </c>
      <c r="AL97">
        <v>45.62</v>
      </c>
      <c r="AM97" t="s">
        <v>520</v>
      </c>
      <c r="AN97" s="243">
        <v>2502894.4300000002</v>
      </c>
      <c r="AO97">
        <v>700000</v>
      </c>
      <c r="AP97">
        <v>357.56</v>
      </c>
      <c r="AQ97" t="s">
        <v>1525</v>
      </c>
      <c r="AR97" t="s">
        <v>824</v>
      </c>
      <c r="AS97">
        <v>28.75</v>
      </c>
      <c r="AT97">
        <v>102.78</v>
      </c>
      <c r="AU97" s="243">
        <v>42998731.530000001</v>
      </c>
      <c r="AV97">
        <v>39580000</v>
      </c>
      <c r="AW97">
        <v>108.64</v>
      </c>
      <c r="AX97" t="s">
        <v>1522</v>
      </c>
      <c r="AY97" t="s">
        <v>821</v>
      </c>
      <c r="AZ97">
        <v>34.229999999999997</v>
      </c>
      <c r="BA97">
        <v>37.18</v>
      </c>
      <c r="BB97" s="243">
        <v>5475197.0999999996</v>
      </c>
      <c r="BC97">
        <v>0</v>
      </c>
      <c r="BD97" t="s">
        <v>520</v>
      </c>
      <c r="BE97" t="s">
        <v>1505</v>
      </c>
      <c r="BF97" t="s">
        <v>669</v>
      </c>
      <c r="BG97">
        <v>15.53</v>
      </c>
      <c r="BH97" t="s">
        <v>520</v>
      </c>
    </row>
    <row r="98" spans="1:60">
      <c r="A98">
        <v>245</v>
      </c>
      <c r="B98" t="s">
        <v>93</v>
      </c>
      <c r="C98" t="s">
        <v>521</v>
      </c>
      <c r="D98" t="s">
        <v>11</v>
      </c>
      <c r="E98" s="243">
        <v>6446780.7699999996</v>
      </c>
      <c r="F98">
        <v>8910000</v>
      </c>
      <c r="G98">
        <v>72.349999999999994</v>
      </c>
      <c r="H98" t="s">
        <v>1533</v>
      </c>
      <c r="I98" t="s">
        <v>822</v>
      </c>
      <c r="J98">
        <v>19.760000000000002</v>
      </c>
      <c r="K98">
        <v>14.3</v>
      </c>
      <c r="L98" s="243">
        <v>21165642</v>
      </c>
      <c r="M98">
        <v>15450000</v>
      </c>
      <c r="N98">
        <v>136.99</v>
      </c>
      <c r="O98" t="s">
        <v>1527</v>
      </c>
      <c r="P98" t="s">
        <v>803</v>
      </c>
      <c r="Q98">
        <v>70.67</v>
      </c>
      <c r="R98">
        <v>96.82</v>
      </c>
      <c r="S98" s="243">
        <v>1175570</v>
      </c>
      <c r="T98">
        <v>1307000</v>
      </c>
      <c r="U98">
        <v>89.94</v>
      </c>
      <c r="V98" t="s">
        <v>1506</v>
      </c>
      <c r="W98" t="s">
        <v>837</v>
      </c>
      <c r="X98">
        <v>28.7</v>
      </c>
      <c r="Y98">
        <v>25.81</v>
      </c>
      <c r="Z98" s="243">
        <v>681829</v>
      </c>
      <c r="AA98">
        <v>1913000</v>
      </c>
      <c r="AB98">
        <v>35.64</v>
      </c>
      <c r="AC98" t="s">
        <v>1530</v>
      </c>
      <c r="AD98" t="s">
        <v>816</v>
      </c>
      <c r="AE98">
        <v>3.65</v>
      </c>
      <c r="AF98">
        <v>1.3</v>
      </c>
      <c r="AG98" s="243">
        <v>19395</v>
      </c>
      <c r="AH98">
        <v>0</v>
      </c>
      <c r="AI98" t="s">
        <v>520</v>
      </c>
      <c r="AJ98" t="s">
        <v>1505</v>
      </c>
      <c r="AK98" t="s">
        <v>669</v>
      </c>
      <c r="AL98">
        <v>12.66</v>
      </c>
      <c r="AM98" t="s">
        <v>520</v>
      </c>
      <c r="AN98" s="243">
        <v>524721.51</v>
      </c>
      <c r="AO98">
        <v>490000</v>
      </c>
      <c r="AP98">
        <v>107.09</v>
      </c>
      <c r="AQ98" t="s">
        <v>1515</v>
      </c>
      <c r="AR98" t="s">
        <v>827</v>
      </c>
      <c r="AS98">
        <v>8.17</v>
      </c>
      <c r="AT98">
        <v>8.74</v>
      </c>
      <c r="AU98" s="243">
        <v>30013938.280000001</v>
      </c>
      <c r="AV98">
        <v>28070000</v>
      </c>
      <c r="AW98">
        <v>106.93</v>
      </c>
      <c r="AX98" t="s">
        <v>1503</v>
      </c>
      <c r="AY98" t="s">
        <v>700</v>
      </c>
      <c r="AZ98">
        <v>55.44</v>
      </c>
      <c r="BA98">
        <v>59.28</v>
      </c>
      <c r="BB98" s="243">
        <v>2318187.77</v>
      </c>
      <c r="BC98">
        <v>0</v>
      </c>
      <c r="BD98" t="s">
        <v>520</v>
      </c>
      <c r="BE98" t="s">
        <v>1505</v>
      </c>
      <c r="BF98" t="s">
        <v>669</v>
      </c>
      <c r="BG98">
        <v>10.94</v>
      </c>
      <c r="BH98" t="s">
        <v>520</v>
      </c>
    </row>
    <row r="99" spans="1:60">
      <c r="A99">
        <v>246</v>
      </c>
      <c r="B99" t="s">
        <v>178</v>
      </c>
      <c r="C99" t="s">
        <v>526</v>
      </c>
      <c r="D99" t="s">
        <v>11</v>
      </c>
      <c r="E99" s="243">
        <v>12409760.800000001</v>
      </c>
      <c r="F99">
        <v>8920000</v>
      </c>
      <c r="G99">
        <v>139.12</v>
      </c>
      <c r="H99" t="s">
        <v>1501</v>
      </c>
      <c r="I99" t="s">
        <v>823</v>
      </c>
      <c r="J99">
        <v>18.260000000000002</v>
      </c>
      <c r="K99">
        <v>25.41</v>
      </c>
      <c r="L99" s="243">
        <v>25665108</v>
      </c>
      <c r="M99">
        <v>15470000</v>
      </c>
      <c r="N99">
        <v>165.9</v>
      </c>
      <c r="O99" t="s">
        <v>1523</v>
      </c>
      <c r="P99" t="s">
        <v>718</v>
      </c>
      <c r="Q99">
        <v>52.12</v>
      </c>
      <c r="R99">
        <v>86.48</v>
      </c>
      <c r="S99" s="243">
        <v>1630004</v>
      </c>
      <c r="T99">
        <v>2162000</v>
      </c>
      <c r="U99">
        <v>75.39</v>
      </c>
      <c r="V99" t="s">
        <v>1539</v>
      </c>
      <c r="W99" t="s">
        <v>682</v>
      </c>
      <c r="X99">
        <v>25.11</v>
      </c>
      <c r="Y99">
        <v>18.93</v>
      </c>
      <c r="Z99" s="243">
        <v>4970834</v>
      </c>
      <c r="AA99">
        <v>1058000</v>
      </c>
      <c r="AB99">
        <v>469.83</v>
      </c>
      <c r="AC99" t="s">
        <v>1541</v>
      </c>
      <c r="AD99" t="s">
        <v>761</v>
      </c>
      <c r="AE99">
        <v>0.03</v>
      </c>
      <c r="AF99">
        <v>0.14000000000000001</v>
      </c>
      <c r="AG99" s="243">
        <v>26741</v>
      </c>
      <c r="AH99">
        <v>0</v>
      </c>
      <c r="AI99" t="s">
        <v>520</v>
      </c>
      <c r="AJ99" t="s">
        <v>1505</v>
      </c>
      <c r="AK99" t="s">
        <v>669</v>
      </c>
      <c r="AL99">
        <v>15.59</v>
      </c>
      <c r="AM99" t="s">
        <v>520</v>
      </c>
      <c r="AN99" s="243">
        <v>81372.12</v>
      </c>
      <c r="AO99">
        <v>500000</v>
      </c>
      <c r="AP99">
        <v>16.27</v>
      </c>
      <c r="AQ99" t="s">
        <v>1524</v>
      </c>
      <c r="AR99" t="s">
        <v>815</v>
      </c>
      <c r="AS99">
        <v>37.200000000000003</v>
      </c>
      <c r="AT99">
        <v>6.05</v>
      </c>
      <c r="AU99" s="243">
        <v>44783819.920000002</v>
      </c>
      <c r="AV99">
        <v>28110000</v>
      </c>
      <c r="AW99">
        <v>159.32</v>
      </c>
      <c r="AX99" t="s">
        <v>1535</v>
      </c>
      <c r="AY99" t="s">
        <v>870</v>
      </c>
      <c r="AZ99">
        <v>35.93</v>
      </c>
      <c r="BA99">
        <v>57.24</v>
      </c>
      <c r="BB99" s="243">
        <v>3964775.8</v>
      </c>
      <c r="BC99">
        <v>0</v>
      </c>
      <c r="BD99" t="s">
        <v>520</v>
      </c>
      <c r="BE99" t="s">
        <v>1505</v>
      </c>
      <c r="BF99" t="s">
        <v>669</v>
      </c>
      <c r="BG99">
        <v>10.92</v>
      </c>
      <c r="BH99" t="s">
        <v>520</v>
      </c>
    </row>
    <row r="100" spans="1:60">
      <c r="A100">
        <v>247</v>
      </c>
      <c r="B100" t="s">
        <v>179</v>
      </c>
      <c r="C100" t="s">
        <v>524</v>
      </c>
      <c r="D100" t="s">
        <v>11</v>
      </c>
      <c r="E100" s="243">
        <v>15195371.49</v>
      </c>
      <c r="F100">
        <v>9930000</v>
      </c>
      <c r="G100">
        <v>153.02000000000001</v>
      </c>
      <c r="H100" t="s">
        <v>1506</v>
      </c>
      <c r="I100" t="s">
        <v>720</v>
      </c>
      <c r="J100">
        <v>14.39</v>
      </c>
      <c r="K100">
        <v>22.01</v>
      </c>
      <c r="L100" s="243">
        <v>23260680</v>
      </c>
      <c r="M100">
        <v>17220000</v>
      </c>
      <c r="N100">
        <v>135.08000000000001</v>
      </c>
      <c r="O100" t="s">
        <v>1540</v>
      </c>
      <c r="P100" t="s">
        <v>861</v>
      </c>
      <c r="Q100">
        <v>21.37</v>
      </c>
      <c r="R100">
        <v>28.87</v>
      </c>
      <c r="S100" s="243">
        <v>1366953</v>
      </c>
      <c r="T100">
        <v>2594000</v>
      </c>
      <c r="U100">
        <v>52.7</v>
      </c>
      <c r="V100" t="s">
        <v>1504</v>
      </c>
      <c r="W100" t="s">
        <v>851</v>
      </c>
      <c r="X100">
        <v>35.76</v>
      </c>
      <c r="Y100">
        <v>18.84</v>
      </c>
      <c r="Z100" s="243">
        <v>286285</v>
      </c>
      <c r="AA100">
        <v>986000</v>
      </c>
      <c r="AB100">
        <v>29.03</v>
      </c>
      <c r="AC100" t="s">
        <v>1520</v>
      </c>
      <c r="AD100" t="s">
        <v>665</v>
      </c>
      <c r="AE100">
        <v>0.11</v>
      </c>
      <c r="AF100">
        <v>0.03</v>
      </c>
      <c r="AG100" s="243">
        <v>39052</v>
      </c>
      <c r="AH100">
        <v>0</v>
      </c>
      <c r="AI100" t="s">
        <v>520</v>
      </c>
      <c r="AJ100" t="s">
        <v>1505</v>
      </c>
      <c r="AK100" t="s">
        <v>669</v>
      </c>
      <c r="AL100">
        <v>8.66</v>
      </c>
      <c r="AM100" t="s">
        <v>520</v>
      </c>
      <c r="AN100" s="243">
        <v>40338.03</v>
      </c>
      <c r="AO100">
        <v>550000</v>
      </c>
      <c r="AP100">
        <v>7.33</v>
      </c>
      <c r="AQ100" t="s">
        <v>1532</v>
      </c>
      <c r="AR100" t="s">
        <v>792</v>
      </c>
      <c r="AS100">
        <v>59.96</v>
      </c>
      <c r="AT100">
        <v>4.4000000000000004</v>
      </c>
      <c r="AU100" s="243">
        <v>40188679.520000003</v>
      </c>
      <c r="AV100">
        <v>31280000</v>
      </c>
      <c r="AW100">
        <v>128.47999999999999</v>
      </c>
      <c r="AX100" t="s">
        <v>1540</v>
      </c>
      <c r="AY100" t="s">
        <v>856</v>
      </c>
      <c r="AZ100">
        <v>19.09</v>
      </c>
      <c r="BA100">
        <v>24.53</v>
      </c>
      <c r="BB100" s="243">
        <v>3203794.49</v>
      </c>
      <c r="BC100">
        <v>0</v>
      </c>
      <c r="BD100" t="s">
        <v>520</v>
      </c>
      <c r="BE100" t="s">
        <v>1505</v>
      </c>
      <c r="BF100" t="s">
        <v>669</v>
      </c>
      <c r="BG100">
        <v>9.6199999999999992</v>
      </c>
      <c r="BH100" t="s">
        <v>520</v>
      </c>
    </row>
    <row r="101" spans="1:60">
      <c r="A101">
        <v>248</v>
      </c>
      <c r="B101" t="s">
        <v>94</v>
      </c>
      <c r="C101" t="s">
        <v>521</v>
      </c>
      <c r="D101" t="s">
        <v>11</v>
      </c>
      <c r="E101" s="243">
        <v>16326761.43</v>
      </c>
      <c r="F101">
        <v>10000000</v>
      </c>
      <c r="G101">
        <v>163.27000000000001</v>
      </c>
      <c r="H101" t="s">
        <v>1517</v>
      </c>
      <c r="I101" t="s">
        <v>795</v>
      </c>
      <c r="J101">
        <v>6.86</v>
      </c>
      <c r="K101">
        <v>11.19</v>
      </c>
      <c r="L101" s="243">
        <v>22389335</v>
      </c>
      <c r="M101">
        <v>17340000</v>
      </c>
      <c r="N101">
        <v>129.12</v>
      </c>
      <c r="O101" t="s">
        <v>1537</v>
      </c>
      <c r="P101" t="s">
        <v>868</v>
      </c>
      <c r="Q101">
        <v>18.600000000000001</v>
      </c>
      <c r="R101">
        <v>24.02</v>
      </c>
      <c r="S101" s="243">
        <v>1619625</v>
      </c>
      <c r="T101">
        <v>2003000</v>
      </c>
      <c r="U101">
        <v>80.86</v>
      </c>
      <c r="V101" t="s">
        <v>1518</v>
      </c>
      <c r="W101" t="s">
        <v>809</v>
      </c>
      <c r="X101">
        <v>0.7</v>
      </c>
      <c r="Y101">
        <v>0.56999999999999995</v>
      </c>
      <c r="Z101" s="243">
        <v>3085276</v>
      </c>
      <c r="AA101">
        <v>1617000</v>
      </c>
      <c r="AB101">
        <v>190.8</v>
      </c>
      <c r="AC101" t="s">
        <v>1537</v>
      </c>
      <c r="AD101" t="s">
        <v>772</v>
      </c>
      <c r="AE101">
        <v>0.01</v>
      </c>
      <c r="AF101">
        <v>0.01</v>
      </c>
      <c r="AG101" s="243">
        <v>32617</v>
      </c>
      <c r="AH101">
        <v>0</v>
      </c>
      <c r="AI101" t="s">
        <v>520</v>
      </c>
      <c r="AJ101" t="s">
        <v>1505</v>
      </c>
      <c r="AK101" t="s">
        <v>669</v>
      </c>
      <c r="AL101">
        <v>15.05</v>
      </c>
      <c r="AM101" t="s">
        <v>520</v>
      </c>
      <c r="AN101" s="243">
        <v>16657.43</v>
      </c>
      <c r="AO101">
        <v>550000</v>
      </c>
      <c r="AP101">
        <v>3.03</v>
      </c>
      <c r="AQ101" t="s">
        <v>1516</v>
      </c>
      <c r="AR101" t="s">
        <v>677</v>
      </c>
      <c r="AS101">
        <v>0</v>
      </c>
      <c r="AT101">
        <v>0</v>
      </c>
      <c r="AU101" s="243">
        <v>43470271.859999999</v>
      </c>
      <c r="AV101">
        <v>31510000</v>
      </c>
      <c r="AW101">
        <v>137.96</v>
      </c>
      <c r="AX101" t="s">
        <v>1525</v>
      </c>
      <c r="AY101" t="s">
        <v>788</v>
      </c>
      <c r="AZ101">
        <v>12.19</v>
      </c>
      <c r="BA101">
        <v>16.82</v>
      </c>
      <c r="BB101" s="243">
        <v>3819159.43</v>
      </c>
      <c r="BC101">
        <v>0</v>
      </c>
      <c r="BD101" t="s">
        <v>520</v>
      </c>
      <c r="BE101" t="s">
        <v>1505</v>
      </c>
      <c r="BF101" t="s">
        <v>669</v>
      </c>
      <c r="BG101">
        <v>9.61</v>
      </c>
      <c r="BH101" t="s">
        <v>520</v>
      </c>
    </row>
    <row r="102" spans="1:60">
      <c r="A102">
        <v>249</v>
      </c>
      <c r="B102" t="s">
        <v>30</v>
      </c>
      <c r="C102" t="s">
        <v>527</v>
      </c>
      <c r="D102" t="s">
        <v>11</v>
      </c>
      <c r="E102" s="243">
        <v>9405400.1500000004</v>
      </c>
      <c r="F102">
        <v>6860000</v>
      </c>
      <c r="G102">
        <v>137.1</v>
      </c>
      <c r="H102" t="s">
        <v>1538</v>
      </c>
      <c r="I102" t="s">
        <v>864</v>
      </c>
      <c r="J102">
        <v>5.87</v>
      </c>
      <c r="K102">
        <v>8.0500000000000007</v>
      </c>
      <c r="L102" s="243">
        <v>27638969</v>
      </c>
      <c r="M102">
        <v>11900000</v>
      </c>
      <c r="N102">
        <v>232.26</v>
      </c>
      <c r="O102" t="s">
        <v>1505</v>
      </c>
      <c r="P102" t="s">
        <v>692</v>
      </c>
      <c r="Q102">
        <v>70.08</v>
      </c>
      <c r="R102">
        <v>162.76</v>
      </c>
      <c r="S102" s="243">
        <v>127170</v>
      </c>
      <c r="T102">
        <v>1099000</v>
      </c>
      <c r="U102">
        <v>11.57</v>
      </c>
      <c r="V102" t="s">
        <v>1502</v>
      </c>
      <c r="W102" t="s">
        <v>812</v>
      </c>
      <c r="X102">
        <v>33.130000000000003</v>
      </c>
      <c r="Y102">
        <v>3.83</v>
      </c>
      <c r="Z102" s="243">
        <v>127893</v>
      </c>
      <c r="AA102">
        <v>1381000</v>
      </c>
      <c r="AB102">
        <v>9.26</v>
      </c>
      <c r="AC102" t="s">
        <v>1516</v>
      </c>
      <c r="AD102" t="s">
        <v>859</v>
      </c>
      <c r="AE102">
        <v>0.19</v>
      </c>
      <c r="AF102">
        <v>0.02</v>
      </c>
      <c r="AG102" s="243">
        <v>27045</v>
      </c>
      <c r="AH102">
        <v>0</v>
      </c>
      <c r="AI102" t="s">
        <v>520</v>
      </c>
      <c r="AJ102" t="s">
        <v>1505</v>
      </c>
      <c r="AK102" t="s">
        <v>669</v>
      </c>
      <c r="AL102">
        <v>4.49</v>
      </c>
      <c r="AM102" t="s">
        <v>520</v>
      </c>
      <c r="AN102" s="243">
        <v>256494.77</v>
      </c>
      <c r="AO102">
        <v>380000</v>
      </c>
      <c r="AP102">
        <v>67.5</v>
      </c>
      <c r="AQ102" t="s">
        <v>1519</v>
      </c>
      <c r="AR102" t="s">
        <v>858</v>
      </c>
      <c r="AS102">
        <v>6.27</v>
      </c>
      <c r="AT102">
        <v>4.2300000000000004</v>
      </c>
      <c r="AU102" s="243">
        <v>37582971.920000002</v>
      </c>
      <c r="AV102">
        <v>21620000</v>
      </c>
      <c r="AW102">
        <v>173.83</v>
      </c>
      <c r="AX102" t="s">
        <v>1523</v>
      </c>
      <c r="AY102" t="s">
        <v>883</v>
      </c>
      <c r="AZ102">
        <v>53.16</v>
      </c>
      <c r="BA102">
        <v>92.41</v>
      </c>
      <c r="BB102" s="243">
        <v>2715613.15</v>
      </c>
      <c r="BC102">
        <v>0</v>
      </c>
      <c r="BD102" t="s">
        <v>520</v>
      </c>
      <c r="BE102" t="s">
        <v>1505</v>
      </c>
      <c r="BF102" t="s">
        <v>669</v>
      </c>
      <c r="BG102">
        <v>6.18</v>
      </c>
      <c r="BH102" t="s">
        <v>520</v>
      </c>
    </row>
    <row r="103" spans="1:60">
      <c r="A103">
        <v>250</v>
      </c>
      <c r="B103" t="s">
        <v>180</v>
      </c>
      <c r="C103" t="s">
        <v>527</v>
      </c>
      <c r="D103" t="s">
        <v>11</v>
      </c>
      <c r="E103" s="243">
        <v>3857996.74</v>
      </c>
      <c r="F103">
        <v>5760000</v>
      </c>
      <c r="G103">
        <v>66.98</v>
      </c>
      <c r="H103" t="s">
        <v>1507</v>
      </c>
      <c r="I103" t="s">
        <v>680</v>
      </c>
      <c r="J103">
        <v>25.11</v>
      </c>
      <c r="K103">
        <v>16.82</v>
      </c>
      <c r="L103" s="243">
        <v>14292323</v>
      </c>
      <c r="M103">
        <v>9990000</v>
      </c>
      <c r="N103">
        <v>143.07</v>
      </c>
      <c r="O103" t="s">
        <v>1525</v>
      </c>
      <c r="P103" t="s">
        <v>753</v>
      </c>
      <c r="Q103">
        <v>71.67</v>
      </c>
      <c r="R103">
        <v>102.54</v>
      </c>
      <c r="S103" s="243">
        <v>558153</v>
      </c>
      <c r="T103">
        <v>626000</v>
      </c>
      <c r="U103">
        <v>89.16</v>
      </c>
      <c r="V103" t="s">
        <v>1528</v>
      </c>
      <c r="W103" t="s">
        <v>733</v>
      </c>
      <c r="X103">
        <v>27.52</v>
      </c>
      <c r="Y103">
        <v>24.53</v>
      </c>
      <c r="Z103" s="243">
        <v>3061623</v>
      </c>
      <c r="AA103">
        <v>1454000</v>
      </c>
      <c r="AB103">
        <v>210.57</v>
      </c>
      <c r="AC103" t="s">
        <v>1506</v>
      </c>
      <c r="AD103" t="s">
        <v>707</v>
      </c>
      <c r="AE103">
        <v>0.01</v>
      </c>
      <c r="AF103">
        <v>0.02</v>
      </c>
      <c r="AG103" s="243">
        <v>4155</v>
      </c>
      <c r="AH103">
        <v>0</v>
      </c>
      <c r="AI103" t="s">
        <v>520</v>
      </c>
      <c r="AJ103" t="s">
        <v>1505</v>
      </c>
      <c r="AK103" t="s">
        <v>669</v>
      </c>
      <c r="AL103">
        <v>7.82</v>
      </c>
      <c r="AM103" t="s">
        <v>520</v>
      </c>
      <c r="AN103" s="243">
        <v>129401.13</v>
      </c>
      <c r="AO103">
        <v>320000</v>
      </c>
      <c r="AP103">
        <v>40.44</v>
      </c>
      <c r="AQ103" t="s">
        <v>1530</v>
      </c>
      <c r="AR103" t="s">
        <v>889</v>
      </c>
      <c r="AS103">
        <v>2.76</v>
      </c>
      <c r="AT103">
        <v>1.1100000000000001</v>
      </c>
      <c r="AU103" s="243">
        <v>21903651.870000001</v>
      </c>
      <c r="AV103">
        <v>18150000</v>
      </c>
      <c r="AW103">
        <v>120.68</v>
      </c>
      <c r="AX103" t="s">
        <v>1515</v>
      </c>
      <c r="AY103" t="s">
        <v>882</v>
      </c>
      <c r="AZ103">
        <v>51.91</v>
      </c>
      <c r="BA103">
        <v>62.65</v>
      </c>
      <c r="BB103" s="243">
        <v>1266597.74</v>
      </c>
      <c r="BC103">
        <v>0</v>
      </c>
      <c r="BD103" t="s">
        <v>520</v>
      </c>
      <c r="BE103" t="s">
        <v>1505</v>
      </c>
      <c r="BF103" t="s">
        <v>669</v>
      </c>
      <c r="BG103">
        <v>20.38</v>
      </c>
      <c r="BH103" t="s">
        <v>520</v>
      </c>
    </row>
    <row r="104" spans="1:60">
      <c r="A104">
        <v>251</v>
      </c>
      <c r="B104" t="s">
        <v>181</v>
      </c>
      <c r="C104" t="s">
        <v>524</v>
      </c>
      <c r="D104" t="s">
        <v>11</v>
      </c>
      <c r="E104" s="243">
        <v>3629955.29</v>
      </c>
      <c r="F104">
        <v>6430000</v>
      </c>
      <c r="G104">
        <v>56.45</v>
      </c>
      <c r="H104" t="s">
        <v>1502</v>
      </c>
      <c r="I104" t="s">
        <v>684</v>
      </c>
      <c r="J104">
        <v>13.13</v>
      </c>
      <c r="K104">
        <v>7.41</v>
      </c>
      <c r="L104" s="243">
        <v>17775048</v>
      </c>
      <c r="M104">
        <v>11160000</v>
      </c>
      <c r="N104">
        <v>159.27000000000001</v>
      </c>
      <c r="O104" t="s">
        <v>1535</v>
      </c>
      <c r="P104" t="s">
        <v>761</v>
      </c>
      <c r="Q104">
        <v>13.28</v>
      </c>
      <c r="R104">
        <v>21.16</v>
      </c>
      <c r="S104" s="243">
        <v>617377</v>
      </c>
      <c r="T104">
        <v>1176000</v>
      </c>
      <c r="U104">
        <v>52.5</v>
      </c>
      <c r="V104" t="s">
        <v>1530</v>
      </c>
      <c r="W104" t="s">
        <v>784</v>
      </c>
      <c r="X104">
        <v>5.01</v>
      </c>
      <c r="Y104">
        <v>2.63</v>
      </c>
      <c r="Z104" s="243">
        <v>88437</v>
      </c>
      <c r="AA104">
        <v>1144000</v>
      </c>
      <c r="AB104">
        <v>7.73</v>
      </c>
      <c r="AC104" t="s">
        <v>1533</v>
      </c>
      <c r="AD104" t="s">
        <v>726</v>
      </c>
      <c r="AE104">
        <v>0.45</v>
      </c>
      <c r="AF104">
        <v>0.03</v>
      </c>
      <c r="AG104" s="243">
        <v>7558</v>
      </c>
      <c r="AH104">
        <v>0</v>
      </c>
      <c r="AI104" t="s">
        <v>520</v>
      </c>
      <c r="AJ104" t="s">
        <v>1505</v>
      </c>
      <c r="AK104" t="s">
        <v>669</v>
      </c>
      <c r="AL104">
        <v>11.56</v>
      </c>
      <c r="AM104" t="s">
        <v>520</v>
      </c>
      <c r="AN104" s="243">
        <v>159174.29999999999</v>
      </c>
      <c r="AO104">
        <v>360000</v>
      </c>
      <c r="AP104">
        <v>44.22</v>
      </c>
      <c r="AQ104" t="s">
        <v>1526</v>
      </c>
      <c r="AR104" t="s">
        <v>878</v>
      </c>
      <c r="AS104">
        <v>0</v>
      </c>
      <c r="AT104">
        <v>0</v>
      </c>
      <c r="AU104" s="243">
        <v>22277549.59</v>
      </c>
      <c r="AV104">
        <v>20270000</v>
      </c>
      <c r="AW104">
        <v>109.9</v>
      </c>
      <c r="AX104" t="s">
        <v>1531</v>
      </c>
      <c r="AY104" t="s">
        <v>781</v>
      </c>
      <c r="AZ104">
        <v>12.88</v>
      </c>
      <c r="BA104">
        <v>14.16</v>
      </c>
      <c r="BB104" s="243">
        <v>1474857.29</v>
      </c>
      <c r="BC104">
        <v>0</v>
      </c>
      <c r="BD104" t="s">
        <v>520</v>
      </c>
      <c r="BE104" t="s">
        <v>1505</v>
      </c>
      <c r="BF104" t="s">
        <v>669</v>
      </c>
      <c r="BG104">
        <v>7.68</v>
      </c>
      <c r="BH104" t="s">
        <v>520</v>
      </c>
    </row>
    <row r="105" spans="1:60">
      <c r="A105">
        <v>252</v>
      </c>
      <c r="B105" t="s">
        <v>95</v>
      </c>
      <c r="C105" t="s">
        <v>522</v>
      </c>
      <c r="D105" t="s">
        <v>11</v>
      </c>
      <c r="E105" s="243">
        <v>9974214.3900000006</v>
      </c>
      <c r="F105">
        <v>9650000</v>
      </c>
      <c r="G105">
        <v>103.36</v>
      </c>
      <c r="H105" t="s">
        <v>1536</v>
      </c>
      <c r="I105" t="s">
        <v>766</v>
      </c>
      <c r="J105">
        <v>20.22</v>
      </c>
      <c r="K105">
        <v>20.9</v>
      </c>
      <c r="L105" s="243">
        <v>11068336</v>
      </c>
      <c r="M105">
        <v>16740000</v>
      </c>
      <c r="N105">
        <v>66.12</v>
      </c>
      <c r="O105" t="s">
        <v>1536</v>
      </c>
      <c r="P105" t="s">
        <v>777</v>
      </c>
      <c r="Q105">
        <v>77.38</v>
      </c>
      <c r="R105">
        <v>51.17</v>
      </c>
      <c r="S105" s="243">
        <v>1038128</v>
      </c>
      <c r="T105">
        <v>1567000</v>
      </c>
      <c r="U105">
        <v>66.25</v>
      </c>
      <c r="V105" t="s">
        <v>1538</v>
      </c>
      <c r="W105" t="s">
        <v>798</v>
      </c>
      <c r="X105">
        <v>34.08</v>
      </c>
      <c r="Y105">
        <v>22.58</v>
      </c>
      <c r="Z105" s="243">
        <v>5952647</v>
      </c>
      <c r="AA105">
        <v>1913000</v>
      </c>
      <c r="AB105">
        <v>311.17</v>
      </c>
      <c r="AC105" t="s">
        <v>1540</v>
      </c>
      <c r="AD105" t="s">
        <v>887</v>
      </c>
      <c r="AE105">
        <v>1.51</v>
      </c>
      <c r="AF105">
        <v>4.71</v>
      </c>
      <c r="AG105" s="243">
        <v>32736</v>
      </c>
      <c r="AH105">
        <v>0</v>
      </c>
      <c r="AI105" t="s">
        <v>520</v>
      </c>
      <c r="AJ105" t="s">
        <v>1505</v>
      </c>
      <c r="AK105" t="s">
        <v>669</v>
      </c>
      <c r="AL105">
        <v>16.43</v>
      </c>
      <c r="AM105" t="s">
        <v>520</v>
      </c>
      <c r="AN105" s="243">
        <v>253813.22</v>
      </c>
      <c r="AO105">
        <v>540000</v>
      </c>
      <c r="AP105">
        <v>47</v>
      </c>
      <c r="AQ105" t="s">
        <v>1503</v>
      </c>
      <c r="AR105" t="s">
        <v>829</v>
      </c>
      <c r="AS105">
        <v>0</v>
      </c>
      <c r="AT105">
        <v>0</v>
      </c>
      <c r="AU105" s="243">
        <v>28319874.609999999</v>
      </c>
      <c r="AV105">
        <v>30410000</v>
      </c>
      <c r="AW105">
        <v>93.13</v>
      </c>
      <c r="AX105" t="s">
        <v>1524</v>
      </c>
      <c r="AY105" t="s">
        <v>709</v>
      </c>
      <c r="AZ105">
        <v>38.950000000000003</v>
      </c>
      <c r="BA105">
        <v>36.270000000000003</v>
      </c>
      <c r="BB105" s="243">
        <v>3129892.39</v>
      </c>
      <c r="BC105">
        <v>0</v>
      </c>
      <c r="BD105" t="s">
        <v>520</v>
      </c>
      <c r="BE105" t="s">
        <v>1505</v>
      </c>
      <c r="BF105" t="s">
        <v>669</v>
      </c>
      <c r="BG105">
        <v>16</v>
      </c>
      <c r="BH105" t="s">
        <v>520</v>
      </c>
    </row>
    <row r="106" spans="1:60">
      <c r="A106">
        <v>260</v>
      </c>
      <c r="B106" t="s">
        <v>96</v>
      </c>
      <c r="C106" t="s">
        <v>521</v>
      </c>
      <c r="D106" t="s">
        <v>11</v>
      </c>
      <c r="E106" s="243">
        <v>15153134.779999999</v>
      </c>
      <c r="F106">
        <v>11880000</v>
      </c>
      <c r="G106">
        <v>127.55</v>
      </c>
      <c r="H106" t="s">
        <v>1531</v>
      </c>
      <c r="I106" t="s">
        <v>800</v>
      </c>
      <c r="J106">
        <v>19.05</v>
      </c>
      <c r="K106">
        <v>24.3</v>
      </c>
      <c r="L106" s="243">
        <v>21356894</v>
      </c>
      <c r="M106">
        <v>20610000</v>
      </c>
      <c r="N106">
        <v>103.62</v>
      </c>
      <c r="O106" t="s">
        <v>1538</v>
      </c>
      <c r="P106" t="s">
        <v>697</v>
      </c>
      <c r="Q106">
        <v>28.92</v>
      </c>
      <c r="R106">
        <v>29.97</v>
      </c>
      <c r="S106" s="243">
        <v>7215323</v>
      </c>
      <c r="T106">
        <v>3085000</v>
      </c>
      <c r="U106">
        <v>233.88</v>
      </c>
      <c r="V106" t="s">
        <v>1523</v>
      </c>
      <c r="W106" t="s">
        <v>761</v>
      </c>
      <c r="X106">
        <v>18.54</v>
      </c>
      <c r="Y106">
        <v>43.36</v>
      </c>
      <c r="Z106" s="243">
        <v>4596560</v>
      </c>
      <c r="AA106">
        <v>1205000</v>
      </c>
      <c r="AB106">
        <v>381.46</v>
      </c>
      <c r="AC106" t="s">
        <v>1525</v>
      </c>
      <c r="AD106" t="s">
        <v>689</v>
      </c>
      <c r="AE106">
        <v>0.02</v>
      </c>
      <c r="AF106">
        <v>0.06</v>
      </c>
      <c r="AG106" s="243">
        <v>36133</v>
      </c>
      <c r="AH106">
        <v>0</v>
      </c>
      <c r="AI106" t="s">
        <v>520</v>
      </c>
      <c r="AJ106" t="s">
        <v>1505</v>
      </c>
      <c r="AK106" t="s">
        <v>669</v>
      </c>
      <c r="AL106">
        <v>11.63</v>
      </c>
      <c r="AM106" t="s">
        <v>520</v>
      </c>
      <c r="AN106" s="243">
        <v>1748030.53</v>
      </c>
      <c r="AO106">
        <v>660000</v>
      </c>
      <c r="AP106">
        <v>264.85000000000002</v>
      </c>
      <c r="AQ106" t="s">
        <v>1540</v>
      </c>
      <c r="AR106" t="s">
        <v>772</v>
      </c>
      <c r="AS106">
        <v>0</v>
      </c>
      <c r="AT106">
        <v>0</v>
      </c>
      <c r="AU106" s="243">
        <v>50106075.310000002</v>
      </c>
      <c r="AV106">
        <v>37440000</v>
      </c>
      <c r="AW106">
        <v>133.83000000000001</v>
      </c>
      <c r="AX106" t="s">
        <v>1527</v>
      </c>
      <c r="AY106" t="s">
        <v>839</v>
      </c>
      <c r="AZ106">
        <v>20.77</v>
      </c>
      <c r="BA106">
        <v>27.79</v>
      </c>
      <c r="BB106" s="243">
        <v>4050872.78</v>
      </c>
      <c r="BC106">
        <v>0</v>
      </c>
      <c r="BD106" t="s">
        <v>520</v>
      </c>
      <c r="BE106" t="s">
        <v>1505</v>
      </c>
      <c r="BF106" t="s">
        <v>669</v>
      </c>
      <c r="BG106">
        <v>12.19</v>
      </c>
      <c r="BH106" t="s">
        <v>520</v>
      </c>
    </row>
    <row r="107" spans="1:60">
      <c r="A107">
        <v>262</v>
      </c>
      <c r="B107" t="s">
        <v>97</v>
      </c>
      <c r="C107" t="s">
        <v>525</v>
      </c>
      <c r="D107" t="s">
        <v>11</v>
      </c>
      <c r="E107" s="243">
        <v>11257353.67</v>
      </c>
      <c r="F107">
        <v>8950000</v>
      </c>
      <c r="G107">
        <v>125.78</v>
      </c>
      <c r="H107" t="s">
        <v>1522</v>
      </c>
      <c r="I107" t="s">
        <v>820</v>
      </c>
      <c r="J107">
        <v>10.17</v>
      </c>
      <c r="K107">
        <v>12.8</v>
      </c>
      <c r="L107" s="243">
        <v>18053784</v>
      </c>
      <c r="M107">
        <v>15530000</v>
      </c>
      <c r="N107">
        <v>116.25</v>
      </c>
      <c r="O107" t="s">
        <v>1518</v>
      </c>
      <c r="P107" t="s">
        <v>823</v>
      </c>
      <c r="Q107">
        <v>63.98</v>
      </c>
      <c r="R107">
        <v>74.37</v>
      </c>
      <c r="S107" s="243">
        <v>406440</v>
      </c>
      <c r="T107">
        <v>2127000</v>
      </c>
      <c r="U107">
        <v>19.11</v>
      </c>
      <c r="V107" t="s">
        <v>1533</v>
      </c>
      <c r="W107" t="s">
        <v>822</v>
      </c>
      <c r="X107">
        <v>0</v>
      </c>
      <c r="Y107">
        <v>0</v>
      </c>
      <c r="Z107" s="243">
        <v>1313411</v>
      </c>
      <c r="AA107">
        <v>1103000</v>
      </c>
      <c r="AB107">
        <v>119.08</v>
      </c>
      <c r="AC107" t="s">
        <v>1539</v>
      </c>
      <c r="AD107" t="s">
        <v>876</v>
      </c>
      <c r="AE107">
        <v>0.02</v>
      </c>
      <c r="AF107">
        <v>0.02</v>
      </c>
      <c r="AG107" s="243">
        <v>22177</v>
      </c>
      <c r="AH107">
        <v>0</v>
      </c>
      <c r="AI107" t="s">
        <v>520</v>
      </c>
      <c r="AJ107" t="s">
        <v>1505</v>
      </c>
      <c r="AK107" t="s">
        <v>669</v>
      </c>
      <c r="AL107">
        <v>1.33</v>
      </c>
      <c r="AM107" t="s">
        <v>520</v>
      </c>
      <c r="AN107" s="243">
        <v>210493.21</v>
      </c>
      <c r="AO107">
        <v>500000</v>
      </c>
      <c r="AP107">
        <v>42.1</v>
      </c>
      <c r="AQ107" t="s">
        <v>1504</v>
      </c>
      <c r="AR107" t="s">
        <v>818</v>
      </c>
      <c r="AS107">
        <v>0</v>
      </c>
      <c r="AT107">
        <v>0</v>
      </c>
      <c r="AU107" s="243">
        <v>31263658.879999999</v>
      </c>
      <c r="AV107">
        <v>28210000</v>
      </c>
      <c r="AW107">
        <v>110.82</v>
      </c>
      <c r="AX107" t="s">
        <v>1519</v>
      </c>
      <c r="AY107" t="s">
        <v>820</v>
      </c>
      <c r="AZ107">
        <v>40.61</v>
      </c>
      <c r="BA107">
        <v>45</v>
      </c>
      <c r="BB107" s="243">
        <v>3259561.67</v>
      </c>
      <c r="BC107">
        <v>0</v>
      </c>
      <c r="BD107" t="s">
        <v>520</v>
      </c>
      <c r="BE107" t="s">
        <v>1505</v>
      </c>
      <c r="BF107" t="s">
        <v>669</v>
      </c>
      <c r="BG107">
        <v>5.09</v>
      </c>
      <c r="BH107" t="s">
        <v>520</v>
      </c>
    </row>
    <row r="108" spans="1:60" s="93" customFormat="1">
      <c r="A108" s="93">
        <v>268</v>
      </c>
      <c r="B108" s="93" t="s">
        <v>1282</v>
      </c>
      <c r="D108" s="93" t="s">
        <v>11</v>
      </c>
      <c r="E108" s="334">
        <f>ROUND(E190/9.5*12, 0)</f>
        <v>4236606</v>
      </c>
      <c r="F108" s="93">
        <v>1520000</v>
      </c>
      <c r="G108" s="93">
        <v>220.66</v>
      </c>
      <c r="H108" s="93" t="s">
        <v>1523</v>
      </c>
      <c r="I108" s="93" t="s">
        <v>750</v>
      </c>
      <c r="J108" s="93">
        <v>35.96</v>
      </c>
      <c r="K108" s="93">
        <v>79.349999999999994</v>
      </c>
      <c r="L108" s="334">
        <f>ROUND(L190/9.5*12, 0)</f>
        <v>5404165</v>
      </c>
      <c r="M108" s="93">
        <v>2640000</v>
      </c>
      <c r="N108" s="93">
        <v>162.06</v>
      </c>
      <c r="O108" s="93" t="s">
        <v>1541</v>
      </c>
      <c r="P108" s="93" t="s">
        <v>872</v>
      </c>
      <c r="Q108" s="93">
        <v>54.2</v>
      </c>
      <c r="R108" s="93">
        <v>87.84</v>
      </c>
      <c r="S108" s="334">
        <f>ROUND(S190/9.5*12, 0)</f>
        <v>256257</v>
      </c>
      <c r="T108" s="93">
        <v>360000</v>
      </c>
      <c r="U108" s="93">
        <v>56.35</v>
      </c>
      <c r="V108" s="93" t="s">
        <v>1534</v>
      </c>
      <c r="W108" s="93" t="s">
        <v>889</v>
      </c>
      <c r="X108" s="93">
        <v>22.38</v>
      </c>
      <c r="Y108" s="93">
        <v>12.61</v>
      </c>
      <c r="Z108" s="334">
        <f>ROUND(Z190/9.5*12, 0)</f>
        <v>1813224</v>
      </c>
      <c r="AA108" s="93">
        <v>200000</v>
      </c>
      <c r="AB108" s="93">
        <v>717.73</v>
      </c>
      <c r="AC108" s="93" t="s">
        <v>1523</v>
      </c>
      <c r="AD108" s="93" t="s">
        <v>765</v>
      </c>
      <c r="AE108" s="93">
        <v>2.7</v>
      </c>
      <c r="AF108" s="93">
        <v>19.41</v>
      </c>
      <c r="AG108" s="334">
        <f>ROUND(AG190/9.5*12, 0)</f>
        <v>8866</v>
      </c>
      <c r="AH108" s="93">
        <v>0</v>
      </c>
      <c r="AI108" s="93" t="s">
        <v>520</v>
      </c>
      <c r="AJ108" s="93" t="s">
        <v>1505</v>
      </c>
      <c r="AK108" s="93" t="s">
        <v>669</v>
      </c>
      <c r="AL108" s="93">
        <v>47.26</v>
      </c>
      <c r="AM108" s="93" t="s">
        <v>520</v>
      </c>
      <c r="AN108" s="93">
        <v>0</v>
      </c>
      <c r="AO108" s="93">
        <v>80000</v>
      </c>
      <c r="AP108" s="93">
        <v>0</v>
      </c>
      <c r="AQ108" s="93" t="s">
        <v>1533</v>
      </c>
      <c r="AR108" s="93" t="s">
        <v>680</v>
      </c>
      <c r="AS108" s="93">
        <v>0</v>
      </c>
      <c r="AT108" s="93">
        <v>0</v>
      </c>
      <c r="AU108" s="334">
        <f>ROUND(AU190/9.5*12, 0)</f>
        <v>11719117</v>
      </c>
      <c r="AV108" s="334">
        <f>ROUND(AV190/9.5*12, 0)</f>
        <v>6063158</v>
      </c>
      <c r="AW108" s="93">
        <v>193.28</v>
      </c>
      <c r="AX108" s="93" t="s">
        <v>1505</v>
      </c>
      <c r="AY108" s="93" t="s">
        <v>692</v>
      </c>
      <c r="AZ108" s="93">
        <v>38.94</v>
      </c>
      <c r="BA108" s="93">
        <v>75.260000000000005</v>
      </c>
      <c r="BB108" s="334">
        <f>ROUND(BB190/9.5*12, 0)</f>
        <v>271602</v>
      </c>
      <c r="BC108" s="93">
        <v>0</v>
      </c>
      <c r="BD108" s="93" t="s">
        <v>520</v>
      </c>
      <c r="BE108" s="93" t="s">
        <v>1505</v>
      </c>
      <c r="BF108" s="93" t="s">
        <v>669</v>
      </c>
      <c r="BG108" s="93">
        <v>47.52</v>
      </c>
      <c r="BH108" s="93" t="s">
        <v>520</v>
      </c>
    </row>
    <row r="109" spans="1:60">
      <c r="A109">
        <v>300</v>
      </c>
      <c r="B109" t="s">
        <v>98</v>
      </c>
      <c r="C109" t="s">
        <v>519</v>
      </c>
      <c r="D109" t="s">
        <v>11</v>
      </c>
      <c r="E109" s="243">
        <v>13363949.82</v>
      </c>
      <c r="F109">
        <v>12190000</v>
      </c>
      <c r="G109">
        <v>109.63</v>
      </c>
      <c r="H109" t="s">
        <v>1526</v>
      </c>
      <c r="I109" t="s">
        <v>818</v>
      </c>
      <c r="J109">
        <v>17.47</v>
      </c>
      <c r="K109">
        <v>19.149999999999999</v>
      </c>
      <c r="L109" s="243">
        <v>18937459</v>
      </c>
      <c r="M109">
        <v>21130000</v>
      </c>
      <c r="N109">
        <v>89.62</v>
      </c>
      <c r="O109" t="s">
        <v>1503</v>
      </c>
      <c r="P109" t="s">
        <v>829</v>
      </c>
      <c r="Q109">
        <v>29.41</v>
      </c>
      <c r="R109">
        <v>26.36</v>
      </c>
      <c r="S109" s="243">
        <v>1924271</v>
      </c>
      <c r="T109">
        <v>3231000</v>
      </c>
      <c r="U109">
        <v>59.56</v>
      </c>
      <c r="V109" t="s">
        <v>1531</v>
      </c>
      <c r="W109" t="s">
        <v>776</v>
      </c>
      <c r="X109">
        <v>9.4700000000000006</v>
      </c>
      <c r="Y109">
        <v>5.64</v>
      </c>
      <c r="Z109" s="243">
        <v>486533</v>
      </c>
      <c r="AA109">
        <v>1169000</v>
      </c>
      <c r="AB109">
        <v>41.62</v>
      </c>
      <c r="AC109" t="s">
        <v>1504</v>
      </c>
      <c r="AD109" t="s">
        <v>804</v>
      </c>
      <c r="AE109">
        <v>7.44</v>
      </c>
      <c r="AF109">
        <v>3.1</v>
      </c>
      <c r="AG109" s="243">
        <v>187420</v>
      </c>
      <c r="AH109">
        <v>0</v>
      </c>
      <c r="AI109" t="s">
        <v>520</v>
      </c>
      <c r="AJ109" t="s">
        <v>1505</v>
      </c>
      <c r="AK109" t="s">
        <v>669</v>
      </c>
      <c r="AL109">
        <v>4.16</v>
      </c>
      <c r="AM109" t="s">
        <v>520</v>
      </c>
      <c r="AN109" s="243">
        <v>3195360.07</v>
      </c>
      <c r="AO109">
        <v>680000</v>
      </c>
      <c r="AP109">
        <v>469.91</v>
      </c>
      <c r="AQ109" t="s">
        <v>1541</v>
      </c>
      <c r="AR109" t="s">
        <v>863</v>
      </c>
      <c r="AS109">
        <v>3.41</v>
      </c>
      <c r="AT109">
        <v>16.04</v>
      </c>
      <c r="AU109" s="243">
        <v>38094992.890000001</v>
      </c>
      <c r="AV109">
        <v>38400000</v>
      </c>
      <c r="AW109">
        <v>99.21</v>
      </c>
      <c r="AX109" t="s">
        <v>1530</v>
      </c>
      <c r="AY109" t="s">
        <v>851</v>
      </c>
      <c r="AZ109">
        <v>21.63</v>
      </c>
      <c r="BA109">
        <v>21.45</v>
      </c>
      <c r="BB109" s="243">
        <v>4680883.82</v>
      </c>
      <c r="BC109">
        <v>0</v>
      </c>
      <c r="BD109" t="s">
        <v>520</v>
      </c>
      <c r="BE109" t="s">
        <v>1505</v>
      </c>
      <c r="BF109" t="s">
        <v>669</v>
      </c>
      <c r="BG109">
        <v>10.51</v>
      </c>
      <c r="BH109" t="s">
        <v>520</v>
      </c>
    </row>
    <row r="110" spans="1:60">
      <c r="A110">
        <v>301</v>
      </c>
      <c r="B110" t="s">
        <v>99</v>
      </c>
      <c r="C110" t="s">
        <v>524</v>
      </c>
      <c r="D110" t="s">
        <v>11</v>
      </c>
      <c r="E110" s="243">
        <v>10491054.92</v>
      </c>
      <c r="F110">
        <v>9980000</v>
      </c>
      <c r="G110">
        <v>105.12</v>
      </c>
      <c r="H110" t="s">
        <v>1504</v>
      </c>
      <c r="I110" t="s">
        <v>719</v>
      </c>
      <c r="J110">
        <v>17.11</v>
      </c>
      <c r="K110">
        <v>17.989999999999998</v>
      </c>
      <c r="L110" s="243">
        <v>23339706</v>
      </c>
      <c r="M110">
        <v>17300000</v>
      </c>
      <c r="N110">
        <v>134.91</v>
      </c>
      <c r="O110" t="s">
        <v>1506</v>
      </c>
      <c r="P110" t="s">
        <v>790</v>
      </c>
      <c r="Q110">
        <v>13.09</v>
      </c>
      <c r="R110">
        <v>17.66</v>
      </c>
      <c r="S110" s="243">
        <v>424579</v>
      </c>
      <c r="T110">
        <v>2507000</v>
      </c>
      <c r="U110">
        <v>16.940000000000001</v>
      </c>
      <c r="V110" t="s">
        <v>1507</v>
      </c>
      <c r="W110" t="s">
        <v>677</v>
      </c>
      <c r="X110">
        <v>26.65</v>
      </c>
      <c r="Y110">
        <v>4.51</v>
      </c>
      <c r="Z110" s="243">
        <v>4942459</v>
      </c>
      <c r="AA110">
        <v>1103000</v>
      </c>
      <c r="AB110">
        <v>448.09</v>
      </c>
      <c r="AC110" t="s">
        <v>1535</v>
      </c>
      <c r="AD110" t="s">
        <v>724</v>
      </c>
      <c r="AE110">
        <v>0.43</v>
      </c>
      <c r="AF110">
        <v>1.91</v>
      </c>
      <c r="AG110" s="243">
        <v>46846</v>
      </c>
      <c r="AH110">
        <v>0</v>
      </c>
      <c r="AI110" t="s">
        <v>520</v>
      </c>
      <c r="AJ110" t="s">
        <v>1505</v>
      </c>
      <c r="AK110" t="s">
        <v>669</v>
      </c>
      <c r="AL110">
        <v>8.68</v>
      </c>
      <c r="AM110" t="s">
        <v>520</v>
      </c>
      <c r="AN110" s="243">
        <v>106656.31</v>
      </c>
      <c r="AO110">
        <v>550000</v>
      </c>
      <c r="AP110">
        <v>19.39</v>
      </c>
      <c r="AQ110" t="s">
        <v>1520</v>
      </c>
      <c r="AR110" t="s">
        <v>691</v>
      </c>
      <c r="AS110">
        <v>0</v>
      </c>
      <c r="AT110">
        <v>0</v>
      </c>
      <c r="AU110" s="243">
        <v>39351301.229999997</v>
      </c>
      <c r="AV110">
        <v>31440000</v>
      </c>
      <c r="AW110">
        <v>125.16</v>
      </c>
      <c r="AX110" t="s">
        <v>1528</v>
      </c>
      <c r="AY110" t="s">
        <v>694</v>
      </c>
      <c r="AZ110">
        <v>12.68</v>
      </c>
      <c r="BA110">
        <v>15.87</v>
      </c>
      <c r="BB110" s="243">
        <v>3242866.92</v>
      </c>
      <c r="BC110">
        <v>0</v>
      </c>
      <c r="BD110" t="s">
        <v>520</v>
      </c>
      <c r="BE110" t="s">
        <v>1505</v>
      </c>
      <c r="BF110" t="s">
        <v>669</v>
      </c>
      <c r="BG110">
        <v>9.18</v>
      </c>
      <c r="BH110" t="s">
        <v>520</v>
      </c>
    </row>
    <row r="111" spans="1:60">
      <c r="A111">
        <v>302</v>
      </c>
      <c r="B111" t="s">
        <v>31</v>
      </c>
      <c r="C111" t="s">
        <v>522</v>
      </c>
      <c r="D111" t="s">
        <v>11</v>
      </c>
      <c r="E111" s="243">
        <v>13967632.35</v>
      </c>
      <c r="F111">
        <v>7530000</v>
      </c>
      <c r="G111">
        <v>185.49</v>
      </c>
      <c r="H111" t="s">
        <v>1541</v>
      </c>
      <c r="I111" t="s">
        <v>724</v>
      </c>
      <c r="J111">
        <v>17.7</v>
      </c>
      <c r="K111">
        <v>32.840000000000003</v>
      </c>
      <c r="L111" s="243">
        <v>11583126</v>
      </c>
      <c r="M111">
        <v>13050000</v>
      </c>
      <c r="N111">
        <v>88.76</v>
      </c>
      <c r="O111" t="s">
        <v>1526</v>
      </c>
      <c r="P111" t="s">
        <v>878</v>
      </c>
      <c r="Q111">
        <v>54.68</v>
      </c>
      <c r="R111">
        <v>48.53</v>
      </c>
      <c r="S111" s="243">
        <v>1203969</v>
      </c>
      <c r="T111">
        <v>1462000</v>
      </c>
      <c r="U111">
        <v>82.35</v>
      </c>
      <c r="V111" t="s">
        <v>1515</v>
      </c>
      <c r="W111" t="s">
        <v>879</v>
      </c>
      <c r="X111">
        <v>9.25</v>
      </c>
      <c r="Y111">
        <v>7.62</v>
      </c>
      <c r="Z111" s="243">
        <v>991380</v>
      </c>
      <c r="AA111">
        <v>1258000</v>
      </c>
      <c r="AB111">
        <v>78.81</v>
      </c>
      <c r="AC111" t="s">
        <v>1534</v>
      </c>
      <c r="AD111" t="s">
        <v>787</v>
      </c>
      <c r="AE111">
        <v>0.16</v>
      </c>
      <c r="AF111">
        <v>0.13</v>
      </c>
      <c r="AG111" s="243">
        <v>167135</v>
      </c>
      <c r="AH111">
        <v>0</v>
      </c>
      <c r="AI111" t="s">
        <v>520</v>
      </c>
      <c r="AJ111" t="s">
        <v>1505</v>
      </c>
      <c r="AK111" t="s">
        <v>669</v>
      </c>
      <c r="AL111">
        <v>2.63</v>
      </c>
      <c r="AM111" t="s">
        <v>520</v>
      </c>
      <c r="AN111" s="243">
        <v>31489.91</v>
      </c>
      <c r="AO111">
        <v>420000</v>
      </c>
      <c r="AP111">
        <v>7.5</v>
      </c>
      <c r="AQ111" t="s">
        <v>1521</v>
      </c>
      <c r="AR111" t="s">
        <v>782</v>
      </c>
      <c r="AS111">
        <v>0</v>
      </c>
      <c r="AT111">
        <v>0</v>
      </c>
      <c r="AU111" s="243">
        <v>27944732.260000002</v>
      </c>
      <c r="AV111">
        <v>23720000</v>
      </c>
      <c r="AW111">
        <v>117.81</v>
      </c>
      <c r="AX111" t="s">
        <v>1518</v>
      </c>
      <c r="AY111" t="s">
        <v>857</v>
      </c>
      <c r="AZ111">
        <v>31.93</v>
      </c>
      <c r="BA111">
        <v>37.619999999999997</v>
      </c>
      <c r="BB111" s="243">
        <v>4217459.3499999996</v>
      </c>
      <c r="BC111">
        <v>0</v>
      </c>
      <c r="BD111" t="s">
        <v>520</v>
      </c>
      <c r="BE111" t="s">
        <v>1505</v>
      </c>
      <c r="BF111" t="s">
        <v>669</v>
      </c>
      <c r="BG111">
        <v>11.2</v>
      </c>
      <c r="BH111" t="s">
        <v>520</v>
      </c>
    </row>
    <row r="112" spans="1:60">
      <c r="A112">
        <v>310</v>
      </c>
      <c r="B112" t="s">
        <v>32</v>
      </c>
      <c r="C112" t="s">
        <v>524</v>
      </c>
      <c r="D112" t="s">
        <v>11</v>
      </c>
      <c r="E112" s="243">
        <v>13655568.93</v>
      </c>
      <c r="F112">
        <v>9270000</v>
      </c>
      <c r="G112">
        <v>147.31</v>
      </c>
      <c r="H112" t="s">
        <v>1515</v>
      </c>
      <c r="I112" t="s">
        <v>853</v>
      </c>
      <c r="J112">
        <v>11.12</v>
      </c>
      <c r="K112">
        <v>16.38</v>
      </c>
      <c r="L112" s="243">
        <v>18816494</v>
      </c>
      <c r="M112">
        <v>16080000</v>
      </c>
      <c r="N112">
        <v>117.02</v>
      </c>
      <c r="O112" t="s">
        <v>1515</v>
      </c>
      <c r="P112" t="s">
        <v>787</v>
      </c>
      <c r="Q112">
        <v>57.95</v>
      </c>
      <c r="R112">
        <v>67.81</v>
      </c>
      <c r="S112" s="243">
        <v>908562</v>
      </c>
      <c r="T112">
        <v>2247000</v>
      </c>
      <c r="U112">
        <v>40.43</v>
      </c>
      <c r="V112" t="s">
        <v>1521</v>
      </c>
      <c r="W112" t="s">
        <v>786</v>
      </c>
      <c r="X112">
        <v>5.0999999999999996</v>
      </c>
      <c r="Y112">
        <v>2.06</v>
      </c>
      <c r="Z112" s="243">
        <v>1907244</v>
      </c>
      <c r="AA112">
        <v>1103000</v>
      </c>
      <c r="AB112">
        <v>172.91</v>
      </c>
      <c r="AC112" t="s">
        <v>1515</v>
      </c>
      <c r="AD112" t="s">
        <v>856</v>
      </c>
      <c r="AE112">
        <v>0</v>
      </c>
      <c r="AF112">
        <v>0</v>
      </c>
      <c r="AG112" s="243">
        <v>17292</v>
      </c>
      <c r="AH112">
        <v>0</v>
      </c>
      <c r="AI112" t="s">
        <v>520</v>
      </c>
      <c r="AJ112" t="s">
        <v>1505</v>
      </c>
      <c r="AK112" t="s">
        <v>669</v>
      </c>
      <c r="AL112">
        <v>9.5</v>
      </c>
      <c r="AM112" t="s">
        <v>520</v>
      </c>
      <c r="AN112" s="243">
        <v>183973.96</v>
      </c>
      <c r="AO112">
        <v>510000</v>
      </c>
      <c r="AP112">
        <v>36.07</v>
      </c>
      <c r="AQ112" t="s">
        <v>1536</v>
      </c>
      <c r="AR112" t="s">
        <v>814</v>
      </c>
      <c r="AS112">
        <v>25.15</v>
      </c>
      <c r="AT112">
        <v>9.07</v>
      </c>
      <c r="AU112" s="243">
        <v>35489134.890000001</v>
      </c>
      <c r="AV112">
        <v>29210000</v>
      </c>
      <c r="AW112">
        <v>121.5</v>
      </c>
      <c r="AX112" t="s">
        <v>1537</v>
      </c>
      <c r="AY112" t="s">
        <v>706</v>
      </c>
      <c r="AZ112">
        <v>35.270000000000003</v>
      </c>
      <c r="BA112">
        <v>42.85</v>
      </c>
      <c r="BB112" s="243">
        <v>3195160.93</v>
      </c>
      <c r="BC112">
        <v>0</v>
      </c>
      <c r="BD112" t="s">
        <v>520</v>
      </c>
      <c r="BE112" t="s">
        <v>1505</v>
      </c>
      <c r="BF112" t="s">
        <v>669</v>
      </c>
      <c r="BG112">
        <v>9.8699999999999992</v>
      </c>
      <c r="BH112" t="s">
        <v>520</v>
      </c>
    </row>
    <row r="113" spans="1:60">
      <c r="A113">
        <v>313</v>
      </c>
      <c r="B113" t="s">
        <v>182</v>
      </c>
      <c r="C113" t="s">
        <v>523</v>
      </c>
      <c r="D113" t="s">
        <v>11</v>
      </c>
      <c r="E113" s="243">
        <v>5630945.54</v>
      </c>
      <c r="F113">
        <v>4851000</v>
      </c>
      <c r="G113">
        <v>116.08</v>
      </c>
      <c r="H113" t="s">
        <v>1503</v>
      </c>
      <c r="I113" t="s">
        <v>785</v>
      </c>
      <c r="J113">
        <v>11.69</v>
      </c>
      <c r="K113">
        <v>13.57</v>
      </c>
      <c r="L113" s="243">
        <v>8568391</v>
      </c>
      <c r="M113">
        <v>8407000</v>
      </c>
      <c r="N113">
        <v>101.92</v>
      </c>
      <c r="O113" t="s">
        <v>1519</v>
      </c>
      <c r="P113" t="s">
        <v>682</v>
      </c>
      <c r="Q113">
        <v>70.61</v>
      </c>
      <c r="R113">
        <v>71.97</v>
      </c>
      <c r="S113" s="243">
        <v>1627780</v>
      </c>
      <c r="T113">
        <v>22000</v>
      </c>
      <c r="U113">
        <v>7399</v>
      </c>
      <c r="V113" t="s">
        <v>1505</v>
      </c>
      <c r="W113" t="s">
        <v>669</v>
      </c>
      <c r="X113">
        <v>2.91</v>
      </c>
      <c r="Y113">
        <v>215.56</v>
      </c>
      <c r="Z113" s="243">
        <v>514407</v>
      </c>
      <c r="AA113">
        <v>1798000</v>
      </c>
      <c r="AB113">
        <v>28.61</v>
      </c>
      <c r="AC113" t="s">
        <v>1524</v>
      </c>
      <c r="AD113" t="s">
        <v>785</v>
      </c>
      <c r="AE113">
        <v>0.01</v>
      </c>
      <c r="AF113">
        <v>0</v>
      </c>
      <c r="AG113" s="243">
        <v>18695</v>
      </c>
      <c r="AH113">
        <v>0</v>
      </c>
      <c r="AI113" t="s">
        <v>520</v>
      </c>
      <c r="AJ113" t="s">
        <v>1505</v>
      </c>
      <c r="AK113" t="s">
        <v>669</v>
      </c>
      <c r="AL113">
        <v>5.58</v>
      </c>
      <c r="AM113" t="s">
        <v>520</v>
      </c>
      <c r="AN113" s="243">
        <v>0</v>
      </c>
      <c r="AO113">
        <v>262000</v>
      </c>
      <c r="AP113">
        <v>0</v>
      </c>
      <c r="AQ113" t="s">
        <v>1533</v>
      </c>
      <c r="AR113" t="s">
        <v>680</v>
      </c>
      <c r="AS113">
        <v>0</v>
      </c>
      <c r="AT113">
        <v>0</v>
      </c>
      <c r="AU113" s="243">
        <v>16360218.539999999</v>
      </c>
      <c r="AV113">
        <v>15340000</v>
      </c>
      <c r="AW113">
        <v>106.65</v>
      </c>
      <c r="AX113" t="s">
        <v>1526</v>
      </c>
      <c r="AY113" t="s">
        <v>785</v>
      </c>
      <c r="AZ113">
        <v>41.3</v>
      </c>
      <c r="BA113">
        <v>44.05</v>
      </c>
      <c r="BB113" s="243">
        <v>1936345.54</v>
      </c>
      <c r="BC113">
        <v>0</v>
      </c>
      <c r="BD113" t="s">
        <v>520</v>
      </c>
      <c r="BE113" t="s">
        <v>1505</v>
      </c>
      <c r="BF113" t="s">
        <v>669</v>
      </c>
      <c r="BG113">
        <v>5.77</v>
      </c>
      <c r="BH113" t="s">
        <v>520</v>
      </c>
    </row>
    <row r="114" spans="1:60">
      <c r="A114">
        <v>320</v>
      </c>
      <c r="B114" t="s">
        <v>183</v>
      </c>
      <c r="C114" t="s">
        <v>523</v>
      </c>
      <c r="D114" t="s">
        <v>33</v>
      </c>
      <c r="E114" s="243">
        <v>13628436.109999999</v>
      </c>
      <c r="F114">
        <v>9810000</v>
      </c>
      <c r="G114">
        <v>138.91999999999999</v>
      </c>
      <c r="H114" t="s">
        <v>535</v>
      </c>
      <c r="I114" t="s">
        <v>881</v>
      </c>
      <c r="J114">
        <v>8.74</v>
      </c>
      <c r="K114">
        <v>12.14</v>
      </c>
      <c r="L114" s="243">
        <v>16321354</v>
      </c>
      <c r="M114">
        <v>17020000</v>
      </c>
      <c r="N114">
        <v>95.9</v>
      </c>
      <c r="O114" t="s">
        <v>552</v>
      </c>
      <c r="P114" t="s">
        <v>665</v>
      </c>
      <c r="Q114">
        <v>74.11</v>
      </c>
      <c r="R114">
        <v>71.069999999999993</v>
      </c>
      <c r="S114" s="243">
        <v>1027697</v>
      </c>
      <c r="T114">
        <v>1850000</v>
      </c>
      <c r="U114">
        <v>55.55</v>
      </c>
      <c r="V114" t="s">
        <v>545</v>
      </c>
      <c r="W114" t="s">
        <v>848</v>
      </c>
      <c r="X114">
        <v>14.07</v>
      </c>
      <c r="Y114">
        <v>7.81</v>
      </c>
      <c r="Z114" s="243">
        <v>2612990</v>
      </c>
      <c r="AA114">
        <v>1700000</v>
      </c>
      <c r="AB114">
        <v>153.71</v>
      </c>
      <c r="AC114" t="s">
        <v>551</v>
      </c>
      <c r="AD114" t="s">
        <v>790</v>
      </c>
      <c r="AE114">
        <v>0.02</v>
      </c>
      <c r="AF114">
        <v>0.03</v>
      </c>
      <c r="AG114" s="243">
        <v>324113</v>
      </c>
      <c r="AH114">
        <v>0</v>
      </c>
      <c r="AI114" t="s">
        <v>520</v>
      </c>
      <c r="AJ114" t="s">
        <v>532</v>
      </c>
      <c r="AK114" t="s">
        <v>669</v>
      </c>
      <c r="AL114">
        <v>0.82</v>
      </c>
      <c r="AM114" t="s">
        <v>520</v>
      </c>
      <c r="AN114" s="243">
        <v>131459.48000000001</v>
      </c>
      <c r="AO114">
        <v>540000</v>
      </c>
      <c r="AP114">
        <v>24.34</v>
      </c>
      <c r="AQ114" t="s">
        <v>552</v>
      </c>
      <c r="AR114" t="s">
        <v>833</v>
      </c>
      <c r="AS114">
        <v>0</v>
      </c>
      <c r="AT114">
        <v>0</v>
      </c>
      <c r="AU114" s="243">
        <v>34046049.590000004</v>
      </c>
      <c r="AV114">
        <v>30920000</v>
      </c>
      <c r="AW114">
        <v>110.11</v>
      </c>
      <c r="AX114" t="s">
        <v>534</v>
      </c>
      <c r="AY114" t="s">
        <v>682</v>
      </c>
      <c r="AZ114">
        <v>39.46</v>
      </c>
      <c r="BA114">
        <v>43.45</v>
      </c>
      <c r="BB114" s="243">
        <v>4726415.1100000003</v>
      </c>
      <c r="BC114">
        <v>0</v>
      </c>
      <c r="BD114" t="s">
        <v>520</v>
      </c>
      <c r="BE114" t="s">
        <v>532</v>
      </c>
      <c r="BF114" t="s">
        <v>669</v>
      </c>
      <c r="BG114">
        <v>8.3800000000000008</v>
      </c>
      <c r="BH114" t="s">
        <v>520</v>
      </c>
    </row>
    <row r="115" spans="1:60">
      <c r="A115">
        <v>321</v>
      </c>
      <c r="B115" t="s">
        <v>184</v>
      </c>
      <c r="C115" t="s">
        <v>522</v>
      </c>
      <c r="D115" t="s">
        <v>33</v>
      </c>
      <c r="E115" s="243">
        <v>12609221.939999999</v>
      </c>
      <c r="F115">
        <v>11680000</v>
      </c>
      <c r="G115">
        <v>107.96</v>
      </c>
      <c r="H115" t="s">
        <v>536</v>
      </c>
      <c r="I115" t="s">
        <v>889</v>
      </c>
      <c r="J115">
        <v>11.71</v>
      </c>
      <c r="K115">
        <v>12.65</v>
      </c>
      <c r="L115" s="243">
        <v>21159779</v>
      </c>
      <c r="M115">
        <v>20260000</v>
      </c>
      <c r="N115">
        <v>104.44</v>
      </c>
      <c r="O115" t="s">
        <v>536</v>
      </c>
      <c r="P115" t="s">
        <v>800</v>
      </c>
      <c r="Q115">
        <v>39.68</v>
      </c>
      <c r="R115">
        <v>41.44</v>
      </c>
      <c r="S115" s="243">
        <v>2610947</v>
      </c>
      <c r="T115">
        <v>2307000</v>
      </c>
      <c r="U115">
        <v>113.17</v>
      </c>
      <c r="V115" t="s">
        <v>550</v>
      </c>
      <c r="W115" t="s">
        <v>847</v>
      </c>
      <c r="X115">
        <v>24.64</v>
      </c>
      <c r="Y115">
        <v>27.89</v>
      </c>
      <c r="Z115" s="243">
        <v>2233585</v>
      </c>
      <c r="AA115">
        <v>1913000</v>
      </c>
      <c r="AB115">
        <v>116.76</v>
      </c>
      <c r="AC115" t="s">
        <v>541</v>
      </c>
      <c r="AD115" t="s">
        <v>694</v>
      </c>
      <c r="AE115">
        <v>0.05</v>
      </c>
      <c r="AF115">
        <v>0.05</v>
      </c>
      <c r="AG115" s="243">
        <v>48214</v>
      </c>
      <c r="AH115">
        <v>0</v>
      </c>
      <c r="AI115" t="s">
        <v>520</v>
      </c>
      <c r="AJ115" t="s">
        <v>532</v>
      </c>
      <c r="AK115" t="s">
        <v>669</v>
      </c>
      <c r="AL115">
        <v>14.33</v>
      </c>
      <c r="AM115" t="s">
        <v>520</v>
      </c>
      <c r="AN115" s="243">
        <v>146279.48000000001</v>
      </c>
      <c r="AO115">
        <v>650000</v>
      </c>
      <c r="AP115">
        <v>22.5</v>
      </c>
      <c r="AQ115" t="s">
        <v>531</v>
      </c>
      <c r="AR115" t="s">
        <v>888</v>
      </c>
      <c r="AS115">
        <v>22.55</v>
      </c>
      <c r="AT115">
        <v>5.07</v>
      </c>
      <c r="AU115" s="243">
        <v>38808026.420000002</v>
      </c>
      <c r="AV115">
        <v>36810000</v>
      </c>
      <c r="AW115">
        <v>105.43</v>
      </c>
      <c r="AX115" t="s">
        <v>555</v>
      </c>
      <c r="AY115" t="s">
        <v>867</v>
      </c>
      <c r="AZ115">
        <v>27.2</v>
      </c>
      <c r="BA115">
        <v>28.68</v>
      </c>
      <c r="BB115" s="243">
        <v>4173927.94</v>
      </c>
      <c r="BC115">
        <v>0</v>
      </c>
      <c r="BD115" t="s">
        <v>520</v>
      </c>
      <c r="BE115" t="s">
        <v>532</v>
      </c>
      <c r="BF115" t="s">
        <v>669</v>
      </c>
      <c r="BG115">
        <v>10.53</v>
      </c>
      <c r="BH115" t="s">
        <v>520</v>
      </c>
    </row>
    <row r="116" spans="1:60">
      <c r="A116">
        <v>322</v>
      </c>
      <c r="B116" t="s">
        <v>34</v>
      </c>
      <c r="C116" t="s">
        <v>524</v>
      </c>
      <c r="D116" t="s">
        <v>33</v>
      </c>
      <c r="E116" s="243">
        <v>9276470.9399999995</v>
      </c>
      <c r="F116">
        <v>7670000</v>
      </c>
      <c r="G116">
        <v>120.94</v>
      </c>
      <c r="H116" t="s">
        <v>544</v>
      </c>
      <c r="I116" t="s">
        <v>880</v>
      </c>
      <c r="J116">
        <v>23.32</v>
      </c>
      <c r="K116">
        <v>28.21</v>
      </c>
      <c r="L116" s="243">
        <v>12117011</v>
      </c>
      <c r="M116">
        <v>13300000</v>
      </c>
      <c r="N116">
        <v>91.11</v>
      </c>
      <c r="O116" t="s">
        <v>557</v>
      </c>
      <c r="P116" t="s">
        <v>801</v>
      </c>
      <c r="Q116">
        <v>80.59</v>
      </c>
      <c r="R116">
        <v>73.430000000000007</v>
      </c>
      <c r="S116" s="243">
        <v>1419719</v>
      </c>
      <c r="T116">
        <v>1263000</v>
      </c>
      <c r="U116">
        <v>112.41</v>
      </c>
      <c r="V116" t="s">
        <v>535</v>
      </c>
      <c r="W116" t="s">
        <v>835</v>
      </c>
      <c r="X116">
        <v>26.08</v>
      </c>
      <c r="Y116">
        <v>29.31</v>
      </c>
      <c r="Z116" s="243">
        <v>4074079</v>
      </c>
      <c r="AA116">
        <v>1497000</v>
      </c>
      <c r="AB116">
        <v>272.14999999999998</v>
      </c>
      <c r="AC116" t="s">
        <v>553</v>
      </c>
      <c r="AD116" t="s">
        <v>795</v>
      </c>
      <c r="AE116">
        <v>0.05</v>
      </c>
      <c r="AF116">
        <v>0.13</v>
      </c>
      <c r="AG116" s="243">
        <v>38163</v>
      </c>
      <c r="AH116">
        <v>0</v>
      </c>
      <c r="AI116" t="s">
        <v>520</v>
      </c>
      <c r="AJ116" t="s">
        <v>532</v>
      </c>
      <c r="AK116" t="s">
        <v>669</v>
      </c>
      <c r="AL116">
        <v>9.2799999999999994</v>
      </c>
      <c r="AM116" t="s">
        <v>520</v>
      </c>
      <c r="AN116" s="243">
        <v>109441.39</v>
      </c>
      <c r="AO116">
        <v>430000</v>
      </c>
      <c r="AP116">
        <v>25.45</v>
      </c>
      <c r="AQ116" t="s">
        <v>555</v>
      </c>
      <c r="AR116" t="s">
        <v>711</v>
      </c>
      <c r="AS116">
        <v>0</v>
      </c>
      <c r="AT116">
        <v>0</v>
      </c>
      <c r="AU116" s="243">
        <v>27034884.329999998</v>
      </c>
      <c r="AV116">
        <v>24160000</v>
      </c>
      <c r="AW116">
        <v>111.9</v>
      </c>
      <c r="AX116" t="s">
        <v>545</v>
      </c>
      <c r="AY116" t="s">
        <v>703</v>
      </c>
      <c r="AZ116">
        <v>45.51</v>
      </c>
      <c r="BA116">
        <v>50.93</v>
      </c>
      <c r="BB116" s="243">
        <v>3223613.94</v>
      </c>
      <c r="BC116">
        <v>0</v>
      </c>
      <c r="BD116" t="s">
        <v>520</v>
      </c>
      <c r="BE116" t="s">
        <v>532</v>
      </c>
      <c r="BF116" t="s">
        <v>669</v>
      </c>
      <c r="BG116">
        <v>10.63</v>
      </c>
      <c r="BH116" t="s">
        <v>520</v>
      </c>
    </row>
    <row r="117" spans="1:60">
      <c r="A117">
        <v>323</v>
      </c>
      <c r="B117" t="s">
        <v>185</v>
      </c>
      <c r="C117" t="s">
        <v>521</v>
      </c>
      <c r="D117" t="s">
        <v>11</v>
      </c>
      <c r="E117" s="243">
        <v>6776785.3200000003</v>
      </c>
      <c r="F117">
        <v>7400000</v>
      </c>
      <c r="G117">
        <v>91.58</v>
      </c>
      <c r="H117" t="s">
        <v>1520</v>
      </c>
      <c r="I117" t="s">
        <v>805</v>
      </c>
      <c r="J117">
        <v>15.51</v>
      </c>
      <c r="K117">
        <v>14.21</v>
      </c>
      <c r="L117" s="243">
        <v>8289560</v>
      </c>
      <c r="M117">
        <v>12830000</v>
      </c>
      <c r="N117">
        <v>64.61</v>
      </c>
      <c r="O117" t="s">
        <v>1521</v>
      </c>
      <c r="P117" t="s">
        <v>815</v>
      </c>
      <c r="Q117">
        <v>71.77</v>
      </c>
      <c r="R117">
        <v>46.37</v>
      </c>
      <c r="S117" s="243">
        <v>2468022</v>
      </c>
      <c r="T117">
        <v>1340000</v>
      </c>
      <c r="U117">
        <v>184.18</v>
      </c>
      <c r="V117" t="s">
        <v>1541</v>
      </c>
      <c r="W117" t="s">
        <v>834</v>
      </c>
      <c r="X117">
        <v>49.19</v>
      </c>
      <c r="Y117">
        <v>90.6</v>
      </c>
      <c r="Z117" s="243">
        <v>10788311</v>
      </c>
      <c r="AA117">
        <v>1330000</v>
      </c>
      <c r="AB117">
        <v>811.15</v>
      </c>
      <c r="AC117" t="s">
        <v>1505</v>
      </c>
      <c r="AD117" t="s">
        <v>883</v>
      </c>
      <c r="AE117">
        <v>0.08</v>
      </c>
      <c r="AF117">
        <v>0.66</v>
      </c>
      <c r="AG117" s="243">
        <v>13210</v>
      </c>
      <c r="AH117">
        <v>0</v>
      </c>
      <c r="AI117" t="s">
        <v>520</v>
      </c>
      <c r="AJ117" t="s">
        <v>1505</v>
      </c>
      <c r="AK117" t="s">
        <v>669</v>
      </c>
      <c r="AL117">
        <v>24.17</v>
      </c>
      <c r="AM117" t="s">
        <v>520</v>
      </c>
      <c r="AN117" s="243">
        <v>1273852.08</v>
      </c>
      <c r="AO117">
        <v>410000</v>
      </c>
      <c r="AP117">
        <v>310.7</v>
      </c>
      <c r="AQ117" t="s">
        <v>1527</v>
      </c>
      <c r="AR117" t="s">
        <v>788</v>
      </c>
      <c r="AS117">
        <v>57.59</v>
      </c>
      <c r="AT117">
        <v>178.92</v>
      </c>
      <c r="AU117" s="243">
        <v>29609740.399999999</v>
      </c>
      <c r="AV117">
        <v>23310000</v>
      </c>
      <c r="AW117">
        <v>127.03</v>
      </c>
      <c r="AX117" t="s">
        <v>1506</v>
      </c>
      <c r="AY117" t="s">
        <v>842</v>
      </c>
      <c r="AZ117">
        <v>30.26</v>
      </c>
      <c r="BA117">
        <v>38.44</v>
      </c>
      <c r="BB117" s="243">
        <v>2330068.3199999998</v>
      </c>
      <c r="BC117">
        <v>0</v>
      </c>
      <c r="BD117" t="s">
        <v>520</v>
      </c>
      <c r="BE117" t="s">
        <v>1505</v>
      </c>
      <c r="BF117" t="s">
        <v>669</v>
      </c>
      <c r="BG117">
        <v>9.26</v>
      </c>
      <c r="BH117" t="s">
        <v>520</v>
      </c>
    </row>
    <row r="118" spans="1:60">
      <c r="A118">
        <v>351</v>
      </c>
      <c r="B118" t="s">
        <v>100</v>
      </c>
      <c r="C118" t="s">
        <v>527</v>
      </c>
      <c r="D118" t="s">
        <v>11</v>
      </c>
      <c r="E118" s="243">
        <v>6209297.3399999999</v>
      </c>
      <c r="F118">
        <v>6890000</v>
      </c>
      <c r="G118">
        <v>90.12</v>
      </c>
      <c r="H118" t="s">
        <v>1532</v>
      </c>
      <c r="I118" t="s">
        <v>756</v>
      </c>
      <c r="J118">
        <v>22.39</v>
      </c>
      <c r="K118">
        <v>20.170000000000002</v>
      </c>
      <c r="L118" s="243">
        <v>16072324</v>
      </c>
      <c r="M118">
        <v>11950000</v>
      </c>
      <c r="N118">
        <v>134.5</v>
      </c>
      <c r="O118" t="s">
        <v>1528</v>
      </c>
      <c r="P118" t="s">
        <v>736</v>
      </c>
      <c r="Q118">
        <v>58.95</v>
      </c>
      <c r="R118">
        <v>79.28</v>
      </c>
      <c r="S118" s="243">
        <v>513625</v>
      </c>
      <c r="T118">
        <v>1659000</v>
      </c>
      <c r="U118">
        <v>30.96</v>
      </c>
      <c r="V118" t="s">
        <v>1516</v>
      </c>
      <c r="W118" t="s">
        <v>874</v>
      </c>
      <c r="X118">
        <v>2.76</v>
      </c>
      <c r="Y118">
        <v>0.85</v>
      </c>
      <c r="Z118" s="243">
        <v>801495</v>
      </c>
      <c r="AA118">
        <v>831000</v>
      </c>
      <c r="AB118">
        <v>96.45</v>
      </c>
      <c r="AC118" t="s">
        <v>1519</v>
      </c>
      <c r="AD118" t="s">
        <v>831</v>
      </c>
      <c r="AE118">
        <v>0.77</v>
      </c>
      <c r="AF118">
        <v>0.74</v>
      </c>
      <c r="AG118" s="243">
        <v>20052</v>
      </c>
      <c r="AH118">
        <v>0</v>
      </c>
      <c r="AI118" t="s">
        <v>520</v>
      </c>
      <c r="AJ118" t="s">
        <v>1505</v>
      </c>
      <c r="AK118" t="s">
        <v>669</v>
      </c>
      <c r="AL118">
        <v>55.12</v>
      </c>
      <c r="AM118" t="s">
        <v>520</v>
      </c>
      <c r="AN118" s="243">
        <v>167306.13</v>
      </c>
      <c r="AO118">
        <v>380000</v>
      </c>
      <c r="AP118">
        <v>44.03</v>
      </c>
      <c r="AQ118" t="s">
        <v>1529</v>
      </c>
      <c r="AR118" t="s">
        <v>776</v>
      </c>
      <c r="AS118">
        <v>76.349999999999994</v>
      </c>
      <c r="AT118">
        <v>33.61</v>
      </c>
      <c r="AU118" s="243">
        <v>23784099.469999999</v>
      </c>
      <c r="AV118">
        <v>21710000</v>
      </c>
      <c r="AW118">
        <v>109.55</v>
      </c>
      <c r="AX118" t="s">
        <v>1534</v>
      </c>
      <c r="AY118" t="s">
        <v>844</v>
      </c>
      <c r="AZ118">
        <v>46.35</v>
      </c>
      <c r="BA118">
        <v>50.78</v>
      </c>
      <c r="BB118" s="243">
        <v>2723680.34</v>
      </c>
      <c r="BC118">
        <v>0</v>
      </c>
      <c r="BD118" t="s">
        <v>520</v>
      </c>
      <c r="BE118" t="s">
        <v>1505</v>
      </c>
      <c r="BF118" t="s">
        <v>669</v>
      </c>
      <c r="BG118">
        <v>23.19</v>
      </c>
      <c r="BH118" t="s">
        <v>520</v>
      </c>
    </row>
    <row r="119" spans="1:60">
      <c r="A119">
        <v>400</v>
      </c>
      <c r="B119" t="s">
        <v>35</v>
      </c>
      <c r="C119" t="s">
        <v>522</v>
      </c>
      <c r="D119" t="s">
        <v>33</v>
      </c>
      <c r="E119" s="243">
        <v>20027418.399999999</v>
      </c>
      <c r="F119">
        <v>15930000</v>
      </c>
      <c r="G119">
        <v>125.72</v>
      </c>
      <c r="H119" t="s">
        <v>539</v>
      </c>
      <c r="I119" t="s">
        <v>682</v>
      </c>
      <c r="J119">
        <v>18.77</v>
      </c>
      <c r="K119">
        <v>23.6</v>
      </c>
      <c r="L119" s="243">
        <v>40383145</v>
      </c>
      <c r="M119">
        <v>27620000</v>
      </c>
      <c r="N119">
        <v>146.21</v>
      </c>
      <c r="O119" t="s">
        <v>541</v>
      </c>
      <c r="P119" t="s">
        <v>742</v>
      </c>
      <c r="Q119">
        <v>18.68</v>
      </c>
      <c r="R119">
        <v>27.32</v>
      </c>
      <c r="S119" s="243">
        <v>2589247</v>
      </c>
      <c r="T119">
        <v>4060000</v>
      </c>
      <c r="U119">
        <v>63.77</v>
      </c>
      <c r="V119" t="s">
        <v>547</v>
      </c>
      <c r="W119" t="s">
        <v>806</v>
      </c>
      <c r="X119">
        <v>20.89</v>
      </c>
      <c r="Y119">
        <v>13.32</v>
      </c>
      <c r="Z119" s="243">
        <v>2946762</v>
      </c>
      <c r="AA119">
        <v>1700000</v>
      </c>
      <c r="AB119">
        <v>173.34</v>
      </c>
      <c r="AC119" t="s">
        <v>530</v>
      </c>
      <c r="AD119" t="s">
        <v>803</v>
      </c>
      <c r="AE119">
        <v>1.05</v>
      </c>
      <c r="AF119">
        <v>1.82</v>
      </c>
      <c r="AG119" s="243">
        <v>31612</v>
      </c>
      <c r="AH119">
        <v>0</v>
      </c>
      <c r="AI119" t="s">
        <v>520</v>
      </c>
      <c r="AJ119" t="s">
        <v>532</v>
      </c>
      <c r="AK119" t="s">
        <v>669</v>
      </c>
      <c r="AL119">
        <v>17.09</v>
      </c>
      <c r="AM119" t="s">
        <v>520</v>
      </c>
      <c r="AN119" s="243">
        <v>2559380.81</v>
      </c>
      <c r="AO119">
        <v>880000</v>
      </c>
      <c r="AP119">
        <v>290.83999999999997</v>
      </c>
      <c r="AQ119" t="s">
        <v>530</v>
      </c>
      <c r="AR119" t="s">
        <v>839</v>
      </c>
      <c r="AS119">
        <v>14.42</v>
      </c>
      <c r="AT119">
        <v>41.94</v>
      </c>
      <c r="AU119" s="243">
        <v>68537565.209999993</v>
      </c>
      <c r="AV119">
        <v>50190000</v>
      </c>
      <c r="AW119">
        <v>136.56</v>
      </c>
      <c r="AX119" t="s">
        <v>541</v>
      </c>
      <c r="AY119" t="s">
        <v>795</v>
      </c>
      <c r="AZ119">
        <v>17.88</v>
      </c>
      <c r="BA119">
        <v>24.41</v>
      </c>
      <c r="BB119" s="243">
        <v>6286566.4000000004</v>
      </c>
      <c r="BC119">
        <v>0</v>
      </c>
      <c r="BD119" t="s">
        <v>520</v>
      </c>
      <c r="BE119" t="s">
        <v>532</v>
      </c>
      <c r="BF119" t="s">
        <v>669</v>
      </c>
      <c r="BG119">
        <v>18.510000000000002</v>
      </c>
      <c r="BH119" t="s">
        <v>520</v>
      </c>
    </row>
    <row r="120" spans="1:60">
      <c r="A120">
        <v>401</v>
      </c>
      <c r="B120" t="s">
        <v>36</v>
      </c>
      <c r="C120" t="s">
        <v>526</v>
      </c>
      <c r="D120" t="s">
        <v>33</v>
      </c>
      <c r="E120" s="243">
        <v>16046370.4</v>
      </c>
      <c r="F120">
        <v>10480000</v>
      </c>
      <c r="G120">
        <v>153.11000000000001</v>
      </c>
      <c r="H120" t="s">
        <v>533</v>
      </c>
      <c r="I120" t="s">
        <v>790</v>
      </c>
      <c r="J120">
        <v>14.76</v>
      </c>
      <c r="K120">
        <v>22.6</v>
      </c>
      <c r="L120" s="243">
        <v>21452375</v>
      </c>
      <c r="M120">
        <v>18170000</v>
      </c>
      <c r="N120">
        <v>118.06</v>
      </c>
      <c r="O120" t="s">
        <v>546</v>
      </c>
      <c r="P120" t="s">
        <v>866</v>
      </c>
      <c r="Q120">
        <v>30.05</v>
      </c>
      <c r="R120">
        <v>35.479999999999997</v>
      </c>
      <c r="S120" s="243">
        <v>361004</v>
      </c>
      <c r="T120">
        <v>2794000</v>
      </c>
      <c r="U120">
        <v>12.92</v>
      </c>
      <c r="V120" t="s">
        <v>531</v>
      </c>
      <c r="W120" t="s">
        <v>680</v>
      </c>
      <c r="X120">
        <v>0.19</v>
      </c>
      <c r="Y120">
        <v>0.02</v>
      </c>
      <c r="Z120" s="243">
        <v>304287</v>
      </c>
      <c r="AA120">
        <v>986000</v>
      </c>
      <c r="AB120">
        <v>30.86</v>
      </c>
      <c r="AC120" t="s">
        <v>547</v>
      </c>
      <c r="AD120" t="s">
        <v>700</v>
      </c>
      <c r="AE120">
        <v>0.74</v>
      </c>
      <c r="AF120">
        <v>0.23</v>
      </c>
      <c r="AG120" s="243">
        <v>47628</v>
      </c>
      <c r="AH120">
        <v>0</v>
      </c>
      <c r="AI120" t="s">
        <v>520</v>
      </c>
      <c r="AJ120" t="s">
        <v>532</v>
      </c>
      <c r="AK120" t="s">
        <v>669</v>
      </c>
      <c r="AL120">
        <v>13.7</v>
      </c>
      <c r="AM120" t="s">
        <v>520</v>
      </c>
      <c r="AN120" s="243">
        <v>1615366.15</v>
      </c>
      <c r="AO120">
        <v>580000</v>
      </c>
      <c r="AP120">
        <v>278.51</v>
      </c>
      <c r="AQ120" t="s">
        <v>533</v>
      </c>
      <c r="AR120" t="s">
        <v>707</v>
      </c>
      <c r="AS120">
        <v>96.31</v>
      </c>
      <c r="AT120">
        <v>268.23</v>
      </c>
      <c r="AU120" s="243">
        <v>39827030.549999997</v>
      </c>
      <c r="AV120">
        <v>33010000</v>
      </c>
      <c r="AW120">
        <v>120.65</v>
      </c>
      <c r="AX120" t="s">
        <v>547</v>
      </c>
      <c r="AY120" t="s">
        <v>787</v>
      </c>
      <c r="AZ120">
        <v>26.06</v>
      </c>
      <c r="BA120">
        <v>31.44</v>
      </c>
      <c r="BB120" s="243">
        <v>5057205.4000000004</v>
      </c>
      <c r="BC120">
        <v>0</v>
      </c>
      <c r="BD120" t="s">
        <v>520</v>
      </c>
      <c r="BE120" t="s">
        <v>532</v>
      </c>
      <c r="BF120" t="s">
        <v>669</v>
      </c>
      <c r="BG120">
        <v>9.83</v>
      </c>
      <c r="BH120" t="s">
        <v>520</v>
      </c>
    </row>
    <row r="121" spans="1:60">
      <c r="A121">
        <v>402</v>
      </c>
      <c r="B121" t="s">
        <v>37</v>
      </c>
      <c r="C121" t="s">
        <v>525</v>
      </c>
      <c r="D121" t="s">
        <v>33</v>
      </c>
      <c r="E121" s="243">
        <v>13252579.539999999</v>
      </c>
      <c r="F121">
        <v>11540000</v>
      </c>
      <c r="G121">
        <v>114.84</v>
      </c>
      <c r="H121" t="s">
        <v>537</v>
      </c>
      <c r="I121" t="s">
        <v>808</v>
      </c>
      <c r="J121">
        <v>20.37</v>
      </c>
      <c r="K121">
        <v>23.39</v>
      </c>
      <c r="L121" s="243">
        <v>26123698</v>
      </c>
      <c r="M121">
        <v>20020000</v>
      </c>
      <c r="N121">
        <v>130.49</v>
      </c>
      <c r="O121" t="s">
        <v>535</v>
      </c>
      <c r="P121" t="s">
        <v>731</v>
      </c>
      <c r="Q121">
        <v>55.69</v>
      </c>
      <c r="R121">
        <v>72.66</v>
      </c>
      <c r="S121" s="243">
        <v>3843443</v>
      </c>
      <c r="T121">
        <v>2965000</v>
      </c>
      <c r="U121">
        <v>129.63</v>
      </c>
      <c r="V121" t="s">
        <v>541</v>
      </c>
      <c r="W121" t="s">
        <v>732</v>
      </c>
      <c r="X121">
        <v>50.12</v>
      </c>
      <c r="Y121">
        <v>64.97</v>
      </c>
      <c r="Z121" s="243">
        <v>1528627</v>
      </c>
      <c r="AA121">
        <v>1205000</v>
      </c>
      <c r="AB121">
        <v>126.86</v>
      </c>
      <c r="AC121" t="s">
        <v>533</v>
      </c>
      <c r="AD121" t="s">
        <v>842</v>
      </c>
      <c r="AE121">
        <v>0.25</v>
      </c>
      <c r="AF121">
        <v>0.32</v>
      </c>
      <c r="AG121" s="243">
        <v>66050</v>
      </c>
      <c r="AH121">
        <v>0</v>
      </c>
      <c r="AI121" t="s">
        <v>520</v>
      </c>
      <c r="AJ121" t="s">
        <v>532</v>
      </c>
      <c r="AK121" t="s">
        <v>669</v>
      </c>
      <c r="AL121">
        <v>7.68</v>
      </c>
      <c r="AM121" t="s">
        <v>520</v>
      </c>
      <c r="AN121" s="243">
        <v>503703.28</v>
      </c>
      <c r="AO121">
        <v>640000</v>
      </c>
      <c r="AP121">
        <v>78.7</v>
      </c>
      <c r="AQ121" t="s">
        <v>543</v>
      </c>
      <c r="AR121" t="s">
        <v>781</v>
      </c>
      <c r="AS121">
        <v>22.78</v>
      </c>
      <c r="AT121">
        <v>17.93</v>
      </c>
      <c r="AU121" s="243">
        <v>45318100.82</v>
      </c>
      <c r="AV121">
        <v>36370000</v>
      </c>
      <c r="AW121">
        <v>124.6</v>
      </c>
      <c r="AX121" t="s">
        <v>529</v>
      </c>
      <c r="AY121" t="s">
        <v>868</v>
      </c>
      <c r="AZ121">
        <v>42.58</v>
      </c>
      <c r="BA121">
        <v>53.06</v>
      </c>
      <c r="BB121" s="243">
        <v>4520706.54</v>
      </c>
      <c r="BC121">
        <v>0</v>
      </c>
      <c r="BD121" t="s">
        <v>520</v>
      </c>
      <c r="BE121" t="s">
        <v>532</v>
      </c>
      <c r="BF121" t="s">
        <v>669</v>
      </c>
      <c r="BG121">
        <v>11.27</v>
      </c>
      <c r="BH121" t="s">
        <v>520</v>
      </c>
    </row>
    <row r="122" spans="1:60">
      <c r="A122">
        <v>403</v>
      </c>
      <c r="B122" t="s">
        <v>186</v>
      </c>
      <c r="C122" t="s">
        <v>525</v>
      </c>
      <c r="D122" t="s">
        <v>33</v>
      </c>
      <c r="E122" s="243">
        <v>21890166.760000002</v>
      </c>
      <c r="F122">
        <v>11240000</v>
      </c>
      <c r="G122">
        <v>194.75</v>
      </c>
      <c r="H122" t="s">
        <v>548</v>
      </c>
      <c r="I122" t="s">
        <v>727</v>
      </c>
      <c r="J122">
        <v>5.26</v>
      </c>
      <c r="K122">
        <v>10.25</v>
      </c>
      <c r="L122" s="243">
        <v>19589246</v>
      </c>
      <c r="M122">
        <v>19490000</v>
      </c>
      <c r="N122">
        <v>100.51</v>
      </c>
      <c r="O122" t="s">
        <v>534</v>
      </c>
      <c r="P122" t="s">
        <v>875</v>
      </c>
      <c r="Q122">
        <v>3.6</v>
      </c>
      <c r="R122">
        <v>3.62</v>
      </c>
      <c r="S122" s="243">
        <v>6054651</v>
      </c>
      <c r="T122">
        <v>2262000</v>
      </c>
      <c r="U122">
        <v>267.67</v>
      </c>
      <c r="V122" t="s">
        <v>542</v>
      </c>
      <c r="W122" t="s">
        <v>872</v>
      </c>
      <c r="X122">
        <v>1.28</v>
      </c>
      <c r="Y122">
        <v>3.43</v>
      </c>
      <c r="Z122" s="243">
        <v>1087682</v>
      </c>
      <c r="AA122">
        <v>1798000</v>
      </c>
      <c r="AB122">
        <v>60.49</v>
      </c>
      <c r="AC122" t="s">
        <v>550</v>
      </c>
      <c r="AD122" t="s">
        <v>837</v>
      </c>
      <c r="AE122">
        <v>1.97</v>
      </c>
      <c r="AF122">
        <v>1.19</v>
      </c>
      <c r="AG122" s="243">
        <v>44058</v>
      </c>
      <c r="AH122">
        <v>0</v>
      </c>
      <c r="AI122" t="s">
        <v>520</v>
      </c>
      <c r="AJ122" t="s">
        <v>532</v>
      </c>
      <c r="AK122" t="s">
        <v>669</v>
      </c>
      <c r="AL122">
        <v>21.83</v>
      </c>
      <c r="AM122" t="s">
        <v>520</v>
      </c>
      <c r="AN122" s="243">
        <v>952054.29</v>
      </c>
      <c r="AO122">
        <v>620000</v>
      </c>
      <c r="AP122">
        <v>153.56</v>
      </c>
      <c r="AQ122" t="s">
        <v>539</v>
      </c>
      <c r="AR122" t="s">
        <v>828</v>
      </c>
      <c r="AS122">
        <v>0</v>
      </c>
      <c r="AT122">
        <v>0</v>
      </c>
      <c r="AU122" s="243">
        <v>49617858.049999997</v>
      </c>
      <c r="AV122">
        <v>35410000</v>
      </c>
      <c r="AW122">
        <v>140.12</v>
      </c>
      <c r="AX122" t="s">
        <v>533</v>
      </c>
      <c r="AY122" t="s">
        <v>742</v>
      </c>
      <c r="AZ122">
        <v>3.96</v>
      </c>
      <c r="BA122">
        <v>5.55</v>
      </c>
      <c r="BB122" s="243">
        <v>4259593.76</v>
      </c>
      <c r="BC122">
        <v>0</v>
      </c>
      <c r="BD122" t="s">
        <v>520</v>
      </c>
      <c r="BE122" t="s">
        <v>532</v>
      </c>
      <c r="BF122" t="s">
        <v>669</v>
      </c>
      <c r="BG122">
        <v>13.41</v>
      </c>
      <c r="BH122" t="s">
        <v>520</v>
      </c>
    </row>
    <row r="123" spans="1:60">
      <c r="A123">
        <v>420</v>
      </c>
      <c r="B123" t="s">
        <v>38</v>
      </c>
      <c r="C123" t="s">
        <v>519</v>
      </c>
      <c r="D123" t="s">
        <v>33</v>
      </c>
      <c r="E123" s="243">
        <v>29489809.859999999</v>
      </c>
      <c r="F123">
        <v>20890000</v>
      </c>
      <c r="G123">
        <v>141.16999999999999</v>
      </c>
      <c r="H123" t="s">
        <v>556</v>
      </c>
      <c r="I123" t="s">
        <v>828</v>
      </c>
      <c r="J123">
        <v>16.59</v>
      </c>
      <c r="K123">
        <v>23.41</v>
      </c>
      <c r="L123" s="243">
        <v>33152918</v>
      </c>
      <c r="M123">
        <v>36220000</v>
      </c>
      <c r="N123">
        <v>91.53</v>
      </c>
      <c r="O123" t="s">
        <v>531</v>
      </c>
      <c r="P123" t="s">
        <v>806</v>
      </c>
      <c r="Q123">
        <v>32.549999999999997</v>
      </c>
      <c r="R123">
        <v>29.79</v>
      </c>
      <c r="S123" s="243">
        <v>3523149</v>
      </c>
      <c r="T123">
        <v>6220000</v>
      </c>
      <c r="U123">
        <v>56.64</v>
      </c>
      <c r="V123" t="s">
        <v>536</v>
      </c>
      <c r="W123" t="s">
        <v>818</v>
      </c>
      <c r="X123">
        <v>13.45</v>
      </c>
      <c r="Y123">
        <v>7.62</v>
      </c>
      <c r="Z123" s="243">
        <v>650029</v>
      </c>
      <c r="AA123">
        <v>1330000</v>
      </c>
      <c r="AB123">
        <v>48.87</v>
      </c>
      <c r="AC123" t="s">
        <v>529</v>
      </c>
      <c r="AD123" t="s">
        <v>715</v>
      </c>
      <c r="AE123">
        <v>2.92</v>
      </c>
      <c r="AF123">
        <v>1.43</v>
      </c>
      <c r="AG123" s="243">
        <v>61998</v>
      </c>
      <c r="AH123">
        <v>0</v>
      </c>
      <c r="AI123" t="s">
        <v>520</v>
      </c>
      <c r="AJ123" t="s">
        <v>532</v>
      </c>
      <c r="AK123" t="s">
        <v>669</v>
      </c>
      <c r="AL123">
        <v>6.3</v>
      </c>
      <c r="AM123" t="s">
        <v>520</v>
      </c>
      <c r="AN123" s="243">
        <v>3319919.21</v>
      </c>
      <c r="AO123">
        <v>1160000</v>
      </c>
      <c r="AP123">
        <v>286.2</v>
      </c>
      <c r="AQ123" t="s">
        <v>551</v>
      </c>
      <c r="AR123" t="s">
        <v>852</v>
      </c>
      <c r="AS123">
        <v>9.35</v>
      </c>
      <c r="AT123">
        <v>26.77</v>
      </c>
      <c r="AU123" s="243">
        <v>70197823.069999993</v>
      </c>
      <c r="AV123">
        <v>65820000</v>
      </c>
      <c r="AW123">
        <v>106.65</v>
      </c>
      <c r="AX123" t="s">
        <v>528</v>
      </c>
      <c r="AY123" t="s">
        <v>785</v>
      </c>
      <c r="AZ123">
        <v>23.49</v>
      </c>
      <c r="BA123">
        <v>25.05</v>
      </c>
      <c r="BB123" s="243">
        <v>7685139.8600000003</v>
      </c>
      <c r="BC123">
        <v>0</v>
      </c>
      <c r="BD123" t="s">
        <v>520</v>
      </c>
      <c r="BE123" t="s">
        <v>532</v>
      </c>
      <c r="BF123" t="s">
        <v>669</v>
      </c>
      <c r="BG123">
        <v>11.36</v>
      </c>
      <c r="BH123" t="s">
        <v>520</v>
      </c>
    </row>
    <row r="124" spans="1:60">
      <c r="A124">
        <v>422</v>
      </c>
      <c r="B124" t="s">
        <v>101</v>
      </c>
      <c r="C124" t="s">
        <v>524</v>
      </c>
      <c r="D124" t="s">
        <v>33</v>
      </c>
      <c r="E124" s="243">
        <v>23164811.449999999</v>
      </c>
      <c r="F124">
        <v>11970000</v>
      </c>
      <c r="G124">
        <v>193.52</v>
      </c>
      <c r="H124" t="s">
        <v>542</v>
      </c>
      <c r="I124" t="s">
        <v>872</v>
      </c>
      <c r="J124">
        <v>7.94</v>
      </c>
      <c r="K124">
        <v>15.37</v>
      </c>
      <c r="L124" s="243">
        <v>32803913</v>
      </c>
      <c r="M124">
        <v>20760000</v>
      </c>
      <c r="N124">
        <v>158.01</v>
      </c>
      <c r="O124" t="s">
        <v>533</v>
      </c>
      <c r="P124" t="s">
        <v>724</v>
      </c>
      <c r="Q124">
        <v>12.38</v>
      </c>
      <c r="R124">
        <v>19.57</v>
      </c>
      <c r="S124" s="243">
        <v>727616</v>
      </c>
      <c r="T124">
        <v>2876000</v>
      </c>
      <c r="U124">
        <v>25.3</v>
      </c>
      <c r="V124" t="s">
        <v>552</v>
      </c>
      <c r="W124" t="s">
        <v>705</v>
      </c>
      <c r="X124">
        <v>0.51</v>
      </c>
      <c r="Y124">
        <v>0.13</v>
      </c>
      <c r="Z124" s="243">
        <v>38716</v>
      </c>
      <c r="AA124">
        <v>1454000</v>
      </c>
      <c r="AB124">
        <v>2.66</v>
      </c>
      <c r="AC124" t="s">
        <v>554</v>
      </c>
      <c r="AD124" t="s">
        <v>663</v>
      </c>
      <c r="AE124">
        <v>3.03</v>
      </c>
      <c r="AF124">
        <v>0.08</v>
      </c>
      <c r="AG124" s="243">
        <v>127876</v>
      </c>
      <c r="AH124">
        <v>0</v>
      </c>
      <c r="AI124" t="s">
        <v>520</v>
      </c>
      <c r="AJ124" t="s">
        <v>532</v>
      </c>
      <c r="AK124" t="s">
        <v>669</v>
      </c>
      <c r="AL124">
        <v>5.48</v>
      </c>
      <c r="AM124" t="s">
        <v>520</v>
      </c>
      <c r="AN124" s="243">
        <v>1071878.27</v>
      </c>
      <c r="AO124">
        <v>660000</v>
      </c>
      <c r="AP124">
        <v>162.41</v>
      </c>
      <c r="AQ124" t="s">
        <v>529</v>
      </c>
      <c r="AR124" t="s">
        <v>854</v>
      </c>
      <c r="AS124">
        <v>1.98</v>
      </c>
      <c r="AT124">
        <v>3.21</v>
      </c>
      <c r="AU124" s="243">
        <v>57934810.719999999</v>
      </c>
      <c r="AV124">
        <v>37720000</v>
      </c>
      <c r="AW124">
        <v>153.59</v>
      </c>
      <c r="AX124" t="s">
        <v>542</v>
      </c>
      <c r="AY124" t="s">
        <v>724</v>
      </c>
      <c r="AZ124">
        <v>10.24</v>
      </c>
      <c r="BA124">
        <v>15.73</v>
      </c>
      <c r="BB124" s="243">
        <v>10275047.449999999</v>
      </c>
      <c r="BC124">
        <v>0</v>
      </c>
      <c r="BD124" t="s">
        <v>520</v>
      </c>
      <c r="BE124" t="s">
        <v>532</v>
      </c>
      <c r="BF124" t="s">
        <v>669</v>
      </c>
      <c r="BG124">
        <v>11.27</v>
      </c>
      <c r="BH124" t="s">
        <v>520</v>
      </c>
    </row>
    <row r="125" spans="1:60">
      <c r="A125">
        <v>423</v>
      </c>
      <c r="B125" t="s">
        <v>187</v>
      </c>
      <c r="C125" t="s">
        <v>523</v>
      </c>
      <c r="D125" t="s">
        <v>33</v>
      </c>
      <c r="E125" s="243">
        <v>14793730.640000001</v>
      </c>
      <c r="F125">
        <v>9390000</v>
      </c>
      <c r="G125">
        <v>157.55000000000001</v>
      </c>
      <c r="H125" t="s">
        <v>551</v>
      </c>
      <c r="I125" t="s">
        <v>667</v>
      </c>
      <c r="J125">
        <v>11.21</v>
      </c>
      <c r="K125">
        <v>17.66</v>
      </c>
      <c r="L125" s="243">
        <v>17909934</v>
      </c>
      <c r="M125">
        <v>16290000</v>
      </c>
      <c r="N125">
        <v>109.94</v>
      </c>
      <c r="O125" t="s">
        <v>544</v>
      </c>
      <c r="P125" t="s">
        <v>780</v>
      </c>
      <c r="Q125">
        <v>52.35</v>
      </c>
      <c r="R125">
        <v>57.56</v>
      </c>
      <c r="S125" s="243">
        <v>2297824</v>
      </c>
      <c r="T125">
        <v>2246000</v>
      </c>
      <c r="U125">
        <v>102.31</v>
      </c>
      <c r="V125" t="s">
        <v>539</v>
      </c>
      <c r="W125" t="s">
        <v>671</v>
      </c>
      <c r="X125">
        <v>11.03</v>
      </c>
      <c r="Y125">
        <v>11.28</v>
      </c>
      <c r="Z125" s="243">
        <v>746167</v>
      </c>
      <c r="AA125">
        <v>1144000</v>
      </c>
      <c r="AB125">
        <v>65.22</v>
      </c>
      <c r="AC125" t="s">
        <v>556</v>
      </c>
      <c r="AD125" t="s">
        <v>799</v>
      </c>
      <c r="AE125">
        <v>0.18</v>
      </c>
      <c r="AF125">
        <v>0.12</v>
      </c>
      <c r="AG125" s="243">
        <v>64400</v>
      </c>
      <c r="AH125">
        <v>0</v>
      </c>
      <c r="AI125" t="s">
        <v>520</v>
      </c>
      <c r="AJ125" t="s">
        <v>532</v>
      </c>
      <c r="AK125" t="s">
        <v>669</v>
      </c>
      <c r="AL125">
        <v>1.05</v>
      </c>
      <c r="AM125" t="s">
        <v>520</v>
      </c>
      <c r="AN125" s="243">
        <v>386097.73</v>
      </c>
      <c r="AO125">
        <v>520000</v>
      </c>
      <c r="AP125">
        <v>74.25</v>
      </c>
      <c r="AQ125" t="s">
        <v>536</v>
      </c>
      <c r="AR125" t="s">
        <v>844</v>
      </c>
      <c r="AS125">
        <v>1.23</v>
      </c>
      <c r="AT125">
        <v>0.91</v>
      </c>
      <c r="AU125" s="243">
        <v>36198153.369999997</v>
      </c>
      <c r="AV125">
        <v>29590000</v>
      </c>
      <c r="AW125">
        <v>122.33</v>
      </c>
      <c r="AX125" t="s">
        <v>539</v>
      </c>
      <c r="AY125" t="s">
        <v>685</v>
      </c>
      <c r="AZ125">
        <v>31.2</v>
      </c>
      <c r="BA125">
        <v>38.17</v>
      </c>
      <c r="BB125" s="243">
        <v>4257032.6399999997</v>
      </c>
      <c r="BC125">
        <v>0</v>
      </c>
      <c r="BD125" t="s">
        <v>520</v>
      </c>
      <c r="BE125" t="s">
        <v>532</v>
      </c>
      <c r="BF125" t="s">
        <v>669</v>
      </c>
      <c r="BG125">
        <v>6.94</v>
      </c>
      <c r="BH125" t="s">
        <v>520</v>
      </c>
    </row>
    <row r="126" spans="1:60">
      <c r="A126">
        <v>424</v>
      </c>
      <c r="B126" t="s">
        <v>188</v>
      </c>
      <c r="C126" t="s">
        <v>519</v>
      </c>
      <c r="D126" t="s">
        <v>33</v>
      </c>
      <c r="E126" s="243">
        <v>26402777.34</v>
      </c>
      <c r="F126">
        <v>14690000</v>
      </c>
      <c r="G126">
        <v>179.73</v>
      </c>
      <c r="H126" t="s">
        <v>553</v>
      </c>
      <c r="I126" t="s">
        <v>813</v>
      </c>
      <c r="J126">
        <v>7.01</v>
      </c>
      <c r="K126">
        <v>12.6</v>
      </c>
      <c r="L126" s="243">
        <v>30725539</v>
      </c>
      <c r="M126">
        <v>25470000</v>
      </c>
      <c r="N126">
        <v>120.63</v>
      </c>
      <c r="O126" t="s">
        <v>539</v>
      </c>
      <c r="P126" t="s">
        <v>828</v>
      </c>
      <c r="Q126">
        <v>4.88</v>
      </c>
      <c r="R126">
        <v>5.89</v>
      </c>
      <c r="S126" s="243">
        <v>6973442.25</v>
      </c>
      <c r="T126">
        <v>3803000</v>
      </c>
      <c r="U126">
        <v>183.37</v>
      </c>
      <c r="V126" t="s">
        <v>530</v>
      </c>
      <c r="W126" t="s">
        <v>824</v>
      </c>
      <c r="X126">
        <v>12.28</v>
      </c>
      <c r="Y126">
        <v>22.52</v>
      </c>
      <c r="Z126" s="243">
        <v>4610007</v>
      </c>
      <c r="AA126">
        <v>1497000</v>
      </c>
      <c r="AB126">
        <v>307.95</v>
      </c>
      <c r="AC126" t="s">
        <v>542</v>
      </c>
      <c r="AD126" t="s">
        <v>788</v>
      </c>
      <c r="AE126">
        <v>0</v>
      </c>
      <c r="AF126">
        <v>0</v>
      </c>
      <c r="AG126" s="243">
        <v>158571</v>
      </c>
      <c r="AH126">
        <v>0</v>
      </c>
      <c r="AI126" t="s">
        <v>520</v>
      </c>
      <c r="AJ126" t="s">
        <v>532</v>
      </c>
      <c r="AK126" t="s">
        <v>669</v>
      </c>
      <c r="AL126">
        <v>6.74</v>
      </c>
      <c r="AM126" t="s">
        <v>520</v>
      </c>
      <c r="AN126" s="243">
        <v>1415888.41</v>
      </c>
      <c r="AO126">
        <v>820000</v>
      </c>
      <c r="AP126">
        <v>172.67</v>
      </c>
      <c r="AQ126" t="s">
        <v>556</v>
      </c>
      <c r="AR126" t="s">
        <v>694</v>
      </c>
      <c r="AS126">
        <v>0</v>
      </c>
      <c r="AT126">
        <v>0</v>
      </c>
      <c r="AU126" s="243">
        <v>70286225</v>
      </c>
      <c r="AV126">
        <v>46280000</v>
      </c>
      <c r="AW126">
        <v>151.87</v>
      </c>
      <c r="AX126" t="s">
        <v>553</v>
      </c>
      <c r="AY126" t="s">
        <v>813</v>
      </c>
      <c r="AZ126">
        <v>6</v>
      </c>
      <c r="BA126">
        <v>9.1199999999999992</v>
      </c>
      <c r="BB126" s="243">
        <v>6464850.3399999999</v>
      </c>
      <c r="BC126">
        <v>0</v>
      </c>
      <c r="BD126" t="s">
        <v>520</v>
      </c>
      <c r="BE126" t="s">
        <v>532</v>
      </c>
      <c r="BF126" t="s">
        <v>669</v>
      </c>
      <c r="BG126">
        <v>11.85</v>
      </c>
      <c r="BH126" t="s">
        <v>520</v>
      </c>
    </row>
    <row r="127" spans="1:60">
      <c r="A127">
        <v>425</v>
      </c>
      <c r="B127" t="s">
        <v>39</v>
      </c>
      <c r="C127" t="s">
        <v>525</v>
      </c>
      <c r="D127" t="s">
        <v>33</v>
      </c>
      <c r="E127" s="243">
        <v>18845278.710000001</v>
      </c>
      <c r="F127">
        <v>13210000</v>
      </c>
      <c r="G127">
        <v>142.66</v>
      </c>
      <c r="H127" t="s">
        <v>549</v>
      </c>
      <c r="I127" t="s">
        <v>835</v>
      </c>
      <c r="J127">
        <v>20.09</v>
      </c>
      <c r="K127">
        <v>28.66</v>
      </c>
      <c r="L127" s="243">
        <v>26528670</v>
      </c>
      <c r="M127">
        <v>22910000</v>
      </c>
      <c r="N127">
        <v>115.8</v>
      </c>
      <c r="O127" t="s">
        <v>540</v>
      </c>
      <c r="P127" t="s">
        <v>671</v>
      </c>
      <c r="Q127">
        <v>20.170000000000002</v>
      </c>
      <c r="R127">
        <v>23.36</v>
      </c>
      <c r="S127" s="243">
        <v>6229498</v>
      </c>
      <c r="T127">
        <v>3450000</v>
      </c>
      <c r="U127">
        <v>180.57</v>
      </c>
      <c r="V127" t="s">
        <v>551</v>
      </c>
      <c r="W127" t="s">
        <v>890</v>
      </c>
      <c r="X127">
        <v>0.06</v>
      </c>
      <c r="Y127">
        <v>0.1</v>
      </c>
      <c r="Z127" s="243">
        <v>16053294</v>
      </c>
      <c r="AA127">
        <v>1330000</v>
      </c>
      <c r="AB127">
        <v>1207.01</v>
      </c>
      <c r="AC127" t="s">
        <v>532</v>
      </c>
      <c r="AD127" t="s">
        <v>729</v>
      </c>
      <c r="AE127">
        <v>0.01</v>
      </c>
      <c r="AF127">
        <v>0.13</v>
      </c>
      <c r="AG127" s="243">
        <v>32671</v>
      </c>
      <c r="AH127">
        <v>0</v>
      </c>
      <c r="AI127" t="s">
        <v>520</v>
      </c>
      <c r="AJ127" t="s">
        <v>532</v>
      </c>
      <c r="AK127" t="s">
        <v>669</v>
      </c>
      <c r="AL127">
        <v>30.73</v>
      </c>
      <c r="AM127" t="s">
        <v>520</v>
      </c>
      <c r="AN127" s="243">
        <v>3518539.78</v>
      </c>
      <c r="AO127">
        <v>730000</v>
      </c>
      <c r="AP127">
        <v>481.99</v>
      </c>
      <c r="AQ127" t="s">
        <v>532</v>
      </c>
      <c r="AR127" t="s">
        <v>724</v>
      </c>
      <c r="AS127">
        <v>0.5</v>
      </c>
      <c r="AT127">
        <v>2.42</v>
      </c>
      <c r="AU127" s="243">
        <v>71207951.489999995</v>
      </c>
      <c r="AV127">
        <v>41630000</v>
      </c>
      <c r="AW127">
        <v>171.05</v>
      </c>
      <c r="AX127" t="s">
        <v>532</v>
      </c>
      <c r="AY127" t="s">
        <v>718</v>
      </c>
      <c r="AZ127">
        <v>12.88</v>
      </c>
      <c r="BA127">
        <v>22.03</v>
      </c>
      <c r="BB127" s="243">
        <v>5540941.71</v>
      </c>
      <c r="BC127">
        <v>0</v>
      </c>
      <c r="BD127" t="s">
        <v>520</v>
      </c>
      <c r="BE127" t="s">
        <v>532</v>
      </c>
      <c r="BF127" t="s">
        <v>669</v>
      </c>
      <c r="BG127">
        <v>10.130000000000001</v>
      </c>
      <c r="BH127" t="s">
        <v>520</v>
      </c>
    </row>
    <row r="128" spans="1:60">
      <c r="A128">
        <v>426</v>
      </c>
      <c r="B128" t="s">
        <v>189</v>
      </c>
      <c r="C128" t="s">
        <v>526</v>
      </c>
      <c r="D128" t="s">
        <v>33</v>
      </c>
      <c r="E128" s="243">
        <v>12339255.18</v>
      </c>
      <c r="F128">
        <v>9930000</v>
      </c>
      <c r="G128">
        <v>124.26</v>
      </c>
      <c r="H128" t="s">
        <v>540</v>
      </c>
      <c r="I128" t="s">
        <v>816</v>
      </c>
      <c r="J128">
        <v>7.65</v>
      </c>
      <c r="K128">
        <v>9.5</v>
      </c>
      <c r="L128" s="243">
        <v>17910628</v>
      </c>
      <c r="M128">
        <v>17220000</v>
      </c>
      <c r="N128">
        <v>104.01</v>
      </c>
      <c r="O128" t="s">
        <v>545</v>
      </c>
      <c r="P128" t="s">
        <v>804</v>
      </c>
      <c r="Q128">
        <v>24.74</v>
      </c>
      <c r="R128">
        <v>25.73</v>
      </c>
      <c r="S128" s="243">
        <v>6876232</v>
      </c>
      <c r="T128">
        <v>2375000</v>
      </c>
      <c r="U128">
        <v>289.52999999999997</v>
      </c>
      <c r="V128" t="s">
        <v>548</v>
      </c>
      <c r="W128" t="s">
        <v>718</v>
      </c>
      <c r="X128">
        <v>2.4</v>
      </c>
      <c r="Y128">
        <v>6.94</v>
      </c>
      <c r="Z128" s="243">
        <v>115715</v>
      </c>
      <c r="AA128">
        <v>1205000</v>
      </c>
      <c r="AB128">
        <v>9.6</v>
      </c>
      <c r="AC128" t="s">
        <v>528</v>
      </c>
      <c r="AD128" t="s">
        <v>756</v>
      </c>
      <c r="AE128">
        <v>0.18</v>
      </c>
      <c r="AF128">
        <v>0.02</v>
      </c>
      <c r="AG128" s="243">
        <v>72121</v>
      </c>
      <c r="AH128">
        <v>0</v>
      </c>
      <c r="AI128" t="s">
        <v>520</v>
      </c>
      <c r="AJ128" t="s">
        <v>532</v>
      </c>
      <c r="AK128" t="s">
        <v>669</v>
      </c>
      <c r="AL128">
        <v>2.17</v>
      </c>
      <c r="AM128" t="s">
        <v>520</v>
      </c>
      <c r="AN128" s="243">
        <v>749199.35999999999</v>
      </c>
      <c r="AO128">
        <v>550000</v>
      </c>
      <c r="AP128">
        <v>136.22</v>
      </c>
      <c r="AQ128" t="s">
        <v>540</v>
      </c>
      <c r="AR128" t="s">
        <v>881</v>
      </c>
      <c r="AS128">
        <v>27.41</v>
      </c>
      <c r="AT128">
        <v>37.33</v>
      </c>
      <c r="AU128" s="243">
        <v>38063150.539999999</v>
      </c>
      <c r="AV128">
        <v>31280000</v>
      </c>
      <c r="AW128">
        <v>121.69</v>
      </c>
      <c r="AX128" t="s">
        <v>540</v>
      </c>
      <c r="AY128" t="s">
        <v>835</v>
      </c>
      <c r="AZ128">
        <v>15.1</v>
      </c>
      <c r="BA128">
        <v>18.37</v>
      </c>
      <c r="BB128" s="243">
        <v>3952640.18</v>
      </c>
      <c r="BC128">
        <v>0</v>
      </c>
      <c r="BD128" t="s">
        <v>520</v>
      </c>
      <c r="BE128" t="s">
        <v>532</v>
      </c>
      <c r="BF128" t="s">
        <v>669</v>
      </c>
      <c r="BG128">
        <v>5.22</v>
      </c>
      <c r="BH128" t="s">
        <v>520</v>
      </c>
    </row>
    <row r="129" spans="1:60">
      <c r="A129">
        <v>427</v>
      </c>
      <c r="B129" t="s">
        <v>190</v>
      </c>
      <c r="C129" t="s">
        <v>526</v>
      </c>
      <c r="D129" t="s">
        <v>33</v>
      </c>
      <c r="E129" s="243">
        <v>14382498.380000001</v>
      </c>
      <c r="F129">
        <v>11400000</v>
      </c>
      <c r="G129">
        <v>126.16</v>
      </c>
      <c r="H129" t="s">
        <v>529</v>
      </c>
      <c r="I129" t="s">
        <v>697</v>
      </c>
      <c r="J129">
        <v>25.05</v>
      </c>
      <c r="K129">
        <v>31.6</v>
      </c>
      <c r="L129" s="243">
        <v>21281178</v>
      </c>
      <c r="M129">
        <v>19770000</v>
      </c>
      <c r="N129">
        <v>107.64</v>
      </c>
      <c r="O129" t="s">
        <v>537</v>
      </c>
      <c r="P129" t="s">
        <v>715</v>
      </c>
      <c r="Q129">
        <v>60.6</v>
      </c>
      <c r="R129">
        <v>65.23</v>
      </c>
      <c r="S129" s="243">
        <v>5265023</v>
      </c>
      <c r="T129">
        <v>3062000</v>
      </c>
      <c r="U129">
        <v>171.95</v>
      </c>
      <c r="V129" t="s">
        <v>533</v>
      </c>
      <c r="W129" t="s">
        <v>795</v>
      </c>
      <c r="X129">
        <v>2.52</v>
      </c>
      <c r="Y129">
        <v>4.34</v>
      </c>
      <c r="Z129" s="243">
        <v>127436</v>
      </c>
      <c r="AA129">
        <v>1058000</v>
      </c>
      <c r="AB129">
        <v>12.04</v>
      </c>
      <c r="AC129" t="s">
        <v>534</v>
      </c>
      <c r="AD129" t="s">
        <v>691</v>
      </c>
      <c r="AE129">
        <v>33.380000000000003</v>
      </c>
      <c r="AF129">
        <v>4.0199999999999996</v>
      </c>
      <c r="AG129" s="243">
        <v>34864</v>
      </c>
      <c r="AH129">
        <v>0</v>
      </c>
      <c r="AI129" t="s">
        <v>520</v>
      </c>
      <c r="AJ129" t="s">
        <v>532</v>
      </c>
      <c r="AK129" t="s">
        <v>669</v>
      </c>
      <c r="AL129">
        <v>36.270000000000003</v>
      </c>
      <c r="AM129" t="s">
        <v>520</v>
      </c>
      <c r="AN129" s="243">
        <v>461861.42</v>
      </c>
      <c r="AO129">
        <v>630000</v>
      </c>
      <c r="AP129">
        <v>73.31</v>
      </c>
      <c r="AQ129" t="s">
        <v>545</v>
      </c>
      <c r="AR129" t="s">
        <v>816</v>
      </c>
      <c r="AS129">
        <v>24.01</v>
      </c>
      <c r="AT129">
        <v>17.600000000000001</v>
      </c>
      <c r="AU129" s="243">
        <v>41552860.799999997</v>
      </c>
      <c r="AV129">
        <v>35920000</v>
      </c>
      <c r="AW129">
        <v>115.68</v>
      </c>
      <c r="AX129" t="s">
        <v>536</v>
      </c>
      <c r="AY129" t="s">
        <v>780</v>
      </c>
      <c r="AZ129">
        <v>40.42</v>
      </c>
      <c r="BA129">
        <v>46.76</v>
      </c>
      <c r="BB129" s="243">
        <v>4903212.38</v>
      </c>
      <c r="BC129">
        <v>0</v>
      </c>
      <c r="BD129" t="s">
        <v>520</v>
      </c>
      <c r="BE129" t="s">
        <v>532</v>
      </c>
      <c r="BF129" t="s">
        <v>669</v>
      </c>
      <c r="BG129">
        <v>15.58</v>
      </c>
      <c r="BH129" t="s">
        <v>520</v>
      </c>
    </row>
    <row r="130" spans="1:60">
      <c r="A130">
        <v>429</v>
      </c>
      <c r="B130" t="s">
        <v>191</v>
      </c>
      <c r="C130" t="s">
        <v>526</v>
      </c>
      <c r="D130" t="s">
        <v>33</v>
      </c>
      <c r="E130" s="243">
        <v>9399955.6699999999</v>
      </c>
      <c r="F130">
        <v>7540000</v>
      </c>
      <c r="G130">
        <v>124.67</v>
      </c>
      <c r="H130" t="s">
        <v>546</v>
      </c>
      <c r="I130" t="s">
        <v>875</v>
      </c>
      <c r="J130">
        <v>52.94</v>
      </c>
      <c r="K130">
        <v>65.989999999999995</v>
      </c>
      <c r="L130" s="243">
        <v>12774927</v>
      </c>
      <c r="M130">
        <v>13070000</v>
      </c>
      <c r="N130">
        <v>97.74</v>
      </c>
      <c r="O130" t="s">
        <v>528</v>
      </c>
      <c r="P130" t="s">
        <v>880</v>
      </c>
      <c r="Q130">
        <v>72.67</v>
      </c>
      <c r="R130">
        <v>71.03</v>
      </c>
      <c r="S130" s="243">
        <v>1179744</v>
      </c>
      <c r="T130">
        <v>1462000</v>
      </c>
      <c r="U130">
        <v>80.69</v>
      </c>
      <c r="V130" t="s">
        <v>546</v>
      </c>
      <c r="W130" t="s">
        <v>703</v>
      </c>
      <c r="X130">
        <v>12.24</v>
      </c>
      <c r="Y130">
        <v>9.8699999999999992</v>
      </c>
      <c r="Z130" s="243">
        <v>494104</v>
      </c>
      <c r="AA130">
        <v>1258000</v>
      </c>
      <c r="AB130">
        <v>39.28</v>
      </c>
      <c r="AC130" t="s">
        <v>540</v>
      </c>
      <c r="AD130" t="s">
        <v>781</v>
      </c>
      <c r="AE130">
        <v>15.41</v>
      </c>
      <c r="AF130">
        <v>6.05</v>
      </c>
      <c r="AG130" s="243">
        <v>17795</v>
      </c>
      <c r="AH130">
        <v>0</v>
      </c>
      <c r="AI130" t="s">
        <v>520</v>
      </c>
      <c r="AJ130" t="s">
        <v>532</v>
      </c>
      <c r="AK130" t="s">
        <v>669</v>
      </c>
      <c r="AL130">
        <v>16.2</v>
      </c>
      <c r="AM130" t="s">
        <v>520</v>
      </c>
      <c r="AN130" s="243">
        <v>856330.52</v>
      </c>
      <c r="AO130">
        <v>420000</v>
      </c>
      <c r="AP130">
        <v>203.89</v>
      </c>
      <c r="AQ130" t="s">
        <v>541</v>
      </c>
      <c r="AR130" t="s">
        <v>790</v>
      </c>
      <c r="AS130">
        <v>0.47</v>
      </c>
      <c r="AT130">
        <v>0.96</v>
      </c>
      <c r="AU130" s="243">
        <v>24722856.190000001</v>
      </c>
      <c r="AV130">
        <v>23750000</v>
      </c>
      <c r="AW130">
        <v>104.1</v>
      </c>
      <c r="AX130" t="s">
        <v>552</v>
      </c>
      <c r="AY130" t="s">
        <v>801</v>
      </c>
      <c r="AZ130">
        <v>58.6</v>
      </c>
      <c r="BA130">
        <v>61</v>
      </c>
      <c r="BB130" s="243">
        <v>2592440.67</v>
      </c>
      <c r="BC130">
        <v>0</v>
      </c>
      <c r="BD130" t="s">
        <v>520</v>
      </c>
      <c r="BE130" t="s">
        <v>532</v>
      </c>
      <c r="BF130" t="s">
        <v>669</v>
      </c>
      <c r="BG130">
        <v>5.54</v>
      </c>
      <c r="BH130" t="s">
        <v>520</v>
      </c>
    </row>
    <row r="131" spans="1:60">
      <c r="A131">
        <v>430</v>
      </c>
      <c r="B131" t="s">
        <v>40</v>
      </c>
      <c r="C131" t="s">
        <v>523</v>
      </c>
      <c r="D131" t="s">
        <v>33</v>
      </c>
      <c r="E131" s="243">
        <v>7844442.3399999999</v>
      </c>
      <c r="F131">
        <v>7960000</v>
      </c>
      <c r="G131">
        <v>98.55</v>
      </c>
      <c r="H131" t="s">
        <v>534</v>
      </c>
      <c r="I131" t="s">
        <v>843</v>
      </c>
      <c r="J131">
        <v>16.489999999999998</v>
      </c>
      <c r="K131">
        <v>16.260000000000002</v>
      </c>
      <c r="L131" s="243">
        <v>21232462</v>
      </c>
      <c r="M131">
        <v>13810000</v>
      </c>
      <c r="N131">
        <v>153.75</v>
      </c>
      <c r="O131" t="s">
        <v>538</v>
      </c>
      <c r="P131" t="s">
        <v>773</v>
      </c>
      <c r="Q131">
        <v>53.19</v>
      </c>
      <c r="R131">
        <v>81.78</v>
      </c>
      <c r="S131" s="243">
        <v>648609</v>
      </c>
      <c r="T131">
        <v>1426000</v>
      </c>
      <c r="U131">
        <v>45.48</v>
      </c>
      <c r="V131" t="s">
        <v>534</v>
      </c>
      <c r="W131" t="s">
        <v>838</v>
      </c>
      <c r="X131">
        <v>48.14</v>
      </c>
      <c r="Y131">
        <v>21.9</v>
      </c>
      <c r="Z131" s="243">
        <v>266547</v>
      </c>
      <c r="AA131">
        <v>1454000</v>
      </c>
      <c r="AB131">
        <v>18.329999999999998</v>
      </c>
      <c r="AC131" t="s">
        <v>543</v>
      </c>
      <c r="AD131" t="s">
        <v>814</v>
      </c>
      <c r="AE131">
        <v>1.52</v>
      </c>
      <c r="AF131">
        <v>0.28000000000000003</v>
      </c>
      <c r="AG131" s="243">
        <v>20007</v>
      </c>
      <c r="AH131">
        <v>0</v>
      </c>
      <c r="AI131" t="s">
        <v>520</v>
      </c>
      <c r="AJ131" t="s">
        <v>532</v>
      </c>
      <c r="AK131" t="s">
        <v>669</v>
      </c>
      <c r="AL131">
        <v>3.51</v>
      </c>
      <c r="AM131" t="s">
        <v>520</v>
      </c>
      <c r="AN131" s="243">
        <v>1654004.75</v>
      </c>
      <c r="AO131">
        <v>440000</v>
      </c>
      <c r="AP131">
        <v>375.91</v>
      </c>
      <c r="AQ131" t="s">
        <v>548</v>
      </c>
      <c r="AR131" t="s">
        <v>834</v>
      </c>
      <c r="AS131">
        <v>6.82</v>
      </c>
      <c r="AT131">
        <v>25.62</v>
      </c>
      <c r="AU131" s="243">
        <v>31666072.09</v>
      </c>
      <c r="AV131">
        <v>25090000</v>
      </c>
      <c r="AW131">
        <v>126.21</v>
      </c>
      <c r="AX131" t="s">
        <v>535</v>
      </c>
      <c r="AY131" t="s">
        <v>732</v>
      </c>
      <c r="AZ131">
        <v>41.11</v>
      </c>
      <c r="BA131">
        <v>51.88</v>
      </c>
      <c r="BB131" s="243">
        <v>2362288.34</v>
      </c>
      <c r="BC131">
        <v>0</v>
      </c>
      <c r="BD131" t="s">
        <v>520</v>
      </c>
      <c r="BE131" t="s">
        <v>532</v>
      </c>
      <c r="BF131" t="s">
        <v>669</v>
      </c>
      <c r="BG131">
        <v>10.199999999999999</v>
      </c>
      <c r="BH131" t="s">
        <v>520</v>
      </c>
    </row>
    <row r="132" spans="1:60">
      <c r="A132">
        <v>431</v>
      </c>
      <c r="B132" t="s">
        <v>102</v>
      </c>
      <c r="C132" t="s">
        <v>523</v>
      </c>
      <c r="D132" t="s">
        <v>33</v>
      </c>
      <c r="E132" s="243">
        <v>7659292.1500000004</v>
      </c>
      <c r="F132">
        <v>5330000</v>
      </c>
      <c r="G132">
        <v>143.69999999999999</v>
      </c>
      <c r="H132" t="s">
        <v>538</v>
      </c>
      <c r="I132" t="s">
        <v>685</v>
      </c>
      <c r="J132">
        <v>17.77</v>
      </c>
      <c r="K132">
        <v>25.53</v>
      </c>
      <c r="L132" s="243">
        <v>12707017</v>
      </c>
      <c r="M132">
        <v>9240000</v>
      </c>
      <c r="N132">
        <v>137.52000000000001</v>
      </c>
      <c r="O132" t="s">
        <v>549</v>
      </c>
      <c r="P132" t="s">
        <v>772</v>
      </c>
      <c r="Q132">
        <v>71.13</v>
      </c>
      <c r="R132">
        <v>97.83</v>
      </c>
      <c r="S132" s="243">
        <v>2540949</v>
      </c>
      <c r="T132">
        <v>807000</v>
      </c>
      <c r="U132">
        <v>314.86</v>
      </c>
      <c r="V132" t="s">
        <v>532</v>
      </c>
      <c r="W132" t="s">
        <v>763</v>
      </c>
      <c r="X132">
        <v>16.03</v>
      </c>
      <c r="Y132">
        <v>50.47</v>
      </c>
      <c r="Z132" s="243">
        <v>128933</v>
      </c>
      <c r="AA132">
        <v>1103000</v>
      </c>
      <c r="AB132">
        <v>11.69</v>
      </c>
      <c r="AC132" t="s">
        <v>558</v>
      </c>
      <c r="AD132" t="s">
        <v>885</v>
      </c>
      <c r="AE132">
        <v>11.08</v>
      </c>
      <c r="AF132">
        <v>1.3</v>
      </c>
      <c r="AG132" s="243">
        <v>34742</v>
      </c>
      <c r="AH132">
        <v>0</v>
      </c>
      <c r="AI132" t="s">
        <v>520</v>
      </c>
      <c r="AJ132" t="s">
        <v>532</v>
      </c>
      <c r="AK132" t="s">
        <v>669</v>
      </c>
      <c r="AL132">
        <v>10.17</v>
      </c>
      <c r="AM132" t="s">
        <v>520</v>
      </c>
      <c r="AN132" s="243">
        <v>970648.4</v>
      </c>
      <c r="AO132">
        <v>300000</v>
      </c>
      <c r="AP132">
        <v>323.55</v>
      </c>
      <c r="AQ132" t="s">
        <v>542</v>
      </c>
      <c r="AR132" t="s">
        <v>742</v>
      </c>
      <c r="AS132">
        <v>34.299999999999997</v>
      </c>
      <c r="AT132">
        <v>110.99</v>
      </c>
      <c r="AU132" s="243">
        <v>24041581.550000001</v>
      </c>
      <c r="AV132">
        <v>16780000</v>
      </c>
      <c r="AW132">
        <v>143.28</v>
      </c>
      <c r="AX132" t="s">
        <v>551</v>
      </c>
      <c r="AY132" t="s">
        <v>824</v>
      </c>
      <c r="AZ132">
        <v>46.41</v>
      </c>
      <c r="BA132">
        <v>66.5</v>
      </c>
      <c r="BB132" s="243">
        <v>1569075.15</v>
      </c>
      <c r="BC132">
        <v>0</v>
      </c>
      <c r="BD132" t="s">
        <v>520</v>
      </c>
      <c r="BE132" t="s">
        <v>532</v>
      </c>
      <c r="BF132" t="s">
        <v>669</v>
      </c>
      <c r="BG132">
        <v>12.52</v>
      </c>
      <c r="BH132" t="s">
        <v>520</v>
      </c>
    </row>
    <row r="133" spans="1:60">
      <c r="A133">
        <v>451</v>
      </c>
      <c r="B133" t="s">
        <v>103</v>
      </c>
      <c r="C133" t="s">
        <v>526</v>
      </c>
      <c r="D133" t="s">
        <v>33</v>
      </c>
      <c r="E133" s="243">
        <v>7768448.2300000004</v>
      </c>
      <c r="F133">
        <v>9090000</v>
      </c>
      <c r="G133">
        <v>85.46</v>
      </c>
      <c r="H133" t="s">
        <v>531</v>
      </c>
      <c r="I133" t="s">
        <v>797</v>
      </c>
      <c r="J133">
        <v>13</v>
      </c>
      <c r="K133">
        <v>11.11</v>
      </c>
      <c r="L133" s="243">
        <v>25348514</v>
      </c>
      <c r="M133">
        <v>15760000</v>
      </c>
      <c r="N133">
        <v>160.84</v>
      </c>
      <c r="O133" t="s">
        <v>551</v>
      </c>
      <c r="P133" t="s">
        <v>870</v>
      </c>
      <c r="Q133">
        <v>47.12</v>
      </c>
      <c r="R133">
        <v>75.78</v>
      </c>
      <c r="S133" s="243">
        <v>1608735</v>
      </c>
      <c r="T133">
        <v>2121000</v>
      </c>
      <c r="U133">
        <v>75.849999999999994</v>
      </c>
      <c r="V133" t="s">
        <v>540</v>
      </c>
      <c r="W133" t="s">
        <v>820</v>
      </c>
      <c r="X133">
        <v>7.72</v>
      </c>
      <c r="Y133">
        <v>5.85</v>
      </c>
      <c r="Z133" s="243">
        <v>89481</v>
      </c>
      <c r="AA133">
        <v>1169000</v>
      </c>
      <c r="AB133">
        <v>7.65</v>
      </c>
      <c r="AC133" t="s">
        <v>552</v>
      </c>
      <c r="AD133" t="s">
        <v>768</v>
      </c>
      <c r="AE133">
        <v>1.23</v>
      </c>
      <c r="AF133">
        <v>0.09</v>
      </c>
      <c r="AG133" s="243">
        <v>49557</v>
      </c>
      <c r="AH133">
        <v>0</v>
      </c>
      <c r="AI133" t="s">
        <v>520</v>
      </c>
      <c r="AJ133" t="s">
        <v>532</v>
      </c>
      <c r="AK133" t="s">
        <v>669</v>
      </c>
      <c r="AL133">
        <v>12.82</v>
      </c>
      <c r="AM133" t="s">
        <v>520</v>
      </c>
      <c r="AN133" s="243">
        <v>152150.71</v>
      </c>
      <c r="AO133">
        <v>500000</v>
      </c>
      <c r="AP133">
        <v>30.43</v>
      </c>
      <c r="AQ133" t="s">
        <v>558</v>
      </c>
      <c r="AR133" t="s">
        <v>851</v>
      </c>
      <c r="AS133">
        <v>29.43</v>
      </c>
      <c r="AT133">
        <v>8.9600000000000009</v>
      </c>
      <c r="AU133" s="243">
        <v>35016885.939999998</v>
      </c>
      <c r="AV133">
        <v>28640000</v>
      </c>
      <c r="AW133">
        <v>122.27</v>
      </c>
      <c r="AX133" t="s">
        <v>546</v>
      </c>
      <c r="AY133" t="s">
        <v>854</v>
      </c>
      <c r="AZ133">
        <v>37.49</v>
      </c>
      <c r="BA133">
        <v>45.84</v>
      </c>
      <c r="BB133" s="243">
        <v>3243551.23</v>
      </c>
      <c r="BC133">
        <v>0</v>
      </c>
      <c r="BD133" t="s">
        <v>520</v>
      </c>
      <c r="BE133" t="s">
        <v>532</v>
      </c>
      <c r="BF133" t="s">
        <v>669</v>
      </c>
      <c r="BG133">
        <v>10.64</v>
      </c>
      <c r="BH133" t="s">
        <v>520</v>
      </c>
    </row>
    <row r="134" spans="1:60">
      <c r="A134">
        <v>500</v>
      </c>
      <c r="B134" t="s">
        <v>41</v>
      </c>
      <c r="C134" t="s">
        <v>527</v>
      </c>
      <c r="D134" t="s">
        <v>33</v>
      </c>
      <c r="E134" s="243">
        <v>17721000.649999999</v>
      </c>
      <c r="F134">
        <v>8830000</v>
      </c>
      <c r="G134">
        <v>200.69</v>
      </c>
      <c r="H134" t="s">
        <v>532</v>
      </c>
      <c r="I134" t="s">
        <v>718</v>
      </c>
      <c r="J134">
        <v>21.21</v>
      </c>
      <c r="K134">
        <v>42.56</v>
      </c>
      <c r="L134" s="243">
        <v>20686041</v>
      </c>
      <c r="M134">
        <v>15310000</v>
      </c>
      <c r="N134">
        <v>135.11000000000001</v>
      </c>
      <c r="O134" t="s">
        <v>550</v>
      </c>
      <c r="P134" t="s">
        <v>794</v>
      </c>
      <c r="Q134">
        <v>66.489999999999995</v>
      </c>
      <c r="R134">
        <v>89.84</v>
      </c>
      <c r="S134" s="243">
        <v>2408232</v>
      </c>
      <c r="T134">
        <v>1985000</v>
      </c>
      <c r="U134">
        <v>121.32</v>
      </c>
      <c r="V134" t="s">
        <v>549</v>
      </c>
      <c r="W134" t="s">
        <v>830</v>
      </c>
      <c r="X134">
        <v>35.07</v>
      </c>
      <c r="Y134">
        <v>42.55</v>
      </c>
      <c r="Z134" s="243">
        <v>973528</v>
      </c>
      <c r="AA134">
        <v>1205000</v>
      </c>
      <c r="AB134">
        <v>80.790000000000006</v>
      </c>
      <c r="AC134" t="s">
        <v>549</v>
      </c>
      <c r="AD134" t="s">
        <v>882</v>
      </c>
      <c r="AE134">
        <v>0</v>
      </c>
      <c r="AF134">
        <v>0</v>
      </c>
      <c r="AG134" s="243">
        <v>26517</v>
      </c>
      <c r="AH134">
        <v>0</v>
      </c>
      <c r="AI134" t="s">
        <v>520</v>
      </c>
      <c r="AJ134" t="s">
        <v>532</v>
      </c>
      <c r="AK134" t="s">
        <v>669</v>
      </c>
      <c r="AL134">
        <v>7.53</v>
      </c>
      <c r="AM134" t="s">
        <v>520</v>
      </c>
      <c r="AN134" s="243">
        <v>133519.82</v>
      </c>
      <c r="AO134">
        <v>490000</v>
      </c>
      <c r="AP134">
        <v>27.25</v>
      </c>
      <c r="AQ134" t="s">
        <v>528</v>
      </c>
      <c r="AR134" t="s">
        <v>825</v>
      </c>
      <c r="AS134">
        <v>83.57</v>
      </c>
      <c r="AT134">
        <v>22.77</v>
      </c>
      <c r="AU134" s="243">
        <v>41948838.469999999</v>
      </c>
      <c r="AV134">
        <v>27820000</v>
      </c>
      <c r="AW134">
        <v>150.79</v>
      </c>
      <c r="AX134" t="s">
        <v>530</v>
      </c>
      <c r="AY134" t="s">
        <v>689</v>
      </c>
      <c r="AZ134">
        <v>44.03</v>
      </c>
      <c r="BA134">
        <v>66.39</v>
      </c>
      <c r="BB134" s="243">
        <v>4212358.6500000004</v>
      </c>
      <c r="BC134">
        <v>0</v>
      </c>
      <c r="BD134" t="s">
        <v>520</v>
      </c>
      <c r="BE134" t="s">
        <v>532</v>
      </c>
      <c r="BF134" t="s">
        <v>669</v>
      </c>
      <c r="BG134">
        <v>8.1300000000000008</v>
      </c>
      <c r="BH134" t="s">
        <v>520</v>
      </c>
    </row>
    <row r="135" spans="1:60">
      <c r="A135">
        <v>501</v>
      </c>
      <c r="B135" t="s">
        <v>192</v>
      </c>
      <c r="C135" t="s">
        <v>524</v>
      </c>
      <c r="D135" t="s">
        <v>33</v>
      </c>
      <c r="E135" s="243">
        <v>7785802.9800000004</v>
      </c>
      <c r="F135">
        <v>8970000</v>
      </c>
      <c r="G135">
        <v>86.8</v>
      </c>
      <c r="H135" t="s">
        <v>555</v>
      </c>
      <c r="I135" t="s">
        <v>859</v>
      </c>
      <c r="J135">
        <v>14.49</v>
      </c>
      <c r="K135">
        <v>12.58</v>
      </c>
      <c r="L135" s="243">
        <v>19487545</v>
      </c>
      <c r="M135">
        <v>15550000</v>
      </c>
      <c r="N135">
        <v>125.32</v>
      </c>
      <c r="O135" t="s">
        <v>529</v>
      </c>
      <c r="P135" t="s">
        <v>685</v>
      </c>
      <c r="Q135">
        <v>49.48</v>
      </c>
      <c r="R135">
        <v>62.01</v>
      </c>
      <c r="S135" s="243">
        <v>164341</v>
      </c>
      <c r="T135">
        <v>2086000</v>
      </c>
      <c r="U135">
        <v>7.88</v>
      </c>
      <c r="V135" t="s">
        <v>557</v>
      </c>
      <c r="W135" t="s">
        <v>684</v>
      </c>
      <c r="X135">
        <v>10.36</v>
      </c>
      <c r="Y135">
        <v>0.82</v>
      </c>
      <c r="Z135" s="243">
        <v>196008</v>
      </c>
      <c r="AA135">
        <v>1144000</v>
      </c>
      <c r="AB135">
        <v>17.13</v>
      </c>
      <c r="AC135" t="s">
        <v>536</v>
      </c>
      <c r="AD135" t="s">
        <v>766</v>
      </c>
      <c r="AE135">
        <v>1.44</v>
      </c>
      <c r="AF135">
        <v>0.25</v>
      </c>
      <c r="AG135" s="243">
        <v>97542</v>
      </c>
      <c r="AH135">
        <v>0</v>
      </c>
      <c r="AI135" t="s">
        <v>520</v>
      </c>
      <c r="AJ135" t="s">
        <v>532</v>
      </c>
      <c r="AK135" t="s">
        <v>669</v>
      </c>
      <c r="AL135">
        <v>1.18</v>
      </c>
      <c r="AM135" t="s">
        <v>520</v>
      </c>
      <c r="AN135" s="243">
        <v>1344851.7</v>
      </c>
      <c r="AO135">
        <v>500000</v>
      </c>
      <c r="AP135">
        <v>268.97000000000003</v>
      </c>
      <c r="AQ135" t="s">
        <v>538</v>
      </c>
      <c r="AR135" t="s">
        <v>840</v>
      </c>
      <c r="AS135">
        <v>19.98</v>
      </c>
      <c r="AT135">
        <v>53.74</v>
      </c>
      <c r="AU135" s="243">
        <v>29076090.68</v>
      </c>
      <c r="AV135">
        <v>28250000</v>
      </c>
      <c r="AW135">
        <v>102.92</v>
      </c>
      <c r="AX135" t="s">
        <v>531</v>
      </c>
      <c r="AY135" t="s">
        <v>776</v>
      </c>
      <c r="AZ135">
        <v>38.04</v>
      </c>
      <c r="BA135">
        <v>39.15</v>
      </c>
      <c r="BB135" s="243">
        <v>3395504.98</v>
      </c>
      <c r="BC135">
        <v>0</v>
      </c>
      <c r="BD135" t="s">
        <v>520</v>
      </c>
      <c r="BE135" t="s">
        <v>532</v>
      </c>
      <c r="BF135" t="s">
        <v>669</v>
      </c>
      <c r="BG135">
        <v>3.65</v>
      </c>
      <c r="BH135" t="s">
        <v>520</v>
      </c>
    </row>
    <row r="136" spans="1:60">
      <c r="A136">
        <v>520</v>
      </c>
      <c r="B136" t="s">
        <v>193</v>
      </c>
      <c r="C136" t="s">
        <v>522</v>
      </c>
      <c r="D136" t="s">
        <v>33</v>
      </c>
      <c r="E136" s="243">
        <v>15684341.99</v>
      </c>
      <c r="F136">
        <v>14490000</v>
      </c>
      <c r="G136">
        <v>108.24</v>
      </c>
      <c r="H136" t="s">
        <v>543</v>
      </c>
      <c r="I136" t="s">
        <v>770</v>
      </c>
      <c r="J136">
        <v>27.61</v>
      </c>
      <c r="K136">
        <v>29.89</v>
      </c>
      <c r="L136" s="243">
        <v>43749274</v>
      </c>
      <c r="M136">
        <v>25120000</v>
      </c>
      <c r="N136">
        <v>174.16</v>
      </c>
      <c r="O136" t="s">
        <v>532</v>
      </c>
      <c r="P136" t="s">
        <v>750</v>
      </c>
      <c r="Q136">
        <v>54.01</v>
      </c>
      <c r="R136">
        <v>94.07</v>
      </c>
      <c r="S136" s="243">
        <v>4015962</v>
      </c>
      <c r="T136">
        <v>3327000</v>
      </c>
      <c r="U136">
        <v>120.71</v>
      </c>
      <c r="V136" t="s">
        <v>556</v>
      </c>
      <c r="W136" t="s">
        <v>749</v>
      </c>
      <c r="X136">
        <v>59.75</v>
      </c>
      <c r="Y136">
        <v>72.12</v>
      </c>
      <c r="Z136" s="243">
        <v>8133968</v>
      </c>
      <c r="AA136">
        <v>1913000</v>
      </c>
      <c r="AB136">
        <v>425.19</v>
      </c>
      <c r="AC136" t="s">
        <v>548</v>
      </c>
      <c r="AD136" t="s">
        <v>813</v>
      </c>
      <c r="AE136">
        <v>0</v>
      </c>
      <c r="AF136">
        <v>0.01</v>
      </c>
      <c r="AG136" s="243">
        <v>148130</v>
      </c>
      <c r="AH136">
        <v>0</v>
      </c>
      <c r="AI136" t="s">
        <v>520</v>
      </c>
      <c r="AJ136" t="s">
        <v>532</v>
      </c>
      <c r="AK136" t="s">
        <v>669</v>
      </c>
      <c r="AL136">
        <v>1.81</v>
      </c>
      <c r="AM136" t="s">
        <v>520</v>
      </c>
      <c r="AN136" s="243">
        <v>1374426.01</v>
      </c>
      <c r="AO136">
        <v>800000</v>
      </c>
      <c r="AP136">
        <v>171.8</v>
      </c>
      <c r="AQ136" t="s">
        <v>535</v>
      </c>
      <c r="AR136" t="s">
        <v>830</v>
      </c>
      <c r="AS136">
        <v>45.14</v>
      </c>
      <c r="AT136">
        <v>77.55</v>
      </c>
      <c r="AU136" s="243">
        <v>73106102</v>
      </c>
      <c r="AV136">
        <v>45650000</v>
      </c>
      <c r="AW136">
        <v>160.13999999999999</v>
      </c>
      <c r="AX136" t="s">
        <v>548</v>
      </c>
      <c r="AY136" t="s">
        <v>769</v>
      </c>
      <c r="AZ136">
        <v>42.38</v>
      </c>
      <c r="BA136">
        <v>67.87</v>
      </c>
      <c r="BB136" s="243">
        <v>5126462.99</v>
      </c>
      <c r="BC136">
        <v>0</v>
      </c>
      <c r="BD136" t="s">
        <v>520</v>
      </c>
      <c r="BE136" t="s">
        <v>532</v>
      </c>
      <c r="BF136" t="s">
        <v>669</v>
      </c>
      <c r="BG136">
        <v>11.48</v>
      </c>
      <c r="BH136" t="s">
        <v>520</v>
      </c>
    </row>
    <row r="137" spans="1:60">
      <c r="A137">
        <v>521</v>
      </c>
      <c r="B137" t="s">
        <v>194</v>
      </c>
      <c r="C137" t="s">
        <v>522</v>
      </c>
      <c r="D137" t="s">
        <v>33</v>
      </c>
      <c r="E137" s="243">
        <v>29889062.5</v>
      </c>
      <c r="F137">
        <v>20810000</v>
      </c>
      <c r="G137">
        <v>143.63</v>
      </c>
      <c r="H137" t="s">
        <v>541</v>
      </c>
      <c r="I137" t="s">
        <v>854</v>
      </c>
      <c r="J137">
        <v>7.05</v>
      </c>
      <c r="K137">
        <v>10.130000000000001</v>
      </c>
      <c r="L137" s="243">
        <v>34912821</v>
      </c>
      <c r="M137">
        <v>36090000</v>
      </c>
      <c r="N137">
        <v>96.74</v>
      </c>
      <c r="O137" t="s">
        <v>555</v>
      </c>
      <c r="P137" t="s">
        <v>700</v>
      </c>
      <c r="Q137">
        <v>23.11</v>
      </c>
      <c r="R137">
        <v>22.36</v>
      </c>
      <c r="S137" s="243">
        <v>2489881</v>
      </c>
      <c r="T137">
        <v>6272000</v>
      </c>
      <c r="U137">
        <v>39.700000000000003</v>
      </c>
      <c r="V137" t="s">
        <v>528</v>
      </c>
      <c r="W137" t="s">
        <v>815</v>
      </c>
      <c r="X137">
        <v>4.97</v>
      </c>
      <c r="Y137">
        <v>1.97</v>
      </c>
      <c r="Z137" s="243">
        <v>653944</v>
      </c>
      <c r="AA137">
        <v>1258000</v>
      </c>
      <c r="AB137">
        <v>51.98</v>
      </c>
      <c r="AC137" t="s">
        <v>535</v>
      </c>
      <c r="AD137" t="s">
        <v>793</v>
      </c>
      <c r="AE137">
        <v>0.03</v>
      </c>
      <c r="AF137">
        <v>0.01</v>
      </c>
      <c r="AG137" s="243">
        <v>196465</v>
      </c>
      <c r="AH137">
        <v>0</v>
      </c>
      <c r="AI137" t="s">
        <v>520</v>
      </c>
      <c r="AJ137" t="s">
        <v>532</v>
      </c>
      <c r="AK137" t="s">
        <v>669</v>
      </c>
      <c r="AL137">
        <v>26.81</v>
      </c>
      <c r="AM137" t="s">
        <v>520</v>
      </c>
      <c r="AN137" s="243">
        <v>1976309.66</v>
      </c>
      <c r="AO137">
        <v>1150000</v>
      </c>
      <c r="AP137">
        <v>171.85</v>
      </c>
      <c r="AQ137" t="s">
        <v>550</v>
      </c>
      <c r="AR137" t="s">
        <v>868</v>
      </c>
      <c r="AS137">
        <v>69.95</v>
      </c>
      <c r="AT137">
        <v>120.22</v>
      </c>
      <c r="AU137" s="243">
        <v>70118483.159999996</v>
      </c>
      <c r="AV137">
        <v>65580000</v>
      </c>
      <c r="AW137">
        <v>106.92</v>
      </c>
      <c r="AX137" t="s">
        <v>558</v>
      </c>
      <c r="AY137" t="s">
        <v>865</v>
      </c>
      <c r="AZ137">
        <v>16.73</v>
      </c>
      <c r="BA137">
        <v>17.89</v>
      </c>
      <c r="BB137" s="243">
        <v>9181275.5</v>
      </c>
      <c r="BC137">
        <v>0</v>
      </c>
      <c r="BD137" t="s">
        <v>520</v>
      </c>
      <c r="BE137" t="s">
        <v>532</v>
      </c>
      <c r="BF137" t="s">
        <v>669</v>
      </c>
      <c r="BG137">
        <v>9.75</v>
      </c>
      <c r="BH137" t="s">
        <v>520</v>
      </c>
    </row>
    <row r="138" spans="1:60">
      <c r="A138">
        <v>522</v>
      </c>
      <c r="B138" t="s">
        <v>42</v>
      </c>
      <c r="C138" t="s">
        <v>519</v>
      </c>
      <c r="D138" t="s">
        <v>33</v>
      </c>
      <c r="E138" s="243">
        <v>27064459.489999998</v>
      </c>
      <c r="F138">
        <v>19300000</v>
      </c>
      <c r="G138">
        <v>140.22999999999999</v>
      </c>
      <c r="H138" t="s">
        <v>550</v>
      </c>
      <c r="I138" t="s">
        <v>866</v>
      </c>
      <c r="J138">
        <v>12.93</v>
      </c>
      <c r="K138">
        <v>18.13</v>
      </c>
      <c r="L138" s="243">
        <v>33518041</v>
      </c>
      <c r="M138">
        <v>33470000</v>
      </c>
      <c r="N138">
        <v>100.14</v>
      </c>
      <c r="O138" t="s">
        <v>558</v>
      </c>
      <c r="P138" t="s">
        <v>844</v>
      </c>
      <c r="Q138">
        <v>32.06</v>
      </c>
      <c r="R138">
        <v>32.11</v>
      </c>
      <c r="S138" s="243">
        <v>8282654</v>
      </c>
      <c r="T138">
        <v>5057000</v>
      </c>
      <c r="U138">
        <v>163.79</v>
      </c>
      <c r="V138" t="s">
        <v>538</v>
      </c>
      <c r="W138" t="s">
        <v>852</v>
      </c>
      <c r="X138">
        <v>8.2799999999999994</v>
      </c>
      <c r="Y138">
        <v>13.56</v>
      </c>
      <c r="Z138" s="243">
        <v>2361057</v>
      </c>
      <c r="AA138">
        <v>1913000</v>
      </c>
      <c r="AB138">
        <v>123.42</v>
      </c>
      <c r="AC138" t="s">
        <v>538</v>
      </c>
      <c r="AD138" t="s">
        <v>796</v>
      </c>
      <c r="AE138">
        <v>0.97</v>
      </c>
      <c r="AF138">
        <v>1.2</v>
      </c>
      <c r="AG138" s="243">
        <v>63019</v>
      </c>
      <c r="AH138">
        <v>0</v>
      </c>
      <c r="AI138" t="s">
        <v>520</v>
      </c>
      <c r="AJ138" t="s">
        <v>532</v>
      </c>
      <c r="AK138" t="s">
        <v>669</v>
      </c>
      <c r="AL138">
        <v>8.15</v>
      </c>
      <c r="AM138" t="s">
        <v>520</v>
      </c>
      <c r="AN138" s="243">
        <v>1893364.73</v>
      </c>
      <c r="AO138">
        <v>1070000</v>
      </c>
      <c r="AP138">
        <v>176.95</v>
      </c>
      <c r="AQ138" t="s">
        <v>549</v>
      </c>
      <c r="AR138" t="s">
        <v>732</v>
      </c>
      <c r="AS138">
        <v>84.21</v>
      </c>
      <c r="AT138">
        <v>149.01</v>
      </c>
      <c r="AU138" s="243">
        <v>73182595.219999999</v>
      </c>
      <c r="AV138">
        <v>60810000</v>
      </c>
      <c r="AW138">
        <v>120.35</v>
      </c>
      <c r="AX138" t="s">
        <v>537</v>
      </c>
      <c r="AY138" t="s">
        <v>823</v>
      </c>
      <c r="AZ138">
        <v>22.62</v>
      </c>
      <c r="BA138">
        <v>27.22</v>
      </c>
      <c r="BB138" s="243">
        <v>7570792.4900000002</v>
      </c>
      <c r="BC138">
        <v>0</v>
      </c>
      <c r="BD138" t="s">
        <v>520</v>
      </c>
      <c r="BE138" t="s">
        <v>532</v>
      </c>
      <c r="BF138" t="s">
        <v>669</v>
      </c>
      <c r="BG138">
        <v>7.21</v>
      </c>
      <c r="BH138" t="s">
        <v>520</v>
      </c>
    </row>
    <row r="139" spans="1:60">
      <c r="A139">
        <v>523</v>
      </c>
      <c r="B139" t="s">
        <v>104</v>
      </c>
      <c r="C139" t="s">
        <v>524</v>
      </c>
      <c r="D139" t="s">
        <v>33</v>
      </c>
      <c r="E139" s="243">
        <v>10202523</v>
      </c>
      <c r="F139">
        <v>10780000</v>
      </c>
      <c r="G139">
        <v>94.64</v>
      </c>
      <c r="H139" t="s">
        <v>528</v>
      </c>
      <c r="I139" t="s">
        <v>691</v>
      </c>
      <c r="J139">
        <v>29.58</v>
      </c>
      <c r="K139">
        <v>27.99</v>
      </c>
      <c r="L139" s="243">
        <v>30113905</v>
      </c>
      <c r="M139">
        <v>18700000</v>
      </c>
      <c r="N139">
        <v>161.04</v>
      </c>
      <c r="O139" t="s">
        <v>530</v>
      </c>
      <c r="P139" t="s">
        <v>769</v>
      </c>
      <c r="Q139">
        <v>75.489999999999995</v>
      </c>
      <c r="R139">
        <v>121.56</v>
      </c>
      <c r="S139" s="243">
        <v>1389868</v>
      </c>
      <c r="T139">
        <v>2190000</v>
      </c>
      <c r="U139">
        <v>63.46</v>
      </c>
      <c r="V139" t="s">
        <v>537</v>
      </c>
      <c r="W139" t="s">
        <v>801</v>
      </c>
      <c r="X139">
        <v>37.549999999999997</v>
      </c>
      <c r="Y139">
        <v>23.83</v>
      </c>
      <c r="Z139" s="243">
        <v>129725</v>
      </c>
      <c r="AA139">
        <v>1700000</v>
      </c>
      <c r="AB139">
        <v>7.63</v>
      </c>
      <c r="AC139" t="s">
        <v>531</v>
      </c>
      <c r="AD139" t="s">
        <v>874</v>
      </c>
      <c r="AE139">
        <v>0.4</v>
      </c>
      <c r="AF139">
        <v>0.03</v>
      </c>
      <c r="AG139" s="243">
        <v>20408</v>
      </c>
      <c r="AH139">
        <v>0</v>
      </c>
      <c r="AI139" t="s">
        <v>520</v>
      </c>
      <c r="AJ139" t="s">
        <v>532</v>
      </c>
      <c r="AK139" t="s">
        <v>669</v>
      </c>
      <c r="AL139">
        <v>17.989999999999998</v>
      </c>
      <c r="AM139" t="s">
        <v>520</v>
      </c>
      <c r="AN139" s="243">
        <v>1854706.48</v>
      </c>
      <c r="AO139">
        <v>600000</v>
      </c>
      <c r="AP139">
        <v>309.12</v>
      </c>
      <c r="AQ139" t="s">
        <v>553</v>
      </c>
      <c r="AR139" t="s">
        <v>832</v>
      </c>
      <c r="AS139">
        <v>83.38</v>
      </c>
      <c r="AT139">
        <v>257.75</v>
      </c>
      <c r="AU139" s="243">
        <v>43711135.479999997</v>
      </c>
      <c r="AV139">
        <v>33970000</v>
      </c>
      <c r="AW139">
        <v>128.68</v>
      </c>
      <c r="AX139" t="s">
        <v>549</v>
      </c>
      <c r="AY139" t="s">
        <v>667</v>
      </c>
      <c r="AZ139">
        <v>63.65</v>
      </c>
      <c r="BA139">
        <v>81.900000000000006</v>
      </c>
      <c r="BB139" s="243">
        <v>3779796</v>
      </c>
      <c r="BC139">
        <v>0</v>
      </c>
      <c r="BD139" t="s">
        <v>520</v>
      </c>
      <c r="BE139" t="s">
        <v>532</v>
      </c>
      <c r="BF139" t="s">
        <v>669</v>
      </c>
      <c r="BG139">
        <v>8.9</v>
      </c>
      <c r="BH139" t="s">
        <v>520</v>
      </c>
    </row>
    <row r="140" spans="1:60">
      <c r="A140">
        <v>524</v>
      </c>
      <c r="B140" t="s">
        <v>43</v>
      </c>
      <c r="C140" t="s">
        <v>526</v>
      </c>
      <c r="D140" t="s">
        <v>33</v>
      </c>
      <c r="E140" s="243">
        <v>8697357.6099999994</v>
      </c>
      <c r="F140">
        <v>9000000</v>
      </c>
      <c r="G140">
        <v>96.64</v>
      </c>
      <c r="H140" t="s">
        <v>558</v>
      </c>
      <c r="I140" t="s">
        <v>838</v>
      </c>
      <c r="J140">
        <v>20.84</v>
      </c>
      <c r="K140">
        <v>20.14</v>
      </c>
      <c r="L140" s="243">
        <v>21090216</v>
      </c>
      <c r="M140">
        <v>15600000</v>
      </c>
      <c r="N140">
        <v>135.19</v>
      </c>
      <c r="O140" t="s">
        <v>556</v>
      </c>
      <c r="P140" t="s">
        <v>856</v>
      </c>
      <c r="Q140">
        <v>34.28</v>
      </c>
      <c r="R140">
        <v>46.35</v>
      </c>
      <c r="S140" s="243">
        <v>3745420</v>
      </c>
      <c r="T140">
        <v>1954000</v>
      </c>
      <c r="U140">
        <v>191.68</v>
      </c>
      <c r="V140" t="s">
        <v>553</v>
      </c>
      <c r="W140" t="s">
        <v>679</v>
      </c>
      <c r="X140">
        <v>27.24</v>
      </c>
      <c r="Y140">
        <v>52.22</v>
      </c>
      <c r="Z140" s="243">
        <v>122938</v>
      </c>
      <c r="AA140">
        <v>1296000</v>
      </c>
      <c r="AB140">
        <v>9.49</v>
      </c>
      <c r="AC140" t="s">
        <v>555</v>
      </c>
      <c r="AD140" t="s">
        <v>849</v>
      </c>
      <c r="AE140">
        <v>16.100000000000001</v>
      </c>
      <c r="AF140">
        <v>1.53</v>
      </c>
      <c r="AG140" s="243">
        <v>33288</v>
      </c>
      <c r="AH140">
        <v>0</v>
      </c>
      <c r="AI140" t="s">
        <v>520</v>
      </c>
      <c r="AJ140" t="s">
        <v>532</v>
      </c>
      <c r="AK140" t="s">
        <v>669</v>
      </c>
      <c r="AL140">
        <v>7.18</v>
      </c>
      <c r="AM140" t="s">
        <v>520</v>
      </c>
      <c r="AN140" s="243">
        <v>591415.4</v>
      </c>
      <c r="AO140">
        <v>500000</v>
      </c>
      <c r="AP140">
        <v>118.28</v>
      </c>
      <c r="AQ140" t="s">
        <v>537</v>
      </c>
      <c r="AR140" t="s">
        <v>661</v>
      </c>
      <c r="AS140">
        <v>38.36</v>
      </c>
      <c r="AT140">
        <v>45.38</v>
      </c>
      <c r="AU140" s="243">
        <v>34280635.009999998</v>
      </c>
      <c r="AV140">
        <v>28350000</v>
      </c>
      <c r="AW140">
        <v>120.92</v>
      </c>
      <c r="AX140" t="s">
        <v>544</v>
      </c>
      <c r="AY140" t="s">
        <v>696</v>
      </c>
      <c r="AZ140">
        <v>30.08</v>
      </c>
      <c r="BA140">
        <v>36.369999999999997</v>
      </c>
      <c r="BB140" s="243">
        <v>3146452.61</v>
      </c>
      <c r="BC140">
        <v>0</v>
      </c>
      <c r="BD140" t="s">
        <v>520</v>
      </c>
      <c r="BE140" t="s">
        <v>532</v>
      </c>
      <c r="BF140" t="s">
        <v>669</v>
      </c>
      <c r="BG140">
        <v>5.64</v>
      </c>
      <c r="BH140" t="s">
        <v>520</v>
      </c>
    </row>
    <row r="141" spans="1:60">
      <c r="A141">
        <v>540</v>
      </c>
      <c r="B141" t="s">
        <v>44</v>
      </c>
      <c r="C141" t="s">
        <v>526</v>
      </c>
      <c r="D141" t="s">
        <v>33</v>
      </c>
      <c r="E141" s="243">
        <v>6778990.9500000002</v>
      </c>
      <c r="F141">
        <v>8220000</v>
      </c>
      <c r="G141">
        <v>82.47</v>
      </c>
      <c r="H141" t="s">
        <v>554</v>
      </c>
      <c r="I141" t="s">
        <v>874</v>
      </c>
      <c r="J141">
        <v>10.96</v>
      </c>
      <c r="K141">
        <v>9.0399999999999991</v>
      </c>
      <c r="L141" s="243">
        <v>12403197</v>
      </c>
      <c r="M141">
        <v>14260000</v>
      </c>
      <c r="N141">
        <v>86.98</v>
      </c>
      <c r="O141" t="s">
        <v>554</v>
      </c>
      <c r="P141" t="s">
        <v>758</v>
      </c>
      <c r="Q141">
        <v>49.81</v>
      </c>
      <c r="R141">
        <v>43.33</v>
      </c>
      <c r="S141" s="243">
        <v>1312784</v>
      </c>
      <c r="T141">
        <v>1984000</v>
      </c>
      <c r="U141">
        <v>66.17</v>
      </c>
      <c r="V141" t="s">
        <v>544</v>
      </c>
      <c r="W141" t="s">
        <v>845</v>
      </c>
      <c r="X141">
        <v>6.55</v>
      </c>
      <c r="Y141">
        <v>4.34</v>
      </c>
      <c r="Z141" s="243">
        <v>191221</v>
      </c>
      <c r="AA141">
        <v>986000</v>
      </c>
      <c r="AB141">
        <v>19.39</v>
      </c>
      <c r="AC141" t="s">
        <v>537</v>
      </c>
      <c r="AD141" t="s">
        <v>889</v>
      </c>
      <c r="AE141">
        <v>0.05</v>
      </c>
      <c r="AF141">
        <v>0.01</v>
      </c>
      <c r="AG141" s="243">
        <v>48753</v>
      </c>
      <c r="AH141">
        <v>0</v>
      </c>
      <c r="AI141" t="s">
        <v>520</v>
      </c>
      <c r="AJ141" t="s">
        <v>532</v>
      </c>
      <c r="AK141" t="s">
        <v>669</v>
      </c>
      <c r="AL141">
        <v>2.69</v>
      </c>
      <c r="AM141" t="s">
        <v>520</v>
      </c>
      <c r="AN141" s="243">
        <v>74211.350000000006</v>
      </c>
      <c r="AO141">
        <v>460000</v>
      </c>
      <c r="AP141">
        <v>16.13</v>
      </c>
      <c r="AQ141" t="s">
        <v>557</v>
      </c>
      <c r="AR141" t="s">
        <v>748</v>
      </c>
      <c r="AS141">
        <v>13.19</v>
      </c>
      <c r="AT141">
        <v>2.13</v>
      </c>
      <c r="AU141" s="243">
        <v>20809157.300000001</v>
      </c>
      <c r="AV141">
        <v>25910000</v>
      </c>
      <c r="AW141">
        <v>80.31</v>
      </c>
      <c r="AX141" t="s">
        <v>554</v>
      </c>
      <c r="AY141" t="s">
        <v>792</v>
      </c>
      <c r="AZ141">
        <v>33.729999999999997</v>
      </c>
      <c r="BA141">
        <v>27.09</v>
      </c>
      <c r="BB141" s="243">
        <v>3096942.95</v>
      </c>
      <c r="BC141">
        <v>0</v>
      </c>
      <c r="BD141" t="s">
        <v>520</v>
      </c>
      <c r="BE141" t="s">
        <v>532</v>
      </c>
      <c r="BF141" t="s">
        <v>669</v>
      </c>
      <c r="BG141">
        <v>5.04</v>
      </c>
      <c r="BH141" t="s">
        <v>520</v>
      </c>
    </row>
    <row r="142" spans="1:60">
      <c r="A142">
        <v>541</v>
      </c>
      <c r="B142" t="s">
        <v>105</v>
      </c>
      <c r="C142" t="s">
        <v>524</v>
      </c>
      <c r="D142" t="s">
        <v>33</v>
      </c>
      <c r="E142" s="243">
        <v>9349357.3000000007</v>
      </c>
      <c r="F142">
        <v>10950000</v>
      </c>
      <c r="G142">
        <v>85.38</v>
      </c>
      <c r="H142" t="s">
        <v>557</v>
      </c>
      <c r="I142" t="s">
        <v>726</v>
      </c>
      <c r="J142">
        <v>15.81</v>
      </c>
      <c r="K142">
        <v>13.5</v>
      </c>
      <c r="L142" s="243">
        <v>32538885</v>
      </c>
      <c r="M142">
        <v>18990000</v>
      </c>
      <c r="N142">
        <v>171.35</v>
      </c>
      <c r="O142" t="s">
        <v>548</v>
      </c>
      <c r="P142" t="s">
        <v>763</v>
      </c>
      <c r="Q142">
        <v>65.27</v>
      </c>
      <c r="R142">
        <v>111.83</v>
      </c>
      <c r="S142" s="243">
        <v>1726502</v>
      </c>
      <c r="T142">
        <v>2781000</v>
      </c>
      <c r="U142">
        <v>62.08</v>
      </c>
      <c r="V142" t="s">
        <v>543</v>
      </c>
      <c r="W142" t="s">
        <v>829</v>
      </c>
      <c r="X142">
        <v>10.72</v>
      </c>
      <c r="Y142">
        <v>6.66</v>
      </c>
      <c r="Z142" s="243">
        <v>389159</v>
      </c>
      <c r="AA142">
        <v>1169000</v>
      </c>
      <c r="AB142">
        <v>33.29</v>
      </c>
      <c r="AC142" t="s">
        <v>544</v>
      </c>
      <c r="AD142" t="s">
        <v>891</v>
      </c>
      <c r="AE142">
        <v>0.32</v>
      </c>
      <c r="AF142">
        <v>0.11</v>
      </c>
      <c r="AG142" s="243">
        <v>23481</v>
      </c>
      <c r="AH142">
        <v>0</v>
      </c>
      <c r="AI142" t="s">
        <v>520</v>
      </c>
      <c r="AJ142" t="s">
        <v>532</v>
      </c>
      <c r="AK142" t="s">
        <v>669</v>
      </c>
      <c r="AL142">
        <v>11.98</v>
      </c>
      <c r="AM142" t="s">
        <v>520</v>
      </c>
      <c r="AN142" s="243">
        <v>60302.33</v>
      </c>
      <c r="AO142">
        <v>610000</v>
      </c>
      <c r="AP142">
        <v>9.89</v>
      </c>
      <c r="AQ142" t="s">
        <v>554</v>
      </c>
      <c r="AR142" t="s">
        <v>855</v>
      </c>
      <c r="AS142">
        <v>0</v>
      </c>
      <c r="AT142">
        <v>0</v>
      </c>
      <c r="AU142" s="243">
        <v>44087686.630000003</v>
      </c>
      <c r="AV142">
        <v>34500000</v>
      </c>
      <c r="AW142">
        <v>127.79</v>
      </c>
      <c r="AX142" t="s">
        <v>556</v>
      </c>
      <c r="AY142" t="s">
        <v>861</v>
      </c>
      <c r="AZ142">
        <v>51.95</v>
      </c>
      <c r="BA142">
        <v>66.39</v>
      </c>
      <c r="BB142" s="243">
        <v>4197459.3</v>
      </c>
      <c r="BC142">
        <v>0</v>
      </c>
      <c r="BD142" t="s">
        <v>520</v>
      </c>
      <c r="BE142" t="s">
        <v>532</v>
      </c>
      <c r="BF142" t="s">
        <v>669</v>
      </c>
      <c r="BG142">
        <v>9.56</v>
      </c>
      <c r="BH142" t="s">
        <v>520</v>
      </c>
    </row>
    <row r="143" spans="1:60">
      <c r="A143">
        <v>542</v>
      </c>
      <c r="B143" t="s">
        <v>45</v>
      </c>
      <c r="C143" t="s">
        <v>527</v>
      </c>
      <c r="D143" t="s">
        <v>33</v>
      </c>
      <c r="E143" s="243">
        <v>6579465.5099999998</v>
      </c>
      <c r="F143">
        <v>7660000</v>
      </c>
      <c r="G143">
        <v>85.89</v>
      </c>
      <c r="H143" t="s">
        <v>552</v>
      </c>
      <c r="I143" t="s">
        <v>855</v>
      </c>
      <c r="J143">
        <v>18.53</v>
      </c>
      <c r="K143">
        <v>15.92</v>
      </c>
      <c r="L143" s="243">
        <v>14071963</v>
      </c>
      <c r="M143">
        <v>13280000</v>
      </c>
      <c r="N143">
        <v>105.96</v>
      </c>
      <c r="O143" t="s">
        <v>543</v>
      </c>
      <c r="P143" t="s">
        <v>809</v>
      </c>
      <c r="Q143">
        <v>44.26</v>
      </c>
      <c r="R143">
        <v>46.9</v>
      </c>
      <c r="S143" s="243">
        <v>1559000</v>
      </c>
      <c r="T143">
        <v>1440000</v>
      </c>
      <c r="U143">
        <v>108.26</v>
      </c>
      <c r="V143" t="s">
        <v>529</v>
      </c>
      <c r="W143" t="s">
        <v>828</v>
      </c>
      <c r="X143">
        <v>6.32</v>
      </c>
      <c r="Y143">
        <v>6.84</v>
      </c>
      <c r="Z143" s="243">
        <v>199228</v>
      </c>
      <c r="AA143">
        <v>1330000</v>
      </c>
      <c r="AB143">
        <v>14.98</v>
      </c>
      <c r="AC143" t="s">
        <v>545</v>
      </c>
      <c r="AD143" t="s">
        <v>711</v>
      </c>
      <c r="AE143">
        <v>0</v>
      </c>
      <c r="AF143">
        <v>0</v>
      </c>
      <c r="AG143" s="243">
        <v>15339</v>
      </c>
      <c r="AH143">
        <v>0</v>
      </c>
      <c r="AI143" t="s">
        <v>520</v>
      </c>
      <c r="AJ143" t="s">
        <v>532</v>
      </c>
      <c r="AK143" t="s">
        <v>669</v>
      </c>
      <c r="AL143">
        <v>24.88</v>
      </c>
      <c r="AM143" t="s">
        <v>520</v>
      </c>
      <c r="AN143" s="243">
        <v>560806.07999999996</v>
      </c>
      <c r="AO143">
        <v>420000</v>
      </c>
      <c r="AP143">
        <v>133.53</v>
      </c>
      <c r="AQ143" t="s">
        <v>544</v>
      </c>
      <c r="AR143" t="s">
        <v>767</v>
      </c>
      <c r="AS143">
        <v>12.8</v>
      </c>
      <c r="AT143">
        <v>17.100000000000001</v>
      </c>
      <c r="AU143" s="243">
        <v>22985801.59</v>
      </c>
      <c r="AV143">
        <v>24130000</v>
      </c>
      <c r="AW143">
        <v>95.26</v>
      </c>
      <c r="AX143" t="s">
        <v>557</v>
      </c>
      <c r="AY143" t="s">
        <v>843</v>
      </c>
      <c r="AZ143">
        <v>33.159999999999997</v>
      </c>
      <c r="BA143">
        <v>31.59</v>
      </c>
      <c r="BB143" s="243">
        <v>2252551.5099999998</v>
      </c>
      <c r="BC143">
        <v>0</v>
      </c>
      <c r="BD143" t="s">
        <v>520</v>
      </c>
      <c r="BE143" t="s">
        <v>532</v>
      </c>
      <c r="BF143" t="s">
        <v>669</v>
      </c>
      <c r="BG143">
        <v>14.2</v>
      </c>
      <c r="BH143" t="s">
        <v>520</v>
      </c>
    </row>
    <row r="144" spans="1:60">
      <c r="A144">
        <v>600</v>
      </c>
      <c r="B144" t="s">
        <v>46</v>
      </c>
      <c r="C144" t="s">
        <v>525</v>
      </c>
      <c r="D144" t="s">
        <v>33</v>
      </c>
      <c r="E144" s="243">
        <v>13048782.84</v>
      </c>
      <c r="F144">
        <v>11210000</v>
      </c>
      <c r="G144">
        <v>116.4</v>
      </c>
      <c r="H144" t="s">
        <v>547</v>
      </c>
      <c r="I144" t="s">
        <v>865</v>
      </c>
      <c r="J144">
        <v>21.5</v>
      </c>
      <c r="K144">
        <v>25.03</v>
      </c>
      <c r="L144" s="243">
        <v>32948688</v>
      </c>
      <c r="M144">
        <v>19430000</v>
      </c>
      <c r="N144">
        <v>169.58</v>
      </c>
      <c r="O144" t="s">
        <v>542</v>
      </c>
      <c r="P144" t="s">
        <v>765</v>
      </c>
      <c r="Q144">
        <v>27.33</v>
      </c>
      <c r="R144">
        <v>46.35</v>
      </c>
      <c r="S144" s="243">
        <v>778791</v>
      </c>
      <c r="T144">
        <v>2792000</v>
      </c>
      <c r="U144">
        <v>27.89</v>
      </c>
      <c r="V144" t="s">
        <v>555</v>
      </c>
      <c r="W144" t="s">
        <v>774</v>
      </c>
      <c r="X144">
        <v>23.11</v>
      </c>
      <c r="Y144">
        <v>6.45</v>
      </c>
      <c r="Z144" s="243">
        <v>511806</v>
      </c>
      <c r="AA144">
        <v>1258000</v>
      </c>
      <c r="AB144">
        <v>40.68</v>
      </c>
      <c r="AC144" t="s">
        <v>546</v>
      </c>
      <c r="AD144" t="s">
        <v>697</v>
      </c>
      <c r="AE144">
        <v>12.04</v>
      </c>
      <c r="AF144">
        <v>4.9000000000000004</v>
      </c>
      <c r="AG144" s="243">
        <v>56636</v>
      </c>
      <c r="AH144">
        <v>0</v>
      </c>
      <c r="AI144" t="s">
        <v>520</v>
      </c>
      <c r="AJ144" t="s">
        <v>532</v>
      </c>
      <c r="AK144" t="s">
        <v>669</v>
      </c>
      <c r="AL144">
        <v>27.23</v>
      </c>
      <c r="AM144" t="s">
        <v>520</v>
      </c>
      <c r="AN144" s="243">
        <v>944153.78</v>
      </c>
      <c r="AO144">
        <v>620000</v>
      </c>
      <c r="AP144">
        <v>152.28</v>
      </c>
      <c r="AQ144" t="s">
        <v>546</v>
      </c>
      <c r="AR144" t="s">
        <v>831</v>
      </c>
      <c r="AS144">
        <v>13.7</v>
      </c>
      <c r="AT144">
        <v>20.87</v>
      </c>
      <c r="AU144" s="243">
        <v>48288857.619999997</v>
      </c>
      <c r="AV144">
        <v>35310000</v>
      </c>
      <c r="AW144">
        <v>136.76</v>
      </c>
      <c r="AX144" t="s">
        <v>538</v>
      </c>
      <c r="AY144" t="s">
        <v>841</v>
      </c>
      <c r="AZ144">
        <v>25.26</v>
      </c>
      <c r="BA144">
        <v>34.54</v>
      </c>
      <c r="BB144" s="243">
        <v>4663822.84</v>
      </c>
      <c r="BC144">
        <v>0</v>
      </c>
      <c r="BD144" t="s">
        <v>520</v>
      </c>
      <c r="BE144" t="s">
        <v>532</v>
      </c>
      <c r="BF144" t="s">
        <v>669</v>
      </c>
      <c r="BG144">
        <v>24.86</v>
      </c>
      <c r="BH144" t="s">
        <v>520</v>
      </c>
    </row>
    <row r="145" spans="1:60">
      <c r="A145">
        <v>601</v>
      </c>
      <c r="B145" t="s">
        <v>195</v>
      </c>
      <c r="C145" t="s">
        <v>525</v>
      </c>
      <c r="D145" t="s">
        <v>33</v>
      </c>
      <c r="E145" s="243">
        <v>17571905.379999999</v>
      </c>
      <c r="F145">
        <v>11030000</v>
      </c>
      <c r="G145">
        <v>159.31</v>
      </c>
      <c r="H145" t="s">
        <v>530</v>
      </c>
      <c r="I145" t="s">
        <v>852</v>
      </c>
      <c r="J145">
        <v>17.75</v>
      </c>
      <c r="K145">
        <v>28.28</v>
      </c>
      <c r="L145" s="243">
        <v>20741004</v>
      </c>
      <c r="M145">
        <v>19130000</v>
      </c>
      <c r="N145">
        <v>108.42</v>
      </c>
      <c r="O145" t="s">
        <v>547</v>
      </c>
      <c r="P145" t="s">
        <v>793</v>
      </c>
      <c r="Q145">
        <v>31.52</v>
      </c>
      <c r="R145">
        <v>34.17</v>
      </c>
      <c r="S145" s="243">
        <v>1001246</v>
      </c>
      <c r="T145">
        <v>2290000</v>
      </c>
      <c r="U145">
        <v>43.72</v>
      </c>
      <c r="V145" t="s">
        <v>558</v>
      </c>
      <c r="W145" t="s">
        <v>885</v>
      </c>
      <c r="X145">
        <v>57.12</v>
      </c>
      <c r="Y145">
        <v>24.98</v>
      </c>
      <c r="Z145" s="243">
        <v>795420</v>
      </c>
      <c r="AA145">
        <v>1700000</v>
      </c>
      <c r="AB145">
        <v>46.79</v>
      </c>
      <c r="AC145" t="s">
        <v>539</v>
      </c>
      <c r="AD145" t="s">
        <v>810</v>
      </c>
      <c r="AE145">
        <v>1.78</v>
      </c>
      <c r="AF145">
        <v>0.83</v>
      </c>
      <c r="AG145" s="243">
        <v>118542</v>
      </c>
      <c r="AH145">
        <v>0</v>
      </c>
      <c r="AI145" t="s">
        <v>520</v>
      </c>
      <c r="AJ145" t="s">
        <v>532</v>
      </c>
      <c r="AK145" t="s">
        <v>669</v>
      </c>
      <c r="AL145">
        <v>4.8499999999999996</v>
      </c>
      <c r="AM145" t="s">
        <v>520</v>
      </c>
      <c r="AN145" s="243">
        <v>305764.73</v>
      </c>
      <c r="AO145">
        <v>610000</v>
      </c>
      <c r="AP145">
        <v>50.13</v>
      </c>
      <c r="AQ145" t="s">
        <v>534</v>
      </c>
      <c r="AR145" t="s">
        <v>867</v>
      </c>
      <c r="AS145">
        <v>98.11</v>
      </c>
      <c r="AT145">
        <v>49.18</v>
      </c>
      <c r="AU145" s="243">
        <v>40533882.109999999</v>
      </c>
      <c r="AV145">
        <v>34760000</v>
      </c>
      <c r="AW145">
        <v>116.61</v>
      </c>
      <c r="AX145" t="s">
        <v>543</v>
      </c>
      <c r="AY145" t="s">
        <v>799</v>
      </c>
      <c r="AZ145">
        <v>26.02</v>
      </c>
      <c r="BA145">
        <v>30.35</v>
      </c>
      <c r="BB145" s="243">
        <v>4895724.38</v>
      </c>
      <c r="BC145">
        <v>0</v>
      </c>
      <c r="BD145" t="s">
        <v>520</v>
      </c>
      <c r="BE145" t="s">
        <v>532</v>
      </c>
      <c r="BF145" t="s">
        <v>669</v>
      </c>
      <c r="BG145">
        <v>18.68</v>
      </c>
      <c r="BH145" t="s">
        <v>520</v>
      </c>
    </row>
    <row r="146" spans="1:60">
      <c r="A146">
        <v>602</v>
      </c>
      <c r="B146" t="s">
        <v>47</v>
      </c>
      <c r="C146" t="s">
        <v>527</v>
      </c>
      <c r="D146" t="s">
        <v>33</v>
      </c>
      <c r="E146" s="243">
        <v>7463766.9100000001</v>
      </c>
      <c r="F146">
        <v>7040000</v>
      </c>
      <c r="G146">
        <v>106.02</v>
      </c>
      <c r="H146" t="s">
        <v>545</v>
      </c>
      <c r="I146" t="s">
        <v>860</v>
      </c>
      <c r="J146">
        <v>13.6</v>
      </c>
      <c r="K146">
        <v>14.42</v>
      </c>
      <c r="L146" s="243">
        <v>19991652</v>
      </c>
      <c r="M146">
        <v>12210000</v>
      </c>
      <c r="N146">
        <v>163.72999999999999</v>
      </c>
      <c r="O146" t="s">
        <v>553</v>
      </c>
      <c r="P146" t="s">
        <v>717</v>
      </c>
      <c r="Q146">
        <v>69.05</v>
      </c>
      <c r="R146">
        <v>113.06</v>
      </c>
      <c r="S146" s="243">
        <v>119307</v>
      </c>
      <c r="T146">
        <v>1709000</v>
      </c>
      <c r="U146">
        <v>6.98</v>
      </c>
      <c r="V146" t="s">
        <v>554</v>
      </c>
      <c r="W146" t="s">
        <v>752</v>
      </c>
      <c r="X146">
        <v>7.9</v>
      </c>
      <c r="Y146">
        <v>0.55000000000000004</v>
      </c>
      <c r="Z146" s="243">
        <v>51410</v>
      </c>
      <c r="AA146">
        <v>831000</v>
      </c>
      <c r="AB146">
        <v>6.19</v>
      </c>
      <c r="AC146" t="s">
        <v>557</v>
      </c>
      <c r="AD146" t="s">
        <v>792</v>
      </c>
      <c r="AE146">
        <v>11.23</v>
      </c>
      <c r="AF146">
        <v>0.69</v>
      </c>
      <c r="AG146" s="243">
        <v>16949</v>
      </c>
      <c r="AH146">
        <v>0</v>
      </c>
      <c r="AI146" t="s">
        <v>520</v>
      </c>
      <c r="AJ146" t="s">
        <v>532</v>
      </c>
      <c r="AK146" t="s">
        <v>669</v>
      </c>
      <c r="AL146">
        <v>24.97</v>
      </c>
      <c r="AM146" t="s">
        <v>520</v>
      </c>
      <c r="AN146" s="243">
        <v>500468.47999999998</v>
      </c>
      <c r="AO146">
        <v>390000</v>
      </c>
      <c r="AP146">
        <v>128.33000000000001</v>
      </c>
      <c r="AQ146" t="s">
        <v>547</v>
      </c>
      <c r="AR146" t="s">
        <v>687</v>
      </c>
      <c r="AS146">
        <v>2.2000000000000002</v>
      </c>
      <c r="AT146">
        <v>2.82</v>
      </c>
      <c r="AU146" s="243">
        <v>28143553.390000001</v>
      </c>
      <c r="AV146">
        <v>22180000</v>
      </c>
      <c r="AW146">
        <v>126.89</v>
      </c>
      <c r="AX146" t="s">
        <v>550</v>
      </c>
      <c r="AY146" t="s">
        <v>796</v>
      </c>
      <c r="AZ146">
        <v>52.77</v>
      </c>
      <c r="BA146">
        <v>66.95</v>
      </c>
      <c r="BB146" s="243">
        <v>2931679.91</v>
      </c>
      <c r="BC146">
        <v>0</v>
      </c>
      <c r="BD146" t="s">
        <v>520</v>
      </c>
      <c r="BE146" t="s">
        <v>532</v>
      </c>
      <c r="BF146" t="s">
        <v>669</v>
      </c>
      <c r="BG146">
        <v>10.85</v>
      </c>
      <c r="BH146" t="s">
        <v>520</v>
      </c>
    </row>
    <row r="147" spans="1:60">
      <c r="A147">
        <v>620</v>
      </c>
      <c r="B147" t="s">
        <v>106</v>
      </c>
      <c r="C147" t="s">
        <v>521</v>
      </c>
      <c r="D147" t="s">
        <v>48</v>
      </c>
      <c r="E147" s="243">
        <v>13478259.74</v>
      </c>
      <c r="F147">
        <v>10330000</v>
      </c>
      <c r="G147">
        <v>130.47999999999999</v>
      </c>
      <c r="H147" t="s">
        <v>564</v>
      </c>
      <c r="I147" t="s">
        <v>715</v>
      </c>
      <c r="J147">
        <v>16.95</v>
      </c>
      <c r="K147">
        <v>22.12</v>
      </c>
      <c r="L147" s="243">
        <v>20704838</v>
      </c>
      <c r="M147">
        <v>17920000</v>
      </c>
      <c r="N147">
        <v>115.54</v>
      </c>
      <c r="O147" t="s">
        <v>562</v>
      </c>
      <c r="P147" t="s">
        <v>881</v>
      </c>
      <c r="Q147">
        <v>52.3</v>
      </c>
      <c r="R147">
        <v>60.42</v>
      </c>
      <c r="S147" s="243">
        <v>5000236</v>
      </c>
      <c r="T147">
        <v>2482000</v>
      </c>
      <c r="U147">
        <v>201.46</v>
      </c>
      <c r="V147" t="s">
        <v>559</v>
      </c>
      <c r="W147" t="s">
        <v>813</v>
      </c>
      <c r="X147">
        <v>52.2</v>
      </c>
      <c r="Y147">
        <v>105.16</v>
      </c>
      <c r="Z147" s="243">
        <v>270453</v>
      </c>
      <c r="AA147">
        <v>1258000</v>
      </c>
      <c r="AB147">
        <v>21.5</v>
      </c>
      <c r="AC147" t="s">
        <v>565</v>
      </c>
      <c r="AD147" t="s">
        <v>878</v>
      </c>
      <c r="AE147">
        <v>0.11</v>
      </c>
      <c r="AF147">
        <v>0.02</v>
      </c>
      <c r="AG147" s="243">
        <v>31307</v>
      </c>
      <c r="AH147">
        <v>0</v>
      </c>
      <c r="AI147" t="s">
        <v>520</v>
      </c>
      <c r="AJ147" t="s">
        <v>563</v>
      </c>
      <c r="AK147" t="s">
        <v>669</v>
      </c>
      <c r="AL147">
        <v>8.8699999999999992</v>
      </c>
      <c r="AM147" t="s">
        <v>520</v>
      </c>
      <c r="AN147" s="243">
        <v>37806.15</v>
      </c>
      <c r="AO147">
        <v>570000</v>
      </c>
      <c r="AP147">
        <v>6.63</v>
      </c>
      <c r="AQ147" t="s">
        <v>583</v>
      </c>
      <c r="AR147" t="s">
        <v>775</v>
      </c>
      <c r="AS147">
        <v>104.67</v>
      </c>
      <c r="AT147">
        <v>6.94</v>
      </c>
      <c r="AU147" s="243">
        <v>39522899.890000001</v>
      </c>
      <c r="AV147">
        <v>32560000</v>
      </c>
      <c r="AW147">
        <v>121.38</v>
      </c>
      <c r="AX147" t="s">
        <v>569</v>
      </c>
      <c r="AY147" t="s">
        <v>828</v>
      </c>
      <c r="AZ147">
        <v>39.89</v>
      </c>
      <c r="BA147">
        <v>48.42</v>
      </c>
      <c r="BB147" s="243">
        <v>4959559.74</v>
      </c>
      <c r="BC147">
        <v>0</v>
      </c>
      <c r="BD147" t="s">
        <v>520</v>
      </c>
      <c r="BE147" t="s">
        <v>563</v>
      </c>
      <c r="BF147" t="s">
        <v>669</v>
      </c>
      <c r="BG147">
        <v>7.29</v>
      </c>
      <c r="BH147" t="s">
        <v>520</v>
      </c>
    </row>
    <row r="148" spans="1:60">
      <c r="A148">
        <v>621</v>
      </c>
      <c r="B148" t="s">
        <v>49</v>
      </c>
      <c r="C148" t="s">
        <v>525</v>
      </c>
      <c r="D148" t="s">
        <v>48</v>
      </c>
      <c r="E148" s="243">
        <v>17580616.350000001</v>
      </c>
      <c r="F148">
        <v>15000000</v>
      </c>
      <c r="G148">
        <v>117.2</v>
      </c>
      <c r="H148" t="s">
        <v>570</v>
      </c>
      <c r="I148" t="s">
        <v>700</v>
      </c>
      <c r="J148">
        <v>12.03</v>
      </c>
      <c r="K148">
        <v>14.1</v>
      </c>
      <c r="L148" s="243">
        <v>28789902</v>
      </c>
      <c r="M148">
        <v>26020000</v>
      </c>
      <c r="N148">
        <v>110.65</v>
      </c>
      <c r="O148" t="s">
        <v>577</v>
      </c>
      <c r="P148" t="s">
        <v>837</v>
      </c>
      <c r="Q148">
        <v>35.409999999999997</v>
      </c>
      <c r="R148">
        <v>39.18</v>
      </c>
      <c r="S148" s="243">
        <v>1515606</v>
      </c>
      <c r="T148">
        <v>4317000</v>
      </c>
      <c r="U148">
        <v>35.11</v>
      </c>
      <c r="V148" t="s">
        <v>585</v>
      </c>
      <c r="W148" t="s">
        <v>726</v>
      </c>
      <c r="X148">
        <v>51.49</v>
      </c>
      <c r="Y148">
        <v>18.079999999999998</v>
      </c>
      <c r="Z148" s="243">
        <v>223356</v>
      </c>
      <c r="AA148">
        <v>1103000</v>
      </c>
      <c r="AB148">
        <v>20.25</v>
      </c>
      <c r="AC148" t="s">
        <v>570</v>
      </c>
      <c r="AD148" t="s">
        <v>818</v>
      </c>
      <c r="AE148">
        <v>1.76</v>
      </c>
      <c r="AF148">
        <v>0.36</v>
      </c>
      <c r="AG148" s="243">
        <v>40166</v>
      </c>
      <c r="AH148">
        <v>0</v>
      </c>
      <c r="AI148" t="s">
        <v>520</v>
      </c>
      <c r="AJ148" t="s">
        <v>563</v>
      </c>
      <c r="AK148" t="s">
        <v>669</v>
      </c>
      <c r="AL148">
        <v>1.28</v>
      </c>
      <c r="AM148" t="s">
        <v>520</v>
      </c>
      <c r="AN148" s="243">
        <v>277680.23</v>
      </c>
      <c r="AO148">
        <v>830000</v>
      </c>
      <c r="AP148">
        <v>33.46</v>
      </c>
      <c r="AQ148" t="s">
        <v>569</v>
      </c>
      <c r="AR148" t="s">
        <v>719</v>
      </c>
      <c r="AS148">
        <v>35.21</v>
      </c>
      <c r="AT148">
        <v>11.78</v>
      </c>
      <c r="AU148" s="243">
        <v>48427326.579999998</v>
      </c>
      <c r="AV148">
        <v>47270000</v>
      </c>
      <c r="AW148">
        <v>102.45</v>
      </c>
      <c r="AX148" t="s">
        <v>595</v>
      </c>
      <c r="AY148" t="s">
        <v>818</v>
      </c>
      <c r="AZ148">
        <v>27.24</v>
      </c>
      <c r="BA148">
        <v>27.91</v>
      </c>
      <c r="BB148" s="243">
        <v>6404838.3499999996</v>
      </c>
      <c r="BC148">
        <v>0</v>
      </c>
      <c r="BD148" t="s">
        <v>520</v>
      </c>
      <c r="BE148" t="s">
        <v>563</v>
      </c>
      <c r="BF148" t="s">
        <v>669</v>
      </c>
      <c r="BG148">
        <v>7.02</v>
      </c>
      <c r="BH148" t="s">
        <v>520</v>
      </c>
    </row>
    <row r="149" spans="1:60">
      <c r="A149">
        <v>622</v>
      </c>
      <c r="B149" t="s">
        <v>107</v>
      </c>
      <c r="C149" t="s">
        <v>523</v>
      </c>
      <c r="D149" t="s">
        <v>48</v>
      </c>
      <c r="E149" s="243">
        <v>17542462.800000001</v>
      </c>
      <c r="F149">
        <v>12520000</v>
      </c>
      <c r="G149">
        <v>140.12</v>
      </c>
      <c r="H149" t="s">
        <v>567</v>
      </c>
      <c r="I149" t="s">
        <v>882</v>
      </c>
      <c r="J149">
        <v>4.9800000000000004</v>
      </c>
      <c r="K149">
        <v>6.98</v>
      </c>
      <c r="L149" s="243">
        <v>34029719</v>
      </c>
      <c r="M149">
        <v>21710000</v>
      </c>
      <c r="N149">
        <v>156.75</v>
      </c>
      <c r="O149" t="s">
        <v>574</v>
      </c>
      <c r="P149" t="s">
        <v>813</v>
      </c>
      <c r="Q149">
        <v>4.8</v>
      </c>
      <c r="R149">
        <v>7.52</v>
      </c>
      <c r="S149" s="243">
        <v>1117511</v>
      </c>
      <c r="T149">
        <v>3033000</v>
      </c>
      <c r="U149">
        <v>36.85</v>
      </c>
      <c r="V149" t="s">
        <v>588</v>
      </c>
      <c r="W149" t="s">
        <v>859</v>
      </c>
      <c r="X149">
        <v>12.34</v>
      </c>
      <c r="Y149">
        <v>4.55</v>
      </c>
      <c r="Z149" s="243">
        <v>190409</v>
      </c>
      <c r="AA149">
        <v>1497000</v>
      </c>
      <c r="AB149">
        <v>12.72</v>
      </c>
      <c r="AC149" t="s">
        <v>583</v>
      </c>
      <c r="AD149" t="s">
        <v>807</v>
      </c>
      <c r="AE149">
        <v>0.18</v>
      </c>
      <c r="AF149">
        <v>0.02</v>
      </c>
      <c r="AG149" s="243">
        <v>35273</v>
      </c>
      <c r="AH149">
        <v>0</v>
      </c>
      <c r="AI149" t="s">
        <v>520</v>
      </c>
      <c r="AJ149" t="s">
        <v>563</v>
      </c>
      <c r="AK149" t="s">
        <v>669</v>
      </c>
      <c r="AL149">
        <v>9.2799999999999994</v>
      </c>
      <c r="AM149" t="s">
        <v>520</v>
      </c>
      <c r="AN149" s="243">
        <v>45604.93</v>
      </c>
      <c r="AO149">
        <v>690000</v>
      </c>
      <c r="AP149">
        <v>6.61</v>
      </c>
      <c r="AQ149" t="s">
        <v>592</v>
      </c>
      <c r="AR149" t="s">
        <v>779</v>
      </c>
      <c r="AS149">
        <v>100</v>
      </c>
      <c r="AT149">
        <v>6.61</v>
      </c>
      <c r="AU149" s="243">
        <v>52960979.729999997</v>
      </c>
      <c r="AV149">
        <v>39450000</v>
      </c>
      <c r="AW149">
        <v>134.25</v>
      </c>
      <c r="AX149" t="s">
        <v>589</v>
      </c>
      <c r="AY149" t="s">
        <v>753</v>
      </c>
      <c r="AZ149">
        <v>5.08</v>
      </c>
      <c r="BA149">
        <v>6.82</v>
      </c>
      <c r="BB149" s="243">
        <v>4310575.8</v>
      </c>
      <c r="BC149">
        <v>0</v>
      </c>
      <c r="BD149" t="s">
        <v>520</v>
      </c>
      <c r="BE149" t="s">
        <v>563</v>
      </c>
      <c r="BF149" t="s">
        <v>669</v>
      </c>
      <c r="BG149">
        <v>7.31</v>
      </c>
      <c r="BH149" t="s">
        <v>520</v>
      </c>
    </row>
    <row r="150" spans="1:60">
      <c r="A150">
        <v>640</v>
      </c>
      <c r="B150" t="s">
        <v>50</v>
      </c>
      <c r="C150" t="s">
        <v>519</v>
      </c>
      <c r="D150" t="s">
        <v>48</v>
      </c>
      <c r="E150" s="243">
        <v>21956332.690000001</v>
      </c>
      <c r="F150">
        <v>16650000</v>
      </c>
      <c r="G150">
        <v>131.87</v>
      </c>
      <c r="H150" t="s">
        <v>593</v>
      </c>
      <c r="I150" t="s">
        <v>793</v>
      </c>
      <c r="J150">
        <v>10.86</v>
      </c>
      <c r="K150">
        <v>14.32</v>
      </c>
      <c r="L150" s="243">
        <v>40684915</v>
      </c>
      <c r="M150">
        <v>28880000</v>
      </c>
      <c r="N150">
        <v>140.88</v>
      </c>
      <c r="O150" t="s">
        <v>564</v>
      </c>
      <c r="P150" t="s">
        <v>852</v>
      </c>
      <c r="Q150">
        <v>32.78</v>
      </c>
      <c r="R150">
        <v>46.18</v>
      </c>
      <c r="S150" s="243">
        <v>5580853</v>
      </c>
      <c r="T150">
        <v>4320000</v>
      </c>
      <c r="U150">
        <v>129.19</v>
      </c>
      <c r="V150" t="s">
        <v>573</v>
      </c>
      <c r="W150" t="s">
        <v>876</v>
      </c>
      <c r="X150">
        <v>19.98</v>
      </c>
      <c r="Y150">
        <v>25.81</v>
      </c>
      <c r="Z150" s="243">
        <v>1038164</v>
      </c>
      <c r="AA150">
        <v>1700000</v>
      </c>
      <c r="AB150">
        <v>61.07</v>
      </c>
      <c r="AC150" t="s">
        <v>561</v>
      </c>
      <c r="AD150" t="s">
        <v>661</v>
      </c>
      <c r="AE150">
        <v>0.47</v>
      </c>
      <c r="AF150">
        <v>0.28000000000000003</v>
      </c>
      <c r="AG150" s="243">
        <v>225148</v>
      </c>
      <c r="AH150">
        <v>0</v>
      </c>
      <c r="AI150" t="s">
        <v>520</v>
      </c>
      <c r="AJ150" t="s">
        <v>563</v>
      </c>
      <c r="AK150" t="s">
        <v>669</v>
      </c>
      <c r="AL150">
        <v>2.39</v>
      </c>
      <c r="AM150" t="s">
        <v>520</v>
      </c>
      <c r="AN150" s="243">
        <v>2700954.54</v>
      </c>
      <c r="AO150">
        <v>920000</v>
      </c>
      <c r="AP150">
        <v>293.58</v>
      </c>
      <c r="AQ150" t="s">
        <v>559</v>
      </c>
      <c r="AR150" t="s">
        <v>753</v>
      </c>
      <c r="AS150">
        <v>16.86</v>
      </c>
      <c r="AT150">
        <v>49.51</v>
      </c>
      <c r="AU150" s="243">
        <v>72186367.230000004</v>
      </c>
      <c r="AV150">
        <v>52470000</v>
      </c>
      <c r="AW150">
        <v>137.58000000000001</v>
      </c>
      <c r="AX150" t="s">
        <v>561</v>
      </c>
      <c r="AY150" t="s">
        <v>832</v>
      </c>
      <c r="AZ150">
        <v>23.97</v>
      </c>
      <c r="BA150">
        <v>32.97</v>
      </c>
      <c r="BB150" s="243">
        <v>6903631.6900000004</v>
      </c>
      <c r="BC150">
        <v>0</v>
      </c>
      <c r="BD150" t="s">
        <v>520</v>
      </c>
      <c r="BE150" t="s">
        <v>563</v>
      </c>
      <c r="BF150" t="s">
        <v>669</v>
      </c>
      <c r="BG150">
        <v>12.74</v>
      </c>
      <c r="BH150" t="s">
        <v>520</v>
      </c>
    </row>
    <row r="151" spans="1:60">
      <c r="A151">
        <v>642</v>
      </c>
      <c r="B151" t="s">
        <v>196</v>
      </c>
      <c r="C151" t="s">
        <v>521</v>
      </c>
      <c r="D151" t="s">
        <v>48</v>
      </c>
      <c r="E151" s="243">
        <v>14380128.439999999</v>
      </c>
      <c r="F151">
        <v>15630000</v>
      </c>
      <c r="G151">
        <v>92</v>
      </c>
      <c r="H151" t="s">
        <v>583</v>
      </c>
      <c r="I151" t="s">
        <v>786</v>
      </c>
      <c r="J151">
        <v>15.27</v>
      </c>
      <c r="K151">
        <v>14.05</v>
      </c>
      <c r="L151" s="243">
        <v>51706060</v>
      </c>
      <c r="M151">
        <v>27100000</v>
      </c>
      <c r="N151">
        <v>190.8</v>
      </c>
      <c r="O151" t="s">
        <v>559</v>
      </c>
      <c r="P151" t="s">
        <v>883</v>
      </c>
      <c r="Q151">
        <v>60.21</v>
      </c>
      <c r="R151">
        <v>114.88</v>
      </c>
      <c r="S151" s="243">
        <v>2004266</v>
      </c>
      <c r="T151">
        <v>4186000</v>
      </c>
      <c r="U151">
        <v>47.88</v>
      </c>
      <c r="V151" t="s">
        <v>582</v>
      </c>
      <c r="W151" t="s">
        <v>843</v>
      </c>
      <c r="X151">
        <v>10.28</v>
      </c>
      <c r="Y151">
        <v>4.92</v>
      </c>
      <c r="Z151" s="243">
        <v>339724</v>
      </c>
      <c r="AA151">
        <v>1454000</v>
      </c>
      <c r="AB151">
        <v>23.36</v>
      </c>
      <c r="AC151" t="s">
        <v>569</v>
      </c>
      <c r="AD151" t="s">
        <v>867</v>
      </c>
      <c r="AE151">
        <v>1.22</v>
      </c>
      <c r="AF151">
        <v>0.28999999999999998</v>
      </c>
      <c r="AG151" s="243">
        <v>59401</v>
      </c>
      <c r="AH151">
        <v>0</v>
      </c>
      <c r="AI151" t="s">
        <v>520</v>
      </c>
      <c r="AJ151" t="s">
        <v>563</v>
      </c>
      <c r="AK151" t="s">
        <v>669</v>
      </c>
      <c r="AL151">
        <v>6</v>
      </c>
      <c r="AM151" t="s">
        <v>520</v>
      </c>
      <c r="AN151" s="243">
        <v>200764.16</v>
      </c>
      <c r="AO151">
        <v>870000</v>
      </c>
      <c r="AP151">
        <v>23.08</v>
      </c>
      <c r="AQ151" t="s">
        <v>572</v>
      </c>
      <c r="AR151" t="s">
        <v>789</v>
      </c>
      <c r="AS151">
        <v>0</v>
      </c>
      <c r="AT151">
        <v>0</v>
      </c>
      <c r="AU151" s="243">
        <v>68690343.599999994</v>
      </c>
      <c r="AV151">
        <v>49240000</v>
      </c>
      <c r="AW151">
        <v>139.5</v>
      </c>
      <c r="AX151" t="s">
        <v>574</v>
      </c>
      <c r="AY151" t="s">
        <v>887</v>
      </c>
      <c r="AZ151">
        <v>48.83</v>
      </c>
      <c r="BA151">
        <v>68.12</v>
      </c>
      <c r="BB151" s="243">
        <v>6231269.4400000004</v>
      </c>
      <c r="BC151">
        <v>0</v>
      </c>
      <c r="BD151" t="s">
        <v>520</v>
      </c>
      <c r="BE151" t="s">
        <v>563</v>
      </c>
      <c r="BF151" t="s">
        <v>669</v>
      </c>
      <c r="BG151">
        <v>10.050000000000001</v>
      </c>
      <c r="BH151" t="s">
        <v>520</v>
      </c>
    </row>
    <row r="152" spans="1:60">
      <c r="A152">
        <v>643</v>
      </c>
      <c r="B152" t="s">
        <v>197</v>
      </c>
      <c r="C152" t="s">
        <v>525</v>
      </c>
      <c r="D152" t="s">
        <v>48</v>
      </c>
      <c r="E152" s="243">
        <v>6363867.6100000003</v>
      </c>
      <c r="F152">
        <v>7950000</v>
      </c>
      <c r="G152">
        <v>80.05</v>
      </c>
      <c r="H152" t="s">
        <v>571</v>
      </c>
      <c r="I152" t="s">
        <v>775</v>
      </c>
      <c r="J152">
        <v>18.690000000000001</v>
      </c>
      <c r="K152">
        <v>14.96</v>
      </c>
      <c r="L152" s="243">
        <v>11698332</v>
      </c>
      <c r="M152">
        <v>13790000</v>
      </c>
      <c r="N152">
        <v>84.83</v>
      </c>
      <c r="O152" t="s">
        <v>588</v>
      </c>
      <c r="P152" t="s">
        <v>770</v>
      </c>
      <c r="Q152">
        <v>57.58</v>
      </c>
      <c r="R152">
        <v>48.85</v>
      </c>
      <c r="S152" s="243">
        <v>890619</v>
      </c>
      <c r="T152">
        <v>1574000</v>
      </c>
      <c r="U152">
        <v>56.58</v>
      </c>
      <c r="V152" t="s">
        <v>577</v>
      </c>
      <c r="W152" t="s">
        <v>744</v>
      </c>
      <c r="X152">
        <v>29.94</v>
      </c>
      <c r="Y152">
        <v>16.940000000000001</v>
      </c>
      <c r="Z152" s="243">
        <v>294932</v>
      </c>
      <c r="AA152">
        <v>1296000</v>
      </c>
      <c r="AB152">
        <v>22.76</v>
      </c>
      <c r="AC152" t="s">
        <v>572</v>
      </c>
      <c r="AD152" t="s">
        <v>829</v>
      </c>
      <c r="AE152">
        <v>0.46</v>
      </c>
      <c r="AF152">
        <v>0.1</v>
      </c>
      <c r="AG152" s="243">
        <v>35884</v>
      </c>
      <c r="AH152">
        <v>0</v>
      </c>
      <c r="AI152" t="s">
        <v>520</v>
      </c>
      <c r="AJ152" t="s">
        <v>563</v>
      </c>
      <c r="AK152" t="s">
        <v>669</v>
      </c>
      <c r="AL152">
        <v>13.91</v>
      </c>
      <c r="AM152" t="s">
        <v>520</v>
      </c>
      <c r="AN152" s="243">
        <v>776330.08</v>
      </c>
      <c r="AO152">
        <v>440000</v>
      </c>
      <c r="AP152">
        <v>176.44</v>
      </c>
      <c r="AQ152" t="s">
        <v>580</v>
      </c>
      <c r="AR152" t="s">
        <v>876</v>
      </c>
      <c r="AS152">
        <v>55.55</v>
      </c>
      <c r="AT152">
        <v>98.01</v>
      </c>
      <c r="AU152" s="243">
        <v>20059964.690000001</v>
      </c>
      <c r="AV152">
        <v>25050000</v>
      </c>
      <c r="AW152">
        <v>80.08</v>
      </c>
      <c r="AX152" t="s">
        <v>586</v>
      </c>
      <c r="AY152" t="s">
        <v>710</v>
      </c>
      <c r="AZ152">
        <v>43.02</v>
      </c>
      <c r="BA152">
        <v>34.450000000000003</v>
      </c>
      <c r="BB152" s="243">
        <v>2766691.61</v>
      </c>
      <c r="BC152">
        <v>0</v>
      </c>
      <c r="BD152" t="s">
        <v>520</v>
      </c>
      <c r="BE152" t="s">
        <v>563</v>
      </c>
      <c r="BF152" t="s">
        <v>669</v>
      </c>
      <c r="BG152">
        <v>10.68</v>
      </c>
      <c r="BH152" t="s">
        <v>520</v>
      </c>
    </row>
    <row r="153" spans="1:60">
      <c r="A153">
        <v>644</v>
      </c>
      <c r="B153" t="s">
        <v>51</v>
      </c>
      <c r="C153" t="s">
        <v>523</v>
      </c>
      <c r="D153" t="s">
        <v>48</v>
      </c>
      <c r="E153" s="243">
        <v>13969806.83</v>
      </c>
      <c r="F153">
        <v>11240000</v>
      </c>
      <c r="G153">
        <v>124.29</v>
      </c>
      <c r="H153" t="s">
        <v>566</v>
      </c>
      <c r="I153" t="s">
        <v>844</v>
      </c>
      <c r="J153">
        <v>9.02</v>
      </c>
      <c r="K153">
        <v>11.21</v>
      </c>
      <c r="L153" s="243">
        <v>19031631</v>
      </c>
      <c r="M153">
        <v>19490000</v>
      </c>
      <c r="N153">
        <v>97.65</v>
      </c>
      <c r="O153" t="s">
        <v>582</v>
      </c>
      <c r="P153" t="s">
        <v>891</v>
      </c>
      <c r="Q153">
        <v>54.08</v>
      </c>
      <c r="R153">
        <v>52.81</v>
      </c>
      <c r="S153" s="243">
        <v>769119</v>
      </c>
      <c r="T153">
        <v>2679000</v>
      </c>
      <c r="U153">
        <v>28.71</v>
      </c>
      <c r="V153" t="s">
        <v>586</v>
      </c>
      <c r="W153" t="s">
        <v>779</v>
      </c>
      <c r="X153">
        <v>72.44</v>
      </c>
      <c r="Y153">
        <v>20.8</v>
      </c>
      <c r="Z153" s="243">
        <v>613061</v>
      </c>
      <c r="AA153">
        <v>1381000</v>
      </c>
      <c r="AB153">
        <v>44.39</v>
      </c>
      <c r="AC153" t="s">
        <v>580</v>
      </c>
      <c r="AD153" t="s">
        <v>703</v>
      </c>
      <c r="AE153">
        <v>0.02</v>
      </c>
      <c r="AF153">
        <v>0.01</v>
      </c>
      <c r="AG153" s="243">
        <v>78304</v>
      </c>
      <c r="AH153">
        <v>0</v>
      </c>
      <c r="AI153" t="s">
        <v>520</v>
      </c>
      <c r="AJ153" t="s">
        <v>563</v>
      </c>
      <c r="AK153" t="s">
        <v>669</v>
      </c>
      <c r="AL153">
        <v>9.3800000000000008</v>
      </c>
      <c r="AM153" t="s">
        <v>520</v>
      </c>
      <c r="AN153" s="243">
        <v>1565558.1</v>
      </c>
      <c r="AO153">
        <v>620000</v>
      </c>
      <c r="AP153">
        <v>252.51</v>
      </c>
      <c r="AQ153" t="s">
        <v>574</v>
      </c>
      <c r="AR153" t="s">
        <v>667</v>
      </c>
      <c r="AS153">
        <v>0</v>
      </c>
      <c r="AT153">
        <v>0</v>
      </c>
      <c r="AU153" s="243">
        <v>36027479.93</v>
      </c>
      <c r="AV153">
        <v>35410000</v>
      </c>
      <c r="AW153">
        <v>101.74</v>
      </c>
      <c r="AX153" t="s">
        <v>592</v>
      </c>
      <c r="AY153" t="s">
        <v>862</v>
      </c>
      <c r="AZ153">
        <v>33.630000000000003</v>
      </c>
      <c r="BA153">
        <v>34.22</v>
      </c>
      <c r="BB153" s="243">
        <v>4248775.83</v>
      </c>
      <c r="BC153">
        <v>0</v>
      </c>
      <c r="BD153" t="s">
        <v>520</v>
      </c>
      <c r="BE153" t="s">
        <v>563</v>
      </c>
      <c r="BF153" t="s">
        <v>669</v>
      </c>
      <c r="BG153">
        <v>17.25</v>
      </c>
      <c r="BH153" t="s">
        <v>520</v>
      </c>
    </row>
    <row r="154" spans="1:60">
      <c r="A154">
        <v>645</v>
      </c>
      <c r="B154" t="s">
        <v>198</v>
      </c>
      <c r="C154" t="s">
        <v>522</v>
      </c>
      <c r="D154" t="s">
        <v>48</v>
      </c>
      <c r="E154" s="243">
        <v>18596765.77</v>
      </c>
      <c r="F154">
        <v>12060000</v>
      </c>
      <c r="G154">
        <v>154.19999999999999</v>
      </c>
      <c r="H154" t="s">
        <v>580</v>
      </c>
      <c r="I154" t="s">
        <v>861</v>
      </c>
      <c r="J154">
        <v>23.9</v>
      </c>
      <c r="K154">
        <v>36.86</v>
      </c>
      <c r="L154" s="243">
        <v>23741880</v>
      </c>
      <c r="M154">
        <v>20920000</v>
      </c>
      <c r="N154">
        <v>113.49</v>
      </c>
      <c r="O154" t="s">
        <v>560</v>
      </c>
      <c r="P154" t="s">
        <v>857</v>
      </c>
      <c r="Q154">
        <v>55.73</v>
      </c>
      <c r="R154">
        <v>63.25</v>
      </c>
      <c r="S154" s="243">
        <v>2204073</v>
      </c>
      <c r="T154">
        <v>2447000</v>
      </c>
      <c r="U154">
        <v>90.07</v>
      </c>
      <c r="V154" t="s">
        <v>566</v>
      </c>
      <c r="W154" t="s">
        <v>661</v>
      </c>
      <c r="X154">
        <v>18.149999999999999</v>
      </c>
      <c r="Y154">
        <v>16.350000000000001</v>
      </c>
      <c r="Z154" s="243">
        <v>685415</v>
      </c>
      <c r="AA154">
        <v>1913000</v>
      </c>
      <c r="AB154">
        <v>35.83</v>
      </c>
      <c r="AC154" t="s">
        <v>573</v>
      </c>
      <c r="AD154" t="s">
        <v>713</v>
      </c>
      <c r="AE154">
        <v>10.130000000000001</v>
      </c>
      <c r="AF154">
        <v>3.63</v>
      </c>
      <c r="AG154" s="243">
        <v>74373</v>
      </c>
      <c r="AH154">
        <v>0</v>
      </c>
      <c r="AI154" t="s">
        <v>520</v>
      </c>
      <c r="AJ154" t="s">
        <v>563</v>
      </c>
      <c r="AK154" t="s">
        <v>669</v>
      </c>
      <c r="AL154">
        <v>3.18</v>
      </c>
      <c r="AM154" t="s">
        <v>520</v>
      </c>
      <c r="AN154" s="243">
        <v>206214.26</v>
      </c>
      <c r="AO154">
        <v>670000</v>
      </c>
      <c r="AP154">
        <v>30.78</v>
      </c>
      <c r="AQ154" t="s">
        <v>566</v>
      </c>
      <c r="AR154" t="s">
        <v>746</v>
      </c>
      <c r="AS154">
        <v>87.78</v>
      </c>
      <c r="AT154">
        <v>27.02</v>
      </c>
      <c r="AU154" s="243">
        <v>45508721.030000001</v>
      </c>
      <c r="AV154">
        <v>38010000</v>
      </c>
      <c r="AW154">
        <v>119.73</v>
      </c>
      <c r="AX154" t="s">
        <v>572</v>
      </c>
      <c r="AY154" t="s">
        <v>671</v>
      </c>
      <c r="AZ154">
        <v>40.28</v>
      </c>
      <c r="BA154">
        <v>48.22</v>
      </c>
      <c r="BB154" s="243">
        <v>4465110.7699999996</v>
      </c>
      <c r="BC154">
        <v>0</v>
      </c>
      <c r="BD154" t="s">
        <v>520</v>
      </c>
      <c r="BE154" t="s">
        <v>563</v>
      </c>
      <c r="BF154" t="s">
        <v>669</v>
      </c>
      <c r="BG154">
        <v>13.82</v>
      </c>
      <c r="BH154" t="s">
        <v>520</v>
      </c>
    </row>
    <row r="155" spans="1:60">
      <c r="A155">
        <v>646</v>
      </c>
      <c r="B155" t="s">
        <v>199</v>
      </c>
      <c r="C155" t="s">
        <v>526</v>
      </c>
      <c r="D155" t="s">
        <v>48</v>
      </c>
      <c r="E155" s="243">
        <v>11880855.720000001</v>
      </c>
      <c r="F155">
        <v>8050000</v>
      </c>
      <c r="G155">
        <v>147.59</v>
      </c>
      <c r="H155" t="s">
        <v>576</v>
      </c>
      <c r="I155" t="s">
        <v>694</v>
      </c>
      <c r="J155">
        <v>11.93</v>
      </c>
      <c r="K155">
        <v>17.61</v>
      </c>
      <c r="L155" s="243">
        <v>12857985</v>
      </c>
      <c r="M155">
        <v>13960000</v>
      </c>
      <c r="N155">
        <v>92.11</v>
      </c>
      <c r="O155" t="s">
        <v>594</v>
      </c>
      <c r="P155" t="s">
        <v>867</v>
      </c>
      <c r="Q155">
        <v>45.79</v>
      </c>
      <c r="R155">
        <v>42.18</v>
      </c>
      <c r="S155" s="243">
        <v>506468</v>
      </c>
      <c r="T155">
        <v>1731000</v>
      </c>
      <c r="U155">
        <v>29.26</v>
      </c>
      <c r="V155" t="s">
        <v>590</v>
      </c>
      <c r="W155" t="s">
        <v>710</v>
      </c>
      <c r="X155">
        <v>14.54</v>
      </c>
      <c r="Y155">
        <v>4.25</v>
      </c>
      <c r="Z155" s="243">
        <v>15824</v>
      </c>
      <c r="AA155">
        <v>1169000</v>
      </c>
      <c r="AB155">
        <v>1.35</v>
      </c>
      <c r="AC155" t="s">
        <v>596</v>
      </c>
      <c r="AD155" t="s">
        <v>752</v>
      </c>
      <c r="AE155">
        <v>0.41</v>
      </c>
      <c r="AF155">
        <v>0.01</v>
      </c>
      <c r="AG155" s="243">
        <v>7563</v>
      </c>
      <c r="AH155">
        <v>0</v>
      </c>
      <c r="AI155" t="s">
        <v>520</v>
      </c>
      <c r="AJ155" t="s">
        <v>563</v>
      </c>
      <c r="AK155" t="s">
        <v>669</v>
      </c>
      <c r="AL155">
        <v>64.42</v>
      </c>
      <c r="AM155" t="s">
        <v>520</v>
      </c>
      <c r="AN155" s="243">
        <v>640707.83999999997</v>
      </c>
      <c r="AO155">
        <v>450000</v>
      </c>
      <c r="AP155">
        <v>142.38</v>
      </c>
      <c r="AQ155" t="s">
        <v>576</v>
      </c>
      <c r="AR155" t="s">
        <v>787</v>
      </c>
      <c r="AS155">
        <v>67.48</v>
      </c>
      <c r="AT155">
        <v>96.08</v>
      </c>
      <c r="AU155" s="243">
        <v>25909403.559999999</v>
      </c>
      <c r="AV155">
        <v>25360000</v>
      </c>
      <c r="AW155">
        <v>102.17</v>
      </c>
      <c r="AX155" t="s">
        <v>583</v>
      </c>
      <c r="AY155" t="s">
        <v>770</v>
      </c>
      <c r="AZ155">
        <v>30.17</v>
      </c>
      <c r="BA155">
        <v>30.82</v>
      </c>
      <c r="BB155" s="243">
        <v>2974853.72</v>
      </c>
      <c r="BC155">
        <v>0</v>
      </c>
      <c r="BD155" t="s">
        <v>520</v>
      </c>
      <c r="BE155" t="s">
        <v>563</v>
      </c>
      <c r="BF155" t="s">
        <v>669</v>
      </c>
      <c r="BG155">
        <v>11.73</v>
      </c>
      <c r="BH155" t="s">
        <v>520</v>
      </c>
    </row>
    <row r="156" spans="1:60">
      <c r="A156">
        <v>647</v>
      </c>
      <c r="B156" t="s">
        <v>108</v>
      </c>
      <c r="C156" t="s">
        <v>523</v>
      </c>
      <c r="D156" t="s">
        <v>48</v>
      </c>
      <c r="E156" s="243">
        <v>12991507.68</v>
      </c>
      <c r="F156">
        <v>10570000</v>
      </c>
      <c r="G156">
        <v>122.91</v>
      </c>
      <c r="H156" t="s">
        <v>587</v>
      </c>
      <c r="I156" t="s">
        <v>871</v>
      </c>
      <c r="J156">
        <v>16.350000000000001</v>
      </c>
      <c r="K156">
        <v>20.09</v>
      </c>
      <c r="L156" s="243">
        <v>22725015</v>
      </c>
      <c r="M156">
        <v>18340000</v>
      </c>
      <c r="N156">
        <v>123.91</v>
      </c>
      <c r="O156" t="s">
        <v>565</v>
      </c>
      <c r="P156" t="s">
        <v>854</v>
      </c>
      <c r="Q156">
        <v>23.6</v>
      </c>
      <c r="R156">
        <v>29.24</v>
      </c>
      <c r="S156" s="243">
        <v>1847792</v>
      </c>
      <c r="T156">
        <v>2676000</v>
      </c>
      <c r="U156">
        <v>69.05</v>
      </c>
      <c r="V156" t="s">
        <v>562</v>
      </c>
      <c r="W156" t="s">
        <v>865</v>
      </c>
      <c r="X156">
        <v>59.36</v>
      </c>
      <c r="Y156">
        <v>40.99</v>
      </c>
      <c r="Z156" s="243">
        <v>123427</v>
      </c>
      <c r="AA156">
        <v>1144000</v>
      </c>
      <c r="AB156">
        <v>10.79</v>
      </c>
      <c r="AC156" t="s">
        <v>578</v>
      </c>
      <c r="AD156" t="s">
        <v>748</v>
      </c>
      <c r="AE156">
        <v>0.46</v>
      </c>
      <c r="AF156">
        <v>0.05</v>
      </c>
      <c r="AG156" s="243">
        <v>52822</v>
      </c>
      <c r="AH156">
        <v>0</v>
      </c>
      <c r="AI156" t="s">
        <v>520</v>
      </c>
      <c r="AJ156" t="s">
        <v>563</v>
      </c>
      <c r="AK156" t="s">
        <v>669</v>
      </c>
      <c r="AL156">
        <v>5.13</v>
      </c>
      <c r="AM156" t="s">
        <v>520</v>
      </c>
      <c r="AN156" s="243">
        <v>232362.74</v>
      </c>
      <c r="AO156">
        <v>590000</v>
      </c>
      <c r="AP156">
        <v>39.380000000000003</v>
      </c>
      <c r="AQ156" t="s">
        <v>564</v>
      </c>
      <c r="AR156" t="s">
        <v>862</v>
      </c>
      <c r="AS156">
        <v>16.05</v>
      </c>
      <c r="AT156">
        <v>6.32</v>
      </c>
      <c r="AU156" s="243">
        <v>37972926.420000002</v>
      </c>
      <c r="AV156">
        <v>33320000</v>
      </c>
      <c r="AW156">
        <v>113.96</v>
      </c>
      <c r="AX156" t="s">
        <v>579</v>
      </c>
      <c r="AY156" t="s">
        <v>810</v>
      </c>
      <c r="AZ156">
        <v>22.71</v>
      </c>
      <c r="BA156">
        <v>25.88</v>
      </c>
      <c r="BB156" s="243">
        <v>4498688.68</v>
      </c>
      <c r="BC156">
        <v>0</v>
      </c>
      <c r="BD156" t="s">
        <v>520</v>
      </c>
      <c r="BE156" t="s">
        <v>563</v>
      </c>
      <c r="BF156" t="s">
        <v>669</v>
      </c>
      <c r="BG156">
        <v>7.63</v>
      </c>
      <c r="BH156" t="s">
        <v>520</v>
      </c>
    </row>
    <row r="157" spans="1:60">
      <c r="A157">
        <v>648</v>
      </c>
      <c r="B157" t="s">
        <v>200</v>
      </c>
      <c r="C157" t="s">
        <v>524</v>
      </c>
      <c r="D157" t="s">
        <v>48</v>
      </c>
      <c r="E157" s="243">
        <v>12637571.039999999</v>
      </c>
      <c r="F157">
        <v>7990000</v>
      </c>
      <c r="G157">
        <v>158.16999999999999</v>
      </c>
      <c r="H157" t="s">
        <v>589</v>
      </c>
      <c r="I157" t="s">
        <v>772</v>
      </c>
      <c r="J157">
        <v>22.95</v>
      </c>
      <c r="K157">
        <v>36.299999999999997</v>
      </c>
      <c r="L157" s="243">
        <v>11621636</v>
      </c>
      <c r="M157">
        <v>13850000</v>
      </c>
      <c r="N157">
        <v>83.91</v>
      </c>
      <c r="O157" t="s">
        <v>585</v>
      </c>
      <c r="P157" t="s">
        <v>889</v>
      </c>
      <c r="Q157">
        <v>36.04</v>
      </c>
      <c r="R157">
        <v>30.24</v>
      </c>
      <c r="S157" s="243">
        <v>1210310</v>
      </c>
      <c r="T157">
        <v>1736000</v>
      </c>
      <c r="U157">
        <v>69.72</v>
      </c>
      <c r="V157" t="s">
        <v>591</v>
      </c>
      <c r="W157" t="s">
        <v>891</v>
      </c>
      <c r="X157">
        <v>11.03</v>
      </c>
      <c r="Y157">
        <v>7.69</v>
      </c>
      <c r="Z157" s="243">
        <v>648617</v>
      </c>
      <c r="AA157">
        <v>1144000</v>
      </c>
      <c r="AB157">
        <v>56.7</v>
      </c>
      <c r="AC157" t="s">
        <v>589</v>
      </c>
      <c r="AD157" t="s">
        <v>780</v>
      </c>
      <c r="AE157">
        <v>0.38</v>
      </c>
      <c r="AF157">
        <v>0.21</v>
      </c>
      <c r="AG157" s="243">
        <v>14048</v>
      </c>
      <c r="AH157">
        <v>0</v>
      </c>
      <c r="AI157" t="s">
        <v>520</v>
      </c>
      <c r="AJ157" t="s">
        <v>563</v>
      </c>
      <c r="AK157" t="s">
        <v>669</v>
      </c>
      <c r="AL157">
        <v>14.49</v>
      </c>
      <c r="AM157" t="s">
        <v>520</v>
      </c>
      <c r="AN157" s="243">
        <v>98123.37</v>
      </c>
      <c r="AO157">
        <v>440000</v>
      </c>
      <c r="AP157">
        <v>22.3</v>
      </c>
      <c r="AQ157" t="s">
        <v>570</v>
      </c>
      <c r="AR157" t="s">
        <v>838</v>
      </c>
      <c r="AS157">
        <v>81.709999999999994</v>
      </c>
      <c r="AT157">
        <v>18.22</v>
      </c>
      <c r="AU157" s="243">
        <v>26230305.41</v>
      </c>
      <c r="AV157">
        <v>25160000</v>
      </c>
      <c r="AW157">
        <v>104.25</v>
      </c>
      <c r="AX157" t="s">
        <v>597</v>
      </c>
      <c r="AY157" t="s">
        <v>806</v>
      </c>
      <c r="AZ157">
        <v>27.86</v>
      </c>
      <c r="BA157">
        <v>29.04</v>
      </c>
      <c r="BB157" s="243">
        <v>3196702.04</v>
      </c>
      <c r="BC157">
        <v>0</v>
      </c>
      <c r="BD157" t="s">
        <v>520</v>
      </c>
      <c r="BE157" t="s">
        <v>563</v>
      </c>
      <c r="BF157" t="s">
        <v>669</v>
      </c>
      <c r="BG157">
        <v>14.48</v>
      </c>
      <c r="BH157" t="s">
        <v>520</v>
      </c>
    </row>
    <row r="158" spans="1:60">
      <c r="A158">
        <v>681</v>
      </c>
      <c r="B158" t="s">
        <v>52</v>
      </c>
      <c r="C158" t="s">
        <v>524</v>
      </c>
      <c r="D158" t="s">
        <v>48</v>
      </c>
      <c r="E158" s="243">
        <v>8424098.8200000003</v>
      </c>
      <c r="F158">
        <v>10620000</v>
      </c>
      <c r="G158">
        <v>79.319999999999993</v>
      </c>
      <c r="H158" t="s">
        <v>588</v>
      </c>
      <c r="I158" t="s">
        <v>774</v>
      </c>
      <c r="J158">
        <v>28.75</v>
      </c>
      <c r="K158">
        <v>22.81</v>
      </c>
      <c r="L158" s="243">
        <v>14071458</v>
      </c>
      <c r="M158">
        <v>18420000</v>
      </c>
      <c r="N158">
        <v>76.39</v>
      </c>
      <c r="O158" t="s">
        <v>590</v>
      </c>
      <c r="P158" t="s">
        <v>766</v>
      </c>
      <c r="Q158">
        <v>44.39</v>
      </c>
      <c r="R158">
        <v>33.909999999999997</v>
      </c>
      <c r="S158" s="243">
        <v>2309501</v>
      </c>
      <c r="T158">
        <v>2854000</v>
      </c>
      <c r="U158">
        <v>80.92</v>
      </c>
      <c r="V158" t="s">
        <v>565</v>
      </c>
      <c r="W158" t="s">
        <v>738</v>
      </c>
      <c r="X158">
        <v>50.21</v>
      </c>
      <c r="Y158">
        <v>40.630000000000003</v>
      </c>
      <c r="Z158" s="243">
        <v>1189646</v>
      </c>
      <c r="AA158">
        <v>986000</v>
      </c>
      <c r="AB158">
        <v>120.65</v>
      </c>
      <c r="AC158" t="s">
        <v>575</v>
      </c>
      <c r="AD158" t="s">
        <v>732</v>
      </c>
      <c r="AE158">
        <v>0.13</v>
      </c>
      <c r="AF158">
        <v>0.15</v>
      </c>
      <c r="AG158" s="243">
        <v>25379</v>
      </c>
      <c r="AH158">
        <v>0</v>
      </c>
      <c r="AI158" t="s">
        <v>520</v>
      </c>
      <c r="AJ158" t="s">
        <v>563</v>
      </c>
      <c r="AK158" t="s">
        <v>669</v>
      </c>
      <c r="AL158">
        <v>10.039999999999999</v>
      </c>
      <c r="AM158" t="s">
        <v>520</v>
      </c>
      <c r="AN158" s="243">
        <v>173605.33</v>
      </c>
      <c r="AO158">
        <v>590000</v>
      </c>
      <c r="AP158">
        <v>29.42</v>
      </c>
      <c r="AQ158" t="s">
        <v>587</v>
      </c>
      <c r="AR158" t="s">
        <v>766</v>
      </c>
      <c r="AS158">
        <v>5.86</v>
      </c>
      <c r="AT158">
        <v>1.72</v>
      </c>
      <c r="AU158" s="243">
        <v>26193688.149999999</v>
      </c>
      <c r="AV158">
        <v>33470000</v>
      </c>
      <c r="AW158">
        <v>78.260000000000005</v>
      </c>
      <c r="AX158" t="s">
        <v>581</v>
      </c>
      <c r="AY158" t="s">
        <v>705</v>
      </c>
      <c r="AZ158">
        <v>37.57</v>
      </c>
      <c r="BA158">
        <v>29.4</v>
      </c>
      <c r="BB158" s="243">
        <v>2841818.82</v>
      </c>
      <c r="BC158">
        <v>0</v>
      </c>
      <c r="BD158" t="s">
        <v>520</v>
      </c>
      <c r="BE158" t="s">
        <v>563</v>
      </c>
      <c r="BF158" t="s">
        <v>669</v>
      </c>
      <c r="BG158">
        <v>9.02</v>
      </c>
      <c r="BH158" t="s">
        <v>520</v>
      </c>
    </row>
    <row r="159" spans="1:60">
      <c r="A159">
        <v>700</v>
      </c>
      <c r="B159" t="s">
        <v>201</v>
      </c>
      <c r="C159" t="s">
        <v>519</v>
      </c>
      <c r="D159" t="s">
        <v>48</v>
      </c>
      <c r="E159" s="243">
        <v>17182742.809999999</v>
      </c>
      <c r="F159">
        <v>13370000</v>
      </c>
      <c r="G159">
        <v>128.52000000000001</v>
      </c>
      <c r="H159" t="s">
        <v>569</v>
      </c>
      <c r="I159" t="s">
        <v>738</v>
      </c>
      <c r="J159">
        <v>8.82</v>
      </c>
      <c r="K159">
        <v>11.34</v>
      </c>
      <c r="L159" s="243">
        <v>33219779</v>
      </c>
      <c r="M159">
        <v>23190000</v>
      </c>
      <c r="N159">
        <v>143.25</v>
      </c>
      <c r="O159" t="s">
        <v>593</v>
      </c>
      <c r="P159" t="s">
        <v>795</v>
      </c>
      <c r="Q159">
        <v>45.78</v>
      </c>
      <c r="R159">
        <v>65.58</v>
      </c>
      <c r="S159" s="243">
        <v>5800190</v>
      </c>
      <c r="T159">
        <v>3213000</v>
      </c>
      <c r="U159">
        <v>180.52</v>
      </c>
      <c r="V159" t="s">
        <v>574</v>
      </c>
      <c r="W159" t="s">
        <v>742</v>
      </c>
      <c r="X159">
        <v>0.75</v>
      </c>
      <c r="Y159">
        <v>1.35</v>
      </c>
      <c r="Z159" s="243">
        <v>564682</v>
      </c>
      <c r="AA159">
        <v>1617000</v>
      </c>
      <c r="AB159">
        <v>34.92</v>
      </c>
      <c r="AC159" t="s">
        <v>584</v>
      </c>
      <c r="AD159" t="s">
        <v>880</v>
      </c>
      <c r="AE159">
        <v>4.57</v>
      </c>
      <c r="AF159">
        <v>1.59</v>
      </c>
      <c r="AG159" s="243">
        <v>144093</v>
      </c>
      <c r="AH159">
        <v>0</v>
      </c>
      <c r="AI159" t="s">
        <v>520</v>
      </c>
      <c r="AJ159" t="s">
        <v>563</v>
      </c>
      <c r="AK159" t="s">
        <v>669</v>
      </c>
      <c r="AL159">
        <v>5.45</v>
      </c>
      <c r="AM159" t="s">
        <v>520</v>
      </c>
      <c r="AN159" s="243">
        <v>3642039.62</v>
      </c>
      <c r="AO159">
        <v>740000</v>
      </c>
      <c r="AP159">
        <v>492.17</v>
      </c>
      <c r="AQ159" t="s">
        <v>575</v>
      </c>
      <c r="AR159" t="s">
        <v>870</v>
      </c>
      <c r="AS159">
        <v>0</v>
      </c>
      <c r="AT159">
        <v>0</v>
      </c>
      <c r="AU159" s="243">
        <v>60553526.43</v>
      </c>
      <c r="AV159">
        <v>42130000</v>
      </c>
      <c r="AW159">
        <v>143.72999999999999</v>
      </c>
      <c r="AX159" t="s">
        <v>559</v>
      </c>
      <c r="AY159" t="s">
        <v>834</v>
      </c>
      <c r="AZ159">
        <v>27.74</v>
      </c>
      <c r="BA159">
        <v>39.880000000000003</v>
      </c>
      <c r="BB159" s="243">
        <v>5313368.8099999996</v>
      </c>
      <c r="BC159">
        <v>0</v>
      </c>
      <c r="BD159" t="s">
        <v>520</v>
      </c>
      <c r="BE159" t="s">
        <v>563</v>
      </c>
      <c r="BF159" t="s">
        <v>669</v>
      </c>
      <c r="BG159">
        <v>13.78</v>
      </c>
      <c r="BH159" t="s">
        <v>520</v>
      </c>
    </row>
    <row r="160" spans="1:60">
      <c r="A160">
        <v>701</v>
      </c>
      <c r="B160" t="s">
        <v>202</v>
      </c>
      <c r="C160" t="s">
        <v>525</v>
      </c>
      <c r="D160" t="s">
        <v>48</v>
      </c>
      <c r="E160" s="243">
        <v>8902755.7300000004</v>
      </c>
      <c r="F160">
        <v>7470000</v>
      </c>
      <c r="G160">
        <v>119.18</v>
      </c>
      <c r="H160" t="s">
        <v>572</v>
      </c>
      <c r="I160" t="s">
        <v>699</v>
      </c>
      <c r="J160">
        <v>45.49</v>
      </c>
      <c r="K160">
        <v>54.21</v>
      </c>
      <c r="L160" s="243">
        <v>18878600</v>
      </c>
      <c r="M160">
        <v>12960000</v>
      </c>
      <c r="N160">
        <v>145.66999999999999</v>
      </c>
      <c r="O160" t="s">
        <v>567</v>
      </c>
      <c r="P160" t="s">
        <v>887</v>
      </c>
      <c r="Q160">
        <v>77.36</v>
      </c>
      <c r="R160">
        <v>112.69</v>
      </c>
      <c r="S160" s="243">
        <v>1902947</v>
      </c>
      <c r="T160">
        <v>1495000</v>
      </c>
      <c r="U160">
        <v>127.29</v>
      </c>
      <c r="V160" t="s">
        <v>567</v>
      </c>
      <c r="W160" t="s">
        <v>731</v>
      </c>
      <c r="X160">
        <v>78.69</v>
      </c>
      <c r="Y160">
        <v>100.16</v>
      </c>
      <c r="Z160" s="243">
        <v>203759</v>
      </c>
      <c r="AA160">
        <v>1205000</v>
      </c>
      <c r="AB160">
        <v>16.91</v>
      </c>
      <c r="AC160" t="s">
        <v>562</v>
      </c>
      <c r="AD160" t="s">
        <v>825</v>
      </c>
      <c r="AE160">
        <v>0.26</v>
      </c>
      <c r="AF160">
        <v>0.04</v>
      </c>
      <c r="AG160" s="243">
        <v>21032</v>
      </c>
      <c r="AH160">
        <v>0</v>
      </c>
      <c r="AI160" t="s">
        <v>520</v>
      </c>
      <c r="AJ160" t="s">
        <v>563</v>
      </c>
      <c r="AK160" t="s">
        <v>669</v>
      </c>
      <c r="AL160">
        <v>27.41</v>
      </c>
      <c r="AM160" t="s">
        <v>520</v>
      </c>
      <c r="AN160" s="243">
        <v>12820.87</v>
      </c>
      <c r="AO160">
        <v>410000</v>
      </c>
      <c r="AP160">
        <v>3.13</v>
      </c>
      <c r="AQ160" t="s">
        <v>588</v>
      </c>
      <c r="AR160" t="s">
        <v>822</v>
      </c>
      <c r="AS160">
        <v>59.81</v>
      </c>
      <c r="AT160">
        <v>1.87</v>
      </c>
      <c r="AU160" s="243">
        <v>29921914.600000001</v>
      </c>
      <c r="AV160">
        <v>23540000</v>
      </c>
      <c r="AW160">
        <v>127.11</v>
      </c>
      <c r="AX160" t="s">
        <v>573</v>
      </c>
      <c r="AY160" t="s">
        <v>736</v>
      </c>
      <c r="AZ160">
        <v>67.39</v>
      </c>
      <c r="BA160">
        <v>85.67</v>
      </c>
      <c r="BB160" s="243">
        <v>2942240.73</v>
      </c>
      <c r="BC160">
        <v>0</v>
      </c>
      <c r="BD160" t="s">
        <v>520</v>
      </c>
      <c r="BE160" t="s">
        <v>563</v>
      </c>
      <c r="BF160" t="s">
        <v>669</v>
      </c>
      <c r="BG160">
        <v>19.010000000000002</v>
      </c>
      <c r="BH160" t="s">
        <v>520</v>
      </c>
    </row>
    <row r="161" spans="1:60">
      <c r="A161">
        <v>702</v>
      </c>
      <c r="B161" t="s">
        <v>203</v>
      </c>
      <c r="C161" t="s">
        <v>521</v>
      </c>
      <c r="D161" t="s">
        <v>48</v>
      </c>
      <c r="E161" s="243">
        <v>7527280.3799999999</v>
      </c>
      <c r="F161">
        <v>6840000</v>
      </c>
      <c r="G161">
        <v>110.05</v>
      </c>
      <c r="H161" t="s">
        <v>562</v>
      </c>
      <c r="I161" t="s">
        <v>758</v>
      </c>
      <c r="J161">
        <v>36.81</v>
      </c>
      <c r="K161">
        <v>40.51</v>
      </c>
      <c r="L161" s="243">
        <v>26666988</v>
      </c>
      <c r="M161">
        <v>11850000</v>
      </c>
      <c r="N161">
        <v>225.04</v>
      </c>
      <c r="O161" t="s">
        <v>575</v>
      </c>
      <c r="P161" t="s">
        <v>836</v>
      </c>
      <c r="Q161">
        <v>88.73</v>
      </c>
      <c r="R161">
        <v>199.67</v>
      </c>
      <c r="S161" s="243">
        <v>3691987</v>
      </c>
      <c r="T161">
        <v>1265000</v>
      </c>
      <c r="U161">
        <v>291.86</v>
      </c>
      <c r="V161" t="s">
        <v>575</v>
      </c>
      <c r="W161" t="s">
        <v>765</v>
      </c>
      <c r="X161">
        <v>17.010000000000002</v>
      </c>
      <c r="Y161">
        <v>49.66</v>
      </c>
      <c r="Z161" s="243">
        <v>49205</v>
      </c>
      <c r="AA161">
        <v>1205000</v>
      </c>
      <c r="AB161">
        <v>4.08</v>
      </c>
      <c r="AC161" t="s">
        <v>590</v>
      </c>
      <c r="AD161" t="s">
        <v>705</v>
      </c>
      <c r="AE161">
        <v>140.83000000000001</v>
      </c>
      <c r="AF161">
        <v>5.75</v>
      </c>
      <c r="AG161" s="243">
        <v>18849</v>
      </c>
      <c r="AH161">
        <v>0</v>
      </c>
      <c r="AI161" t="s">
        <v>520</v>
      </c>
      <c r="AJ161" t="s">
        <v>563</v>
      </c>
      <c r="AK161" t="s">
        <v>669</v>
      </c>
      <c r="AL161">
        <v>20.03</v>
      </c>
      <c r="AM161" t="s">
        <v>520</v>
      </c>
      <c r="AN161" s="243">
        <v>4880871.62</v>
      </c>
      <c r="AO161">
        <v>380000</v>
      </c>
      <c r="AP161">
        <v>1284.44</v>
      </c>
      <c r="AQ161" t="s">
        <v>563</v>
      </c>
      <c r="AR161" t="s">
        <v>836</v>
      </c>
      <c r="AS161">
        <v>0.08</v>
      </c>
      <c r="AT161">
        <v>1.06</v>
      </c>
      <c r="AU161" s="243">
        <v>42835181</v>
      </c>
      <c r="AV161">
        <v>21540000</v>
      </c>
      <c r="AW161">
        <v>198.86</v>
      </c>
      <c r="AX161" t="s">
        <v>563</v>
      </c>
      <c r="AY161" t="s">
        <v>669</v>
      </c>
      <c r="AZ161">
        <v>63.35</v>
      </c>
      <c r="BA161">
        <v>125.98</v>
      </c>
      <c r="BB161" s="243">
        <v>1954889.38</v>
      </c>
      <c r="BC161">
        <v>0</v>
      </c>
      <c r="BD161" t="s">
        <v>520</v>
      </c>
      <c r="BE161" t="s">
        <v>563</v>
      </c>
      <c r="BF161" t="s">
        <v>669</v>
      </c>
      <c r="BG161">
        <v>23.61</v>
      </c>
      <c r="BH161" t="s">
        <v>520</v>
      </c>
    </row>
    <row r="162" spans="1:60">
      <c r="A162">
        <v>703</v>
      </c>
      <c r="B162" t="s">
        <v>53</v>
      </c>
      <c r="C162" t="s">
        <v>525</v>
      </c>
      <c r="D162" t="s">
        <v>48</v>
      </c>
      <c r="E162" s="243">
        <v>10537002.689999999</v>
      </c>
      <c r="F162">
        <v>7700000</v>
      </c>
      <c r="G162">
        <v>136.84</v>
      </c>
      <c r="H162" t="s">
        <v>584</v>
      </c>
      <c r="I162" t="s">
        <v>687</v>
      </c>
      <c r="J162">
        <v>16.399999999999999</v>
      </c>
      <c r="K162">
        <v>22.44</v>
      </c>
      <c r="L162" s="243">
        <v>17695816</v>
      </c>
      <c r="M162">
        <v>13350000</v>
      </c>
      <c r="N162">
        <v>132.55000000000001</v>
      </c>
      <c r="O162" t="s">
        <v>566</v>
      </c>
      <c r="P162" t="s">
        <v>796</v>
      </c>
      <c r="Q162">
        <v>71.87</v>
      </c>
      <c r="R162">
        <v>95.26</v>
      </c>
      <c r="S162" s="243">
        <v>1696473</v>
      </c>
      <c r="T162">
        <v>972000</v>
      </c>
      <c r="U162">
        <v>174.53</v>
      </c>
      <c r="V162" t="s">
        <v>561</v>
      </c>
      <c r="W162" t="s">
        <v>841</v>
      </c>
      <c r="X162">
        <v>17.43</v>
      </c>
      <c r="Y162">
        <v>30.43</v>
      </c>
      <c r="Z162" s="243">
        <v>237824</v>
      </c>
      <c r="AA162">
        <v>1798000</v>
      </c>
      <c r="AB162">
        <v>13.23</v>
      </c>
      <c r="AC162" t="s">
        <v>577</v>
      </c>
      <c r="AD162" t="s">
        <v>755</v>
      </c>
      <c r="AE162">
        <v>3.51</v>
      </c>
      <c r="AF162">
        <v>0.46</v>
      </c>
      <c r="AG162" s="243">
        <v>26851</v>
      </c>
      <c r="AH162">
        <v>0</v>
      </c>
      <c r="AI162" t="s">
        <v>520</v>
      </c>
      <c r="AJ162" t="s">
        <v>563</v>
      </c>
      <c r="AK162" t="s">
        <v>669</v>
      </c>
      <c r="AL162">
        <v>33.58</v>
      </c>
      <c r="AM162" t="s">
        <v>520</v>
      </c>
      <c r="AN162" s="243">
        <v>27636.720000000001</v>
      </c>
      <c r="AO162">
        <v>430000</v>
      </c>
      <c r="AP162">
        <v>6.43</v>
      </c>
      <c r="AQ162" t="s">
        <v>582</v>
      </c>
      <c r="AR162" t="s">
        <v>774</v>
      </c>
      <c r="AS162">
        <v>214.96</v>
      </c>
      <c r="AT162">
        <v>13.82</v>
      </c>
      <c r="AU162" s="243">
        <v>30221603.41</v>
      </c>
      <c r="AV162">
        <v>24250000</v>
      </c>
      <c r="AW162">
        <v>124.63</v>
      </c>
      <c r="AX162" t="s">
        <v>593</v>
      </c>
      <c r="AY162" t="s">
        <v>853</v>
      </c>
      <c r="AZ162">
        <v>49.03</v>
      </c>
      <c r="BA162">
        <v>61.1</v>
      </c>
      <c r="BB162" s="243">
        <v>3388837.69</v>
      </c>
      <c r="BC162">
        <v>0</v>
      </c>
      <c r="BD162" t="s">
        <v>520</v>
      </c>
      <c r="BE162" t="s">
        <v>563</v>
      </c>
      <c r="BF162" t="s">
        <v>669</v>
      </c>
      <c r="BG162">
        <v>12.93</v>
      </c>
      <c r="BH162" t="s">
        <v>520</v>
      </c>
    </row>
    <row r="163" spans="1:60">
      <c r="A163">
        <v>704</v>
      </c>
      <c r="B163" t="s">
        <v>54</v>
      </c>
      <c r="C163" t="s">
        <v>524</v>
      </c>
      <c r="D163" t="s">
        <v>48</v>
      </c>
      <c r="E163" s="243">
        <v>8224773.5099999998</v>
      </c>
      <c r="F163">
        <v>6920000</v>
      </c>
      <c r="G163">
        <v>118.86</v>
      </c>
      <c r="H163" t="s">
        <v>565</v>
      </c>
      <c r="I163" t="s">
        <v>886</v>
      </c>
      <c r="J163">
        <v>17.29</v>
      </c>
      <c r="K163">
        <v>20.55</v>
      </c>
      <c r="L163" s="243">
        <v>13263631</v>
      </c>
      <c r="M163">
        <v>11990000</v>
      </c>
      <c r="N163">
        <v>110.62</v>
      </c>
      <c r="O163" t="s">
        <v>583</v>
      </c>
      <c r="P163" t="s">
        <v>733</v>
      </c>
      <c r="Q163">
        <v>54.08</v>
      </c>
      <c r="R163">
        <v>59.83</v>
      </c>
      <c r="S163" s="243">
        <v>552760</v>
      </c>
      <c r="T163">
        <v>1397000</v>
      </c>
      <c r="U163">
        <v>39.57</v>
      </c>
      <c r="V163" t="s">
        <v>571</v>
      </c>
      <c r="W163" t="s">
        <v>748</v>
      </c>
      <c r="X163">
        <v>31.11</v>
      </c>
      <c r="Y163">
        <v>12.31</v>
      </c>
      <c r="Z163" s="243">
        <v>154836</v>
      </c>
      <c r="AA163">
        <v>1103000</v>
      </c>
      <c r="AB163">
        <v>14.04</v>
      </c>
      <c r="AC163" t="s">
        <v>595</v>
      </c>
      <c r="AD163" t="s">
        <v>850</v>
      </c>
      <c r="AE163">
        <v>1.96</v>
      </c>
      <c r="AF163">
        <v>0.28000000000000003</v>
      </c>
      <c r="AG163" s="243">
        <v>56633</v>
      </c>
      <c r="AH163">
        <v>0</v>
      </c>
      <c r="AI163" t="s">
        <v>520</v>
      </c>
      <c r="AJ163" t="s">
        <v>563</v>
      </c>
      <c r="AK163" t="s">
        <v>669</v>
      </c>
      <c r="AL163">
        <v>2.0699999999999998</v>
      </c>
      <c r="AM163" t="s">
        <v>520</v>
      </c>
      <c r="AN163" s="243">
        <v>34115.53</v>
      </c>
      <c r="AO163">
        <v>380000</v>
      </c>
      <c r="AP163">
        <v>8.98</v>
      </c>
      <c r="AQ163" t="s">
        <v>560</v>
      </c>
      <c r="AR163" t="s">
        <v>768</v>
      </c>
      <c r="AS163">
        <v>88.23</v>
      </c>
      <c r="AT163">
        <v>7.92</v>
      </c>
      <c r="AU163" s="243">
        <v>22286749.039999999</v>
      </c>
      <c r="AV163">
        <v>21790000</v>
      </c>
      <c r="AW163">
        <v>102.28</v>
      </c>
      <c r="AX163" t="s">
        <v>577</v>
      </c>
      <c r="AY163" t="s">
        <v>744</v>
      </c>
      <c r="AZ163">
        <v>39.49</v>
      </c>
      <c r="BA163">
        <v>40.39</v>
      </c>
      <c r="BB163" s="243">
        <v>2711594.51</v>
      </c>
      <c r="BC163">
        <v>0</v>
      </c>
      <c r="BD163" t="s">
        <v>520</v>
      </c>
      <c r="BE163" t="s">
        <v>563</v>
      </c>
      <c r="BF163" t="s">
        <v>669</v>
      </c>
      <c r="BG163">
        <v>7.58</v>
      </c>
      <c r="BH163" t="s">
        <v>520</v>
      </c>
    </row>
    <row r="164" spans="1:60">
      <c r="A164">
        <v>705</v>
      </c>
      <c r="B164" t="s">
        <v>109</v>
      </c>
      <c r="C164" t="s">
        <v>526</v>
      </c>
      <c r="D164" t="s">
        <v>48</v>
      </c>
      <c r="E164" s="243">
        <v>7211231.2800000003</v>
      </c>
      <c r="F164">
        <v>6690000</v>
      </c>
      <c r="G164">
        <v>107.79</v>
      </c>
      <c r="H164" t="s">
        <v>597</v>
      </c>
      <c r="I164" t="s">
        <v>848</v>
      </c>
      <c r="J164">
        <v>12.38</v>
      </c>
      <c r="K164">
        <v>13.34</v>
      </c>
      <c r="L164" s="243">
        <v>14096099</v>
      </c>
      <c r="M164">
        <v>11600000</v>
      </c>
      <c r="N164">
        <v>121.52</v>
      </c>
      <c r="O164" t="s">
        <v>570</v>
      </c>
      <c r="P164" t="s">
        <v>706</v>
      </c>
      <c r="Q164">
        <v>25.7</v>
      </c>
      <c r="R164">
        <v>31.23</v>
      </c>
      <c r="S164" s="243">
        <v>1035083</v>
      </c>
      <c r="T164">
        <v>1589000</v>
      </c>
      <c r="U164">
        <v>65.14</v>
      </c>
      <c r="V164" t="s">
        <v>595</v>
      </c>
      <c r="W164" t="s">
        <v>869</v>
      </c>
      <c r="X164">
        <v>15.03</v>
      </c>
      <c r="Y164">
        <v>9.7899999999999991</v>
      </c>
      <c r="Z164" s="243">
        <v>2809004</v>
      </c>
      <c r="AA164">
        <v>831000</v>
      </c>
      <c r="AB164">
        <v>338.03</v>
      </c>
      <c r="AC164" t="s">
        <v>563</v>
      </c>
      <c r="AD164" t="s">
        <v>834</v>
      </c>
      <c r="AE164">
        <v>0.01</v>
      </c>
      <c r="AF164">
        <v>0.05</v>
      </c>
      <c r="AG164" s="243">
        <v>26784</v>
      </c>
      <c r="AH164">
        <v>0</v>
      </c>
      <c r="AI164" t="s">
        <v>520</v>
      </c>
      <c r="AJ164" t="s">
        <v>563</v>
      </c>
      <c r="AK164" t="s">
        <v>669</v>
      </c>
      <c r="AL164">
        <v>0.98</v>
      </c>
      <c r="AM164" t="s">
        <v>520</v>
      </c>
      <c r="AN164" s="243">
        <v>23627.82</v>
      </c>
      <c r="AO164">
        <v>370000</v>
      </c>
      <c r="AP164">
        <v>6.39</v>
      </c>
      <c r="AQ164" t="s">
        <v>578</v>
      </c>
      <c r="AR164" t="s">
        <v>811</v>
      </c>
      <c r="AS164">
        <v>0</v>
      </c>
      <c r="AT164">
        <v>0</v>
      </c>
      <c r="AU164" s="243">
        <v>25201829.100000001</v>
      </c>
      <c r="AV164">
        <v>21080000</v>
      </c>
      <c r="AW164">
        <v>119.55</v>
      </c>
      <c r="AX164" t="s">
        <v>565</v>
      </c>
      <c r="AY164" t="s">
        <v>881</v>
      </c>
      <c r="AZ164">
        <v>18.54</v>
      </c>
      <c r="BA164">
        <v>22.16</v>
      </c>
      <c r="BB164" s="243">
        <v>3062256.28</v>
      </c>
      <c r="BC164">
        <v>0</v>
      </c>
      <c r="BD164" t="s">
        <v>520</v>
      </c>
      <c r="BE164" t="s">
        <v>563</v>
      </c>
      <c r="BF164" t="s">
        <v>669</v>
      </c>
      <c r="BG164">
        <v>4.8</v>
      </c>
      <c r="BH164" t="s">
        <v>520</v>
      </c>
    </row>
    <row r="165" spans="1:60">
      <c r="A165">
        <v>706</v>
      </c>
      <c r="B165" t="s">
        <v>55</v>
      </c>
      <c r="C165" t="s">
        <v>521</v>
      </c>
      <c r="D165" t="s">
        <v>48</v>
      </c>
      <c r="E165" s="243">
        <v>8284073.1200000001</v>
      </c>
      <c r="F165">
        <v>10190000</v>
      </c>
      <c r="G165">
        <v>81.3</v>
      </c>
      <c r="H165" t="s">
        <v>582</v>
      </c>
      <c r="I165" t="s">
        <v>792</v>
      </c>
      <c r="J165">
        <v>18.829999999999998</v>
      </c>
      <c r="K165">
        <v>15.31</v>
      </c>
      <c r="L165" s="243">
        <v>25895176</v>
      </c>
      <c r="M165">
        <v>17670000</v>
      </c>
      <c r="N165">
        <v>146.55000000000001</v>
      </c>
      <c r="O165" t="s">
        <v>573</v>
      </c>
      <c r="P165" t="s">
        <v>890</v>
      </c>
      <c r="Q165">
        <v>73.56</v>
      </c>
      <c r="R165">
        <v>107.8</v>
      </c>
      <c r="S165" s="243">
        <v>2106068</v>
      </c>
      <c r="T165">
        <v>2374000</v>
      </c>
      <c r="U165">
        <v>88.71</v>
      </c>
      <c r="V165" t="s">
        <v>587</v>
      </c>
      <c r="W165" t="s">
        <v>780</v>
      </c>
      <c r="X165">
        <v>22.68</v>
      </c>
      <c r="Y165">
        <v>20.12</v>
      </c>
      <c r="Z165" s="243">
        <v>1469154</v>
      </c>
      <c r="AA165">
        <v>1296000</v>
      </c>
      <c r="AB165">
        <v>113.36</v>
      </c>
      <c r="AC165" t="s">
        <v>559</v>
      </c>
      <c r="AD165" t="s">
        <v>868</v>
      </c>
      <c r="AE165">
        <v>0</v>
      </c>
      <c r="AF165">
        <v>0</v>
      </c>
      <c r="AG165" s="243">
        <v>48681</v>
      </c>
      <c r="AH165">
        <v>0</v>
      </c>
      <c r="AI165" t="s">
        <v>520</v>
      </c>
      <c r="AJ165" t="s">
        <v>563</v>
      </c>
      <c r="AK165" t="s">
        <v>669</v>
      </c>
      <c r="AL165">
        <v>3.91</v>
      </c>
      <c r="AM165" t="s">
        <v>520</v>
      </c>
      <c r="AN165" s="243">
        <v>1288912.8899999999</v>
      </c>
      <c r="AO165">
        <v>570000</v>
      </c>
      <c r="AP165">
        <v>226.13</v>
      </c>
      <c r="AQ165" t="s">
        <v>589</v>
      </c>
      <c r="AR165" t="s">
        <v>794</v>
      </c>
      <c r="AS165">
        <v>99.37</v>
      </c>
      <c r="AT165">
        <v>224.71</v>
      </c>
      <c r="AU165" s="243">
        <v>39092065.009999998</v>
      </c>
      <c r="AV165">
        <v>32100000</v>
      </c>
      <c r="AW165">
        <v>121.78</v>
      </c>
      <c r="AX165" t="s">
        <v>564</v>
      </c>
      <c r="AY165" t="s">
        <v>847</v>
      </c>
      <c r="AZ165">
        <v>57.22</v>
      </c>
      <c r="BA165">
        <v>69.69</v>
      </c>
      <c r="BB165" s="243">
        <v>3969750.12</v>
      </c>
      <c r="BC165">
        <v>0</v>
      </c>
      <c r="BD165" t="s">
        <v>520</v>
      </c>
      <c r="BE165" t="s">
        <v>563</v>
      </c>
      <c r="BF165" t="s">
        <v>669</v>
      </c>
      <c r="BG165">
        <v>12.48</v>
      </c>
      <c r="BH165" t="s">
        <v>520</v>
      </c>
    </row>
    <row r="166" spans="1:60">
      <c r="A166">
        <v>707</v>
      </c>
      <c r="B166" t="s">
        <v>110</v>
      </c>
      <c r="C166" t="s">
        <v>527</v>
      </c>
      <c r="D166" t="s">
        <v>48</v>
      </c>
      <c r="E166" s="243">
        <v>5340077.5199999996</v>
      </c>
      <c r="F166">
        <v>5730000</v>
      </c>
      <c r="G166">
        <v>93.2</v>
      </c>
      <c r="H166" t="s">
        <v>577</v>
      </c>
      <c r="I166" t="s">
        <v>777</v>
      </c>
      <c r="J166">
        <v>22.07</v>
      </c>
      <c r="K166">
        <v>20.57</v>
      </c>
      <c r="L166" s="243">
        <v>11176139</v>
      </c>
      <c r="M166">
        <v>9930000</v>
      </c>
      <c r="N166">
        <v>112.55</v>
      </c>
      <c r="O166" t="s">
        <v>595</v>
      </c>
      <c r="P166" t="s">
        <v>799</v>
      </c>
      <c r="Q166">
        <v>63.92</v>
      </c>
      <c r="R166">
        <v>71.94</v>
      </c>
      <c r="S166" s="243">
        <v>731291</v>
      </c>
      <c r="T166">
        <v>1084000</v>
      </c>
      <c r="U166">
        <v>67.459999999999994</v>
      </c>
      <c r="V166" t="s">
        <v>597</v>
      </c>
      <c r="W166" t="s">
        <v>665</v>
      </c>
      <c r="X166">
        <v>25.28</v>
      </c>
      <c r="Y166">
        <v>17.05</v>
      </c>
      <c r="Z166" s="243">
        <v>154628</v>
      </c>
      <c r="AA166">
        <v>986000</v>
      </c>
      <c r="AB166">
        <v>15.68</v>
      </c>
      <c r="AC166" t="s">
        <v>560</v>
      </c>
      <c r="AD166" t="s">
        <v>675</v>
      </c>
      <c r="AE166">
        <v>2.5099999999999998</v>
      </c>
      <c r="AF166">
        <v>0.39</v>
      </c>
      <c r="AG166" s="243">
        <v>47782</v>
      </c>
      <c r="AH166">
        <v>0</v>
      </c>
      <c r="AI166" t="s">
        <v>520</v>
      </c>
      <c r="AJ166" t="s">
        <v>563</v>
      </c>
      <c r="AK166" t="s">
        <v>669</v>
      </c>
      <c r="AL166">
        <v>2.5299999999999998</v>
      </c>
      <c r="AM166" t="s">
        <v>520</v>
      </c>
      <c r="AN166" s="243">
        <v>73213.37</v>
      </c>
      <c r="AO166">
        <v>320000</v>
      </c>
      <c r="AP166">
        <v>22.88</v>
      </c>
      <c r="AQ166" t="s">
        <v>565</v>
      </c>
      <c r="AR166" t="s">
        <v>755</v>
      </c>
      <c r="AS166">
        <v>46.4</v>
      </c>
      <c r="AT166">
        <v>10.62</v>
      </c>
      <c r="AU166" s="243">
        <v>17523130.890000001</v>
      </c>
      <c r="AV166">
        <v>18050000</v>
      </c>
      <c r="AW166">
        <v>97.08</v>
      </c>
      <c r="AX166" t="s">
        <v>594</v>
      </c>
      <c r="AY166" t="s">
        <v>711</v>
      </c>
      <c r="AZ166">
        <v>48.77</v>
      </c>
      <c r="BA166">
        <v>47.35</v>
      </c>
      <c r="BB166" s="243">
        <v>2168865.52</v>
      </c>
      <c r="BC166">
        <v>0</v>
      </c>
      <c r="BD166" t="s">
        <v>520</v>
      </c>
      <c r="BE166" t="s">
        <v>563</v>
      </c>
      <c r="BF166" t="s">
        <v>669</v>
      </c>
      <c r="BG166">
        <v>7.41</v>
      </c>
      <c r="BH166" t="s">
        <v>520</v>
      </c>
    </row>
    <row r="167" spans="1:60">
      <c r="A167">
        <v>708</v>
      </c>
      <c r="B167" t="s">
        <v>56</v>
      </c>
      <c r="C167" t="s">
        <v>525</v>
      </c>
      <c r="D167" t="s">
        <v>48</v>
      </c>
      <c r="E167" s="243">
        <v>12643614.85</v>
      </c>
      <c r="F167">
        <v>8980000</v>
      </c>
      <c r="G167">
        <v>140.80000000000001</v>
      </c>
      <c r="H167" t="s">
        <v>573</v>
      </c>
      <c r="I167" t="s">
        <v>696</v>
      </c>
      <c r="J167">
        <v>7.1</v>
      </c>
      <c r="K167">
        <v>9.99</v>
      </c>
      <c r="L167" s="243">
        <v>14882755</v>
      </c>
      <c r="M167">
        <v>15580000</v>
      </c>
      <c r="N167">
        <v>95.52</v>
      </c>
      <c r="O167" t="s">
        <v>571</v>
      </c>
      <c r="P167" t="s">
        <v>798</v>
      </c>
      <c r="Q167">
        <v>24.78</v>
      </c>
      <c r="R167">
        <v>23.67</v>
      </c>
      <c r="S167" s="243">
        <v>1225925</v>
      </c>
      <c r="T167">
        <v>2331000</v>
      </c>
      <c r="U167">
        <v>52.59</v>
      </c>
      <c r="V167" t="s">
        <v>592</v>
      </c>
      <c r="W167" t="s">
        <v>766</v>
      </c>
      <c r="X167">
        <v>46.18</v>
      </c>
      <c r="Y167">
        <v>24.29</v>
      </c>
      <c r="Z167" s="243">
        <v>228983</v>
      </c>
      <c r="AA167">
        <v>909000</v>
      </c>
      <c r="AB167">
        <v>25.19</v>
      </c>
      <c r="AC167" t="s">
        <v>564</v>
      </c>
      <c r="AD167" t="s">
        <v>845</v>
      </c>
      <c r="AE167">
        <v>4.79</v>
      </c>
      <c r="AF167">
        <v>1.21</v>
      </c>
      <c r="AG167" s="243">
        <v>48329</v>
      </c>
      <c r="AH167">
        <v>0</v>
      </c>
      <c r="AI167" t="s">
        <v>520</v>
      </c>
      <c r="AJ167" t="s">
        <v>563</v>
      </c>
      <c r="AK167" t="s">
        <v>669</v>
      </c>
      <c r="AL167">
        <v>28.16</v>
      </c>
      <c r="AM167" t="s">
        <v>520</v>
      </c>
      <c r="AN167" s="243">
        <v>1196444.3700000001</v>
      </c>
      <c r="AO167">
        <v>500000</v>
      </c>
      <c r="AP167">
        <v>239.29</v>
      </c>
      <c r="AQ167" t="s">
        <v>561</v>
      </c>
      <c r="AR167" t="s">
        <v>856</v>
      </c>
      <c r="AS167">
        <v>84.84</v>
      </c>
      <c r="AT167">
        <v>203.01</v>
      </c>
      <c r="AU167" s="243">
        <v>30226051.219999999</v>
      </c>
      <c r="AV167">
        <v>28300000</v>
      </c>
      <c r="AW167">
        <v>106.81</v>
      </c>
      <c r="AX167" t="s">
        <v>591</v>
      </c>
      <c r="AY167" t="s">
        <v>665</v>
      </c>
      <c r="AZ167">
        <v>20.48</v>
      </c>
      <c r="BA167">
        <v>21.88</v>
      </c>
      <c r="BB167" s="243">
        <v>3591744.85</v>
      </c>
      <c r="BC167">
        <v>0</v>
      </c>
      <c r="BD167" t="s">
        <v>520</v>
      </c>
      <c r="BE167" t="s">
        <v>563</v>
      </c>
      <c r="BF167" t="s">
        <v>669</v>
      </c>
      <c r="BG167">
        <v>13.27</v>
      </c>
      <c r="BH167" t="s">
        <v>520</v>
      </c>
    </row>
    <row r="168" spans="1:60">
      <c r="A168">
        <v>709</v>
      </c>
      <c r="B168" t="s">
        <v>204</v>
      </c>
      <c r="C168" t="s">
        <v>526</v>
      </c>
      <c r="D168" t="s">
        <v>48</v>
      </c>
      <c r="E168" s="243">
        <v>8070773.79</v>
      </c>
      <c r="F168">
        <v>8570000</v>
      </c>
      <c r="G168">
        <v>94.17</v>
      </c>
      <c r="H168" t="s">
        <v>595</v>
      </c>
      <c r="I168" t="s">
        <v>885</v>
      </c>
      <c r="J168">
        <v>9.8000000000000007</v>
      </c>
      <c r="K168">
        <v>9.23</v>
      </c>
      <c r="L168" s="243">
        <v>37025027</v>
      </c>
      <c r="M168">
        <v>14860000</v>
      </c>
      <c r="N168">
        <v>249.16</v>
      </c>
      <c r="O168" t="s">
        <v>563</v>
      </c>
      <c r="P168" t="s">
        <v>669</v>
      </c>
      <c r="Q168">
        <v>33.78</v>
      </c>
      <c r="R168">
        <v>84.16</v>
      </c>
      <c r="S168" s="243">
        <v>1068285</v>
      </c>
      <c r="T168">
        <v>1946000</v>
      </c>
      <c r="U168">
        <v>54.9</v>
      </c>
      <c r="V168" t="s">
        <v>583</v>
      </c>
      <c r="W168" t="s">
        <v>814</v>
      </c>
      <c r="X168">
        <v>1.77</v>
      </c>
      <c r="Y168">
        <v>0.97</v>
      </c>
      <c r="Z168" s="243">
        <v>119749</v>
      </c>
      <c r="AA168">
        <v>1144000</v>
      </c>
      <c r="AB168">
        <v>10.47</v>
      </c>
      <c r="AC168" t="s">
        <v>571</v>
      </c>
      <c r="AD168" t="s">
        <v>819</v>
      </c>
      <c r="AE168">
        <v>0</v>
      </c>
      <c r="AF168">
        <v>0</v>
      </c>
      <c r="AG168" s="243">
        <v>14343</v>
      </c>
      <c r="AH168">
        <v>0</v>
      </c>
      <c r="AI168" t="s">
        <v>520</v>
      </c>
      <c r="AJ168" t="s">
        <v>563</v>
      </c>
      <c r="AK168" t="s">
        <v>669</v>
      </c>
      <c r="AL168">
        <v>6.8</v>
      </c>
      <c r="AM168" t="s">
        <v>520</v>
      </c>
      <c r="AN168" s="243">
        <v>78941.820000000007</v>
      </c>
      <c r="AO168">
        <v>480000</v>
      </c>
      <c r="AP168">
        <v>16.45</v>
      </c>
      <c r="AQ168" t="s">
        <v>579</v>
      </c>
      <c r="AR168" t="s">
        <v>740</v>
      </c>
      <c r="AS168">
        <v>9.73</v>
      </c>
      <c r="AT168">
        <v>1.6</v>
      </c>
      <c r="AU168" s="243">
        <v>46377119.609999999</v>
      </c>
      <c r="AV168">
        <v>27000000</v>
      </c>
      <c r="AW168">
        <v>171.77</v>
      </c>
      <c r="AX168" t="s">
        <v>575</v>
      </c>
      <c r="AY168" t="s">
        <v>765</v>
      </c>
      <c r="AZ168">
        <v>28.73</v>
      </c>
      <c r="BA168">
        <v>49.35</v>
      </c>
      <c r="BB168" s="243">
        <v>3443204.79</v>
      </c>
      <c r="BC168">
        <v>0</v>
      </c>
      <c r="BD168" t="s">
        <v>520</v>
      </c>
      <c r="BE168" t="s">
        <v>563</v>
      </c>
      <c r="BF168" t="s">
        <v>669</v>
      </c>
      <c r="BG168">
        <v>9.2200000000000006</v>
      </c>
      <c r="BH168" t="s">
        <v>520</v>
      </c>
    </row>
    <row r="169" spans="1:60">
      <c r="A169">
        <v>710</v>
      </c>
      <c r="B169" t="s">
        <v>111</v>
      </c>
      <c r="C169" t="s">
        <v>521</v>
      </c>
      <c r="D169" t="s">
        <v>48</v>
      </c>
      <c r="E169" s="243">
        <v>9172424.5299999993</v>
      </c>
      <c r="F169">
        <v>11380000</v>
      </c>
      <c r="G169">
        <v>80.599999999999994</v>
      </c>
      <c r="H169" t="s">
        <v>578</v>
      </c>
      <c r="I169" t="s">
        <v>710</v>
      </c>
      <c r="J169">
        <v>18.77</v>
      </c>
      <c r="K169">
        <v>15.13</v>
      </c>
      <c r="L169" s="243">
        <v>30235045</v>
      </c>
      <c r="M169">
        <v>19740000</v>
      </c>
      <c r="N169">
        <v>153.16999999999999</v>
      </c>
      <c r="O169" t="s">
        <v>561</v>
      </c>
      <c r="P169" t="s">
        <v>735</v>
      </c>
      <c r="Q169">
        <v>73.44</v>
      </c>
      <c r="R169">
        <v>112.49</v>
      </c>
      <c r="S169" s="243">
        <v>3223000</v>
      </c>
      <c r="T169">
        <v>2207000</v>
      </c>
      <c r="U169">
        <v>146.04</v>
      </c>
      <c r="V169" t="s">
        <v>576</v>
      </c>
      <c r="W169" t="s">
        <v>794</v>
      </c>
      <c r="X169">
        <v>58.61</v>
      </c>
      <c r="Y169">
        <v>85.6</v>
      </c>
      <c r="Z169" s="243">
        <v>2155688</v>
      </c>
      <c r="AA169">
        <v>1913000</v>
      </c>
      <c r="AB169">
        <v>112.69</v>
      </c>
      <c r="AC169" t="s">
        <v>574</v>
      </c>
      <c r="AD169" t="s">
        <v>749</v>
      </c>
      <c r="AE169">
        <v>0</v>
      </c>
      <c r="AF169">
        <v>0</v>
      </c>
      <c r="AG169" s="243">
        <v>22862</v>
      </c>
      <c r="AH169">
        <v>0</v>
      </c>
      <c r="AI169" t="s">
        <v>520</v>
      </c>
      <c r="AJ169" t="s">
        <v>563</v>
      </c>
      <c r="AK169" t="s">
        <v>669</v>
      </c>
      <c r="AL169">
        <v>28.07</v>
      </c>
      <c r="AM169" t="s">
        <v>520</v>
      </c>
      <c r="AN169" s="243">
        <v>103271.51</v>
      </c>
      <c r="AO169">
        <v>630000</v>
      </c>
      <c r="AP169">
        <v>16.39</v>
      </c>
      <c r="AQ169" t="s">
        <v>591</v>
      </c>
      <c r="AR169" t="s">
        <v>786</v>
      </c>
      <c r="AS169">
        <v>1.1200000000000001</v>
      </c>
      <c r="AT169">
        <v>0.18</v>
      </c>
      <c r="AU169" s="243">
        <v>44912291.039999999</v>
      </c>
      <c r="AV169">
        <v>35870000</v>
      </c>
      <c r="AW169">
        <v>125.21</v>
      </c>
      <c r="AX169" t="s">
        <v>584</v>
      </c>
      <c r="AY169" t="s">
        <v>731</v>
      </c>
      <c r="AZ169">
        <v>57.5</v>
      </c>
      <c r="BA169">
        <v>71.989999999999995</v>
      </c>
      <c r="BB169" s="243">
        <v>3211212.53</v>
      </c>
      <c r="BC169">
        <v>0</v>
      </c>
      <c r="BD169" t="s">
        <v>520</v>
      </c>
      <c r="BE169" t="s">
        <v>563</v>
      </c>
      <c r="BF169" t="s">
        <v>669</v>
      </c>
      <c r="BG169">
        <v>7.31</v>
      </c>
      <c r="BH169" t="s">
        <v>520</v>
      </c>
    </row>
    <row r="170" spans="1:60">
      <c r="A170">
        <v>711</v>
      </c>
      <c r="B170" t="s">
        <v>205</v>
      </c>
      <c r="C170" t="s">
        <v>525</v>
      </c>
      <c r="D170" t="s">
        <v>48</v>
      </c>
      <c r="E170" s="243">
        <v>15833606.609999999</v>
      </c>
      <c r="F170">
        <v>8940000</v>
      </c>
      <c r="G170">
        <v>177.11</v>
      </c>
      <c r="H170" t="s">
        <v>563</v>
      </c>
      <c r="I170" t="s">
        <v>689</v>
      </c>
      <c r="J170">
        <v>32.76</v>
      </c>
      <c r="K170">
        <v>58.02</v>
      </c>
      <c r="L170" s="243">
        <v>18536177</v>
      </c>
      <c r="M170">
        <v>15510000</v>
      </c>
      <c r="N170">
        <v>119.51</v>
      </c>
      <c r="O170" t="s">
        <v>568</v>
      </c>
      <c r="P170" t="s">
        <v>831</v>
      </c>
      <c r="Q170">
        <v>61.58</v>
      </c>
      <c r="R170">
        <v>73.599999999999994</v>
      </c>
      <c r="S170" s="243">
        <v>1497903</v>
      </c>
      <c r="T170">
        <v>1849000</v>
      </c>
      <c r="U170">
        <v>81.010000000000005</v>
      </c>
      <c r="V170" t="s">
        <v>572</v>
      </c>
      <c r="W170" t="s">
        <v>810</v>
      </c>
      <c r="X170">
        <v>55.61</v>
      </c>
      <c r="Y170">
        <v>45.05</v>
      </c>
      <c r="Z170" s="243">
        <v>231949</v>
      </c>
      <c r="AA170">
        <v>1381000</v>
      </c>
      <c r="AB170">
        <v>16.8</v>
      </c>
      <c r="AC170" t="s">
        <v>597</v>
      </c>
      <c r="AD170" t="s">
        <v>784</v>
      </c>
      <c r="AE170">
        <v>0.95</v>
      </c>
      <c r="AF170">
        <v>0.16</v>
      </c>
      <c r="AG170" s="243">
        <v>27824</v>
      </c>
      <c r="AH170">
        <v>0</v>
      </c>
      <c r="AI170" t="s">
        <v>520</v>
      </c>
      <c r="AJ170" t="s">
        <v>563</v>
      </c>
      <c r="AK170" t="s">
        <v>669</v>
      </c>
      <c r="AL170">
        <v>43.58</v>
      </c>
      <c r="AM170" t="s">
        <v>520</v>
      </c>
      <c r="AN170" s="243">
        <v>81675.53</v>
      </c>
      <c r="AO170">
        <v>500000</v>
      </c>
      <c r="AP170">
        <v>16.34</v>
      </c>
      <c r="AQ170" t="s">
        <v>562</v>
      </c>
      <c r="AR170" t="s">
        <v>805</v>
      </c>
      <c r="AS170">
        <v>33.15</v>
      </c>
      <c r="AT170">
        <v>5.41</v>
      </c>
      <c r="AU170" s="243">
        <v>36209135.140000001</v>
      </c>
      <c r="AV170">
        <v>28180000</v>
      </c>
      <c r="AW170">
        <v>128.49</v>
      </c>
      <c r="AX170" t="s">
        <v>580</v>
      </c>
      <c r="AY170" t="s">
        <v>803</v>
      </c>
      <c r="AZ170">
        <v>48.27</v>
      </c>
      <c r="BA170">
        <v>62.02</v>
      </c>
      <c r="BB170" s="243">
        <v>3571473.61</v>
      </c>
      <c r="BC170">
        <v>0</v>
      </c>
      <c r="BD170" t="s">
        <v>520</v>
      </c>
      <c r="BE170" t="s">
        <v>563</v>
      </c>
      <c r="BF170" t="s">
        <v>669</v>
      </c>
      <c r="BG170">
        <v>22.65</v>
      </c>
      <c r="BH170" t="s">
        <v>520</v>
      </c>
    </row>
    <row r="171" spans="1:60">
      <c r="A171">
        <v>712</v>
      </c>
      <c r="B171" t="s">
        <v>206</v>
      </c>
      <c r="C171" t="s">
        <v>527</v>
      </c>
      <c r="D171" t="s">
        <v>48</v>
      </c>
      <c r="E171" s="243">
        <v>1910317.35</v>
      </c>
      <c r="F171">
        <v>3650000</v>
      </c>
      <c r="G171">
        <v>52.34</v>
      </c>
      <c r="H171" t="s">
        <v>581</v>
      </c>
      <c r="I171" t="s">
        <v>760</v>
      </c>
      <c r="J171">
        <v>32.79</v>
      </c>
      <c r="K171">
        <v>17.16</v>
      </c>
      <c r="L171" s="243">
        <v>9155494</v>
      </c>
      <c r="M171">
        <v>6330000</v>
      </c>
      <c r="N171">
        <v>144.63999999999999</v>
      </c>
      <c r="O171" t="s">
        <v>584</v>
      </c>
      <c r="P171" t="s">
        <v>788</v>
      </c>
      <c r="Q171">
        <v>82.14</v>
      </c>
      <c r="R171">
        <v>118.81</v>
      </c>
      <c r="S171" s="243">
        <v>419393</v>
      </c>
      <c r="T171">
        <v>262000</v>
      </c>
      <c r="U171">
        <v>160.07</v>
      </c>
      <c r="V171" t="s">
        <v>589</v>
      </c>
      <c r="W171" t="s">
        <v>840</v>
      </c>
      <c r="X171">
        <v>77.900000000000006</v>
      </c>
      <c r="Y171">
        <v>124.7</v>
      </c>
      <c r="Z171" s="243">
        <v>29210</v>
      </c>
      <c r="AA171">
        <v>1058000</v>
      </c>
      <c r="AB171">
        <v>2.76</v>
      </c>
      <c r="AC171" t="s">
        <v>581</v>
      </c>
      <c r="AD171" t="s">
        <v>680</v>
      </c>
      <c r="AE171">
        <v>64.61</v>
      </c>
      <c r="AF171">
        <v>1.78</v>
      </c>
      <c r="AG171" s="243">
        <v>32200</v>
      </c>
      <c r="AH171">
        <v>0</v>
      </c>
      <c r="AI171" t="s">
        <v>520</v>
      </c>
      <c r="AJ171" t="s">
        <v>563</v>
      </c>
      <c r="AK171" t="s">
        <v>669</v>
      </c>
      <c r="AL171">
        <v>5.72</v>
      </c>
      <c r="AM171" t="s">
        <v>520</v>
      </c>
      <c r="AN171" s="243">
        <v>8033.39</v>
      </c>
      <c r="AO171">
        <v>200000</v>
      </c>
      <c r="AP171">
        <v>4.0199999999999996</v>
      </c>
      <c r="AQ171" t="s">
        <v>594</v>
      </c>
      <c r="AR171" t="s">
        <v>721</v>
      </c>
      <c r="AS171">
        <v>0</v>
      </c>
      <c r="AT171">
        <v>0</v>
      </c>
      <c r="AU171" s="243">
        <v>11554647.74</v>
      </c>
      <c r="AV171">
        <v>11500000</v>
      </c>
      <c r="AW171">
        <v>100.48</v>
      </c>
      <c r="AX171" t="s">
        <v>578</v>
      </c>
      <c r="AY171" t="s">
        <v>762</v>
      </c>
      <c r="AZ171">
        <v>73.510000000000005</v>
      </c>
      <c r="BA171">
        <v>73.86</v>
      </c>
      <c r="BB171" s="243">
        <v>853780.35</v>
      </c>
      <c r="BC171">
        <v>0</v>
      </c>
      <c r="BD171" t="s">
        <v>520</v>
      </c>
      <c r="BE171" t="s">
        <v>563</v>
      </c>
      <c r="BF171" t="s">
        <v>669</v>
      </c>
      <c r="BG171">
        <v>12.79</v>
      </c>
      <c r="BH171" t="s">
        <v>520</v>
      </c>
    </row>
    <row r="172" spans="1:60">
      <c r="A172">
        <v>719</v>
      </c>
      <c r="B172" t="s">
        <v>59</v>
      </c>
      <c r="C172" t="s">
        <v>522</v>
      </c>
      <c r="D172" t="s">
        <v>48</v>
      </c>
      <c r="E172" s="243">
        <v>12028106.539999999</v>
      </c>
      <c r="F172">
        <v>11660000</v>
      </c>
      <c r="G172">
        <v>103.16</v>
      </c>
      <c r="H172" t="s">
        <v>560</v>
      </c>
      <c r="I172" t="s">
        <v>825</v>
      </c>
      <c r="J172">
        <v>18.239999999999998</v>
      </c>
      <c r="K172">
        <v>18.809999999999999</v>
      </c>
      <c r="L172" s="243">
        <v>23039525</v>
      </c>
      <c r="M172">
        <v>20210000</v>
      </c>
      <c r="N172">
        <v>114</v>
      </c>
      <c r="O172" t="s">
        <v>597</v>
      </c>
      <c r="P172" t="s">
        <v>767</v>
      </c>
      <c r="Q172">
        <v>18.440000000000001</v>
      </c>
      <c r="R172">
        <v>21.02</v>
      </c>
      <c r="S172" s="243">
        <v>1997624</v>
      </c>
      <c r="T172">
        <v>2829000</v>
      </c>
      <c r="U172">
        <v>70.61</v>
      </c>
      <c r="V172" t="s">
        <v>579</v>
      </c>
      <c r="W172" t="s">
        <v>880</v>
      </c>
      <c r="X172">
        <v>46.41</v>
      </c>
      <c r="Y172">
        <v>32.770000000000003</v>
      </c>
      <c r="Z172" s="243">
        <v>441822</v>
      </c>
      <c r="AA172">
        <v>1381000</v>
      </c>
      <c r="AB172">
        <v>31.99</v>
      </c>
      <c r="AC172" t="s">
        <v>593</v>
      </c>
      <c r="AD172" t="s">
        <v>699</v>
      </c>
      <c r="AE172">
        <v>0.23</v>
      </c>
      <c r="AF172">
        <v>7.0000000000000007E-2</v>
      </c>
      <c r="AG172" s="243">
        <v>68918</v>
      </c>
      <c r="AH172">
        <v>0</v>
      </c>
      <c r="AI172" t="s">
        <v>520</v>
      </c>
      <c r="AJ172" t="s">
        <v>563</v>
      </c>
      <c r="AK172" t="s">
        <v>669</v>
      </c>
      <c r="AL172">
        <v>9.5500000000000007</v>
      </c>
      <c r="AM172" t="s">
        <v>520</v>
      </c>
      <c r="AN172" s="243">
        <v>572765.65</v>
      </c>
      <c r="AO172">
        <v>650000</v>
      </c>
      <c r="AP172">
        <v>88.12</v>
      </c>
      <c r="AQ172" t="s">
        <v>573</v>
      </c>
      <c r="AR172" t="s">
        <v>804</v>
      </c>
      <c r="AS172">
        <v>92.58</v>
      </c>
      <c r="AT172">
        <v>81.58</v>
      </c>
      <c r="AU172" s="243">
        <v>38148761.189999998</v>
      </c>
      <c r="AV172">
        <v>36730000</v>
      </c>
      <c r="AW172">
        <v>103.86</v>
      </c>
      <c r="AX172" t="s">
        <v>560</v>
      </c>
      <c r="AY172" t="s">
        <v>829</v>
      </c>
      <c r="AZ172">
        <v>20.72</v>
      </c>
      <c r="BA172">
        <v>21.52</v>
      </c>
      <c r="BB172" s="243">
        <v>4748275.54</v>
      </c>
      <c r="BC172">
        <v>0</v>
      </c>
      <c r="BD172" t="s">
        <v>520</v>
      </c>
      <c r="BE172" t="s">
        <v>563</v>
      </c>
      <c r="BF172" t="s">
        <v>669</v>
      </c>
      <c r="BG172">
        <v>7.15</v>
      </c>
      <c r="BH172" t="s">
        <v>520</v>
      </c>
    </row>
    <row r="173" spans="1:60">
      <c r="A173">
        <v>720</v>
      </c>
      <c r="B173" t="s">
        <v>112</v>
      </c>
      <c r="C173" t="s">
        <v>524</v>
      </c>
      <c r="D173" t="s">
        <v>48</v>
      </c>
      <c r="E173" s="243">
        <v>16259786.029999999</v>
      </c>
      <c r="F173">
        <v>9780000</v>
      </c>
      <c r="G173">
        <v>166.26</v>
      </c>
      <c r="H173" t="s">
        <v>574</v>
      </c>
      <c r="I173" t="s">
        <v>788</v>
      </c>
      <c r="J173">
        <v>13.02</v>
      </c>
      <c r="K173">
        <v>21.65</v>
      </c>
      <c r="L173" s="243">
        <v>11915419</v>
      </c>
      <c r="M173">
        <v>16960000</v>
      </c>
      <c r="N173">
        <v>70.260000000000005</v>
      </c>
      <c r="O173" t="s">
        <v>586</v>
      </c>
      <c r="P173" t="s">
        <v>838</v>
      </c>
      <c r="Q173">
        <v>48.39</v>
      </c>
      <c r="R173">
        <v>34</v>
      </c>
      <c r="S173" s="243">
        <v>2455618</v>
      </c>
      <c r="T173">
        <v>2554000</v>
      </c>
      <c r="U173">
        <v>96.15</v>
      </c>
      <c r="V173" t="s">
        <v>569</v>
      </c>
      <c r="W173" t="s">
        <v>857</v>
      </c>
      <c r="X173">
        <v>31.43</v>
      </c>
      <c r="Y173">
        <v>30.22</v>
      </c>
      <c r="Z173" s="243">
        <v>59131</v>
      </c>
      <c r="AA173">
        <v>986000</v>
      </c>
      <c r="AB173">
        <v>6</v>
      </c>
      <c r="AC173" t="s">
        <v>585</v>
      </c>
      <c r="AD173" t="s">
        <v>710</v>
      </c>
      <c r="AE173">
        <v>0.03</v>
      </c>
      <c r="AF173">
        <v>0</v>
      </c>
      <c r="AG173" s="243">
        <v>9503</v>
      </c>
      <c r="AH173">
        <v>0</v>
      </c>
      <c r="AI173" t="s">
        <v>520</v>
      </c>
      <c r="AJ173" t="s">
        <v>563</v>
      </c>
      <c r="AK173" t="s">
        <v>669</v>
      </c>
      <c r="AL173">
        <v>19.579999999999998</v>
      </c>
      <c r="AM173" t="s">
        <v>520</v>
      </c>
      <c r="AN173" s="243">
        <v>339833.86</v>
      </c>
      <c r="AO173">
        <v>540000</v>
      </c>
      <c r="AP173">
        <v>62.93</v>
      </c>
      <c r="AQ173" t="s">
        <v>567</v>
      </c>
      <c r="AR173" t="s">
        <v>891</v>
      </c>
      <c r="AS173">
        <v>0</v>
      </c>
      <c r="AT173">
        <v>0</v>
      </c>
      <c r="AU173" s="243">
        <v>31039290.890000001</v>
      </c>
      <c r="AV173">
        <v>30820000</v>
      </c>
      <c r="AW173">
        <v>100.71</v>
      </c>
      <c r="AX173" t="s">
        <v>582</v>
      </c>
      <c r="AY173" t="s">
        <v>848</v>
      </c>
      <c r="AZ173">
        <v>27.89</v>
      </c>
      <c r="BA173">
        <v>28.09</v>
      </c>
      <c r="BB173" s="243">
        <v>6041279.0300000003</v>
      </c>
      <c r="BC173">
        <v>0</v>
      </c>
      <c r="BD173" t="s">
        <v>520</v>
      </c>
      <c r="BE173" t="s">
        <v>563</v>
      </c>
      <c r="BF173" t="s">
        <v>669</v>
      </c>
      <c r="BG173">
        <v>11.59</v>
      </c>
      <c r="BH173" t="s">
        <v>520</v>
      </c>
    </row>
    <row r="174" spans="1:60">
      <c r="A174">
        <v>721</v>
      </c>
      <c r="B174" t="s">
        <v>60</v>
      </c>
      <c r="C174" t="s">
        <v>524</v>
      </c>
      <c r="D174" t="s">
        <v>48</v>
      </c>
      <c r="E174" s="243">
        <v>15202637.32</v>
      </c>
      <c r="F174">
        <v>8840000</v>
      </c>
      <c r="G174">
        <v>171.98</v>
      </c>
      <c r="H174" t="s">
        <v>559</v>
      </c>
      <c r="I174" t="s">
        <v>890</v>
      </c>
      <c r="J174">
        <v>25.13</v>
      </c>
      <c r="K174">
        <v>43.22</v>
      </c>
      <c r="L174" s="243">
        <v>9166992</v>
      </c>
      <c r="M174">
        <v>15330000</v>
      </c>
      <c r="N174">
        <v>59.8</v>
      </c>
      <c r="O174" t="s">
        <v>581</v>
      </c>
      <c r="P174" t="s">
        <v>756</v>
      </c>
      <c r="Q174">
        <v>41.52</v>
      </c>
      <c r="R174">
        <v>24.83</v>
      </c>
      <c r="S174" s="243">
        <v>708724</v>
      </c>
      <c r="T174">
        <v>1693000</v>
      </c>
      <c r="U174">
        <v>41.86</v>
      </c>
      <c r="V174" t="s">
        <v>578</v>
      </c>
      <c r="W174" t="s">
        <v>777</v>
      </c>
      <c r="X174">
        <v>66.41</v>
      </c>
      <c r="Y174">
        <v>27.8</v>
      </c>
      <c r="Z174" s="243">
        <v>343716</v>
      </c>
      <c r="AA174">
        <v>1497000</v>
      </c>
      <c r="AB174">
        <v>22.96</v>
      </c>
      <c r="AC174" t="s">
        <v>566</v>
      </c>
      <c r="AD174" t="s">
        <v>806</v>
      </c>
      <c r="AE174">
        <v>3.61</v>
      </c>
      <c r="AF174">
        <v>0.83</v>
      </c>
      <c r="AG174" s="243">
        <v>29697</v>
      </c>
      <c r="AH174">
        <v>0</v>
      </c>
      <c r="AI174" t="s">
        <v>520</v>
      </c>
      <c r="AJ174" t="s">
        <v>563</v>
      </c>
      <c r="AK174" t="s">
        <v>669</v>
      </c>
      <c r="AL174">
        <v>7.73</v>
      </c>
      <c r="AM174" t="s">
        <v>520</v>
      </c>
      <c r="AN174" s="243">
        <v>233401.67</v>
      </c>
      <c r="AO174">
        <v>490000</v>
      </c>
      <c r="AP174">
        <v>47.63</v>
      </c>
      <c r="AQ174" t="s">
        <v>593</v>
      </c>
      <c r="AR174" t="s">
        <v>801</v>
      </c>
      <c r="AS174">
        <v>0</v>
      </c>
      <c r="AT174">
        <v>0</v>
      </c>
      <c r="AU174" s="243">
        <v>25685167.989999998</v>
      </c>
      <c r="AV174">
        <v>27850000</v>
      </c>
      <c r="AW174">
        <v>92.23</v>
      </c>
      <c r="AX174" t="s">
        <v>588</v>
      </c>
      <c r="AY174" t="s">
        <v>786</v>
      </c>
      <c r="AZ174">
        <v>31.59</v>
      </c>
      <c r="BA174">
        <v>29.13</v>
      </c>
      <c r="BB174" s="243">
        <v>3942324.32</v>
      </c>
      <c r="BC174">
        <v>0</v>
      </c>
      <c r="BD174" t="s">
        <v>520</v>
      </c>
      <c r="BE174" t="s">
        <v>563</v>
      </c>
      <c r="BF174" t="s">
        <v>669</v>
      </c>
      <c r="BG174">
        <v>15.43</v>
      </c>
      <c r="BH174" t="s">
        <v>520</v>
      </c>
    </row>
    <row r="175" spans="1:60">
      <c r="A175">
        <v>722</v>
      </c>
      <c r="B175" t="s">
        <v>61</v>
      </c>
      <c r="C175" t="s">
        <v>526</v>
      </c>
      <c r="D175" t="s">
        <v>48</v>
      </c>
      <c r="E175" s="243">
        <v>4084158</v>
      </c>
      <c r="F175">
        <v>5690000</v>
      </c>
      <c r="G175">
        <v>71.78</v>
      </c>
      <c r="H175" t="s">
        <v>590</v>
      </c>
      <c r="I175" t="s">
        <v>677</v>
      </c>
      <c r="J175">
        <v>23.77</v>
      </c>
      <c r="K175">
        <v>17.059999999999999</v>
      </c>
      <c r="L175" s="243">
        <v>9543186</v>
      </c>
      <c r="M175">
        <v>9860000</v>
      </c>
      <c r="N175">
        <v>96.79</v>
      </c>
      <c r="O175" t="s">
        <v>578</v>
      </c>
      <c r="P175" t="s">
        <v>886</v>
      </c>
      <c r="Q175">
        <v>67.819999999999993</v>
      </c>
      <c r="R175">
        <v>65.64</v>
      </c>
      <c r="S175" s="243">
        <v>2109289</v>
      </c>
      <c r="T175">
        <v>433000</v>
      </c>
      <c r="U175">
        <v>487.13</v>
      </c>
      <c r="V175" t="s">
        <v>563</v>
      </c>
      <c r="W175" t="s">
        <v>836</v>
      </c>
      <c r="X175">
        <v>34.880000000000003</v>
      </c>
      <c r="Y175">
        <v>169.9</v>
      </c>
      <c r="Z175" s="243">
        <v>188679</v>
      </c>
      <c r="AA175">
        <v>1617000</v>
      </c>
      <c r="AB175">
        <v>11.67</v>
      </c>
      <c r="AC175" t="s">
        <v>592</v>
      </c>
      <c r="AD175" t="s">
        <v>873</v>
      </c>
      <c r="AE175">
        <v>0.23</v>
      </c>
      <c r="AF175">
        <v>0.03</v>
      </c>
      <c r="AG175" s="243">
        <v>20758</v>
      </c>
      <c r="AH175">
        <v>0</v>
      </c>
      <c r="AI175" t="s">
        <v>520</v>
      </c>
      <c r="AJ175" t="s">
        <v>563</v>
      </c>
      <c r="AK175" t="s">
        <v>669</v>
      </c>
      <c r="AL175">
        <v>10.28</v>
      </c>
      <c r="AM175" t="s">
        <v>520</v>
      </c>
      <c r="AN175" s="243">
        <v>0</v>
      </c>
      <c r="AO175">
        <v>320000</v>
      </c>
      <c r="AP175">
        <v>0</v>
      </c>
      <c r="AQ175" t="s">
        <v>590</v>
      </c>
      <c r="AR175" t="s">
        <v>680</v>
      </c>
      <c r="AS175">
        <v>0</v>
      </c>
      <c r="AT175">
        <v>0</v>
      </c>
      <c r="AU175" s="243">
        <v>15946070</v>
      </c>
      <c r="AV175">
        <v>17920000</v>
      </c>
      <c r="AW175">
        <v>88.98</v>
      </c>
      <c r="AX175" t="s">
        <v>585</v>
      </c>
      <c r="AY175" t="s">
        <v>849</v>
      </c>
      <c r="AZ175">
        <v>51.31</v>
      </c>
      <c r="BA175">
        <v>45.65</v>
      </c>
      <c r="BB175" s="243">
        <v>1718996</v>
      </c>
      <c r="BC175">
        <v>0</v>
      </c>
      <c r="BD175" t="s">
        <v>520</v>
      </c>
      <c r="BE175" t="s">
        <v>563</v>
      </c>
      <c r="BF175" t="s">
        <v>669</v>
      </c>
      <c r="BG175">
        <v>10.56</v>
      </c>
      <c r="BH175" t="s">
        <v>520</v>
      </c>
    </row>
    <row r="176" spans="1:60">
      <c r="A176">
        <v>751</v>
      </c>
      <c r="B176" t="s">
        <v>62</v>
      </c>
      <c r="C176" t="s">
        <v>527</v>
      </c>
      <c r="D176" t="s">
        <v>48</v>
      </c>
      <c r="E176" s="243">
        <v>5173943.79</v>
      </c>
      <c r="F176">
        <v>7430000</v>
      </c>
      <c r="G176">
        <v>69.64</v>
      </c>
      <c r="H176" t="s">
        <v>586</v>
      </c>
      <c r="I176" t="s">
        <v>739</v>
      </c>
      <c r="J176">
        <v>29.31</v>
      </c>
      <c r="K176">
        <v>20.41</v>
      </c>
      <c r="L176" s="243">
        <v>17924774</v>
      </c>
      <c r="M176">
        <v>12880000</v>
      </c>
      <c r="N176">
        <v>139.16999999999999</v>
      </c>
      <c r="O176" t="s">
        <v>569</v>
      </c>
      <c r="P176" t="s">
        <v>707</v>
      </c>
      <c r="Q176">
        <v>65.459999999999994</v>
      </c>
      <c r="R176">
        <v>91.1</v>
      </c>
      <c r="S176" s="243">
        <v>205392</v>
      </c>
      <c r="T176">
        <v>1350000</v>
      </c>
      <c r="U176">
        <v>15.21</v>
      </c>
      <c r="V176" t="s">
        <v>581</v>
      </c>
      <c r="W176" t="s">
        <v>739</v>
      </c>
      <c r="X176">
        <v>50.61</v>
      </c>
      <c r="Y176">
        <v>7.7</v>
      </c>
      <c r="Z176" s="243">
        <v>51568</v>
      </c>
      <c r="AA176">
        <v>1330000</v>
      </c>
      <c r="AB176">
        <v>3.88</v>
      </c>
      <c r="AC176" t="s">
        <v>586</v>
      </c>
      <c r="AD176" t="s">
        <v>822</v>
      </c>
      <c r="AE176">
        <v>3.91</v>
      </c>
      <c r="AF176">
        <v>0.15</v>
      </c>
      <c r="AG176" s="243">
        <v>38538</v>
      </c>
      <c r="AH176">
        <v>0</v>
      </c>
      <c r="AI176" t="s">
        <v>520</v>
      </c>
      <c r="AJ176" t="s">
        <v>563</v>
      </c>
      <c r="AK176" t="s">
        <v>669</v>
      </c>
      <c r="AL176">
        <v>5.26</v>
      </c>
      <c r="AM176" t="s">
        <v>520</v>
      </c>
      <c r="AN176" s="243">
        <v>0</v>
      </c>
      <c r="AO176">
        <v>410000</v>
      </c>
      <c r="AP176">
        <v>0</v>
      </c>
      <c r="AQ176" t="s">
        <v>590</v>
      </c>
      <c r="AR176" t="s">
        <v>680</v>
      </c>
      <c r="AS176">
        <v>0</v>
      </c>
      <c r="AT176">
        <v>0</v>
      </c>
      <c r="AU176" s="243">
        <v>23394215.789999999</v>
      </c>
      <c r="AV176">
        <v>23400000</v>
      </c>
      <c r="AW176">
        <v>99.98</v>
      </c>
      <c r="AX176" t="s">
        <v>571</v>
      </c>
      <c r="AY176" t="s">
        <v>860</v>
      </c>
      <c r="AZ176">
        <v>57.1</v>
      </c>
      <c r="BA176">
        <v>57.09</v>
      </c>
      <c r="BB176" s="243">
        <v>2183735.79</v>
      </c>
      <c r="BC176">
        <v>0</v>
      </c>
      <c r="BD176" t="s">
        <v>520</v>
      </c>
      <c r="BE176" t="s">
        <v>563</v>
      </c>
      <c r="BF176" t="s">
        <v>669</v>
      </c>
      <c r="BG176">
        <v>9.16</v>
      </c>
      <c r="BH176" t="s">
        <v>520</v>
      </c>
    </row>
    <row r="177" spans="1:60">
      <c r="A177">
        <v>752</v>
      </c>
      <c r="B177" t="s">
        <v>63</v>
      </c>
      <c r="C177" t="s">
        <v>526</v>
      </c>
      <c r="D177" t="s">
        <v>48</v>
      </c>
      <c r="E177" s="243">
        <v>10575395.630000001</v>
      </c>
      <c r="F177">
        <v>9480000</v>
      </c>
      <c r="G177">
        <v>111.55</v>
      </c>
      <c r="H177" t="s">
        <v>579</v>
      </c>
      <c r="I177" t="s">
        <v>801</v>
      </c>
      <c r="J177">
        <v>11.31</v>
      </c>
      <c r="K177">
        <v>12.62</v>
      </c>
      <c r="L177" s="243">
        <v>24908599</v>
      </c>
      <c r="M177">
        <v>16430000</v>
      </c>
      <c r="N177">
        <v>151.6</v>
      </c>
      <c r="O177" t="s">
        <v>580</v>
      </c>
      <c r="P177" t="s">
        <v>679</v>
      </c>
      <c r="Q177">
        <v>44.7</v>
      </c>
      <c r="R177">
        <v>67.77</v>
      </c>
      <c r="S177" s="243">
        <v>1493383</v>
      </c>
      <c r="T177">
        <v>2251000</v>
      </c>
      <c r="U177">
        <v>66.34</v>
      </c>
      <c r="V177" t="s">
        <v>560</v>
      </c>
      <c r="W177" t="s">
        <v>785</v>
      </c>
      <c r="X177">
        <v>18.53</v>
      </c>
      <c r="Y177">
        <v>12.3</v>
      </c>
      <c r="Z177" s="243">
        <v>413312</v>
      </c>
      <c r="AA177">
        <v>1169000</v>
      </c>
      <c r="AB177">
        <v>35.36</v>
      </c>
      <c r="AC177" t="s">
        <v>567</v>
      </c>
      <c r="AD177" t="s">
        <v>821</v>
      </c>
      <c r="AE177">
        <v>7.0000000000000007E-2</v>
      </c>
      <c r="AF177">
        <v>0.03</v>
      </c>
      <c r="AG177" s="243">
        <v>61862</v>
      </c>
      <c r="AH177">
        <v>0</v>
      </c>
      <c r="AI177" t="s">
        <v>520</v>
      </c>
      <c r="AJ177" t="s">
        <v>563</v>
      </c>
      <c r="AK177" t="s">
        <v>669</v>
      </c>
      <c r="AL177">
        <v>1.51</v>
      </c>
      <c r="AM177" t="s">
        <v>520</v>
      </c>
      <c r="AN177" s="243">
        <v>38622.06</v>
      </c>
      <c r="AO177">
        <v>530000</v>
      </c>
      <c r="AP177">
        <v>7.29</v>
      </c>
      <c r="AQ177" t="s">
        <v>577</v>
      </c>
      <c r="AR177" t="s">
        <v>710</v>
      </c>
      <c r="AS177">
        <v>0</v>
      </c>
      <c r="AT177">
        <v>0</v>
      </c>
      <c r="AU177" s="243">
        <v>37491173.689999998</v>
      </c>
      <c r="AV177">
        <v>29860000</v>
      </c>
      <c r="AW177">
        <v>125.56</v>
      </c>
      <c r="AX177" t="s">
        <v>567</v>
      </c>
      <c r="AY177" t="s">
        <v>876</v>
      </c>
      <c r="AZ177">
        <v>33.630000000000003</v>
      </c>
      <c r="BA177">
        <v>42.23</v>
      </c>
      <c r="BB177" s="243">
        <v>3943628.63</v>
      </c>
      <c r="BC177">
        <v>0</v>
      </c>
      <c r="BD177" t="s">
        <v>520</v>
      </c>
      <c r="BE177" t="s">
        <v>563</v>
      </c>
      <c r="BF177" t="s">
        <v>669</v>
      </c>
      <c r="BG177">
        <v>6.81</v>
      </c>
      <c r="BH177" t="s">
        <v>520</v>
      </c>
    </row>
    <row r="178" spans="1:60">
      <c r="A178">
        <v>753</v>
      </c>
      <c r="B178" t="s">
        <v>207</v>
      </c>
      <c r="C178" t="s">
        <v>526</v>
      </c>
      <c r="D178" t="s">
        <v>48</v>
      </c>
      <c r="E178" s="243">
        <v>12442024.130000001</v>
      </c>
      <c r="F178">
        <v>7050000</v>
      </c>
      <c r="G178">
        <v>176.48</v>
      </c>
      <c r="H178" t="s">
        <v>575</v>
      </c>
      <c r="I178" t="s">
        <v>834</v>
      </c>
      <c r="J178">
        <v>9.89</v>
      </c>
      <c r="K178">
        <v>17.45</v>
      </c>
      <c r="L178" s="243">
        <v>14389454</v>
      </c>
      <c r="M178">
        <v>12230000</v>
      </c>
      <c r="N178">
        <v>117.66</v>
      </c>
      <c r="O178" t="s">
        <v>591</v>
      </c>
      <c r="P178" t="s">
        <v>882</v>
      </c>
      <c r="Q178">
        <v>75.94</v>
      </c>
      <c r="R178">
        <v>89.34</v>
      </c>
      <c r="S178" s="243">
        <v>1055609</v>
      </c>
      <c r="T178">
        <v>1053000</v>
      </c>
      <c r="U178">
        <v>100.25</v>
      </c>
      <c r="V178" t="s">
        <v>564</v>
      </c>
      <c r="W178" t="s">
        <v>767</v>
      </c>
      <c r="X178">
        <v>4.4400000000000004</v>
      </c>
      <c r="Y178">
        <v>4.45</v>
      </c>
      <c r="Z178" s="243">
        <v>100929</v>
      </c>
      <c r="AA178">
        <v>1497000</v>
      </c>
      <c r="AB178">
        <v>6.74</v>
      </c>
      <c r="AC178" t="s">
        <v>588</v>
      </c>
      <c r="AD178" t="s">
        <v>782</v>
      </c>
      <c r="AE178">
        <v>0</v>
      </c>
      <c r="AF178">
        <v>0</v>
      </c>
      <c r="AG178" s="243">
        <v>34229</v>
      </c>
      <c r="AH178">
        <v>0</v>
      </c>
      <c r="AI178" t="s">
        <v>520</v>
      </c>
      <c r="AJ178" t="s">
        <v>563</v>
      </c>
      <c r="AK178" t="s">
        <v>669</v>
      </c>
      <c r="AL178">
        <v>1.64</v>
      </c>
      <c r="AM178" t="s">
        <v>520</v>
      </c>
      <c r="AN178" s="243">
        <v>241882.14</v>
      </c>
      <c r="AO178">
        <v>390000</v>
      </c>
      <c r="AP178">
        <v>62.02</v>
      </c>
      <c r="AQ178" t="s">
        <v>584</v>
      </c>
      <c r="AR178" t="s">
        <v>886</v>
      </c>
      <c r="AS178">
        <v>94.72</v>
      </c>
      <c r="AT178">
        <v>58.75</v>
      </c>
      <c r="AU178" s="243">
        <v>28264127.27</v>
      </c>
      <c r="AV178">
        <v>22220000</v>
      </c>
      <c r="AW178">
        <v>127.2</v>
      </c>
      <c r="AX178" t="s">
        <v>576</v>
      </c>
      <c r="AY178" t="s">
        <v>790</v>
      </c>
      <c r="AZ178">
        <v>43.99</v>
      </c>
      <c r="BA178">
        <v>55.96</v>
      </c>
      <c r="BB178" s="243">
        <v>2281384.13</v>
      </c>
      <c r="BC178">
        <v>0</v>
      </c>
      <c r="BD178" t="s">
        <v>520</v>
      </c>
      <c r="BE178" t="s">
        <v>563</v>
      </c>
      <c r="BF178" t="s">
        <v>669</v>
      </c>
      <c r="BG178">
        <v>4.8</v>
      </c>
      <c r="BH178" t="s">
        <v>520</v>
      </c>
    </row>
    <row r="179" spans="1:60" s="93" customFormat="1">
      <c r="A179" s="93">
        <v>760</v>
      </c>
      <c r="B179" s="93" t="s">
        <v>64</v>
      </c>
      <c r="C179" s="93" t="s">
        <v>524</v>
      </c>
      <c r="D179" s="93" t="s">
        <v>48</v>
      </c>
      <c r="E179" s="93">
        <f>E194+E195</f>
        <v>10831405.760000002</v>
      </c>
      <c r="F179" s="93">
        <v>8760000</v>
      </c>
      <c r="G179" s="93">
        <v>51.02</v>
      </c>
      <c r="H179" s="93" t="s">
        <v>596</v>
      </c>
      <c r="I179" s="93" t="s">
        <v>752</v>
      </c>
      <c r="J179" s="93">
        <v>28.58</v>
      </c>
      <c r="K179" s="93">
        <v>14.58</v>
      </c>
      <c r="L179" s="93">
        <f>L194+L195</f>
        <v>33163315</v>
      </c>
      <c r="M179" s="93">
        <v>15200000</v>
      </c>
      <c r="N179" s="93">
        <v>118.44</v>
      </c>
      <c r="O179" s="93" t="s">
        <v>579</v>
      </c>
      <c r="P179" s="93" t="s">
        <v>696</v>
      </c>
      <c r="Q179" s="93">
        <v>37.83</v>
      </c>
      <c r="R179" s="93">
        <v>44.81</v>
      </c>
      <c r="S179" s="93">
        <f>S194+S195</f>
        <v>776948</v>
      </c>
      <c r="T179" s="93">
        <v>1902000</v>
      </c>
      <c r="U179" s="93">
        <v>37.29</v>
      </c>
      <c r="V179" s="93" t="s">
        <v>594</v>
      </c>
      <c r="W179" s="93" t="s">
        <v>846</v>
      </c>
      <c r="X179" s="93">
        <v>45.2</v>
      </c>
      <c r="Y179" s="93">
        <v>16.86</v>
      </c>
      <c r="Z179" s="93">
        <f>Z194+Z195</f>
        <v>333737</v>
      </c>
      <c r="AA179" s="93">
        <v>1258000</v>
      </c>
      <c r="AB179" s="93">
        <v>8.0399999999999991</v>
      </c>
      <c r="AC179" s="93" t="s">
        <v>594</v>
      </c>
      <c r="AD179" s="93" t="s">
        <v>797</v>
      </c>
      <c r="AE179" s="93">
        <v>0.02</v>
      </c>
      <c r="AF179" s="93">
        <v>0</v>
      </c>
      <c r="AG179" s="93">
        <f>AG194+AG195</f>
        <v>38798</v>
      </c>
      <c r="AH179" s="93">
        <v>0</v>
      </c>
      <c r="AI179" s="93" t="s">
        <v>520</v>
      </c>
      <c r="AJ179" s="93" t="s">
        <v>563</v>
      </c>
      <c r="AK179" s="93" t="s">
        <v>669</v>
      </c>
      <c r="AL179" s="93">
        <v>9.3000000000000007</v>
      </c>
      <c r="AM179" s="93" t="s">
        <v>520</v>
      </c>
      <c r="AN179" s="93">
        <f>AN194+AN195</f>
        <v>8214.4699999999993</v>
      </c>
      <c r="AO179" s="93">
        <v>490000</v>
      </c>
      <c r="AP179" s="93">
        <v>1.68</v>
      </c>
      <c r="AQ179" s="93" t="s">
        <v>585</v>
      </c>
      <c r="AR179" s="93" t="s">
        <v>739</v>
      </c>
      <c r="AS179" s="93">
        <v>0</v>
      </c>
      <c r="AT179" s="93">
        <v>0</v>
      </c>
      <c r="AU179" s="93">
        <f>AU194+AU195</f>
        <v>45152418.230000004</v>
      </c>
      <c r="AV179" s="93">
        <v>27610000</v>
      </c>
      <c r="AW179" s="93">
        <v>84.46</v>
      </c>
      <c r="AX179" s="93" t="s">
        <v>590</v>
      </c>
      <c r="AY179" s="93" t="s">
        <v>874</v>
      </c>
      <c r="AZ179" s="93">
        <v>36.07</v>
      </c>
      <c r="BA179" s="93">
        <v>30.47</v>
      </c>
      <c r="BB179" s="93">
        <f>BB194+BB195</f>
        <v>3335116.76</v>
      </c>
      <c r="BC179" s="93">
        <v>0</v>
      </c>
      <c r="BD179" s="93" t="s">
        <v>520</v>
      </c>
      <c r="BE179" s="93" t="s">
        <v>563</v>
      </c>
      <c r="BF179" s="93" t="s">
        <v>669</v>
      </c>
      <c r="BG179" s="93">
        <v>19.73</v>
      </c>
      <c r="BH179" s="93" t="s">
        <v>520</v>
      </c>
    </row>
    <row r="180" spans="1:60">
      <c r="A180">
        <v>800</v>
      </c>
      <c r="B180" t="s">
        <v>66</v>
      </c>
      <c r="C180" t="s">
        <v>526</v>
      </c>
      <c r="D180" t="s">
        <v>48</v>
      </c>
      <c r="E180" s="243">
        <v>16274183.529999999</v>
      </c>
      <c r="F180">
        <v>10240000</v>
      </c>
      <c r="G180">
        <v>158.93</v>
      </c>
      <c r="H180" t="s">
        <v>561</v>
      </c>
      <c r="I180" t="s">
        <v>707</v>
      </c>
      <c r="J180">
        <v>13.01</v>
      </c>
      <c r="K180">
        <v>20.68</v>
      </c>
      <c r="L180" s="243">
        <v>17353501</v>
      </c>
      <c r="M180">
        <v>17750000</v>
      </c>
      <c r="N180">
        <v>97.77</v>
      </c>
      <c r="O180" t="s">
        <v>592</v>
      </c>
      <c r="P180" t="s">
        <v>821</v>
      </c>
      <c r="Q180">
        <v>32.68</v>
      </c>
      <c r="R180">
        <v>31.95</v>
      </c>
      <c r="S180" s="243">
        <v>2930267</v>
      </c>
      <c r="T180">
        <v>2319000</v>
      </c>
      <c r="U180">
        <v>126.36</v>
      </c>
      <c r="V180" t="s">
        <v>593</v>
      </c>
      <c r="W180" t="s">
        <v>853</v>
      </c>
      <c r="X180">
        <v>19.47</v>
      </c>
      <c r="Y180">
        <v>24.6</v>
      </c>
      <c r="Z180" s="243">
        <v>242273</v>
      </c>
      <c r="AA180">
        <v>1381000</v>
      </c>
      <c r="AB180">
        <v>17.54</v>
      </c>
      <c r="AC180" t="s">
        <v>591</v>
      </c>
      <c r="AD180" t="s">
        <v>851</v>
      </c>
      <c r="AE180">
        <v>4.75</v>
      </c>
      <c r="AF180">
        <v>0.83</v>
      </c>
      <c r="AG180" s="243">
        <v>66857</v>
      </c>
      <c r="AH180">
        <v>0</v>
      </c>
      <c r="AI180" t="s">
        <v>520</v>
      </c>
      <c r="AJ180" t="s">
        <v>563</v>
      </c>
      <c r="AK180" t="s">
        <v>669</v>
      </c>
      <c r="AL180">
        <v>7.55</v>
      </c>
      <c r="AM180" t="s">
        <v>520</v>
      </c>
      <c r="AN180" s="243">
        <v>29709.17</v>
      </c>
      <c r="AO180">
        <v>570000</v>
      </c>
      <c r="AP180">
        <v>5.21</v>
      </c>
      <c r="AQ180" t="s">
        <v>571</v>
      </c>
      <c r="AR180" t="s">
        <v>705</v>
      </c>
      <c r="AS180">
        <v>0</v>
      </c>
      <c r="AT180">
        <v>0</v>
      </c>
      <c r="AU180" s="243">
        <v>36896790.700000003</v>
      </c>
      <c r="AV180">
        <v>32260000</v>
      </c>
      <c r="AW180">
        <v>114.37</v>
      </c>
      <c r="AX180" t="s">
        <v>570</v>
      </c>
      <c r="AY180" t="s">
        <v>793</v>
      </c>
      <c r="AZ180">
        <v>22.7</v>
      </c>
      <c r="BA180">
        <v>25.96</v>
      </c>
      <c r="BB180" s="243">
        <v>4158736.53</v>
      </c>
      <c r="BC180">
        <v>0</v>
      </c>
      <c r="BD180" t="s">
        <v>520</v>
      </c>
      <c r="BE180" t="s">
        <v>563</v>
      </c>
      <c r="BF180" t="s">
        <v>669</v>
      </c>
      <c r="BG180">
        <v>13.94</v>
      </c>
      <c r="BH180" t="s">
        <v>520</v>
      </c>
    </row>
    <row r="181" spans="1:60">
      <c r="A181">
        <v>801</v>
      </c>
      <c r="B181" t="s">
        <v>67</v>
      </c>
      <c r="C181" t="s">
        <v>525</v>
      </c>
      <c r="D181" t="s">
        <v>48</v>
      </c>
      <c r="E181" s="243">
        <v>15766669.08</v>
      </c>
      <c r="F181">
        <v>14070000</v>
      </c>
      <c r="G181">
        <v>112.06</v>
      </c>
      <c r="H181" t="s">
        <v>568</v>
      </c>
      <c r="I181" t="s">
        <v>806</v>
      </c>
      <c r="J181">
        <v>18.95</v>
      </c>
      <c r="K181">
        <v>21.23</v>
      </c>
      <c r="L181" s="243">
        <v>31733183</v>
      </c>
      <c r="M181">
        <v>24400000</v>
      </c>
      <c r="N181">
        <v>130.05000000000001</v>
      </c>
      <c r="O181" t="s">
        <v>587</v>
      </c>
      <c r="P181" t="s">
        <v>694</v>
      </c>
      <c r="Q181">
        <v>53.11</v>
      </c>
      <c r="R181">
        <v>69.069999999999993</v>
      </c>
      <c r="S181" s="243">
        <v>2413786</v>
      </c>
      <c r="T181">
        <v>3282000</v>
      </c>
      <c r="U181">
        <v>73.55</v>
      </c>
      <c r="V181" t="s">
        <v>570</v>
      </c>
      <c r="W181" t="s">
        <v>844</v>
      </c>
      <c r="X181">
        <v>25.17</v>
      </c>
      <c r="Y181">
        <v>18.510000000000002</v>
      </c>
      <c r="Z181" s="243">
        <v>412084</v>
      </c>
      <c r="AA181">
        <v>1798000</v>
      </c>
      <c r="AB181">
        <v>22.92</v>
      </c>
      <c r="AC181" t="s">
        <v>587</v>
      </c>
      <c r="AD181" t="s">
        <v>801</v>
      </c>
      <c r="AE181">
        <v>0</v>
      </c>
      <c r="AF181">
        <v>0</v>
      </c>
      <c r="AG181" s="243">
        <v>68324</v>
      </c>
      <c r="AH181">
        <v>0</v>
      </c>
      <c r="AI181" t="s">
        <v>520</v>
      </c>
      <c r="AJ181" t="s">
        <v>563</v>
      </c>
      <c r="AK181" t="s">
        <v>669</v>
      </c>
      <c r="AL181">
        <v>6.38</v>
      </c>
      <c r="AM181" t="s">
        <v>520</v>
      </c>
      <c r="AN181" s="243">
        <v>152828.5</v>
      </c>
      <c r="AO181">
        <v>780000</v>
      </c>
      <c r="AP181">
        <v>19.59</v>
      </c>
      <c r="AQ181" t="s">
        <v>568</v>
      </c>
      <c r="AR181" t="s">
        <v>709</v>
      </c>
      <c r="AS181">
        <v>34.44</v>
      </c>
      <c r="AT181">
        <v>6.75</v>
      </c>
      <c r="AU181" s="243">
        <v>50546874.579999998</v>
      </c>
      <c r="AV181">
        <v>44330000</v>
      </c>
      <c r="AW181">
        <v>114.02</v>
      </c>
      <c r="AX181" t="s">
        <v>568</v>
      </c>
      <c r="AY181" t="s">
        <v>879</v>
      </c>
      <c r="AZ181">
        <v>40.57</v>
      </c>
      <c r="BA181">
        <v>46.26</v>
      </c>
      <c r="BB181" s="243">
        <v>6693719.0800000001</v>
      </c>
      <c r="BC181">
        <v>0</v>
      </c>
      <c r="BD181" t="s">
        <v>520</v>
      </c>
      <c r="BE181" t="s">
        <v>563</v>
      </c>
      <c r="BF181" t="s">
        <v>669</v>
      </c>
      <c r="BG181">
        <v>21.99</v>
      </c>
      <c r="BH181" t="s">
        <v>520</v>
      </c>
    </row>
    <row r="182" spans="1:60" s="93" customFormat="1">
      <c r="A182" s="93">
        <v>802</v>
      </c>
      <c r="B182" s="93" t="s">
        <v>68</v>
      </c>
      <c r="C182" s="93" t="s">
        <v>527</v>
      </c>
      <c r="D182" s="93" t="s">
        <v>48</v>
      </c>
      <c r="E182" s="93">
        <f>E198+E199</f>
        <v>13773238.030000001</v>
      </c>
      <c r="F182" s="93">
        <v>9450000</v>
      </c>
      <c r="G182" s="93">
        <v>89.61</v>
      </c>
      <c r="H182" s="93" t="s">
        <v>592</v>
      </c>
      <c r="I182" s="93" t="s">
        <v>846</v>
      </c>
      <c r="J182" s="93">
        <v>24.01</v>
      </c>
      <c r="K182" s="93">
        <v>21.51</v>
      </c>
      <c r="L182" s="93">
        <f>L198+L199</f>
        <v>39162102</v>
      </c>
      <c r="M182" s="93">
        <v>16400000</v>
      </c>
      <c r="N182" s="93">
        <v>129.35</v>
      </c>
      <c r="O182" s="93" t="s">
        <v>572</v>
      </c>
      <c r="P182" s="93" t="s">
        <v>853</v>
      </c>
      <c r="Q182" s="93">
        <v>35.1</v>
      </c>
      <c r="R182" s="93">
        <v>45.4</v>
      </c>
      <c r="S182" s="93">
        <f>S198+S199</f>
        <v>4283193</v>
      </c>
      <c r="T182" s="93">
        <v>2511000</v>
      </c>
      <c r="U182" s="93">
        <v>71.91</v>
      </c>
      <c r="V182" s="93" t="s">
        <v>568</v>
      </c>
      <c r="W182" s="93" t="s">
        <v>871</v>
      </c>
      <c r="X182" s="93">
        <v>73.650000000000006</v>
      </c>
      <c r="Y182" s="93">
        <v>52.96</v>
      </c>
      <c r="Z182" s="93">
        <f>Z198+Z199</f>
        <v>488200</v>
      </c>
      <c r="AA182" s="93">
        <v>909000</v>
      </c>
      <c r="AB182" s="93">
        <v>18.100000000000001</v>
      </c>
      <c r="AC182" s="93" t="s">
        <v>579</v>
      </c>
      <c r="AD182" s="93" t="s">
        <v>719</v>
      </c>
      <c r="AE182" s="93">
        <v>0.08</v>
      </c>
      <c r="AF182" s="93">
        <v>0.02</v>
      </c>
      <c r="AG182" s="93">
        <f>AG198+AG199</f>
        <v>24753</v>
      </c>
      <c r="AH182" s="93">
        <v>0</v>
      </c>
      <c r="AI182" s="93" t="s">
        <v>520</v>
      </c>
      <c r="AJ182" s="93" t="s">
        <v>563</v>
      </c>
      <c r="AK182" s="93" t="s">
        <v>669</v>
      </c>
      <c r="AL182" s="93">
        <v>46.27</v>
      </c>
      <c r="AM182" s="93" t="s">
        <v>520</v>
      </c>
      <c r="AN182" s="93">
        <f>AN198+AN199</f>
        <v>110138.51000000001</v>
      </c>
      <c r="AO182" s="93">
        <v>520000</v>
      </c>
      <c r="AP182" s="93">
        <v>15.46</v>
      </c>
      <c r="AQ182" s="93" t="s">
        <v>597</v>
      </c>
      <c r="AR182" s="93" t="s">
        <v>756</v>
      </c>
      <c r="AS182" s="93">
        <v>106.04</v>
      </c>
      <c r="AT182" s="93">
        <v>16.39</v>
      </c>
      <c r="AU182" s="93">
        <f>AU198+AU199</f>
        <v>57841624.540000007</v>
      </c>
      <c r="AV182" s="93">
        <v>29790000</v>
      </c>
      <c r="AW182" s="93">
        <v>106.57</v>
      </c>
      <c r="AX182" s="93" t="s">
        <v>562</v>
      </c>
      <c r="AY182" s="93" t="s">
        <v>798</v>
      </c>
      <c r="AZ182" s="93">
        <v>34.340000000000003</v>
      </c>
      <c r="BA182" s="93">
        <v>36.590000000000003</v>
      </c>
      <c r="BB182" s="93">
        <f>BB198+BB199</f>
        <v>4158297.03</v>
      </c>
      <c r="BC182" s="93">
        <v>0</v>
      </c>
      <c r="BD182" s="93" t="s">
        <v>520</v>
      </c>
      <c r="BE182" s="93" t="s">
        <v>563</v>
      </c>
      <c r="BF182" s="93" t="s">
        <v>669</v>
      </c>
      <c r="BG182" s="93">
        <v>16.059999999999999</v>
      </c>
      <c r="BH182" s="93" t="s">
        <v>520</v>
      </c>
    </row>
    <row r="183" spans="1:60">
      <c r="A183">
        <v>820</v>
      </c>
      <c r="B183" t="s">
        <v>70</v>
      </c>
      <c r="C183" t="s">
        <v>526</v>
      </c>
      <c r="D183" t="s">
        <v>7</v>
      </c>
      <c r="E183" s="243">
        <v>12553676.18</v>
      </c>
      <c r="F183">
        <v>9130000</v>
      </c>
      <c r="G183">
        <v>137.5</v>
      </c>
      <c r="H183" t="s">
        <v>1498</v>
      </c>
      <c r="I183" t="s">
        <v>767</v>
      </c>
      <c r="J183">
        <v>26.2</v>
      </c>
      <c r="K183">
        <v>36.03</v>
      </c>
      <c r="L183" s="243">
        <v>21705416</v>
      </c>
      <c r="M183">
        <v>15830000</v>
      </c>
      <c r="N183">
        <v>137.12</v>
      </c>
      <c r="O183" t="s">
        <v>1479</v>
      </c>
      <c r="P183" t="s">
        <v>667</v>
      </c>
      <c r="Q183">
        <v>77.25</v>
      </c>
      <c r="R183">
        <v>105.93</v>
      </c>
      <c r="S183" s="243">
        <v>2330672</v>
      </c>
      <c r="T183">
        <v>2042000</v>
      </c>
      <c r="U183">
        <v>114.14</v>
      </c>
      <c r="V183" t="s">
        <v>1489</v>
      </c>
      <c r="W183" t="s">
        <v>854</v>
      </c>
      <c r="X183">
        <v>41.98</v>
      </c>
      <c r="Y183">
        <v>47.92</v>
      </c>
      <c r="Z183" s="243">
        <v>162899</v>
      </c>
      <c r="AA183">
        <v>1258000</v>
      </c>
      <c r="AB183">
        <v>12.95</v>
      </c>
      <c r="AC183" t="s">
        <v>1491</v>
      </c>
      <c r="AD183" t="s">
        <v>838</v>
      </c>
      <c r="AE183">
        <v>10.18</v>
      </c>
      <c r="AF183">
        <v>1.32</v>
      </c>
      <c r="AG183" s="243">
        <v>47584</v>
      </c>
      <c r="AH183">
        <v>0</v>
      </c>
      <c r="AI183" t="s">
        <v>520</v>
      </c>
      <c r="AJ183" t="s">
        <v>1474</v>
      </c>
      <c r="AK183" t="s">
        <v>669</v>
      </c>
      <c r="AL183">
        <v>10.34</v>
      </c>
      <c r="AM183" t="s">
        <v>520</v>
      </c>
      <c r="AN183" s="243">
        <v>743264.84</v>
      </c>
      <c r="AO183">
        <v>510000</v>
      </c>
      <c r="AP183">
        <v>145.74</v>
      </c>
      <c r="AQ183" t="s">
        <v>1489</v>
      </c>
      <c r="AR183" t="s">
        <v>866</v>
      </c>
      <c r="AS183">
        <v>70.12</v>
      </c>
      <c r="AT183">
        <v>102.19</v>
      </c>
      <c r="AU183" s="243">
        <v>37543512.020000003</v>
      </c>
      <c r="AV183">
        <v>28770000</v>
      </c>
      <c r="AW183">
        <v>130.5</v>
      </c>
      <c r="AX183" t="s">
        <v>1497</v>
      </c>
      <c r="AY183" t="s">
        <v>772</v>
      </c>
      <c r="AZ183">
        <v>57.48</v>
      </c>
      <c r="BA183">
        <v>75</v>
      </c>
      <c r="BB183" s="243">
        <v>4115351.18</v>
      </c>
      <c r="BC183">
        <v>0</v>
      </c>
      <c r="BD183" t="s">
        <v>520</v>
      </c>
      <c r="BE183" t="s">
        <v>1474</v>
      </c>
      <c r="BF183" t="s">
        <v>669</v>
      </c>
      <c r="BG183">
        <v>9.1</v>
      </c>
      <c r="BH183" t="s">
        <v>520</v>
      </c>
    </row>
    <row r="184" spans="1:60">
      <c r="A184">
        <v>830</v>
      </c>
      <c r="B184" t="s">
        <v>71</v>
      </c>
      <c r="C184" t="s">
        <v>526</v>
      </c>
      <c r="D184" t="s">
        <v>48</v>
      </c>
      <c r="E184" s="243">
        <v>6423614.5599999996</v>
      </c>
      <c r="F184">
        <v>8050000</v>
      </c>
      <c r="G184">
        <v>79.8</v>
      </c>
      <c r="H184" t="s">
        <v>594</v>
      </c>
      <c r="I184" t="s">
        <v>779</v>
      </c>
      <c r="J184">
        <v>13.94</v>
      </c>
      <c r="K184">
        <v>11.12</v>
      </c>
      <c r="L184" s="243">
        <v>7814783</v>
      </c>
      <c r="M184">
        <v>13970000</v>
      </c>
      <c r="N184">
        <v>55.94</v>
      </c>
      <c r="O184" t="s">
        <v>596</v>
      </c>
      <c r="P184" t="s">
        <v>846</v>
      </c>
      <c r="Q184">
        <v>34.54</v>
      </c>
      <c r="R184">
        <v>19.32</v>
      </c>
      <c r="S184" s="243">
        <v>2644327</v>
      </c>
      <c r="T184">
        <v>2079000</v>
      </c>
      <c r="U184">
        <v>127.19</v>
      </c>
      <c r="V184" t="s">
        <v>584</v>
      </c>
      <c r="W184" t="s">
        <v>694</v>
      </c>
      <c r="X184">
        <v>17.149999999999999</v>
      </c>
      <c r="Y184">
        <v>21.81</v>
      </c>
      <c r="Z184" s="243">
        <v>92170</v>
      </c>
      <c r="AA184">
        <v>831000</v>
      </c>
      <c r="AB184">
        <v>11.09</v>
      </c>
      <c r="AC184" t="s">
        <v>582</v>
      </c>
      <c r="AD184" t="s">
        <v>815</v>
      </c>
      <c r="AE184">
        <v>9.01</v>
      </c>
      <c r="AF184">
        <v>1</v>
      </c>
      <c r="AG184" s="243">
        <v>35011</v>
      </c>
      <c r="AH184">
        <v>0</v>
      </c>
      <c r="AI184" t="s">
        <v>520</v>
      </c>
      <c r="AJ184" t="s">
        <v>563</v>
      </c>
      <c r="AK184" t="s">
        <v>669</v>
      </c>
      <c r="AL184">
        <v>2</v>
      </c>
      <c r="AM184" t="s">
        <v>520</v>
      </c>
      <c r="AN184" s="243">
        <v>0</v>
      </c>
      <c r="AO184">
        <v>450000</v>
      </c>
      <c r="AP184">
        <v>0</v>
      </c>
      <c r="AQ184" t="s">
        <v>590</v>
      </c>
      <c r="AR184" t="s">
        <v>680</v>
      </c>
      <c r="AS184">
        <v>0</v>
      </c>
      <c r="AT184">
        <v>0</v>
      </c>
      <c r="AU184" s="243">
        <v>17009905.559999999</v>
      </c>
      <c r="AV184">
        <v>25380000</v>
      </c>
      <c r="AW184">
        <v>67.02</v>
      </c>
      <c r="AX184" t="s">
        <v>596</v>
      </c>
      <c r="AY184" t="s">
        <v>673</v>
      </c>
      <c r="AZ184">
        <v>23.85</v>
      </c>
      <c r="BA184">
        <v>15.98</v>
      </c>
      <c r="BB184" s="243">
        <v>3210678.56</v>
      </c>
      <c r="BC184">
        <v>0</v>
      </c>
      <c r="BD184" t="s">
        <v>520</v>
      </c>
      <c r="BE184" t="s">
        <v>563</v>
      </c>
      <c r="BF184" t="s">
        <v>669</v>
      </c>
      <c r="BG184">
        <v>4.04</v>
      </c>
      <c r="BH184" t="s">
        <v>520</v>
      </c>
    </row>
    <row r="185" spans="1:60">
      <c r="A185">
        <v>888</v>
      </c>
      <c r="B185" t="s">
        <v>209</v>
      </c>
      <c r="C185" t="s">
        <v>526</v>
      </c>
      <c r="D185" t="s">
        <v>0</v>
      </c>
      <c r="E185" s="243">
        <v>4742760.9800000004</v>
      </c>
      <c r="F185">
        <v>3450000</v>
      </c>
      <c r="G185">
        <v>137.47</v>
      </c>
      <c r="H185" t="s">
        <v>771</v>
      </c>
      <c r="I185" t="s">
        <v>857</v>
      </c>
      <c r="J185">
        <v>47.45</v>
      </c>
      <c r="K185">
        <v>65.23</v>
      </c>
      <c r="L185" s="243">
        <v>2148670</v>
      </c>
      <c r="M185">
        <v>5980000</v>
      </c>
      <c r="N185">
        <v>35.93</v>
      </c>
      <c r="O185" t="s">
        <v>674</v>
      </c>
      <c r="P185" t="s">
        <v>739</v>
      </c>
      <c r="Q185">
        <v>5.99</v>
      </c>
      <c r="R185">
        <v>2.15</v>
      </c>
      <c r="S185" s="243">
        <v>615458</v>
      </c>
      <c r="T185">
        <v>419000</v>
      </c>
      <c r="U185">
        <v>146.88999999999999</v>
      </c>
      <c r="V185" t="s">
        <v>723</v>
      </c>
      <c r="W185" t="s">
        <v>856</v>
      </c>
      <c r="X185">
        <v>27.1</v>
      </c>
      <c r="Y185">
        <v>39.81</v>
      </c>
      <c r="Z185" s="243">
        <v>157503</v>
      </c>
      <c r="AA185">
        <v>831000</v>
      </c>
      <c r="AB185">
        <v>18.95</v>
      </c>
      <c r="AC185" t="s">
        <v>708</v>
      </c>
      <c r="AD185" t="s">
        <v>762</v>
      </c>
      <c r="AE185">
        <v>0.12</v>
      </c>
      <c r="AF185">
        <v>0.02</v>
      </c>
      <c r="AG185" s="243">
        <v>19012</v>
      </c>
      <c r="AH185">
        <v>0</v>
      </c>
      <c r="AI185" t="s">
        <v>520</v>
      </c>
      <c r="AJ185" t="s">
        <v>668</v>
      </c>
      <c r="AK185" t="s">
        <v>669</v>
      </c>
      <c r="AL185">
        <v>35.6</v>
      </c>
      <c r="AM185" t="s">
        <v>520</v>
      </c>
      <c r="AN185" s="243">
        <v>276813.62</v>
      </c>
      <c r="AO185">
        <v>190000</v>
      </c>
      <c r="AP185">
        <v>145.69</v>
      </c>
      <c r="AQ185" t="s">
        <v>722</v>
      </c>
      <c r="AR185" t="s">
        <v>882</v>
      </c>
      <c r="AS185">
        <v>4.79</v>
      </c>
      <c r="AT185">
        <v>6.98</v>
      </c>
      <c r="AU185" s="243">
        <v>7960217.5999999996</v>
      </c>
      <c r="AV185">
        <v>10870000</v>
      </c>
      <c r="AW185">
        <v>73.23</v>
      </c>
      <c r="AX185" t="s">
        <v>662</v>
      </c>
      <c r="AY185" t="s">
        <v>739</v>
      </c>
      <c r="AZ185">
        <v>32.24</v>
      </c>
      <c r="BA185">
        <v>23.61</v>
      </c>
      <c r="BB185" s="243">
        <v>1926838.98</v>
      </c>
      <c r="BC185">
        <v>0</v>
      </c>
      <c r="BD185" t="s">
        <v>520</v>
      </c>
      <c r="BE185" t="s">
        <v>668</v>
      </c>
      <c r="BF185" t="s">
        <v>669</v>
      </c>
      <c r="BG185">
        <v>38.79</v>
      </c>
      <c r="BH185" t="s">
        <v>520</v>
      </c>
    </row>
    <row r="188" spans="1:60">
      <c r="A188">
        <v>139</v>
      </c>
      <c r="B188" t="s">
        <v>1483</v>
      </c>
      <c r="C188" t="s">
        <v>527</v>
      </c>
      <c r="D188" t="s">
        <v>7</v>
      </c>
      <c r="E188" s="243">
        <v>535947.65</v>
      </c>
      <c r="F188">
        <v>832500</v>
      </c>
      <c r="G188">
        <v>64.38</v>
      </c>
      <c r="H188" t="s">
        <v>1472</v>
      </c>
      <c r="I188" t="s">
        <v>663</v>
      </c>
      <c r="J188">
        <v>0</v>
      </c>
      <c r="K188">
        <v>0</v>
      </c>
      <c r="L188" s="243">
        <v>1116723</v>
      </c>
      <c r="M188">
        <v>1444500</v>
      </c>
      <c r="N188">
        <v>77.31</v>
      </c>
      <c r="O188" t="s">
        <v>1478</v>
      </c>
      <c r="P188" t="s">
        <v>851</v>
      </c>
      <c r="Q188">
        <v>0</v>
      </c>
      <c r="R188">
        <v>0</v>
      </c>
      <c r="S188" s="243">
        <v>231510</v>
      </c>
      <c r="T188">
        <v>102500</v>
      </c>
      <c r="U188">
        <v>225.86</v>
      </c>
      <c r="V188" t="s">
        <v>1480</v>
      </c>
      <c r="W188" t="s">
        <v>724</v>
      </c>
      <c r="X188">
        <v>0</v>
      </c>
      <c r="Y188">
        <v>0</v>
      </c>
      <c r="Z188" s="243">
        <v>4129</v>
      </c>
      <c r="AA188">
        <v>199000</v>
      </c>
      <c r="AB188">
        <v>2.0699999999999998</v>
      </c>
      <c r="AC188" t="s">
        <v>1486</v>
      </c>
      <c r="AD188" t="s">
        <v>684</v>
      </c>
      <c r="AE188">
        <v>0</v>
      </c>
      <c r="AF188">
        <v>0</v>
      </c>
      <c r="AG188" s="243">
        <v>1730</v>
      </c>
      <c r="AH188">
        <v>0</v>
      </c>
      <c r="AI188" t="s">
        <v>520</v>
      </c>
      <c r="AJ188" t="s">
        <v>1474</v>
      </c>
      <c r="AK188" t="s">
        <v>669</v>
      </c>
      <c r="AL188">
        <v>0</v>
      </c>
      <c r="AM188" t="s">
        <v>520</v>
      </c>
      <c r="AN188" s="243">
        <v>0</v>
      </c>
      <c r="AO188">
        <v>46000</v>
      </c>
      <c r="AP188">
        <v>0</v>
      </c>
      <c r="AQ188" t="s">
        <v>1470</v>
      </c>
      <c r="AR188" t="s">
        <v>680</v>
      </c>
      <c r="AS188">
        <v>0</v>
      </c>
      <c r="AT188">
        <v>0</v>
      </c>
      <c r="AU188" s="243">
        <v>1890039.65</v>
      </c>
      <c r="AV188">
        <v>2624500</v>
      </c>
      <c r="AW188">
        <v>72.02</v>
      </c>
      <c r="AX188" t="s">
        <v>1508</v>
      </c>
      <c r="AY188" t="s">
        <v>680</v>
      </c>
      <c r="AZ188">
        <v>0</v>
      </c>
      <c r="BA188">
        <v>0</v>
      </c>
      <c r="BB188" s="243">
        <v>124813.65</v>
      </c>
      <c r="BC188">
        <v>0</v>
      </c>
      <c r="BD188" t="s">
        <v>520</v>
      </c>
      <c r="BE188" t="s">
        <v>1474</v>
      </c>
      <c r="BF188" t="s">
        <v>669</v>
      </c>
      <c r="BG188">
        <v>0</v>
      </c>
      <c r="BH188" t="s">
        <v>520</v>
      </c>
    </row>
    <row r="189" spans="1:60">
      <c r="A189">
        <v>175</v>
      </c>
      <c r="B189" t="s">
        <v>165</v>
      </c>
      <c r="C189" t="s">
        <v>521</v>
      </c>
      <c r="D189" t="s">
        <v>7</v>
      </c>
      <c r="E189" s="243">
        <v>12388607.85</v>
      </c>
      <c r="F189">
        <v>11130000</v>
      </c>
      <c r="G189">
        <v>111.31</v>
      </c>
      <c r="H189" t="s">
        <v>1511</v>
      </c>
      <c r="I189" t="s">
        <v>878</v>
      </c>
      <c r="J189">
        <v>8.24</v>
      </c>
      <c r="K189">
        <v>9.18</v>
      </c>
      <c r="L189" s="243">
        <v>19251506</v>
      </c>
      <c r="M189">
        <v>19300000</v>
      </c>
      <c r="N189">
        <v>99.75</v>
      </c>
      <c r="O189" t="s">
        <v>1514</v>
      </c>
      <c r="P189" t="s">
        <v>713</v>
      </c>
      <c r="Q189">
        <v>30.99</v>
      </c>
      <c r="R189">
        <v>30.91</v>
      </c>
      <c r="S189" s="243">
        <v>3854890</v>
      </c>
      <c r="T189">
        <v>1591500</v>
      </c>
      <c r="U189">
        <v>242.22</v>
      </c>
      <c r="V189" t="s">
        <v>1485</v>
      </c>
      <c r="W189" t="s">
        <v>769</v>
      </c>
      <c r="X189">
        <v>4.97</v>
      </c>
      <c r="Y189">
        <v>12.05</v>
      </c>
      <c r="Z189" s="243">
        <v>1126090</v>
      </c>
      <c r="AA189">
        <v>2418500</v>
      </c>
      <c r="AB189">
        <v>46.56</v>
      </c>
      <c r="AC189" t="s">
        <v>1489</v>
      </c>
      <c r="AD189" t="s">
        <v>738</v>
      </c>
      <c r="AE189">
        <v>10.66</v>
      </c>
      <c r="AF189">
        <v>4.96</v>
      </c>
      <c r="AG189" s="243">
        <v>70554</v>
      </c>
      <c r="AH189">
        <v>0</v>
      </c>
      <c r="AI189" t="s">
        <v>520</v>
      </c>
      <c r="AJ189" t="s">
        <v>1474</v>
      </c>
      <c r="AK189" t="s">
        <v>669</v>
      </c>
      <c r="AL189">
        <v>8.16</v>
      </c>
      <c r="AM189" t="s">
        <v>520</v>
      </c>
      <c r="AN189" s="243">
        <v>327759.03000000003</v>
      </c>
      <c r="AO189">
        <v>620000</v>
      </c>
      <c r="AP189">
        <v>52.86</v>
      </c>
      <c r="AQ189" t="s">
        <v>1513</v>
      </c>
      <c r="AR189" t="s">
        <v>845</v>
      </c>
      <c r="AS189">
        <v>62.19</v>
      </c>
      <c r="AT189">
        <v>32.880000000000003</v>
      </c>
      <c r="AU189" s="243">
        <v>37019406.880000003</v>
      </c>
      <c r="AV189">
        <v>35060000</v>
      </c>
      <c r="AW189">
        <v>105.59</v>
      </c>
      <c r="AX189" t="s">
        <v>1482</v>
      </c>
      <c r="AY189" t="s">
        <v>869</v>
      </c>
      <c r="AZ189">
        <v>20.28</v>
      </c>
      <c r="BA189">
        <v>21.42</v>
      </c>
      <c r="BB189" s="243">
        <v>3593264.85</v>
      </c>
      <c r="BC189">
        <v>0</v>
      </c>
      <c r="BD189" t="s">
        <v>520</v>
      </c>
      <c r="BE189" t="s">
        <v>1474</v>
      </c>
      <c r="BF189" t="s">
        <v>669</v>
      </c>
      <c r="BG189">
        <v>8.06</v>
      </c>
      <c r="BH189" t="s">
        <v>520</v>
      </c>
    </row>
    <row r="190" spans="1:60">
      <c r="A190">
        <v>268</v>
      </c>
      <c r="B190" t="s">
        <v>1282</v>
      </c>
      <c r="D190" t="s">
        <v>11</v>
      </c>
      <c r="E190" s="243">
        <v>3353979.61</v>
      </c>
      <c r="F190">
        <v>1520000</v>
      </c>
      <c r="G190">
        <v>220.66</v>
      </c>
      <c r="H190" t="s">
        <v>1523</v>
      </c>
      <c r="I190" t="s">
        <v>750</v>
      </c>
      <c r="J190">
        <v>35.96</v>
      </c>
      <c r="K190">
        <v>79.349999999999994</v>
      </c>
      <c r="L190" s="243">
        <v>4278297</v>
      </c>
      <c r="M190">
        <v>2640000</v>
      </c>
      <c r="N190">
        <v>162.06</v>
      </c>
      <c r="O190" t="s">
        <v>1541</v>
      </c>
      <c r="P190" t="s">
        <v>872</v>
      </c>
      <c r="Q190">
        <v>54.2</v>
      </c>
      <c r="R190">
        <v>87.84</v>
      </c>
      <c r="S190" s="243">
        <v>202870</v>
      </c>
      <c r="T190">
        <v>360000</v>
      </c>
      <c r="U190">
        <v>56.35</v>
      </c>
      <c r="V190" t="s">
        <v>1534</v>
      </c>
      <c r="W190" t="s">
        <v>889</v>
      </c>
      <c r="X190">
        <v>22.38</v>
      </c>
      <c r="Y190">
        <v>12.61</v>
      </c>
      <c r="Z190" s="243">
        <v>1435469</v>
      </c>
      <c r="AA190">
        <v>200000</v>
      </c>
      <c r="AB190">
        <v>717.73</v>
      </c>
      <c r="AC190" t="s">
        <v>1523</v>
      </c>
      <c r="AD190" t="s">
        <v>765</v>
      </c>
      <c r="AE190">
        <v>2.7</v>
      </c>
      <c r="AF190">
        <v>19.41</v>
      </c>
      <c r="AG190" s="243">
        <v>7019</v>
      </c>
      <c r="AH190">
        <v>0</v>
      </c>
      <c r="AI190" t="s">
        <v>520</v>
      </c>
      <c r="AJ190" t="s">
        <v>1505</v>
      </c>
      <c r="AK190" t="s">
        <v>669</v>
      </c>
      <c r="AL190">
        <v>47.26</v>
      </c>
      <c r="AM190" t="s">
        <v>520</v>
      </c>
      <c r="AN190" s="243">
        <v>0</v>
      </c>
      <c r="AO190">
        <v>80000</v>
      </c>
      <c r="AP190">
        <v>0</v>
      </c>
      <c r="AQ190" t="s">
        <v>1533</v>
      </c>
      <c r="AR190" t="s">
        <v>680</v>
      </c>
      <c r="AS190">
        <v>0</v>
      </c>
      <c r="AT190">
        <v>0</v>
      </c>
      <c r="AU190" s="243">
        <v>9277634.6099999994</v>
      </c>
      <c r="AV190">
        <v>4800000</v>
      </c>
      <c r="AW190">
        <v>193.28</v>
      </c>
      <c r="AX190" t="s">
        <v>1505</v>
      </c>
      <c r="AY190" t="s">
        <v>692</v>
      </c>
      <c r="AZ190">
        <v>38.94</v>
      </c>
      <c r="BA190">
        <v>75.260000000000005</v>
      </c>
      <c r="BB190" s="243">
        <v>215018.61</v>
      </c>
      <c r="BC190">
        <v>0</v>
      </c>
      <c r="BD190" t="s">
        <v>520</v>
      </c>
      <c r="BE190" t="s">
        <v>1505</v>
      </c>
      <c r="BF190" t="s">
        <v>669</v>
      </c>
      <c r="BG190">
        <v>47.52</v>
      </c>
      <c r="BH190" t="s">
        <v>520</v>
      </c>
    </row>
    <row r="194" spans="1:60">
      <c r="A194">
        <v>760</v>
      </c>
      <c r="B194" t="s">
        <v>64</v>
      </c>
      <c r="C194" t="s">
        <v>524</v>
      </c>
      <c r="D194" t="s">
        <v>48</v>
      </c>
      <c r="E194" s="243">
        <v>4469716.9800000004</v>
      </c>
      <c r="F194">
        <v>8760000</v>
      </c>
      <c r="G194">
        <v>51.02</v>
      </c>
      <c r="H194" t="s">
        <v>596</v>
      </c>
      <c r="I194" t="s">
        <v>752</v>
      </c>
      <c r="J194">
        <v>28.58</v>
      </c>
      <c r="K194">
        <v>14.58</v>
      </c>
      <c r="L194" s="243">
        <v>18002864</v>
      </c>
      <c r="M194">
        <v>15200000</v>
      </c>
      <c r="N194">
        <v>118.44</v>
      </c>
      <c r="O194" t="s">
        <v>579</v>
      </c>
      <c r="P194" t="s">
        <v>696</v>
      </c>
      <c r="Q194">
        <v>37.83</v>
      </c>
      <c r="R194">
        <v>44.81</v>
      </c>
      <c r="S194" s="243">
        <v>709211</v>
      </c>
      <c r="T194">
        <v>1902000</v>
      </c>
      <c r="U194">
        <v>37.29</v>
      </c>
      <c r="V194" t="s">
        <v>594</v>
      </c>
      <c r="W194" t="s">
        <v>846</v>
      </c>
      <c r="X194">
        <v>45.2</v>
      </c>
      <c r="Y194">
        <v>16.86</v>
      </c>
      <c r="Z194" s="243">
        <v>101188</v>
      </c>
      <c r="AA194">
        <v>1258000</v>
      </c>
      <c r="AB194">
        <v>8.0399999999999991</v>
      </c>
      <c r="AC194" t="s">
        <v>594</v>
      </c>
      <c r="AD194" t="s">
        <v>797</v>
      </c>
      <c r="AE194">
        <v>0.02</v>
      </c>
      <c r="AF194">
        <v>0</v>
      </c>
      <c r="AG194" s="243">
        <v>28899</v>
      </c>
      <c r="AH194">
        <v>0</v>
      </c>
      <c r="AI194" t="s">
        <v>520</v>
      </c>
      <c r="AJ194" t="s">
        <v>563</v>
      </c>
      <c r="AK194" t="s">
        <v>669</v>
      </c>
      <c r="AL194">
        <v>9.3000000000000007</v>
      </c>
      <c r="AM194" t="s">
        <v>520</v>
      </c>
      <c r="AN194" s="243">
        <v>8214.4699999999993</v>
      </c>
      <c r="AO194">
        <v>490000</v>
      </c>
      <c r="AP194">
        <v>1.68</v>
      </c>
      <c r="AQ194" t="s">
        <v>585</v>
      </c>
      <c r="AR194" t="s">
        <v>739</v>
      </c>
      <c r="AS194">
        <v>0</v>
      </c>
      <c r="AT194">
        <v>0</v>
      </c>
      <c r="AU194" s="243">
        <v>23320093.449999999</v>
      </c>
      <c r="AV194">
        <v>27610000</v>
      </c>
      <c r="AW194">
        <v>84.46</v>
      </c>
      <c r="AX194" t="s">
        <v>590</v>
      </c>
      <c r="AY194" t="s">
        <v>874</v>
      </c>
      <c r="AZ194">
        <v>36.07</v>
      </c>
      <c r="BA194">
        <v>30.47</v>
      </c>
      <c r="BB194" s="243">
        <v>1981087.98</v>
      </c>
      <c r="BC194">
        <v>0</v>
      </c>
      <c r="BD194" t="s">
        <v>520</v>
      </c>
      <c r="BE194" t="s">
        <v>563</v>
      </c>
      <c r="BF194" t="s">
        <v>669</v>
      </c>
      <c r="BG194">
        <v>19.73</v>
      </c>
      <c r="BH194" t="s">
        <v>520</v>
      </c>
    </row>
    <row r="195" spans="1:60">
      <c r="A195">
        <v>765</v>
      </c>
      <c r="B195" t="s">
        <v>65</v>
      </c>
      <c r="C195" t="s">
        <v>527</v>
      </c>
      <c r="D195" t="s">
        <v>48</v>
      </c>
      <c r="E195" s="243">
        <v>6361688.7800000003</v>
      </c>
      <c r="F195">
        <v>5740000</v>
      </c>
      <c r="G195">
        <v>110.83</v>
      </c>
      <c r="H195" t="s">
        <v>591</v>
      </c>
      <c r="I195" t="s">
        <v>776</v>
      </c>
      <c r="J195">
        <v>32.22</v>
      </c>
      <c r="K195">
        <v>35.71</v>
      </c>
      <c r="L195" s="243">
        <v>15160451</v>
      </c>
      <c r="M195">
        <v>9960000</v>
      </c>
      <c r="N195">
        <v>152.21</v>
      </c>
      <c r="O195" t="s">
        <v>589</v>
      </c>
      <c r="P195" t="s">
        <v>689</v>
      </c>
      <c r="Q195">
        <v>42.9</v>
      </c>
      <c r="R195">
        <v>65.3</v>
      </c>
      <c r="S195" s="243">
        <v>67737</v>
      </c>
      <c r="T195">
        <v>901000</v>
      </c>
      <c r="U195">
        <v>7.52</v>
      </c>
      <c r="V195" t="s">
        <v>596</v>
      </c>
      <c r="W195" t="s">
        <v>760</v>
      </c>
      <c r="X195">
        <v>15.63</v>
      </c>
      <c r="Y195">
        <v>1.18</v>
      </c>
      <c r="Z195" s="243">
        <v>232549</v>
      </c>
      <c r="AA195">
        <v>1169000</v>
      </c>
      <c r="AB195">
        <v>19.89</v>
      </c>
      <c r="AC195" t="s">
        <v>568</v>
      </c>
      <c r="AD195" t="s">
        <v>744</v>
      </c>
      <c r="AE195">
        <v>1.71</v>
      </c>
      <c r="AF195">
        <v>0.34</v>
      </c>
      <c r="AG195" s="243">
        <v>9899</v>
      </c>
      <c r="AH195">
        <v>0</v>
      </c>
      <c r="AI195" t="s">
        <v>520</v>
      </c>
      <c r="AJ195" t="s">
        <v>563</v>
      </c>
      <c r="AK195" t="s">
        <v>669</v>
      </c>
      <c r="AL195">
        <v>39.799999999999997</v>
      </c>
      <c r="AM195" t="s">
        <v>520</v>
      </c>
      <c r="AN195" s="243">
        <v>0</v>
      </c>
      <c r="AO195">
        <v>320000</v>
      </c>
      <c r="AP195">
        <v>0</v>
      </c>
      <c r="AQ195" t="s">
        <v>590</v>
      </c>
      <c r="AR195" t="s">
        <v>680</v>
      </c>
      <c r="AS195">
        <v>0</v>
      </c>
      <c r="AT195">
        <v>0</v>
      </c>
      <c r="AU195" s="243">
        <v>21832324.780000001</v>
      </c>
      <c r="AV195">
        <v>18090000</v>
      </c>
      <c r="AW195">
        <v>120.69</v>
      </c>
      <c r="AX195" t="s">
        <v>587</v>
      </c>
      <c r="AY195" t="s">
        <v>866</v>
      </c>
      <c r="AZ195">
        <v>39.26</v>
      </c>
      <c r="BA195">
        <v>47.39</v>
      </c>
      <c r="BB195" s="243">
        <v>1354028.78</v>
      </c>
      <c r="BC195">
        <v>0</v>
      </c>
      <c r="BD195" t="s">
        <v>520</v>
      </c>
      <c r="BE195" t="s">
        <v>563</v>
      </c>
      <c r="BF195" t="s">
        <v>669</v>
      </c>
      <c r="BG195">
        <v>16.440000000000001</v>
      </c>
      <c r="BH195" t="s">
        <v>520</v>
      </c>
    </row>
    <row r="198" spans="1:60">
      <c r="A198">
        <v>802</v>
      </c>
      <c r="B198" t="s">
        <v>68</v>
      </c>
      <c r="C198" t="s">
        <v>527</v>
      </c>
      <c r="D198" t="s">
        <v>48</v>
      </c>
      <c r="E198" s="243">
        <v>8467997.3200000003</v>
      </c>
      <c r="F198">
        <v>9450000</v>
      </c>
      <c r="G198">
        <v>89.61</v>
      </c>
      <c r="H198" t="s">
        <v>592</v>
      </c>
      <c r="I198" t="s">
        <v>846</v>
      </c>
      <c r="J198">
        <v>24.01</v>
      </c>
      <c r="K198">
        <v>21.51</v>
      </c>
      <c r="L198" s="243">
        <v>21212982</v>
      </c>
      <c r="M198">
        <v>16400000</v>
      </c>
      <c r="N198">
        <v>129.35</v>
      </c>
      <c r="O198" t="s">
        <v>572</v>
      </c>
      <c r="P198" t="s">
        <v>853</v>
      </c>
      <c r="Q198">
        <v>35.1</v>
      </c>
      <c r="R198">
        <v>45.4</v>
      </c>
      <c r="S198" s="243">
        <v>1805717</v>
      </c>
      <c r="T198">
        <v>2511000</v>
      </c>
      <c r="U198">
        <v>71.91</v>
      </c>
      <c r="V198" t="s">
        <v>568</v>
      </c>
      <c r="W198" t="s">
        <v>871</v>
      </c>
      <c r="X198">
        <v>73.650000000000006</v>
      </c>
      <c r="Y198">
        <v>52.96</v>
      </c>
      <c r="Z198" s="243">
        <v>164566</v>
      </c>
      <c r="AA198">
        <v>909000</v>
      </c>
      <c r="AB198">
        <v>18.100000000000001</v>
      </c>
      <c r="AC198" t="s">
        <v>579</v>
      </c>
      <c r="AD198" t="s">
        <v>719</v>
      </c>
      <c r="AE198">
        <v>0.08</v>
      </c>
      <c r="AF198">
        <v>0.02</v>
      </c>
      <c r="AG198" s="243">
        <v>14777</v>
      </c>
      <c r="AH198">
        <v>0</v>
      </c>
      <c r="AI198" t="s">
        <v>520</v>
      </c>
      <c r="AJ198" t="s">
        <v>563</v>
      </c>
      <c r="AK198" t="s">
        <v>669</v>
      </c>
      <c r="AL198">
        <v>46.27</v>
      </c>
      <c r="AM198" t="s">
        <v>520</v>
      </c>
      <c r="AN198" s="243">
        <v>80366.600000000006</v>
      </c>
      <c r="AO198">
        <v>520000</v>
      </c>
      <c r="AP198">
        <v>15.46</v>
      </c>
      <c r="AQ198" t="s">
        <v>597</v>
      </c>
      <c r="AR198" t="s">
        <v>756</v>
      </c>
      <c r="AS198">
        <v>106.04</v>
      </c>
      <c r="AT198">
        <v>16.39</v>
      </c>
      <c r="AU198" s="243">
        <v>31746405.920000002</v>
      </c>
      <c r="AV198">
        <v>29790000</v>
      </c>
      <c r="AW198">
        <v>106.57</v>
      </c>
      <c r="AX198" t="s">
        <v>562</v>
      </c>
      <c r="AY198" t="s">
        <v>798</v>
      </c>
      <c r="AZ198">
        <v>34.340000000000003</v>
      </c>
      <c r="BA198">
        <v>36.590000000000003</v>
      </c>
      <c r="BB198" s="243">
        <v>2730705.32</v>
      </c>
      <c r="BC198">
        <v>0</v>
      </c>
      <c r="BD198" t="s">
        <v>520</v>
      </c>
      <c r="BE198" t="s">
        <v>563</v>
      </c>
      <c r="BF198" t="s">
        <v>669</v>
      </c>
      <c r="BG198">
        <v>16.059999999999999</v>
      </c>
      <c r="BH198" t="s">
        <v>520</v>
      </c>
    </row>
    <row r="199" spans="1:60">
      <c r="A199">
        <v>813</v>
      </c>
      <c r="B199" t="s">
        <v>69</v>
      </c>
      <c r="C199" t="s">
        <v>527</v>
      </c>
      <c r="D199" t="s">
        <v>48</v>
      </c>
      <c r="E199" s="243">
        <v>5305240.71</v>
      </c>
      <c r="F199">
        <v>6840000</v>
      </c>
      <c r="G199">
        <v>77.56</v>
      </c>
      <c r="H199" t="s">
        <v>585</v>
      </c>
      <c r="I199" t="s">
        <v>811</v>
      </c>
      <c r="J199">
        <v>24.44</v>
      </c>
      <c r="K199">
        <v>18.96</v>
      </c>
      <c r="L199" s="243">
        <v>17949120</v>
      </c>
      <c r="M199">
        <v>11860000</v>
      </c>
      <c r="N199">
        <v>151.34</v>
      </c>
      <c r="O199" t="s">
        <v>576</v>
      </c>
      <c r="P199" t="s">
        <v>834</v>
      </c>
      <c r="Q199">
        <v>83.92</v>
      </c>
      <c r="R199">
        <v>127.01</v>
      </c>
      <c r="S199" s="243">
        <v>2477476</v>
      </c>
      <c r="T199">
        <v>1639000</v>
      </c>
      <c r="U199">
        <v>151.16</v>
      </c>
      <c r="V199" t="s">
        <v>580</v>
      </c>
      <c r="W199" t="s">
        <v>803</v>
      </c>
      <c r="X199">
        <v>72.69</v>
      </c>
      <c r="Y199">
        <v>109.88</v>
      </c>
      <c r="Z199" s="243">
        <v>323634</v>
      </c>
      <c r="AA199">
        <v>831000</v>
      </c>
      <c r="AB199">
        <v>38.950000000000003</v>
      </c>
      <c r="AC199" t="s">
        <v>576</v>
      </c>
      <c r="AD199" t="s">
        <v>875</v>
      </c>
      <c r="AE199">
        <v>1.05</v>
      </c>
      <c r="AF199">
        <v>0.41</v>
      </c>
      <c r="AG199" s="243">
        <v>9976</v>
      </c>
      <c r="AH199">
        <v>0</v>
      </c>
      <c r="AI199" t="s">
        <v>520</v>
      </c>
      <c r="AJ199" t="s">
        <v>563</v>
      </c>
      <c r="AK199" t="s">
        <v>669</v>
      </c>
      <c r="AL199">
        <v>11.41</v>
      </c>
      <c r="AM199" t="s">
        <v>520</v>
      </c>
      <c r="AN199" s="243">
        <v>29771.91</v>
      </c>
      <c r="AO199">
        <v>380000</v>
      </c>
      <c r="AP199">
        <v>7.83</v>
      </c>
      <c r="AQ199" t="s">
        <v>595</v>
      </c>
      <c r="AR199" t="s">
        <v>874</v>
      </c>
      <c r="AS199">
        <v>0</v>
      </c>
      <c r="AT199">
        <v>0</v>
      </c>
      <c r="AU199" s="243">
        <v>26095218.620000001</v>
      </c>
      <c r="AV199">
        <v>21550000</v>
      </c>
      <c r="AW199">
        <v>121.09</v>
      </c>
      <c r="AX199" t="s">
        <v>566</v>
      </c>
      <c r="AY199" t="s">
        <v>831</v>
      </c>
      <c r="AZ199">
        <v>69.61</v>
      </c>
      <c r="BA199">
        <v>84.29</v>
      </c>
      <c r="BB199" s="243">
        <v>1427591.71</v>
      </c>
      <c r="BC199">
        <v>0</v>
      </c>
      <c r="BD199" t="s">
        <v>520</v>
      </c>
      <c r="BE199" t="s">
        <v>563</v>
      </c>
      <c r="BF199" t="s">
        <v>669</v>
      </c>
      <c r="BG199">
        <v>6.2</v>
      </c>
      <c r="BH199" t="s">
        <v>520</v>
      </c>
    </row>
  </sheetData>
  <phoneticPr fontId="1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H193"/>
  <sheetViews>
    <sheetView workbookViewId="0">
      <pane xSplit="4" ySplit="1" topLeftCell="E168" activePane="bottomRight" state="frozen"/>
      <selection pane="topRight" activeCell="E1" sqref="E1"/>
      <selection pane="bottomLeft" activeCell="A2" sqref="A2"/>
      <selection pane="bottomRight" activeCell="BB182" sqref="BB182"/>
    </sheetView>
  </sheetViews>
  <sheetFormatPr defaultColWidth="9" defaultRowHeight="16.5"/>
  <cols>
    <col min="1" max="4" width="9" style="304"/>
    <col min="5" max="5" width="11.625" style="305" bestFit="1" customWidth="1"/>
    <col min="6" max="11" width="9" style="304"/>
    <col min="12" max="12" width="9" style="305"/>
    <col min="13" max="18" width="9" style="304"/>
    <col min="19" max="19" width="9" style="305"/>
    <col min="20" max="24" width="9" style="304"/>
    <col min="25" max="25" width="9.125" style="304" customWidth="1"/>
    <col min="26" max="26" width="9" style="305"/>
    <col min="27" max="32" width="9" style="304"/>
    <col min="33" max="33" width="9" style="305"/>
    <col min="34" max="39" width="9" style="304"/>
    <col min="40" max="40" width="9" style="305"/>
    <col min="41" max="46" width="9" style="304"/>
    <col min="47" max="47" width="12.75" style="305" bestFit="1" customWidth="1"/>
    <col min="48" max="53" width="9" style="304"/>
    <col min="54" max="54" width="9" style="305"/>
    <col min="55" max="16384" width="9" style="304"/>
  </cols>
  <sheetData>
    <row r="1" spans="1:60" s="306" customFormat="1" ht="132">
      <c r="A1" s="306" t="s">
        <v>427</v>
      </c>
      <c r="B1" s="306" t="s">
        <v>428</v>
      </c>
      <c r="C1" s="306" t="s">
        <v>473</v>
      </c>
      <c r="D1" s="306" t="s">
        <v>474</v>
      </c>
      <c r="E1" s="307" t="s">
        <v>475</v>
      </c>
      <c r="F1" s="306" t="s">
        <v>476</v>
      </c>
      <c r="G1" s="306" t="s">
        <v>477</v>
      </c>
      <c r="H1" s="306" t="s">
        <v>478</v>
      </c>
      <c r="I1" s="306" t="s">
        <v>479</v>
      </c>
      <c r="J1" s="306" t="s">
        <v>480</v>
      </c>
      <c r="K1" s="306" t="s">
        <v>481</v>
      </c>
      <c r="L1" s="307" t="s">
        <v>482</v>
      </c>
      <c r="M1" s="306" t="s">
        <v>483</v>
      </c>
      <c r="N1" s="306" t="s">
        <v>484</v>
      </c>
      <c r="O1" s="306" t="s">
        <v>485</v>
      </c>
      <c r="P1" s="306" t="s">
        <v>486</v>
      </c>
      <c r="Q1" s="306" t="s">
        <v>487</v>
      </c>
      <c r="R1" s="306" t="s">
        <v>488</v>
      </c>
      <c r="S1" s="307" t="s">
        <v>489</v>
      </c>
      <c r="T1" s="306" t="s">
        <v>490</v>
      </c>
      <c r="U1" s="306" t="s">
        <v>491</v>
      </c>
      <c r="V1" s="306" t="s">
        <v>492</v>
      </c>
      <c r="W1" s="306" t="s">
        <v>493</v>
      </c>
      <c r="X1" s="306" t="s">
        <v>494</v>
      </c>
      <c r="Y1" s="306" t="s">
        <v>495</v>
      </c>
      <c r="Z1" s="307" t="s">
        <v>496</v>
      </c>
      <c r="AA1" s="306" t="s">
        <v>497</v>
      </c>
      <c r="AB1" s="306" t="s">
        <v>498</v>
      </c>
      <c r="AC1" s="306" t="s">
        <v>499</v>
      </c>
      <c r="AD1" s="306" t="s">
        <v>500</v>
      </c>
      <c r="AE1" s="306" t="s">
        <v>501</v>
      </c>
      <c r="AF1" s="306" t="s">
        <v>502</v>
      </c>
      <c r="AG1" s="307" t="s">
        <v>503</v>
      </c>
      <c r="AH1" s="306" t="s">
        <v>504</v>
      </c>
      <c r="AI1" s="306" t="s">
        <v>505</v>
      </c>
      <c r="AJ1" s="306" t="s">
        <v>506</v>
      </c>
      <c r="AK1" s="306" t="s">
        <v>507</v>
      </c>
      <c r="AL1" s="306" t="s">
        <v>508</v>
      </c>
      <c r="AM1" s="306" t="s">
        <v>509</v>
      </c>
      <c r="AN1" s="307" t="s">
        <v>510</v>
      </c>
      <c r="AO1" s="306" t="s">
        <v>511</v>
      </c>
      <c r="AP1" s="306" t="s">
        <v>512</v>
      </c>
      <c r="AQ1" s="306" t="s">
        <v>513</v>
      </c>
      <c r="AR1" s="306" t="s">
        <v>514</v>
      </c>
      <c r="AS1" s="306" t="s">
        <v>515</v>
      </c>
      <c r="AT1" s="306" t="s">
        <v>516</v>
      </c>
      <c r="AU1" s="307" t="s">
        <v>517</v>
      </c>
      <c r="AV1" s="306" t="s">
        <v>518</v>
      </c>
      <c r="AW1" s="306" t="s">
        <v>638</v>
      </c>
      <c r="AX1" s="306" t="s">
        <v>649</v>
      </c>
      <c r="AY1" s="306" t="s">
        <v>650</v>
      </c>
      <c r="AZ1" s="306" t="s">
        <v>651</v>
      </c>
      <c r="BA1" s="306" t="s">
        <v>652</v>
      </c>
      <c r="BB1" s="307" t="s">
        <v>653</v>
      </c>
      <c r="BC1" s="306" t="s">
        <v>654</v>
      </c>
      <c r="BD1" s="306" t="s">
        <v>655</v>
      </c>
      <c r="BE1" s="306" t="s">
        <v>656</v>
      </c>
      <c r="BF1" s="306" t="s">
        <v>657</v>
      </c>
      <c r="BG1" s="306" t="s">
        <v>658</v>
      </c>
      <c r="BH1" s="306" t="s">
        <v>659</v>
      </c>
    </row>
    <row r="2" spans="1:60">
      <c r="A2">
        <v>100</v>
      </c>
      <c r="B2" t="s">
        <v>131</v>
      </c>
      <c r="C2" t="s">
        <v>519</v>
      </c>
      <c r="D2" t="s">
        <v>0</v>
      </c>
      <c r="E2" s="243">
        <v>24877644.539999999</v>
      </c>
      <c r="F2">
        <v>23730000</v>
      </c>
      <c r="G2">
        <v>104.84</v>
      </c>
      <c r="H2" t="s">
        <v>660</v>
      </c>
      <c r="I2" t="s">
        <v>1444</v>
      </c>
      <c r="J2">
        <v>16.18</v>
      </c>
      <c r="K2">
        <v>16.96</v>
      </c>
      <c r="L2" s="243">
        <v>61411318</v>
      </c>
      <c r="M2">
        <v>43330000</v>
      </c>
      <c r="N2">
        <v>141.72999999999999</v>
      </c>
      <c r="O2" t="s">
        <v>734</v>
      </c>
      <c r="P2" t="s">
        <v>1437</v>
      </c>
      <c r="Q2">
        <v>53.98</v>
      </c>
      <c r="R2">
        <v>76.5</v>
      </c>
      <c r="S2" s="243">
        <v>5764984</v>
      </c>
      <c r="T2">
        <v>3710000</v>
      </c>
      <c r="U2">
        <v>155.38999999999999</v>
      </c>
      <c r="V2" t="s">
        <v>668</v>
      </c>
      <c r="W2" t="s">
        <v>1363</v>
      </c>
      <c r="X2">
        <v>43.38</v>
      </c>
      <c r="Y2">
        <v>67.41</v>
      </c>
      <c r="Z2" s="243">
        <v>3459731</v>
      </c>
      <c r="AA2">
        <v>6482000</v>
      </c>
      <c r="AB2">
        <v>53.37</v>
      </c>
      <c r="AC2" t="s">
        <v>764</v>
      </c>
      <c r="AD2" t="s">
        <v>1327</v>
      </c>
      <c r="AE2">
        <v>0.49</v>
      </c>
      <c r="AF2">
        <v>0.26</v>
      </c>
      <c r="AG2" s="243">
        <v>222284</v>
      </c>
      <c r="AH2">
        <v>0</v>
      </c>
      <c r="AI2" t="s">
        <v>520</v>
      </c>
      <c r="AJ2" t="s">
        <v>668</v>
      </c>
      <c r="AK2" t="s">
        <v>1288</v>
      </c>
      <c r="AL2">
        <v>3.11</v>
      </c>
      <c r="AM2" t="s">
        <v>520</v>
      </c>
      <c r="AN2" s="243">
        <v>1217043.07</v>
      </c>
      <c r="AO2">
        <v>908000</v>
      </c>
      <c r="AP2">
        <v>134.04</v>
      </c>
      <c r="AQ2" t="s">
        <v>670</v>
      </c>
      <c r="AR2" t="s">
        <v>1314</v>
      </c>
      <c r="AS2">
        <v>10.54</v>
      </c>
      <c r="AT2">
        <v>14.13</v>
      </c>
      <c r="AU2" s="243">
        <v>96953004.609999999</v>
      </c>
      <c r="AV2">
        <v>78160000</v>
      </c>
      <c r="AW2">
        <v>124.04</v>
      </c>
      <c r="AX2" t="s">
        <v>734</v>
      </c>
      <c r="AY2" t="s">
        <v>1401</v>
      </c>
      <c r="AZ2">
        <v>41.08</v>
      </c>
      <c r="BA2">
        <v>50.96</v>
      </c>
      <c r="BB2" s="243">
        <v>9320943.5399999991</v>
      </c>
      <c r="BC2">
        <v>0</v>
      </c>
      <c r="BD2" t="s">
        <v>520</v>
      </c>
      <c r="BE2" t="s">
        <v>668</v>
      </c>
      <c r="BF2" t="s">
        <v>1288</v>
      </c>
      <c r="BG2">
        <v>7.32</v>
      </c>
      <c r="BH2" t="s">
        <v>520</v>
      </c>
    </row>
    <row r="3" spans="1:60">
      <c r="A3">
        <v>101</v>
      </c>
      <c r="B3" t="s">
        <v>132</v>
      </c>
      <c r="C3" t="s">
        <v>522</v>
      </c>
      <c r="D3" t="s">
        <v>0</v>
      </c>
      <c r="E3" s="243">
        <v>6685588.54</v>
      </c>
      <c r="F3">
        <v>8880000</v>
      </c>
      <c r="G3">
        <v>75.290000000000006</v>
      </c>
      <c r="H3" t="s">
        <v>674</v>
      </c>
      <c r="I3" t="s">
        <v>1338</v>
      </c>
      <c r="J3">
        <v>17.87</v>
      </c>
      <c r="K3">
        <v>13.46</v>
      </c>
      <c r="L3" s="243">
        <v>11158809</v>
      </c>
      <c r="M3">
        <v>16200000</v>
      </c>
      <c r="N3">
        <v>68.88</v>
      </c>
      <c r="O3" t="s">
        <v>791</v>
      </c>
      <c r="P3" t="s">
        <v>1442</v>
      </c>
      <c r="Q3">
        <v>57.59</v>
      </c>
      <c r="R3">
        <v>39.67</v>
      </c>
      <c r="S3" s="243">
        <v>1044573</v>
      </c>
      <c r="T3">
        <v>1944000</v>
      </c>
      <c r="U3">
        <v>53.73</v>
      </c>
      <c r="V3" t="s">
        <v>666</v>
      </c>
      <c r="W3" t="s">
        <v>1324</v>
      </c>
      <c r="X3">
        <v>7.77</v>
      </c>
      <c r="Y3">
        <v>4.17</v>
      </c>
      <c r="Z3" s="243">
        <v>253368</v>
      </c>
      <c r="AA3">
        <v>1866000</v>
      </c>
      <c r="AB3">
        <v>13.58</v>
      </c>
      <c r="AC3" t="s">
        <v>745</v>
      </c>
      <c r="AD3" t="s">
        <v>1387</v>
      </c>
      <c r="AE3">
        <v>50.9</v>
      </c>
      <c r="AF3">
        <v>6.91</v>
      </c>
      <c r="AG3" s="243">
        <v>59900</v>
      </c>
      <c r="AH3">
        <v>0</v>
      </c>
      <c r="AI3" t="s">
        <v>520</v>
      </c>
      <c r="AJ3" t="s">
        <v>668</v>
      </c>
      <c r="AK3" t="s">
        <v>1288</v>
      </c>
      <c r="AL3">
        <v>6.94</v>
      </c>
      <c r="AM3" t="s">
        <v>520</v>
      </c>
      <c r="AN3" s="243">
        <v>1448825.51</v>
      </c>
      <c r="AO3">
        <v>340000</v>
      </c>
      <c r="AP3">
        <v>426.13</v>
      </c>
      <c r="AQ3" t="s">
        <v>688</v>
      </c>
      <c r="AR3" t="s">
        <v>1327</v>
      </c>
      <c r="AS3">
        <v>26.94</v>
      </c>
      <c r="AT3">
        <v>114.81</v>
      </c>
      <c r="AU3" s="243">
        <v>20651064.050000001</v>
      </c>
      <c r="AV3">
        <v>29230000</v>
      </c>
      <c r="AW3">
        <v>70.650000000000006</v>
      </c>
      <c r="AX3" t="s">
        <v>747</v>
      </c>
      <c r="AY3" t="s">
        <v>1407</v>
      </c>
      <c r="AZ3">
        <v>39.83</v>
      </c>
      <c r="BA3">
        <v>28.14</v>
      </c>
      <c r="BB3" s="243">
        <v>2653732.54</v>
      </c>
      <c r="BC3">
        <v>0</v>
      </c>
      <c r="BD3" t="s">
        <v>520</v>
      </c>
      <c r="BE3" t="s">
        <v>668</v>
      </c>
      <c r="BF3" t="s">
        <v>1288</v>
      </c>
      <c r="BG3">
        <v>19.309999999999999</v>
      </c>
      <c r="BH3" t="s">
        <v>520</v>
      </c>
    </row>
    <row r="4" spans="1:60">
      <c r="A4">
        <v>103</v>
      </c>
      <c r="B4" t="s">
        <v>133</v>
      </c>
      <c r="C4" t="s">
        <v>521</v>
      </c>
      <c r="D4" t="s">
        <v>0</v>
      </c>
      <c r="E4" s="243">
        <v>9408781.9399999995</v>
      </c>
      <c r="F4">
        <v>12050000</v>
      </c>
      <c r="G4">
        <v>78.08</v>
      </c>
      <c r="H4" t="s">
        <v>704</v>
      </c>
      <c r="I4" t="s">
        <v>1384</v>
      </c>
      <c r="J4">
        <v>6.73</v>
      </c>
      <c r="K4">
        <v>5.26</v>
      </c>
      <c r="L4" s="243">
        <v>17502647</v>
      </c>
      <c r="M4">
        <v>22000000</v>
      </c>
      <c r="N4">
        <v>79.56</v>
      </c>
      <c r="O4" t="s">
        <v>714</v>
      </c>
      <c r="P4" t="s">
        <v>1402</v>
      </c>
      <c r="Q4">
        <v>46.39</v>
      </c>
      <c r="R4">
        <v>36.909999999999997</v>
      </c>
      <c r="S4" s="243">
        <v>429784</v>
      </c>
      <c r="T4">
        <v>1614000</v>
      </c>
      <c r="U4">
        <v>26.63</v>
      </c>
      <c r="V4" t="s">
        <v>745</v>
      </c>
      <c r="W4" t="s">
        <v>1415</v>
      </c>
      <c r="X4">
        <v>0.04</v>
      </c>
      <c r="Y4">
        <v>0.01</v>
      </c>
      <c r="Z4" s="243">
        <v>6508527</v>
      </c>
      <c r="AA4">
        <v>3565000</v>
      </c>
      <c r="AB4">
        <v>182.57</v>
      </c>
      <c r="AC4" t="s">
        <v>734</v>
      </c>
      <c r="AD4" t="s">
        <v>1357</v>
      </c>
      <c r="AE4">
        <v>0</v>
      </c>
      <c r="AF4">
        <v>0</v>
      </c>
      <c r="AG4" s="243">
        <v>83986</v>
      </c>
      <c r="AH4">
        <v>0</v>
      </c>
      <c r="AI4" t="s">
        <v>520</v>
      </c>
      <c r="AJ4" t="s">
        <v>668</v>
      </c>
      <c r="AK4" t="s">
        <v>1288</v>
      </c>
      <c r="AL4">
        <v>0.94</v>
      </c>
      <c r="AM4" t="s">
        <v>520</v>
      </c>
      <c r="AN4" s="243">
        <v>165537.43</v>
      </c>
      <c r="AO4">
        <v>461000</v>
      </c>
      <c r="AP4">
        <v>35.909999999999997</v>
      </c>
      <c r="AQ4" t="s">
        <v>690</v>
      </c>
      <c r="AR4" t="s">
        <v>1303</v>
      </c>
      <c r="AS4">
        <v>68.400000000000006</v>
      </c>
      <c r="AT4">
        <v>24.56</v>
      </c>
      <c r="AU4" s="243">
        <v>34099263.369999997</v>
      </c>
      <c r="AV4">
        <v>39690000</v>
      </c>
      <c r="AW4">
        <v>85.91</v>
      </c>
      <c r="AX4" t="s">
        <v>686</v>
      </c>
      <c r="AY4" t="s">
        <v>1340</v>
      </c>
      <c r="AZ4">
        <v>26.01</v>
      </c>
      <c r="BA4">
        <v>22.34</v>
      </c>
      <c r="BB4" s="243">
        <v>3473631.94</v>
      </c>
      <c r="BC4">
        <v>0</v>
      </c>
      <c r="BD4" t="s">
        <v>520</v>
      </c>
      <c r="BE4" t="s">
        <v>668</v>
      </c>
      <c r="BF4" t="s">
        <v>1288</v>
      </c>
      <c r="BG4">
        <v>3.55</v>
      </c>
      <c r="BH4" t="s">
        <v>520</v>
      </c>
    </row>
    <row r="5" spans="1:60">
      <c r="A5">
        <v>104</v>
      </c>
      <c r="B5" t="s">
        <v>134</v>
      </c>
      <c r="C5" t="s">
        <v>522</v>
      </c>
      <c r="D5" t="s">
        <v>0</v>
      </c>
      <c r="E5" s="243">
        <v>29099314.210000001</v>
      </c>
      <c r="F5">
        <v>19720000</v>
      </c>
      <c r="G5">
        <v>147.56</v>
      </c>
      <c r="H5" t="s">
        <v>734</v>
      </c>
      <c r="I5" t="s">
        <v>1421</v>
      </c>
      <c r="J5">
        <v>7.88</v>
      </c>
      <c r="K5">
        <v>11.62</v>
      </c>
      <c r="L5" s="243">
        <v>28569894</v>
      </c>
      <c r="M5">
        <v>36000000</v>
      </c>
      <c r="N5">
        <v>79.36</v>
      </c>
      <c r="O5" t="s">
        <v>737</v>
      </c>
      <c r="P5" t="s">
        <v>1371</v>
      </c>
      <c r="Q5">
        <v>57.98</v>
      </c>
      <c r="R5">
        <v>46.02</v>
      </c>
      <c r="S5" s="243">
        <v>1630845</v>
      </c>
      <c r="T5">
        <v>5259000</v>
      </c>
      <c r="U5">
        <v>31.01</v>
      </c>
      <c r="V5" t="s">
        <v>791</v>
      </c>
      <c r="W5" t="s">
        <v>1424</v>
      </c>
      <c r="X5">
        <v>16.52</v>
      </c>
      <c r="Y5">
        <v>5.12</v>
      </c>
      <c r="Z5" s="243">
        <v>791619</v>
      </c>
      <c r="AA5">
        <v>3206000</v>
      </c>
      <c r="AB5">
        <v>24.69</v>
      </c>
      <c r="AC5" t="s">
        <v>681</v>
      </c>
      <c r="AD5" t="s">
        <v>1450</v>
      </c>
      <c r="AE5">
        <v>0</v>
      </c>
      <c r="AF5">
        <v>0</v>
      </c>
      <c r="AG5" s="243">
        <v>121570</v>
      </c>
      <c r="AH5">
        <v>0</v>
      </c>
      <c r="AI5" t="s">
        <v>520</v>
      </c>
      <c r="AJ5" t="s">
        <v>668</v>
      </c>
      <c r="AK5" t="s">
        <v>1288</v>
      </c>
      <c r="AL5">
        <v>3.3</v>
      </c>
      <c r="AM5" t="s">
        <v>520</v>
      </c>
      <c r="AN5" s="243">
        <v>1425970.24</v>
      </c>
      <c r="AO5">
        <v>755000</v>
      </c>
      <c r="AP5">
        <v>188.87</v>
      </c>
      <c r="AQ5" t="s">
        <v>666</v>
      </c>
      <c r="AR5" t="s">
        <v>1383</v>
      </c>
      <c r="AS5">
        <v>54.48</v>
      </c>
      <c r="AT5">
        <v>102.89</v>
      </c>
      <c r="AU5" s="243">
        <v>61639212.450000003</v>
      </c>
      <c r="AV5">
        <v>64940000</v>
      </c>
      <c r="AW5">
        <v>94.92</v>
      </c>
      <c r="AX5" t="s">
        <v>764</v>
      </c>
      <c r="AY5" t="s">
        <v>1366</v>
      </c>
      <c r="AZ5">
        <v>32.299999999999997</v>
      </c>
      <c r="BA5">
        <v>30.66</v>
      </c>
      <c r="BB5" s="243">
        <v>7097822.0700000003</v>
      </c>
      <c r="BC5">
        <v>0</v>
      </c>
      <c r="BD5" t="s">
        <v>520</v>
      </c>
      <c r="BE5" t="s">
        <v>668</v>
      </c>
      <c r="BF5" t="s">
        <v>1288</v>
      </c>
      <c r="BG5">
        <v>7.64</v>
      </c>
      <c r="BH5" t="s">
        <v>520</v>
      </c>
    </row>
    <row r="6" spans="1:60">
      <c r="A6">
        <v>105</v>
      </c>
      <c r="B6" t="s">
        <v>135</v>
      </c>
      <c r="C6" t="s">
        <v>519</v>
      </c>
      <c r="D6" t="s">
        <v>0</v>
      </c>
      <c r="E6" s="243">
        <v>9606598.5700000003</v>
      </c>
      <c r="F6">
        <v>14840000</v>
      </c>
      <c r="G6">
        <v>64.73</v>
      </c>
      <c r="H6" t="s">
        <v>683</v>
      </c>
      <c r="I6" t="s">
        <v>1454</v>
      </c>
      <c r="J6">
        <v>17</v>
      </c>
      <c r="K6">
        <v>11</v>
      </c>
      <c r="L6" s="243">
        <v>9682864</v>
      </c>
      <c r="M6">
        <v>27090000</v>
      </c>
      <c r="N6">
        <v>35.74</v>
      </c>
      <c r="O6" t="s">
        <v>751</v>
      </c>
      <c r="P6" t="s">
        <v>1881</v>
      </c>
      <c r="Q6">
        <v>29.83</v>
      </c>
      <c r="R6">
        <v>10.66</v>
      </c>
      <c r="S6" s="243">
        <v>1447029</v>
      </c>
      <c r="T6">
        <v>1376000</v>
      </c>
      <c r="U6">
        <v>105.16</v>
      </c>
      <c r="V6" t="s">
        <v>734</v>
      </c>
      <c r="W6" t="s">
        <v>1365</v>
      </c>
      <c r="X6">
        <v>5.89</v>
      </c>
      <c r="Y6">
        <v>6.19</v>
      </c>
      <c r="Z6" s="243">
        <v>14381374</v>
      </c>
      <c r="AA6">
        <v>4986000</v>
      </c>
      <c r="AB6">
        <v>288.44</v>
      </c>
      <c r="AC6" t="s">
        <v>728</v>
      </c>
      <c r="AD6" t="s">
        <v>1326</v>
      </c>
      <c r="AE6">
        <v>4</v>
      </c>
      <c r="AF6">
        <v>11.53</v>
      </c>
      <c r="AG6" s="243">
        <v>192090</v>
      </c>
      <c r="AH6">
        <v>0</v>
      </c>
      <c r="AI6" t="s">
        <v>520</v>
      </c>
      <c r="AJ6" t="s">
        <v>668</v>
      </c>
      <c r="AK6" t="s">
        <v>1288</v>
      </c>
      <c r="AL6">
        <v>5.78</v>
      </c>
      <c r="AM6" t="s">
        <v>520</v>
      </c>
      <c r="AN6" s="243">
        <v>493468.31</v>
      </c>
      <c r="AO6">
        <v>568000</v>
      </c>
      <c r="AP6">
        <v>86.88</v>
      </c>
      <c r="AQ6" t="s">
        <v>698</v>
      </c>
      <c r="AR6" t="s">
        <v>1344</v>
      </c>
      <c r="AS6">
        <v>25.86</v>
      </c>
      <c r="AT6">
        <v>22.46</v>
      </c>
      <c r="AU6" s="243">
        <v>35803423.880000003</v>
      </c>
      <c r="AV6">
        <v>48860000</v>
      </c>
      <c r="AW6">
        <v>73.28</v>
      </c>
      <c r="AX6" t="s">
        <v>708</v>
      </c>
      <c r="AY6" t="s">
        <v>1420</v>
      </c>
      <c r="AZ6">
        <v>14.86</v>
      </c>
      <c r="BA6">
        <v>10.89</v>
      </c>
      <c r="BB6" s="243">
        <v>3946949.57</v>
      </c>
      <c r="BC6">
        <v>0</v>
      </c>
      <c r="BD6" t="s">
        <v>520</v>
      </c>
      <c r="BE6" t="s">
        <v>668</v>
      </c>
      <c r="BF6" t="s">
        <v>1288</v>
      </c>
      <c r="BG6">
        <v>10.86</v>
      </c>
      <c r="BH6" t="s">
        <v>520</v>
      </c>
    </row>
    <row r="7" spans="1:60">
      <c r="A7">
        <v>106</v>
      </c>
      <c r="B7" t="s">
        <v>136</v>
      </c>
      <c r="C7" t="s">
        <v>519</v>
      </c>
      <c r="D7" t="s">
        <v>0</v>
      </c>
      <c r="E7" s="243">
        <v>14697601.869999999</v>
      </c>
      <c r="F7">
        <v>25960000</v>
      </c>
      <c r="G7">
        <v>56.62</v>
      </c>
      <c r="H7" t="s">
        <v>751</v>
      </c>
      <c r="I7" t="s">
        <v>1406</v>
      </c>
      <c r="J7">
        <v>13.2</v>
      </c>
      <c r="K7">
        <v>7.48</v>
      </c>
      <c r="L7" s="243">
        <v>37796544</v>
      </c>
      <c r="M7">
        <v>47400000</v>
      </c>
      <c r="N7">
        <v>79.739999999999995</v>
      </c>
      <c r="O7" t="s">
        <v>771</v>
      </c>
      <c r="P7" t="s">
        <v>1454</v>
      </c>
      <c r="Q7">
        <v>25.3</v>
      </c>
      <c r="R7">
        <v>20.170000000000002</v>
      </c>
      <c r="S7" s="243">
        <v>5721907</v>
      </c>
      <c r="T7">
        <v>5450000</v>
      </c>
      <c r="U7">
        <v>104.99</v>
      </c>
      <c r="V7" t="s">
        <v>678</v>
      </c>
      <c r="W7" t="s">
        <v>1398</v>
      </c>
      <c r="X7">
        <v>0</v>
      </c>
      <c r="Y7">
        <v>0</v>
      </c>
      <c r="Z7" s="243">
        <v>270991</v>
      </c>
      <c r="AA7">
        <v>5706000</v>
      </c>
      <c r="AB7">
        <v>4.75</v>
      </c>
      <c r="AC7" t="s">
        <v>662</v>
      </c>
      <c r="AD7" t="s">
        <v>1303</v>
      </c>
      <c r="AE7">
        <v>1.22</v>
      </c>
      <c r="AF7">
        <v>0.06</v>
      </c>
      <c r="AG7" s="243">
        <v>271133</v>
      </c>
      <c r="AH7">
        <v>0</v>
      </c>
      <c r="AI7" t="s">
        <v>520</v>
      </c>
      <c r="AJ7" t="s">
        <v>668</v>
      </c>
      <c r="AK7" t="s">
        <v>1288</v>
      </c>
      <c r="AL7">
        <v>4.0999999999999996</v>
      </c>
      <c r="AM7" t="s">
        <v>520</v>
      </c>
      <c r="AN7" s="243">
        <v>8051344.8700000001</v>
      </c>
      <c r="AO7">
        <v>994000</v>
      </c>
      <c r="AP7">
        <v>809.99</v>
      </c>
      <c r="AQ7" t="s">
        <v>734</v>
      </c>
      <c r="AR7" t="s">
        <v>1394</v>
      </c>
      <c r="AS7">
        <v>2.6</v>
      </c>
      <c r="AT7">
        <v>21.1</v>
      </c>
      <c r="AU7" s="243">
        <v>66809521.740000002</v>
      </c>
      <c r="AV7">
        <v>85510000</v>
      </c>
      <c r="AW7">
        <v>78.13</v>
      </c>
      <c r="AX7" t="s">
        <v>704</v>
      </c>
      <c r="AY7" t="s">
        <v>1429</v>
      </c>
      <c r="AZ7">
        <v>17.55</v>
      </c>
      <c r="BA7">
        <v>13.72</v>
      </c>
      <c r="BB7" s="243">
        <v>5175984.87</v>
      </c>
      <c r="BC7">
        <v>0</v>
      </c>
      <c r="BD7" t="s">
        <v>520</v>
      </c>
      <c r="BE7" t="s">
        <v>668</v>
      </c>
      <c r="BF7" t="s">
        <v>1288</v>
      </c>
      <c r="BG7">
        <v>9.27</v>
      </c>
      <c r="BH7" t="s">
        <v>520</v>
      </c>
    </row>
    <row r="8" spans="1:60">
      <c r="A8">
        <v>107</v>
      </c>
      <c r="B8" t="s">
        <v>73</v>
      </c>
      <c r="C8" t="s">
        <v>519</v>
      </c>
      <c r="D8" t="s">
        <v>0</v>
      </c>
      <c r="E8" s="243">
        <v>35772558.039999999</v>
      </c>
      <c r="F8">
        <v>31940000</v>
      </c>
      <c r="G8">
        <v>112</v>
      </c>
      <c r="H8" t="s">
        <v>802</v>
      </c>
      <c r="I8" t="s">
        <v>1323</v>
      </c>
      <c r="J8">
        <v>18.03</v>
      </c>
      <c r="K8">
        <v>20.190000000000001</v>
      </c>
      <c r="L8" s="243">
        <v>56947060</v>
      </c>
      <c r="M8">
        <v>58310000</v>
      </c>
      <c r="N8">
        <v>97.66</v>
      </c>
      <c r="O8" t="s">
        <v>730</v>
      </c>
      <c r="P8" t="s">
        <v>1415</v>
      </c>
      <c r="Q8">
        <v>61.22</v>
      </c>
      <c r="R8">
        <v>59.79</v>
      </c>
      <c r="S8" s="243">
        <v>9291823</v>
      </c>
      <c r="T8">
        <v>6227000</v>
      </c>
      <c r="U8">
        <v>149.22</v>
      </c>
      <c r="V8" t="s">
        <v>728</v>
      </c>
      <c r="W8" t="s">
        <v>1298</v>
      </c>
      <c r="X8">
        <v>51.92</v>
      </c>
      <c r="Y8">
        <v>77.47</v>
      </c>
      <c r="Z8" s="243">
        <v>1112962</v>
      </c>
      <c r="AA8">
        <v>7481000</v>
      </c>
      <c r="AB8">
        <v>14.88</v>
      </c>
      <c r="AC8" t="s">
        <v>757</v>
      </c>
      <c r="AD8" t="s">
        <v>1449</v>
      </c>
      <c r="AE8">
        <v>4.4800000000000004</v>
      </c>
      <c r="AF8">
        <v>0.67</v>
      </c>
      <c r="AG8" s="243">
        <v>655579</v>
      </c>
      <c r="AH8">
        <v>0</v>
      </c>
      <c r="AI8" t="s">
        <v>520</v>
      </c>
      <c r="AJ8" t="s">
        <v>668</v>
      </c>
      <c r="AK8" t="s">
        <v>1288</v>
      </c>
      <c r="AL8">
        <v>0.33</v>
      </c>
      <c r="AM8" t="s">
        <v>520</v>
      </c>
      <c r="AN8" s="243">
        <v>1464037.21</v>
      </c>
      <c r="AO8">
        <v>1222000</v>
      </c>
      <c r="AP8">
        <v>119.81</v>
      </c>
      <c r="AQ8" t="s">
        <v>771</v>
      </c>
      <c r="AR8" t="s">
        <v>1449</v>
      </c>
      <c r="AS8">
        <v>66.22</v>
      </c>
      <c r="AT8">
        <v>79.33</v>
      </c>
      <c r="AU8" s="243">
        <v>105244019.25</v>
      </c>
      <c r="AV8">
        <v>105180000</v>
      </c>
      <c r="AW8">
        <v>100.06</v>
      </c>
      <c r="AX8" t="s">
        <v>712</v>
      </c>
      <c r="AY8" t="s">
        <v>1336</v>
      </c>
      <c r="AZ8">
        <v>44.81</v>
      </c>
      <c r="BA8">
        <v>44.83</v>
      </c>
      <c r="BB8" s="243">
        <v>13065810.039999999</v>
      </c>
      <c r="BC8">
        <v>0</v>
      </c>
      <c r="BD8" t="s">
        <v>520</v>
      </c>
      <c r="BE8" t="s">
        <v>668</v>
      </c>
      <c r="BF8" t="s">
        <v>1288</v>
      </c>
      <c r="BG8">
        <v>7.16</v>
      </c>
      <c r="BH8" t="s">
        <v>520</v>
      </c>
    </row>
    <row r="9" spans="1:60">
      <c r="A9">
        <v>108</v>
      </c>
      <c r="B9" t="s">
        <v>1</v>
      </c>
      <c r="C9" t="s">
        <v>519</v>
      </c>
      <c r="D9" t="s">
        <v>0</v>
      </c>
      <c r="E9" s="243">
        <v>26499833.539999999</v>
      </c>
      <c r="F9">
        <v>34920000</v>
      </c>
      <c r="G9">
        <v>75.89</v>
      </c>
      <c r="H9" t="s">
        <v>676</v>
      </c>
      <c r="I9" t="s">
        <v>1311</v>
      </c>
      <c r="J9">
        <v>10.36</v>
      </c>
      <c r="K9">
        <v>7.86</v>
      </c>
      <c r="L9" s="243">
        <v>40053066</v>
      </c>
      <c r="M9">
        <v>63750000</v>
      </c>
      <c r="N9">
        <v>62.83</v>
      </c>
      <c r="O9" t="s">
        <v>745</v>
      </c>
      <c r="P9" t="s">
        <v>1392</v>
      </c>
      <c r="Q9">
        <v>19.2</v>
      </c>
      <c r="R9">
        <v>12.06</v>
      </c>
      <c r="S9" s="243">
        <v>3010194</v>
      </c>
      <c r="T9">
        <v>6993000</v>
      </c>
      <c r="U9">
        <v>43.05</v>
      </c>
      <c r="V9" t="s">
        <v>737</v>
      </c>
      <c r="W9" t="s">
        <v>1314</v>
      </c>
      <c r="X9">
        <v>16.399999999999999</v>
      </c>
      <c r="Y9">
        <v>7.06</v>
      </c>
      <c r="Z9" s="243">
        <v>2160386</v>
      </c>
      <c r="AA9">
        <v>8000000</v>
      </c>
      <c r="AB9">
        <v>27</v>
      </c>
      <c r="AC9" t="s">
        <v>754</v>
      </c>
      <c r="AD9" t="s">
        <v>1436</v>
      </c>
      <c r="AE9">
        <v>67.599999999999994</v>
      </c>
      <c r="AF9">
        <v>18.25</v>
      </c>
      <c r="AG9" s="243">
        <v>99205</v>
      </c>
      <c r="AH9">
        <v>0</v>
      </c>
      <c r="AI9" t="s">
        <v>520</v>
      </c>
      <c r="AJ9" t="s">
        <v>668</v>
      </c>
      <c r="AK9" t="s">
        <v>1288</v>
      </c>
      <c r="AL9">
        <v>4.3099999999999996</v>
      </c>
      <c r="AM9" t="s">
        <v>520</v>
      </c>
      <c r="AN9" s="243">
        <v>4602195.16</v>
      </c>
      <c r="AO9">
        <v>1337000</v>
      </c>
      <c r="AP9">
        <v>344.22</v>
      </c>
      <c r="AQ9" t="s">
        <v>730</v>
      </c>
      <c r="AR9" t="s">
        <v>1466</v>
      </c>
      <c r="AS9">
        <v>13.44</v>
      </c>
      <c r="AT9">
        <v>46.27</v>
      </c>
      <c r="AU9" s="243">
        <v>76424879.700000003</v>
      </c>
      <c r="AV9">
        <v>115000000</v>
      </c>
      <c r="AW9">
        <v>66.459999999999994</v>
      </c>
      <c r="AX9" t="s">
        <v>672</v>
      </c>
      <c r="AY9" t="s">
        <v>1425</v>
      </c>
      <c r="AZ9">
        <v>17.03</v>
      </c>
      <c r="BA9">
        <v>11.31</v>
      </c>
      <c r="BB9" s="243">
        <v>10595686.539999999</v>
      </c>
      <c r="BC9">
        <v>0</v>
      </c>
      <c r="BD9" t="s">
        <v>520</v>
      </c>
      <c r="BE9" t="s">
        <v>668</v>
      </c>
      <c r="BF9" t="s">
        <v>1288</v>
      </c>
      <c r="BG9">
        <v>4.68</v>
      </c>
      <c r="BH9" t="s">
        <v>520</v>
      </c>
    </row>
    <row r="10" spans="1:60">
      <c r="A10">
        <v>109</v>
      </c>
      <c r="B10" t="s">
        <v>2</v>
      </c>
      <c r="C10" t="s">
        <v>521</v>
      </c>
      <c r="D10" t="s">
        <v>0</v>
      </c>
      <c r="E10" s="243">
        <v>8368940.3099999996</v>
      </c>
      <c r="F10">
        <v>9390000</v>
      </c>
      <c r="G10">
        <v>89.13</v>
      </c>
      <c r="H10" t="s">
        <v>791</v>
      </c>
      <c r="I10" t="s">
        <v>1284</v>
      </c>
      <c r="J10">
        <v>13.3</v>
      </c>
      <c r="K10">
        <v>11.86</v>
      </c>
      <c r="L10" s="243">
        <v>8049644</v>
      </c>
      <c r="M10">
        <v>17150000</v>
      </c>
      <c r="N10">
        <v>46.94</v>
      </c>
      <c r="O10" t="s">
        <v>747</v>
      </c>
      <c r="P10" t="s">
        <v>1360</v>
      </c>
      <c r="Q10">
        <v>77.180000000000007</v>
      </c>
      <c r="R10">
        <v>36.229999999999997</v>
      </c>
      <c r="S10" s="243">
        <v>844554</v>
      </c>
      <c r="T10">
        <v>1090000</v>
      </c>
      <c r="U10">
        <v>77.48</v>
      </c>
      <c r="V10" t="s">
        <v>712</v>
      </c>
      <c r="W10" t="s">
        <v>1322</v>
      </c>
      <c r="X10">
        <v>0.34</v>
      </c>
      <c r="Y10">
        <v>0.26</v>
      </c>
      <c r="Z10" s="243">
        <v>2412923</v>
      </c>
      <c r="AA10">
        <v>2941000</v>
      </c>
      <c r="AB10">
        <v>82.04</v>
      </c>
      <c r="AC10" t="s">
        <v>730</v>
      </c>
      <c r="AD10" t="s">
        <v>1431</v>
      </c>
      <c r="AE10">
        <v>0.01</v>
      </c>
      <c r="AF10">
        <v>0.01</v>
      </c>
      <c r="AG10" s="243">
        <v>64232</v>
      </c>
      <c r="AH10">
        <v>0</v>
      </c>
      <c r="AI10" t="s">
        <v>520</v>
      </c>
      <c r="AJ10" t="s">
        <v>668</v>
      </c>
      <c r="AK10" t="s">
        <v>1288</v>
      </c>
      <c r="AL10">
        <v>6.44</v>
      </c>
      <c r="AM10" t="s">
        <v>520</v>
      </c>
      <c r="AN10" s="243">
        <v>131072.72</v>
      </c>
      <c r="AO10">
        <v>359000</v>
      </c>
      <c r="AP10">
        <v>36.51</v>
      </c>
      <c r="AQ10" t="s">
        <v>708</v>
      </c>
      <c r="AR10" t="s">
        <v>1448</v>
      </c>
      <c r="AS10">
        <v>2.59</v>
      </c>
      <c r="AT10">
        <v>0.94</v>
      </c>
      <c r="AU10" s="243">
        <v>19871366.030000001</v>
      </c>
      <c r="AV10">
        <v>30930000</v>
      </c>
      <c r="AW10">
        <v>64.25</v>
      </c>
      <c r="AX10" t="s">
        <v>759</v>
      </c>
      <c r="AY10" t="s">
        <v>1468</v>
      </c>
      <c r="AZ10">
        <v>36.92</v>
      </c>
      <c r="BA10">
        <v>23.72</v>
      </c>
      <c r="BB10" s="243">
        <v>4537279.3099999996</v>
      </c>
      <c r="BC10">
        <v>0</v>
      </c>
      <c r="BD10" t="s">
        <v>520</v>
      </c>
      <c r="BE10" t="s">
        <v>668</v>
      </c>
      <c r="BF10" t="s">
        <v>1288</v>
      </c>
      <c r="BG10">
        <v>7.9</v>
      </c>
      <c r="BH10" t="s">
        <v>520</v>
      </c>
    </row>
    <row r="11" spans="1:60">
      <c r="A11">
        <v>110</v>
      </c>
      <c r="B11" t="s">
        <v>74</v>
      </c>
      <c r="C11" t="s">
        <v>523</v>
      </c>
      <c r="D11" t="s">
        <v>0</v>
      </c>
      <c r="E11" s="243">
        <v>10174106.779999999</v>
      </c>
      <c r="F11">
        <v>15540000</v>
      </c>
      <c r="G11">
        <v>65.47</v>
      </c>
      <c r="H11" t="s">
        <v>672</v>
      </c>
      <c r="I11" t="s">
        <v>1434</v>
      </c>
      <c r="J11">
        <v>26.91</v>
      </c>
      <c r="K11">
        <v>17.62</v>
      </c>
      <c r="L11" s="243">
        <v>25934084</v>
      </c>
      <c r="M11">
        <v>28370000</v>
      </c>
      <c r="N11">
        <v>91.41</v>
      </c>
      <c r="O11" t="s">
        <v>722</v>
      </c>
      <c r="P11" t="s">
        <v>1320</v>
      </c>
      <c r="Q11">
        <v>63.91</v>
      </c>
      <c r="R11">
        <v>58.42</v>
      </c>
      <c r="S11" s="243">
        <v>1534120</v>
      </c>
      <c r="T11">
        <v>4200000</v>
      </c>
      <c r="U11">
        <v>36.53</v>
      </c>
      <c r="V11" t="s">
        <v>681</v>
      </c>
      <c r="W11" t="s">
        <v>1426</v>
      </c>
      <c r="X11">
        <v>28.02</v>
      </c>
      <c r="Y11">
        <v>10.23</v>
      </c>
      <c r="Z11" s="243">
        <v>28360</v>
      </c>
      <c r="AA11">
        <v>2465000</v>
      </c>
      <c r="AB11">
        <v>1.1499999999999999</v>
      </c>
      <c r="AC11" t="s">
        <v>759</v>
      </c>
      <c r="AD11" t="s">
        <v>1399</v>
      </c>
      <c r="AE11">
        <v>0.11</v>
      </c>
      <c r="AF11">
        <v>0</v>
      </c>
      <c r="AG11" s="243">
        <v>34704</v>
      </c>
      <c r="AH11">
        <v>0</v>
      </c>
      <c r="AI11" t="s">
        <v>520</v>
      </c>
      <c r="AJ11" t="s">
        <v>668</v>
      </c>
      <c r="AK11" t="s">
        <v>1288</v>
      </c>
      <c r="AL11">
        <v>11.69</v>
      </c>
      <c r="AM11" t="s">
        <v>520</v>
      </c>
      <c r="AN11" s="243">
        <v>30007.06</v>
      </c>
      <c r="AO11">
        <v>595000</v>
      </c>
      <c r="AP11">
        <v>5.04</v>
      </c>
      <c r="AQ11" t="s">
        <v>759</v>
      </c>
      <c r="AR11" t="s">
        <v>1397</v>
      </c>
      <c r="AS11">
        <v>92.05</v>
      </c>
      <c r="AT11">
        <v>4.6399999999999997</v>
      </c>
      <c r="AU11" s="243">
        <v>37735381.840000004</v>
      </c>
      <c r="AV11">
        <v>51170000</v>
      </c>
      <c r="AW11">
        <v>73.75</v>
      </c>
      <c r="AX11" t="s">
        <v>674</v>
      </c>
      <c r="AY11" t="s">
        <v>1446</v>
      </c>
      <c r="AZ11">
        <v>52.4</v>
      </c>
      <c r="BA11">
        <v>38.64</v>
      </c>
      <c r="BB11" s="243">
        <v>3421768.78</v>
      </c>
      <c r="BC11">
        <v>0</v>
      </c>
      <c r="BD11" t="s">
        <v>520</v>
      </c>
      <c r="BE11" t="s">
        <v>668</v>
      </c>
      <c r="BF11" t="s">
        <v>1288</v>
      </c>
      <c r="BG11">
        <v>20.78</v>
      </c>
      <c r="BH11" t="s">
        <v>520</v>
      </c>
    </row>
    <row r="12" spans="1:60">
      <c r="A12">
        <v>111</v>
      </c>
      <c r="B12" t="s">
        <v>75</v>
      </c>
      <c r="C12" t="s">
        <v>519</v>
      </c>
      <c r="D12" t="s">
        <v>0</v>
      </c>
      <c r="E12" s="243">
        <v>38412300.770000003</v>
      </c>
      <c r="F12">
        <v>26660000</v>
      </c>
      <c r="G12">
        <v>144.08000000000001</v>
      </c>
      <c r="H12" t="s">
        <v>723</v>
      </c>
      <c r="I12" t="s">
        <v>1298</v>
      </c>
      <c r="J12">
        <v>6.1</v>
      </c>
      <c r="K12">
        <v>8.7899999999999991</v>
      </c>
      <c r="L12" s="243">
        <v>19885486</v>
      </c>
      <c r="M12">
        <v>48670000</v>
      </c>
      <c r="N12">
        <v>40.86</v>
      </c>
      <c r="O12" t="s">
        <v>672</v>
      </c>
      <c r="P12" t="s">
        <v>1346</v>
      </c>
      <c r="Q12">
        <v>33.31</v>
      </c>
      <c r="R12">
        <v>13.61</v>
      </c>
      <c r="S12" s="243">
        <v>3291465</v>
      </c>
      <c r="T12">
        <v>6183000</v>
      </c>
      <c r="U12">
        <v>53.23</v>
      </c>
      <c r="V12" t="s">
        <v>802</v>
      </c>
      <c r="W12" t="s">
        <v>1287</v>
      </c>
      <c r="X12">
        <v>0.38</v>
      </c>
      <c r="Y12">
        <v>0.2</v>
      </c>
      <c r="Z12" s="243">
        <v>61189</v>
      </c>
      <c r="AA12">
        <v>5267000</v>
      </c>
      <c r="AB12">
        <v>1.1599999999999999</v>
      </c>
      <c r="AC12" t="s">
        <v>683</v>
      </c>
      <c r="AD12" t="s">
        <v>1397</v>
      </c>
      <c r="AE12">
        <v>11.86</v>
      </c>
      <c r="AF12">
        <v>0.14000000000000001</v>
      </c>
      <c r="AG12" s="243">
        <v>245465</v>
      </c>
      <c r="AH12">
        <v>0</v>
      </c>
      <c r="AI12" t="s">
        <v>520</v>
      </c>
      <c r="AJ12" t="s">
        <v>668</v>
      </c>
      <c r="AK12" t="s">
        <v>1288</v>
      </c>
      <c r="AL12">
        <v>5.01</v>
      </c>
      <c r="AM12" t="s">
        <v>520</v>
      </c>
      <c r="AN12" s="243">
        <v>1170925.51</v>
      </c>
      <c r="AO12">
        <v>1020000</v>
      </c>
      <c r="AP12">
        <v>114.8</v>
      </c>
      <c r="AQ12" t="s">
        <v>714</v>
      </c>
      <c r="AR12" t="s">
        <v>1356</v>
      </c>
      <c r="AS12">
        <v>21.38</v>
      </c>
      <c r="AT12">
        <v>24.55</v>
      </c>
      <c r="AU12" s="243">
        <v>63066831.280000001</v>
      </c>
      <c r="AV12">
        <v>87800000</v>
      </c>
      <c r="AW12">
        <v>71.83</v>
      </c>
      <c r="AX12" t="s">
        <v>690</v>
      </c>
      <c r="AY12" t="s">
        <v>1312</v>
      </c>
      <c r="AZ12">
        <v>14.66</v>
      </c>
      <c r="BA12">
        <v>10.53</v>
      </c>
      <c r="BB12" s="243">
        <v>15422082.77</v>
      </c>
      <c r="BC12">
        <v>0</v>
      </c>
      <c r="BD12" t="s">
        <v>520</v>
      </c>
      <c r="BE12" t="s">
        <v>668</v>
      </c>
      <c r="BF12" t="s">
        <v>1288</v>
      </c>
      <c r="BG12">
        <v>6.22</v>
      </c>
      <c r="BH12" t="s">
        <v>520</v>
      </c>
    </row>
    <row r="13" spans="1:60">
      <c r="A13">
        <v>112</v>
      </c>
      <c r="B13" t="s">
        <v>137</v>
      </c>
      <c r="C13" t="s">
        <v>519</v>
      </c>
      <c r="D13" t="s">
        <v>0</v>
      </c>
      <c r="E13" s="243">
        <v>16607490.41</v>
      </c>
      <c r="F13">
        <v>17380000</v>
      </c>
      <c r="G13">
        <v>95.56</v>
      </c>
      <c r="H13" t="s">
        <v>725</v>
      </c>
      <c r="I13" t="s">
        <v>1383</v>
      </c>
      <c r="J13">
        <v>8.6199999999999992</v>
      </c>
      <c r="K13">
        <v>8.23</v>
      </c>
      <c r="L13" s="243">
        <v>18216884</v>
      </c>
      <c r="M13">
        <v>31730000</v>
      </c>
      <c r="N13">
        <v>57.41</v>
      </c>
      <c r="O13" t="s">
        <v>708</v>
      </c>
      <c r="P13" t="s">
        <v>1330</v>
      </c>
      <c r="Q13">
        <v>38.47</v>
      </c>
      <c r="R13">
        <v>22.09</v>
      </c>
      <c r="S13" s="243">
        <v>950039</v>
      </c>
      <c r="T13">
        <v>3269000</v>
      </c>
      <c r="U13">
        <v>29.06</v>
      </c>
      <c r="V13" t="s">
        <v>743</v>
      </c>
      <c r="W13" t="s">
        <v>1384</v>
      </c>
      <c r="X13">
        <v>17.59</v>
      </c>
      <c r="Y13">
        <v>5.1100000000000003</v>
      </c>
      <c r="Z13" s="243">
        <v>2444970</v>
      </c>
      <c r="AA13">
        <v>4196000</v>
      </c>
      <c r="AB13">
        <v>58.27</v>
      </c>
      <c r="AC13" t="s">
        <v>712</v>
      </c>
      <c r="AD13" t="s">
        <v>1332</v>
      </c>
      <c r="AE13">
        <v>0.39</v>
      </c>
      <c r="AF13">
        <v>0.23</v>
      </c>
      <c r="AG13" s="243">
        <v>383334</v>
      </c>
      <c r="AH13">
        <v>0</v>
      </c>
      <c r="AI13" t="s">
        <v>520</v>
      </c>
      <c r="AJ13" t="s">
        <v>668</v>
      </c>
      <c r="AK13" t="s">
        <v>1288</v>
      </c>
      <c r="AL13">
        <v>1.26</v>
      </c>
      <c r="AM13" t="s">
        <v>520</v>
      </c>
      <c r="AN13" s="243">
        <v>4533175.04</v>
      </c>
      <c r="AO13">
        <v>665000</v>
      </c>
      <c r="AP13">
        <v>681.68</v>
      </c>
      <c r="AQ13" t="s">
        <v>678</v>
      </c>
      <c r="AR13" t="s">
        <v>1393</v>
      </c>
      <c r="AS13">
        <v>0.37</v>
      </c>
      <c r="AT13">
        <v>2.5</v>
      </c>
      <c r="AU13" s="243">
        <v>43135892.450000003</v>
      </c>
      <c r="AV13">
        <v>57240000</v>
      </c>
      <c r="AW13">
        <v>75.36</v>
      </c>
      <c r="AX13" t="s">
        <v>676</v>
      </c>
      <c r="AY13" t="s">
        <v>1339</v>
      </c>
      <c r="AZ13">
        <v>20.02</v>
      </c>
      <c r="BA13">
        <v>15.09</v>
      </c>
      <c r="BB13" s="243">
        <v>7886460.4100000001</v>
      </c>
      <c r="BC13">
        <v>0</v>
      </c>
      <c r="BD13" t="s">
        <v>520</v>
      </c>
      <c r="BE13" t="s">
        <v>668</v>
      </c>
      <c r="BF13" t="s">
        <v>1288</v>
      </c>
      <c r="BG13">
        <v>3.66</v>
      </c>
      <c r="BH13" t="s">
        <v>520</v>
      </c>
    </row>
    <row r="14" spans="1:60">
      <c r="A14">
        <v>113</v>
      </c>
      <c r="B14" t="s">
        <v>3</v>
      </c>
      <c r="C14" t="s">
        <v>522</v>
      </c>
      <c r="D14" t="s">
        <v>0</v>
      </c>
      <c r="E14" s="243">
        <v>35716710.82</v>
      </c>
      <c r="F14">
        <v>23890000</v>
      </c>
      <c r="G14">
        <v>149.5</v>
      </c>
      <c r="H14" t="s">
        <v>741</v>
      </c>
      <c r="I14" t="s">
        <v>1347</v>
      </c>
      <c r="J14">
        <v>16.34</v>
      </c>
      <c r="K14">
        <v>24.44</v>
      </c>
      <c r="L14" s="243">
        <v>25955445</v>
      </c>
      <c r="M14">
        <v>43610000</v>
      </c>
      <c r="N14">
        <v>59.52</v>
      </c>
      <c r="O14" t="s">
        <v>778</v>
      </c>
      <c r="P14" t="s">
        <v>1307</v>
      </c>
      <c r="Q14">
        <v>41.46</v>
      </c>
      <c r="R14">
        <v>24.68</v>
      </c>
      <c r="S14" s="243">
        <v>2114498</v>
      </c>
      <c r="T14">
        <v>3670000</v>
      </c>
      <c r="U14">
        <v>57.62</v>
      </c>
      <c r="V14" t="s">
        <v>722</v>
      </c>
      <c r="W14" t="s">
        <v>1348</v>
      </c>
      <c r="X14">
        <v>4.3600000000000003</v>
      </c>
      <c r="Y14">
        <v>2.5099999999999998</v>
      </c>
      <c r="Z14" s="243">
        <v>1235842</v>
      </c>
      <c r="AA14">
        <v>6586000</v>
      </c>
      <c r="AB14">
        <v>18.760000000000002</v>
      </c>
      <c r="AC14" t="s">
        <v>791</v>
      </c>
      <c r="AD14" t="s">
        <v>1304</v>
      </c>
      <c r="AE14">
        <v>2.08</v>
      </c>
      <c r="AF14">
        <v>0.39</v>
      </c>
      <c r="AG14" s="243">
        <v>192543</v>
      </c>
      <c r="AH14">
        <v>0</v>
      </c>
      <c r="AI14" t="s">
        <v>520</v>
      </c>
      <c r="AJ14" t="s">
        <v>668</v>
      </c>
      <c r="AK14" t="s">
        <v>1288</v>
      </c>
      <c r="AL14">
        <v>15.32</v>
      </c>
      <c r="AM14" t="s">
        <v>520</v>
      </c>
      <c r="AN14" s="243">
        <v>1221476.73</v>
      </c>
      <c r="AO14">
        <v>914000</v>
      </c>
      <c r="AP14">
        <v>133.63999999999999</v>
      </c>
      <c r="AQ14" t="s">
        <v>660</v>
      </c>
      <c r="AR14" t="s">
        <v>1351</v>
      </c>
      <c r="AS14">
        <v>59.13</v>
      </c>
      <c r="AT14">
        <v>79.02</v>
      </c>
      <c r="AU14" s="243">
        <v>66436515.549999997</v>
      </c>
      <c r="AV14">
        <v>78670000</v>
      </c>
      <c r="AW14">
        <v>84.45</v>
      </c>
      <c r="AX14" t="s">
        <v>714</v>
      </c>
      <c r="AY14" t="s">
        <v>1296</v>
      </c>
      <c r="AZ14">
        <v>26.29</v>
      </c>
      <c r="BA14">
        <v>22.21</v>
      </c>
      <c r="BB14" s="243">
        <v>11108395.82</v>
      </c>
      <c r="BC14">
        <v>0</v>
      </c>
      <c r="BD14" t="s">
        <v>520</v>
      </c>
      <c r="BE14" t="s">
        <v>668</v>
      </c>
      <c r="BF14" t="s">
        <v>1288</v>
      </c>
      <c r="BG14">
        <v>12.69</v>
      </c>
      <c r="BH14" t="s">
        <v>520</v>
      </c>
    </row>
    <row r="15" spans="1:60">
      <c r="A15">
        <v>114</v>
      </c>
      <c r="B15" t="s">
        <v>138</v>
      </c>
      <c r="C15" t="s">
        <v>521</v>
      </c>
      <c r="D15" t="s">
        <v>0</v>
      </c>
      <c r="E15" s="243">
        <v>16294534.640000001</v>
      </c>
      <c r="F15">
        <v>21790000</v>
      </c>
      <c r="G15">
        <v>74.78</v>
      </c>
      <c r="H15" t="s">
        <v>708</v>
      </c>
      <c r="I15" t="s">
        <v>1413</v>
      </c>
      <c r="J15">
        <v>18.84</v>
      </c>
      <c r="K15">
        <v>14.09</v>
      </c>
      <c r="L15" s="243">
        <v>33881599</v>
      </c>
      <c r="M15">
        <v>39790000</v>
      </c>
      <c r="N15">
        <v>85.15</v>
      </c>
      <c r="O15" t="s">
        <v>670</v>
      </c>
      <c r="P15" t="s">
        <v>1359</v>
      </c>
      <c r="Q15">
        <v>61.37</v>
      </c>
      <c r="R15">
        <v>52.26</v>
      </c>
      <c r="S15" s="243">
        <v>1867529</v>
      </c>
      <c r="T15">
        <v>5064000</v>
      </c>
      <c r="U15">
        <v>36.880000000000003</v>
      </c>
      <c r="V15" t="s">
        <v>754</v>
      </c>
      <c r="W15" t="s">
        <v>1356</v>
      </c>
      <c r="X15">
        <v>54.09</v>
      </c>
      <c r="Y15">
        <v>19.95</v>
      </c>
      <c r="Z15" s="243">
        <v>7999651</v>
      </c>
      <c r="AA15">
        <v>4292000</v>
      </c>
      <c r="AB15">
        <v>186.39</v>
      </c>
      <c r="AC15" t="s">
        <v>741</v>
      </c>
      <c r="AD15" t="s">
        <v>1421</v>
      </c>
      <c r="AE15">
        <v>0</v>
      </c>
      <c r="AF15">
        <v>0</v>
      </c>
      <c r="AG15" s="243">
        <v>184613</v>
      </c>
      <c r="AH15">
        <v>0</v>
      </c>
      <c r="AI15" t="s">
        <v>520</v>
      </c>
      <c r="AJ15" t="s">
        <v>668</v>
      </c>
      <c r="AK15" t="s">
        <v>1288</v>
      </c>
      <c r="AL15">
        <v>5.56</v>
      </c>
      <c r="AM15" t="s">
        <v>520</v>
      </c>
      <c r="AN15" s="243">
        <v>612591.74</v>
      </c>
      <c r="AO15">
        <v>834000</v>
      </c>
      <c r="AP15">
        <v>73.45</v>
      </c>
      <c r="AQ15" t="s">
        <v>817</v>
      </c>
      <c r="AR15" t="s">
        <v>1424</v>
      </c>
      <c r="AS15">
        <v>29.63</v>
      </c>
      <c r="AT15">
        <v>21.77</v>
      </c>
      <c r="AU15" s="243">
        <v>60840518.380000003</v>
      </c>
      <c r="AV15">
        <v>71770000</v>
      </c>
      <c r="AW15">
        <v>84.77</v>
      </c>
      <c r="AX15" t="s">
        <v>771</v>
      </c>
      <c r="AY15" t="s">
        <v>1301</v>
      </c>
      <c r="AZ15">
        <v>41.2</v>
      </c>
      <c r="BA15">
        <v>34.93</v>
      </c>
      <c r="BB15" s="243">
        <v>6350808.6399999997</v>
      </c>
      <c r="BC15">
        <v>0</v>
      </c>
      <c r="BD15" t="s">
        <v>520</v>
      </c>
      <c r="BE15" t="s">
        <v>668</v>
      </c>
      <c r="BF15" t="s">
        <v>1288</v>
      </c>
      <c r="BG15">
        <v>9.11</v>
      </c>
      <c r="BH15" t="s">
        <v>520</v>
      </c>
    </row>
    <row r="16" spans="1:60">
      <c r="A16">
        <v>115</v>
      </c>
      <c r="B16" t="s">
        <v>139</v>
      </c>
      <c r="C16" t="s">
        <v>521</v>
      </c>
      <c r="D16" t="s">
        <v>0</v>
      </c>
      <c r="E16" s="243">
        <v>10129969.189999999</v>
      </c>
      <c r="F16">
        <v>16910000</v>
      </c>
      <c r="G16">
        <v>59.91</v>
      </c>
      <c r="H16" t="s">
        <v>759</v>
      </c>
      <c r="I16" t="s">
        <v>1446</v>
      </c>
      <c r="J16">
        <v>15.22</v>
      </c>
      <c r="K16">
        <v>9.1199999999999992</v>
      </c>
      <c r="L16" s="243">
        <v>60220415</v>
      </c>
      <c r="M16">
        <v>30870000</v>
      </c>
      <c r="N16">
        <v>195.08</v>
      </c>
      <c r="O16" t="s">
        <v>728</v>
      </c>
      <c r="P16" t="s">
        <v>1421</v>
      </c>
      <c r="Q16">
        <v>6.08</v>
      </c>
      <c r="R16">
        <v>11.85</v>
      </c>
      <c r="S16" s="243">
        <v>2213060</v>
      </c>
      <c r="T16">
        <v>4321000</v>
      </c>
      <c r="U16">
        <v>51.22</v>
      </c>
      <c r="V16" t="s">
        <v>670</v>
      </c>
      <c r="W16" t="s">
        <v>1423</v>
      </c>
      <c r="X16">
        <v>15.97</v>
      </c>
      <c r="Y16">
        <v>8.18</v>
      </c>
      <c r="Z16" s="243">
        <v>6095619</v>
      </c>
      <c r="AA16">
        <v>2932000</v>
      </c>
      <c r="AB16">
        <v>207.9</v>
      </c>
      <c r="AC16" t="s">
        <v>716</v>
      </c>
      <c r="AD16" t="s">
        <v>1347</v>
      </c>
      <c r="AE16">
        <v>1.1399999999999999</v>
      </c>
      <c r="AF16">
        <v>2.37</v>
      </c>
      <c r="AG16" s="243">
        <v>67123</v>
      </c>
      <c r="AH16">
        <v>0</v>
      </c>
      <c r="AI16" t="s">
        <v>520</v>
      </c>
      <c r="AJ16" t="s">
        <v>668</v>
      </c>
      <c r="AK16" t="s">
        <v>1288</v>
      </c>
      <c r="AL16">
        <v>1.86</v>
      </c>
      <c r="AM16" t="s">
        <v>520</v>
      </c>
      <c r="AN16" s="243">
        <v>401307.67</v>
      </c>
      <c r="AO16">
        <v>647000</v>
      </c>
      <c r="AP16">
        <v>62.03</v>
      </c>
      <c r="AQ16" t="s">
        <v>757</v>
      </c>
      <c r="AR16" t="s">
        <v>1382</v>
      </c>
      <c r="AS16">
        <v>0</v>
      </c>
      <c r="AT16">
        <v>0</v>
      </c>
      <c r="AU16" s="243">
        <v>79127493.859999999</v>
      </c>
      <c r="AV16">
        <v>55680000</v>
      </c>
      <c r="AW16">
        <v>142.11000000000001</v>
      </c>
      <c r="AX16" t="s">
        <v>728</v>
      </c>
      <c r="AY16" t="s">
        <v>1421</v>
      </c>
      <c r="AZ16">
        <v>7.11</v>
      </c>
      <c r="BA16">
        <v>10.1</v>
      </c>
      <c r="BB16" s="243">
        <v>2927154.19</v>
      </c>
      <c r="BC16">
        <v>0</v>
      </c>
      <c r="BD16" t="s">
        <v>520</v>
      </c>
      <c r="BE16" t="s">
        <v>668</v>
      </c>
      <c r="BF16" t="s">
        <v>1288</v>
      </c>
      <c r="BG16">
        <v>8.65</v>
      </c>
      <c r="BH16" t="s">
        <v>520</v>
      </c>
    </row>
    <row r="17" spans="1:60">
      <c r="A17">
        <v>116</v>
      </c>
      <c r="B17" t="s">
        <v>140</v>
      </c>
      <c r="C17" t="s">
        <v>522</v>
      </c>
      <c r="D17" t="s">
        <v>0</v>
      </c>
      <c r="E17" s="243">
        <v>12224002.029999999</v>
      </c>
      <c r="F17">
        <v>12970000</v>
      </c>
      <c r="G17">
        <v>94.25</v>
      </c>
      <c r="H17" t="s">
        <v>698</v>
      </c>
      <c r="I17" t="s">
        <v>1436</v>
      </c>
      <c r="J17">
        <v>11.14</v>
      </c>
      <c r="K17">
        <v>10.5</v>
      </c>
      <c r="L17" s="243">
        <v>22331143</v>
      </c>
      <c r="M17">
        <v>23690000</v>
      </c>
      <c r="N17">
        <v>94.26</v>
      </c>
      <c r="O17" t="s">
        <v>701</v>
      </c>
      <c r="P17" t="s">
        <v>1301</v>
      </c>
      <c r="Q17">
        <v>55.71</v>
      </c>
      <c r="R17">
        <v>52.52</v>
      </c>
      <c r="S17" s="243">
        <v>181742</v>
      </c>
      <c r="T17">
        <v>3152000</v>
      </c>
      <c r="U17">
        <v>5.77</v>
      </c>
      <c r="V17" t="s">
        <v>751</v>
      </c>
      <c r="W17" t="s">
        <v>1330</v>
      </c>
      <c r="X17">
        <v>9.56</v>
      </c>
      <c r="Y17">
        <v>0.55000000000000004</v>
      </c>
      <c r="Z17" s="243">
        <v>168448</v>
      </c>
      <c r="AA17">
        <v>2421000</v>
      </c>
      <c r="AB17">
        <v>6.96</v>
      </c>
      <c r="AC17" t="s">
        <v>708</v>
      </c>
      <c r="AD17" t="s">
        <v>1311</v>
      </c>
      <c r="AE17">
        <v>1.07</v>
      </c>
      <c r="AF17">
        <v>7.0000000000000007E-2</v>
      </c>
      <c r="AG17" s="243">
        <v>38121</v>
      </c>
      <c r="AH17">
        <v>0</v>
      </c>
      <c r="AI17" t="s">
        <v>520</v>
      </c>
      <c r="AJ17" t="s">
        <v>668</v>
      </c>
      <c r="AK17" t="s">
        <v>1288</v>
      </c>
      <c r="AL17">
        <v>3.96</v>
      </c>
      <c r="AM17" t="s">
        <v>520</v>
      </c>
      <c r="AN17" s="243">
        <v>14038.68</v>
      </c>
      <c r="AO17">
        <v>497000</v>
      </c>
      <c r="AP17">
        <v>2.82</v>
      </c>
      <c r="AQ17" t="s">
        <v>751</v>
      </c>
      <c r="AR17" t="s">
        <v>1315</v>
      </c>
      <c r="AS17">
        <v>0</v>
      </c>
      <c r="AT17">
        <v>0</v>
      </c>
      <c r="AU17" s="243">
        <v>34957494.710000001</v>
      </c>
      <c r="AV17">
        <v>42730000</v>
      </c>
      <c r="AW17">
        <v>81.81</v>
      </c>
      <c r="AX17" t="s">
        <v>664</v>
      </c>
      <c r="AY17" t="s">
        <v>1410</v>
      </c>
      <c r="AZ17">
        <v>39.54</v>
      </c>
      <c r="BA17">
        <v>32.35</v>
      </c>
      <c r="BB17" s="243">
        <v>4964387.03</v>
      </c>
      <c r="BC17">
        <v>0</v>
      </c>
      <c r="BD17" t="s">
        <v>520</v>
      </c>
      <c r="BE17" t="s">
        <v>668</v>
      </c>
      <c r="BF17" t="s">
        <v>1288</v>
      </c>
      <c r="BG17">
        <v>8.6300000000000008</v>
      </c>
      <c r="BH17" t="s">
        <v>520</v>
      </c>
    </row>
    <row r="18" spans="1:60">
      <c r="A18">
        <v>117</v>
      </c>
      <c r="B18" t="s">
        <v>399</v>
      </c>
      <c r="C18" t="s">
        <v>519</v>
      </c>
      <c r="D18" t="s">
        <v>0</v>
      </c>
      <c r="E18" s="243">
        <v>19738258.699999999</v>
      </c>
      <c r="F18">
        <v>19290000</v>
      </c>
      <c r="G18">
        <v>102.32</v>
      </c>
      <c r="H18" t="s">
        <v>686</v>
      </c>
      <c r="I18" t="s">
        <v>1447</v>
      </c>
      <c r="J18">
        <v>36.46</v>
      </c>
      <c r="K18">
        <v>37.31</v>
      </c>
      <c r="L18" s="243">
        <v>33665351</v>
      </c>
      <c r="M18">
        <v>35220000</v>
      </c>
      <c r="N18">
        <v>95.59</v>
      </c>
      <c r="O18" t="s">
        <v>712</v>
      </c>
      <c r="P18" t="s">
        <v>1337</v>
      </c>
      <c r="Q18">
        <v>53.5</v>
      </c>
      <c r="R18">
        <v>51.14</v>
      </c>
      <c r="S18" s="243">
        <v>4195278</v>
      </c>
      <c r="T18">
        <v>4242000</v>
      </c>
      <c r="U18">
        <v>98.9</v>
      </c>
      <c r="V18" t="s">
        <v>723</v>
      </c>
      <c r="W18" t="s">
        <v>1327</v>
      </c>
      <c r="X18">
        <v>51.74</v>
      </c>
      <c r="Y18">
        <v>51.17</v>
      </c>
      <c r="Z18" s="243">
        <v>6688840</v>
      </c>
      <c r="AA18">
        <v>4040000</v>
      </c>
      <c r="AB18">
        <v>165.57</v>
      </c>
      <c r="AC18" t="s">
        <v>678</v>
      </c>
      <c r="AD18" t="s">
        <v>1363</v>
      </c>
      <c r="AE18">
        <v>0.02</v>
      </c>
      <c r="AF18">
        <v>0.04</v>
      </c>
      <c r="AG18" s="243">
        <v>141355</v>
      </c>
      <c r="AH18">
        <v>0</v>
      </c>
      <c r="AI18" t="s">
        <v>520</v>
      </c>
      <c r="AJ18" t="s">
        <v>668</v>
      </c>
      <c r="AK18" t="s">
        <v>1288</v>
      </c>
      <c r="AL18">
        <v>2.14</v>
      </c>
      <c r="AM18" t="s">
        <v>520</v>
      </c>
      <c r="AN18" s="243">
        <v>465877.36</v>
      </c>
      <c r="AO18">
        <v>738000</v>
      </c>
      <c r="AP18">
        <v>63.13</v>
      </c>
      <c r="AQ18" t="s">
        <v>743</v>
      </c>
      <c r="AR18" t="s">
        <v>1412</v>
      </c>
      <c r="AS18">
        <v>21.48</v>
      </c>
      <c r="AT18">
        <v>13.56</v>
      </c>
      <c r="AU18" s="243">
        <v>64894960.060000002</v>
      </c>
      <c r="AV18">
        <v>63530000</v>
      </c>
      <c r="AW18">
        <v>102.15</v>
      </c>
      <c r="AX18" t="s">
        <v>688</v>
      </c>
      <c r="AY18" t="s">
        <v>1362</v>
      </c>
      <c r="AZ18">
        <v>42.35</v>
      </c>
      <c r="BA18">
        <v>43.26</v>
      </c>
      <c r="BB18" s="243">
        <v>6891540.7000000002</v>
      </c>
      <c r="BC18">
        <v>0</v>
      </c>
      <c r="BD18" t="s">
        <v>520</v>
      </c>
      <c r="BE18" t="s">
        <v>668</v>
      </c>
      <c r="BF18" t="s">
        <v>1288</v>
      </c>
      <c r="BG18">
        <v>7.34</v>
      </c>
      <c r="BH18" t="s">
        <v>520</v>
      </c>
    </row>
    <row r="19" spans="1:60">
      <c r="A19">
        <v>118</v>
      </c>
      <c r="B19" t="s">
        <v>141</v>
      </c>
      <c r="C19" t="s">
        <v>522</v>
      </c>
      <c r="D19" t="s">
        <v>0</v>
      </c>
      <c r="E19" s="243">
        <v>24809164.960000001</v>
      </c>
      <c r="F19">
        <v>19260000</v>
      </c>
      <c r="G19">
        <v>128.81</v>
      </c>
      <c r="H19" t="s">
        <v>712</v>
      </c>
      <c r="I19" t="s">
        <v>1295</v>
      </c>
      <c r="J19">
        <v>8.7899999999999991</v>
      </c>
      <c r="K19">
        <v>11.33</v>
      </c>
      <c r="L19" s="243">
        <v>20719152</v>
      </c>
      <c r="M19">
        <v>35160000</v>
      </c>
      <c r="N19">
        <v>58.93</v>
      </c>
      <c r="O19" t="s">
        <v>676</v>
      </c>
      <c r="P19" t="s">
        <v>1315</v>
      </c>
      <c r="Q19">
        <v>49.27</v>
      </c>
      <c r="R19">
        <v>29.03</v>
      </c>
      <c r="S19" s="243">
        <v>1607166</v>
      </c>
      <c r="T19">
        <v>4421000</v>
      </c>
      <c r="U19">
        <v>36.35</v>
      </c>
      <c r="V19" t="s">
        <v>725</v>
      </c>
      <c r="W19" t="s">
        <v>1438</v>
      </c>
      <c r="X19">
        <v>11.97</v>
      </c>
      <c r="Y19">
        <v>4.3499999999999996</v>
      </c>
      <c r="Z19" s="243">
        <v>4325169</v>
      </c>
      <c r="AA19">
        <v>3852000</v>
      </c>
      <c r="AB19">
        <v>112.28</v>
      </c>
      <c r="AC19" t="s">
        <v>723</v>
      </c>
      <c r="AD19" t="s">
        <v>1388</v>
      </c>
      <c r="AE19">
        <v>0.06</v>
      </c>
      <c r="AF19">
        <v>0.06</v>
      </c>
      <c r="AG19" s="243">
        <v>183789</v>
      </c>
      <c r="AH19">
        <v>0</v>
      </c>
      <c r="AI19" t="s">
        <v>520</v>
      </c>
      <c r="AJ19" t="s">
        <v>668</v>
      </c>
      <c r="AK19" t="s">
        <v>1288</v>
      </c>
      <c r="AL19">
        <v>1.95</v>
      </c>
      <c r="AM19" t="s">
        <v>520</v>
      </c>
      <c r="AN19" s="243">
        <v>424435.34</v>
      </c>
      <c r="AO19">
        <v>737000</v>
      </c>
      <c r="AP19">
        <v>57.59</v>
      </c>
      <c r="AQ19" t="s">
        <v>704</v>
      </c>
      <c r="AR19" t="s">
        <v>1340</v>
      </c>
      <c r="AS19">
        <v>13.74</v>
      </c>
      <c r="AT19">
        <v>7.91</v>
      </c>
      <c r="AU19" s="243">
        <v>52068876.299999997</v>
      </c>
      <c r="AV19">
        <v>63430000</v>
      </c>
      <c r="AW19">
        <v>82.09</v>
      </c>
      <c r="AX19" t="s">
        <v>698</v>
      </c>
      <c r="AY19" t="s">
        <v>1455</v>
      </c>
      <c r="AZ19">
        <v>24.29</v>
      </c>
      <c r="BA19">
        <v>19.940000000000001</v>
      </c>
      <c r="BB19" s="243">
        <v>8655415.9600000009</v>
      </c>
      <c r="BC19">
        <v>0</v>
      </c>
      <c r="BD19" t="s">
        <v>520</v>
      </c>
      <c r="BE19" t="s">
        <v>668</v>
      </c>
      <c r="BF19" t="s">
        <v>1288</v>
      </c>
      <c r="BG19">
        <v>4.28</v>
      </c>
      <c r="BH19" t="s">
        <v>520</v>
      </c>
    </row>
    <row r="20" spans="1:60">
      <c r="A20">
        <v>119</v>
      </c>
      <c r="B20" t="s">
        <v>76</v>
      </c>
      <c r="C20" t="s">
        <v>523</v>
      </c>
      <c r="D20" t="s">
        <v>0</v>
      </c>
      <c r="E20" s="243">
        <v>11595788.67</v>
      </c>
      <c r="F20">
        <v>13170000</v>
      </c>
      <c r="G20">
        <v>88.05</v>
      </c>
      <c r="H20" t="s">
        <v>743</v>
      </c>
      <c r="I20" t="s">
        <v>1417</v>
      </c>
      <c r="J20">
        <v>14.49</v>
      </c>
      <c r="K20">
        <v>12.76</v>
      </c>
      <c r="L20" s="243">
        <v>22666067</v>
      </c>
      <c r="M20">
        <v>24040000</v>
      </c>
      <c r="N20">
        <v>94.28</v>
      </c>
      <c r="O20" t="s">
        <v>764</v>
      </c>
      <c r="P20" t="s">
        <v>1338</v>
      </c>
      <c r="Q20">
        <v>57.91</v>
      </c>
      <c r="R20">
        <v>54.6</v>
      </c>
      <c r="S20" s="243">
        <v>633305</v>
      </c>
      <c r="T20">
        <v>1828000</v>
      </c>
      <c r="U20">
        <v>34.64</v>
      </c>
      <c r="V20" t="s">
        <v>698</v>
      </c>
      <c r="W20" t="s">
        <v>1379</v>
      </c>
      <c r="X20">
        <v>52.11</v>
      </c>
      <c r="Y20">
        <v>18.05</v>
      </c>
      <c r="Z20" s="243">
        <v>1368391</v>
      </c>
      <c r="AA20">
        <v>3818000</v>
      </c>
      <c r="AB20">
        <v>35.840000000000003</v>
      </c>
      <c r="AC20" t="s">
        <v>771</v>
      </c>
      <c r="AD20" t="s">
        <v>1385</v>
      </c>
      <c r="AE20">
        <v>7.0000000000000007E-2</v>
      </c>
      <c r="AF20">
        <v>0.03</v>
      </c>
      <c r="AG20" s="243">
        <v>151671</v>
      </c>
      <c r="AH20">
        <v>0</v>
      </c>
      <c r="AI20" t="s">
        <v>520</v>
      </c>
      <c r="AJ20" t="s">
        <v>668</v>
      </c>
      <c r="AK20" t="s">
        <v>1288</v>
      </c>
      <c r="AL20">
        <v>0.64</v>
      </c>
      <c r="AM20" t="s">
        <v>520</v>
      </c>
      <c r="AN20" s="243">
        <v>1182347.79</v>
      </c>
      <c r="AO20">
        <v>504000</v>
      </c>
      <c r="AP20">
        <v>234.59</v>
      </c>
      <c r="AQ20" t="s">
        <v>693</v>
      </c>
      <c r="AR20" t="s">
        <v>1456</v>
      </c>
      <c r="AS20">
        <v>44.76</v>
      </c>
      <c r="AT20">
        <v>105</v>
      </c>
      <c r="AU20" s="243">
        <v>37597570.460000001</v>
      </c>
      <c r="AV20">
        <v>43360000</v>
      </c>
      <c r="AW20">
        <v>86.71</v>
      </c>
      <c r="AX20" t="s">
        <v>660</v>
      </c>
      <c r="AY20" t="s">
        <v>1409</v>
      </c>
      <c r="AZ20">
        <v>41.67</v>
      </c>
      <c r="BA20">
        <v>36.130000000000003</v>
      </c>
      <c r="BB20" s="243">
        <v>4053382.67</v>
      </c>
      <c r="BC20">
        <v>0</v>
      </c>
      <c r="BD20" t="s">
        <v>520</v>
      </c>
      <c r="BE20" t="s">
        <v>668</v>
      </c>
      <c r="BF20" t="s">
        <v>1288</v>
      </c>
      <c r="BG20">
        <v>6.01</v>
      </c>
      <c r="BH20" t="s">
        <v>520</v>
      </c>
    </row>
    <row r="21" spans="1:60">
      <c r="A21">
        <v>120</v>
      </c>
      <c r="B21" t="s">
        <v>142</v>
      </c>
      <c r="C21" t="s">
        <v>519</v>
      </c>
      <c r="D21" t="s">
        <v>0</v>
      </c>
      <c r="E21" s="243">
        <v>28452493.43</v>
      </c>
      <c r="F21">
        <v>24500000</v>
      </c>
      <c r="G21">
        <v>116.13</v>
      </c>
      <c r="H21" t="s">
        <v>693</v>
      </c>
      <c r="I21" t="s">
        <v>1398</v>
      </c>
      <c r="J21">
        <v>24.17</v>
      </c>
      <c r="K21">
        <v>28.07</v>
      </c>
      <c r="L21" s="243">
        <v>52531350</v>
      </c>
      <c r="M21">
        <v>44720000</v>
      </c>
      <c r="N21">
        <v>117.47</v>
      </c>
      <c r="O21" t="s">
        <v>678</v>
      </c>
      <c r="P21" t="s">
        <v>1358</v>
      </c>
      <c r="Q21">
        <v>63</v>
      </c>
      <c r="R21">
        <v>74</v>
      </c>
      <c r="S21" s="243">
        <v>2721760</v>
      </c>
      <c r="T21">
        <v>5736000</v>
      </c>
      <c r="U21">
        <v>47.45</v>
      </c>
      <c r="V21" t="s">
        <v>660</v>
      </c>
      <c r="W21" t="s">
        <v>1441</v>
      </c>
      <c r="X21">
        <v>12.46</v>
      </c>
      <c r="Y21">
        <v>5.91</v>
      </c>
      <c r="Z21" s="243">
        <v>1394969</v>
      </c>
      <c r="AA21">
        <v>4786000</v>
      </c>
      <c r="AB21">
        <v>29.15</v>
      </c>
      <c r="AC21" t="s">
        <v>737</v>
      </c>
      <c r="AD21" t="s">
        <v>1377</v>
      </c>
      <c r="AE21">
        <v>1.38</v>
      </c>
      <c r="AF21">
        <v>0.4</v>
      </c>
      <c r="AG21" s="243">
        <v>138248</v>
      </c>
      <c r="AH21">
        <v>0</v>
      </c>
      <c r="AI21" t="s">
        <v>520</v>
      </c>
      <c r="AJ21" t="s">
        <v>668</v>
      </c>
      <c r="AK21" t="s">
        <v>1288</v>
      </c>
      <c r="AL21">
        <v>4.67</v>
      </c>
      <c r="AM21" t="s">
        <v>520</v>
      </c>
      <c r="AN21" s="243">
        <v>1005709.17</v>
      </c>
      <c r="AO21">
        <v>938000</v>
      </c>
      <c r="AP21">
        <v>107.22</v>
      </c>
      <c r="AQ21" t="s">
        <v>737</v>
      </c>
      <c r="AR21" t="s">
        <v>1426</v>
      </c>
      <c r="AS21">
        <v>0</v>
      </c>
      <c r="AT21">
        <v>0</v>
      </c>
      <c r="AU21" s="243">
        <v>86244529.599999994</v>
      </c>
      <c r="AV21">
        <v>80680000</v>
      </c>
      <c r="AW21">
        <v>106.9</v>
      </c>
      <c r="AX21" t="s">
        <v>783</v>
      </c>
      <c r="AY21" t="s">
        <v>1403</v>
      </c>
      <c r="AZ21">
        <v>46.77</v>
      </c>
      <c r="BA21">
        <v>50</v>
      </c>
      <c r="BB21" s="243">
        <v>8967160.8699999992</v>
      </c>
      <c r="BC21">
        <v>0</v>
      </c>
      <c r="BD21" t="s">
        <v>520</v>
      </c>
      <c r="BE21" t="s">
        <v>668</v>
      </c>
      <c r="BF21" t="s">
        <v>1288</v>
      </c>
      <c r="BG21">
        <v>10.43</v>
      </c>
      <c r="BH21" t="s">
        <v>520</v>
      </c>
    </row>
    <row r="22" spans="1:60">
      <c r="A22">
        <v>121</v>
      </c>
      <c r="B22" t="s">
        <v>4</v>
      </c>
      <c r="C22" t="s">
        <v>521</v>
      </c>
      <c r="D22" t="s">
        <v>0</v>
      </c>
      <c r="E22" s="243">
        <v>13993556.630000001</v>
      </c>
      <c r="F22">
        <v>19040000</v>
      </c>
      <c r="G22">
        <v>73.5</v>
      </c>
      <c r="H22" t="s">
        <v>690</v>
      </c>
      <c r="I22" t="s">
        <v>1419</v>
      </c>
      <c r="J22">
        <v>13.33</v>
      </c>
      <c r="K22">
        <v>9.7899999999999991</v>
      </c>
      <c r="L22" s="243">
        <v>40341562</v>
      </c>
      <c r="M22">
        <v>34760000</v>
      </c>
      <c r="N22">
        <v>116.06</v>
      </c>
      <c r="O22" t="s">
        <v>783</v>
      </c>
      <c r="P22" t="s">
        <v>1305</v>
      </c>
      <c r="Q22">
        <v>30.54</v>
      </c>
      <c r="R22">
        <v>35.450000000000003</v>
      </c>
      <c r="S22" s="243">
        <v>3786447</v>
      </c>
      <c r="T22">
        <v>4557000</v>
      </c>
      <c r="U22">
        <v>83.09</v>
      </c>
      <c r="V22" t="s">
        <v>688</v>
      </c>
      <c r="W22" t="s">
        <v>1418</v>
      </c>
      <c r="X22">
        <v>14.5</v>
      </c>
      <c r="Y22">
        <v>12.05</v>
      </c>
      <c r="Z22" s="243">
        <v>4942937</v>
      </c>
      <c r="AA22">
        <v>3614000</v>
      </c>
      <c r="AB22">
        <v>136.77000000000001</v>
      </c>
      <c r="AC22" t="s">
        <v>783</v>
      </c>
      <c r="AD22" t="s">
        <v>1298</v>
      </c>
      <c r="AE22">
        <v>0.56999999999999995</v>
      </c>
      <c r="AF22">
        <v>0.77</v>
      </c>
      <c r="AG22" s="243">
        <v>116648</v>
      </c>
      <c r="AH22">
        <v>0</v>
      </c>
      <c r="AI22" t="s">
        <v>520</v>
      </c>
      <c r="AJ22" t="s">
        <v>668</v>
      </c>
      <c r="AK22" t="s">
        <v>1288</v>
      </c>
      <c r="AL22">
        <v>7.88</v>
      </c>
      <c r="AM22" t="s">
        <v>520</v>
      </c>
      <c r="AN22" s="243">
        <v>306677.89</v>
      </c>
      <c r="AO22">
        <v>729000</v>
      </c>
      <c r="AP22">
        <v>42.07</v>
      </c>
      <c r="AQ22" t="s">
        <v>676</v>
      </c>
      <c r="AR22" t="s">
        <v>1396</v>
      </c>
      <c r="AS22">
        <v>40.18</v>
      </c>
      <c r="AT22">
        <v>16.899999999999999</v>
      </c>
      <c r="AU22" s="243">
        <v>63487828.520000003</v>
      </c>
      <c r="AV22">
        <v>62700000</v>
      </c>
      <c r="AW22">
        <v>101.26</v>
      </c>
      <c r="AX22" t="s">
        <v>695</v>
      </c>
      <c r="AY22" t="s">
        <v>1435</v>
      </c>
      <c r="AZ22">
        <v>23.46</v>
      </c>
      <c r="BA22">
        <v>23.76</v>
      </c>
      <c r="BB22" s="243">
        <v>4318578.63</v>
      </c>
      <c r="BC22">
        <v>0</v>
      </c>
      <c r="BD22" t="s">
        <v>520</v>
      </c>
      <c r="BE22" t="s">
        <v>668</v>
      </c>
      <c r="BF22" t="s">
        <v>1288</v>
      </c>
      <c r="BG22">
        <v>6.83</v>
      </c>
      <c r="BH22" t="s">
        <v>520</v>
      </c>
    </row>
    <row r="23" spans="1:60">
      <c r="A23">
        <v>122</v>
      </c>
      <c r="B23" t="s">
        <v>77</v>
      </c>
      <c r="C23" t="s">
        <v>521</v>
      </c>
      <c r="D23" t="s">
        <v>0</v>
      </c>
      <c r="E23" s="243">
        <v>18769626.27</v>
      </c>
      <c r="F23">
        <v>21080000</v>
      </c>
      <c r="G23">
        <v>89.04</v>
      </c>
      <c r="H23" t="s">
        <v>817</v>
      </c>
      <c r="I23" t="s">
        <v>1319</v>
      </c>
      <c r="J23">
        <v>14.97</v>
      </c>
      <c r="K23">
        <v>13.33</v>
      </c>
      <c r="L23" s="243">
        <v>38426498</v>
      </c>
      <c r="M23">
        <v>38490000</v>
      </c>
      <c r="N23">
        <v>99.84</v>
      </c>
      <c r="O23" t="s">
        <v>688</v>
      </c>
      <c r="P23" t="s">
        <v>1462</v>
      </c>
      <c r="Q23">
        <v>53.88</v>
      </c>
      <c r="R23">
        <v>53.8</v>
      </c>
      <c r="S23" s="243">
        <v>2256249</v>
      </c>
      <c r="T23">
        <v>4890000</v>
      </c>
      <c r="U23">
        <v>46.14</v>
      </c>
      <c r="V23" t="s">
        <v>686</v>
      </c>
      <c r="W23" t="s">
        <v>1435</v>
      </c>
      <c r="X23">
        <v>59.76</v>
      </c>
      <c r="Y23">
        <v>27.57</v>
      </c>
      <c r="Z23" s="243">
        <v>1584988</v>
      </c>
      <c r="AA23">
        <v>4173000</v>
      </c>
      <c r="AB23">
        <v>37.979999999999997</v>
      </c>
      <c r="AC23" t="s">
        <v>660</v>
      </c>
      <c r="AD23" t="s">
        <v>1367</v>
      </c>
      <c r="AE23">
        <v>0.03</v>
      </c>
      <c r="AF23">
        <v>0.01</v>
      </c>
      <c r="AG23" s="243">
        <v>40071</v>
      </c>
      <c r="AH23">
        <v>0</v>
      </c>
      <c r="AI23" t="s">
        <v>520</v>
      </c>
      <c r="AJ23" t="s">
        <v>668</v>
      </c>
      <c r="AK23" t="s">
        <v>1288</v>
      </c>
      <c r="AL23">
        <v>10.55</v>
      </c>
      <c r="AM23" t="s">
        <v>520</v>
      </c>
      <c r="AN23" s="243">
        <v>1859919.68</v>
      </c>
      <c r="AO23">
        <v>807000</v>
      </c>
      <c r="AP23">
        <v>230.47</v>
      </c>
      <c r="AQ23" t="s">
        <v>722</v>
      </c>
      <c r="AR23" t="s">
        <v>1348</v>
      </c>
      <c r="AS23">
        <v>96.05</v>
      </c>
      <c r="AT23">
        <v>221.36</v>
      </c>
      <c r="AU23" s="243">
        <v>62937351.950000003</v>
      </c>
      <c r="AV23">
        <v>69440000</v>
      </c>
      <c r="AW23">
        <v>90.64</v>
      </c>
      <c r="AX23" t="s">
        <v>802</v>
      </c>
      <c r="AY23" t="s">
        <v>1344</v>
      </c>
      <c r="AZ23">
        <v>42.35</v>
      </c>
      <c r="BA23">
        <v>38.380000000000003</v>
      </c>
      <c r="BB23" s="243">
        <v>5724117.2699999996</v>
      </c>
      <c r="BC23">
        <v>0</v>
      </c>
      <c r="BD23" t="s">
        <v>520</v>
      </c>
      <c r="BE23" t="s">
        <v>668</v>
      </c>
      <c r="BF23" t="s">
        <v>1288</v>
      </c>
      <c r="BG23">
        <v>19.239999999999998</v>
      </c>
      <c r="BH23" t="s">
        <v>520</v>
      </c>
    </row>
    <row r="24" spans="1:60">
      <c r="A24">
        <v>123</v>
      </c>
      <c r="B24" t="s">
        <v>5</v>
      </c>
      <c r="C24" t="s">
        <v>519</v>
      </c>
      <c r="D24" t="s">
        <v>0</v>
      </c>
      <c r="E24" s="243">
        <v>29815360.870000001</v>
      </c>
      <c r="F24">
        <v>24700000</v>
      </c>
      <c r="G24">
        <v>120.71</v>
      </c>
      <c r="H24" t="s">
        <v>701</v>
      </c>
      <c r="I24" t="s">
        <v>1431</v>
      </c>
      <c r="J24">
        <v>56.21</v>
      </c>
      <c r="K24">
        <v>67.849999999999994</v>
      </c>
      <c r="L24" s="243">
        <v>26572945</v>
      </c>
      <c r="M24">
        <v>45090000</v>
      </c>
      <c r="N24">
        <v>58.93</v>
      </c>
      <c r="O24" t="s">
        <v>676</v>
      </c>
      <c r="P24" t="s">
        <v>1315</v>
      </c>
      <c r="Q24">
        <v>19.54</v>
      </c>
      <c r="R24">
        <v>11.51</v>
      </c>
      <c r="S24" s="243">
        <v>1637627</v>
      </c>
      <c r="T24">
        <v>7049000</v>
      </c>
      <c r="U24">
        <v>23.23</v>
      </c>
      <c r="V24" t="s">
        <v>778</v>
      </c>
      <c r="W24" t="s">
        <v>1296</v>
      </c>
      <c r="X24">
        <v>6.14</v>
      </c>
      <c r="Y24">
        <v>1.43</v>
      </c>
      <c r="Z24" s="243">
        <v>185640</v>
      </c>
      <c r="AA24">
        <v>3556000</v>
      </c>
      <c r="AB24">
        <v>5.22</v>
      </c>
      <c r="AC24" t="s">
        <v>690</v>
      </c>
      <c r="AD24" t="s">
        <v>1293</v>
      </c>
      <c r="AE24">
        <v>0.2</v>
      </c>
      <c r="AF24">
        <v>0.01</v>
      </c>
      <c r="AG24" s="243">
        <v>258989</v>
      </c>
      <c r="AH24">
        <v>0</v>
      </c>
      <c r="AI24" t="s">
        <v>520</v>
      </c>
      <c r="AJ24" t="s">
        <v>668</v>
      </c>
      <c r="AK24" t="s">
        <v>1288</v>
      </c>
      <c r="AL24">
        <v>0.72</v>
      </c>
      <c r="AM24" t="s">
        <v>520</v>
      </c>
      <c r="AN24" s="243">
        <v>7994860.29</v>
      </c>
      <c r="AO24">
        <v>945000</v>
      </c>
      <c r="AP24">
        <v>846.02</v>
      </c>
      <c r="AQ24" t="s">
        <v>741</v>
      </c>
      <c r="AR24" t="s">
        <v>1408</v>
      </c>
      <c r="AS24">
        <v>27.73</v>
      </c>
      <c r="AT24">
        <v>234.63</v>
      </c>
      <c r="AU24" s="243">
        <v>66465422.159999996</v>
      </c>
      <c r="AV24">
        <v>81340000</v>
      </c>
      <c r="AW24">
        <v>81.709999999999994</v>
      </c>
      <c r="AX24" t="s">
        <v>791</v>
      </c>
      <c r="AY24" t="s">
        <v>1467</v>
      </c>
      <c r="AZ24">
        <v>36.51</v>
      </c>
      <c r="BA24">
        <v>29.84</v>
      </c>
      <c r="BB24" s="243">
        <v>7127392.8700000001</v>
      </c>
      <c r="BC24">
        <v>0</v>
      </c>
      <c r="BD24" t="s">
        <v>520</v>
      </c>
      <c r="BE24" t="s">
        <v>668</v>
      </c>
      <c r="BF24" t="s">
        <v>1288</v>
      </c>
      <c r="BG24">
        <v>5.25</v>
      </c>
      <c r="BH24" t="s">
        <v>520</v>
      </c>
    </row>
    <row r="25" spans="1:60">
      <c r="A25">
        <v>124</v>
      </c>
      <c r="B25" t="s">
        <v>143</v>
      </c>
      <c r="C25" t="s">
        <v>525</v>
      </c>
      <c r="D25" t="s">
        <v>0</v>
      </c>
      <c r="E25" s="243">
        <v>10732330.689999999</v>
      </c>
      <c r="F25">
        <v>11440000</v>
      </c>
      <c r="G25">
        <v>93.81</v>
      </c>
      <c r="H25" t="s">
        <v>664</v>
      </c>
      <c r="I25" t="s">
        <v>1362</v>
      </c>
      <c r="J25">
        <v>14.81</v>
      </c>
      <c r="K25">
        <v>13.9</v>
      </c>
      <c r="L25" s="243">
        <v>11910007</v>
      </c>
      <c r="M25">
        <v>20880000</v>
      </c>
      <c r="N25">
        <v>57.04</v>
      </c>
      <c r="O25" t="s">
        <v>690</v>
      </c>
      <c r="P25" t="s">
        <v>1308</v>
      </c>
      <c r="Q25">
        <v>31.59</v>
      </c>
      <c r="R25">
        <v>18.02</v>
      </c>
      <c r="S25" s="243">
        <v>2915344</v>
      </c>
      <c r="T25">
        <v>2372000</v>
      </c>
      <c r="U25">
        <v>122.91</v>
      </c>
      <c r="V25" t="s">
        <v>716</v>
      </c>
      <c r="W25" t="s">
        <v>1393</v>
      </c>
      <c r="X25">
        <v>5.32</v>
      </c>
      <c r="Y25">
        <v>6.54</v>
      </c>
      <c r="Z25" s="243">
        <v>540710</v>
      </c>
      <c r="AA25">
        <v>2530000</v>
      </c>
      <c r="AB25">
        <v>21.37</v>
      </c>
      <c r="AC25" t="s">
        <v>698</v>
      </c>
      <c r="AD25" t="s">
        <v>1435</v>
      </c>
      <c r="AE25">
        <v>0.5</v>
      </c>
      <c r="AF25">
        <v>0.11</v>
      </c>
      <c r="AG25" s="243">
        <v>53722</v>
      </c>
      <c r="AH25">
        <v>0</v>
      </c>
      <c r="AI25" t="s">
        <v>520</v>
      </c>
      <c r="AJ25" t="s">
        <v>668</v>
      </c>
      <c r="AK25" t="s">
        <v>1288</v>
      </c>
      <c r="AL25">
        <v>28.04</v>
      </c>
      <c r="AM25" t="s">
        <v>520</v>
      </c>
      <c r="AN25" s="243">
        <v>7940714.0300000003</v>
      </c>
      <c r="AO25">
        <v>438000</v>
      </c>
      <c r="AP25">
        <v>1812.95</v>
      </c>
      <c r="AQ25" t="s">
        <v>728</v>
      </c>
      <c r="AR25" t="s">
        <v>1310</v>
      </c>
      <c r="AS25">
        <v>0.66</v>
      </c>
      <c r="AT25">
        <v>11.99</v>
      </c>
      <c r="AU25" s="243">
        <v>34092827.719999999</v>
      </c>
      <c r="AV25">
        <v>37660000</v>
      </c>
      <c r="AW25">
        <v>90.53</v>
      </c>
      <c r="AX25" t="s">
        <v>670</v>
      </c>
      <c r="AY25" t="s">
        <v>1465</v>
      </c>
      <c r="AZ25">
        <v>16.36</v>
      </c>
      <c r="BA25">
        <v>14.81</v>
      </c>
      <c r="BB25" s="243">
        <v>3907884.69</v>
      </c>
      <c r="BC25">
        <v>0</v>
      </c>
      <c r="BD25" t="s">
        <v>520</v>
      </c>
      <c r="BE25" t="s">
        <v>668</v>
      </c>
      <c r="BF25" t="s">
        <v>1288</v>
      </c>
      <c r="BG25">
        <v>7.75</v>
      </c>
      <c r="BH25" t="s">
        <v>520</v>
      </c>
    </row>
    <row r="26" spans="1:60">
      <c r="A26">
        <v>125</v>
      </c>
      <c r="B26" t="s">
        <v>144</v>
      </c>
      <c r="C26" t="s">
        <v>522</v>
      </c>
      <c r="D26" t="s">
        <v>0</v>
      </c>
      <c r="E26" s="243">
        <v>18189698.07</v>
      </c>
      <c r="F26">
        <v>21290000</v>
      </c>
      <c r="G26">
        <v>85.44</v>
      </c>
      <c r="H26" t="s">
        <v>745</v>
      </c>
      <c r="I26" t="s">
        <v>1426</v>
      </c>
      <c r="J26">
        <v>11.68</v>
      </c>
      <c r="K26">
        <v>9.98</v>
      </c>
      <c r="L26" s="243">
        <v>23851709</v>
      </c>
      <c r="M26">
        <v>38870000</v>
      </c>
      <c r="N26">
        <v>61.36</v>
      </c>
      <c r="O26" t="s">
        <v>704</v>
      </c>
      <c r="P26" t="s">
        <v>1352</v>
      </c>
      <c r="Q26">
        <v>52.31</v>
      </c>
      <c r="R26">
        <v>32.1</v>
      </c>
      <c r="S26" s="243">
        <v>407659</v>
      </c>
      <c r="T26">
        <v>2754000</v>
      </c>
      <c r="U26">
        <v>14.8</v>
      </c>
      <c r="V26" t="s">
        <v>662</v>
      </c>
      <c r="W26" t="s">
        <v>1402</v>
      </c>
      <c r="X26">
        <v>12.91</v>
      </c>
      <c r="Y26">
        <v>1.91</v>
      </c>
      <c r="Z26" s="243">
        <v>3121611</v>
      </c>
      <c r="AA26">
        <v>6381000</v>
      </c>
      <c r="AB26">
        <v>48.92</v>
      </c>
      <c r="AC26" t="s">
        <v>693</v>
      </c>
      <c r="AD26" t="s">
        <v>1437</v>
      </c>
      <c r="AE26">
        <v>0.01</v>
      </c>
      <c r="AF26">
        <v>0</v>
      </c>
      <c r="AG26" s="243">
        <v>107479</v>
      </c>
      <c r="AH26">
        <v>0</v>
      </c>
      <c r="AI26" t="s">
        <v>520</v>
      </c>
      <c r="AJ26" t="s">
        <v>668</v>
      </c>
      <c r="AK26" t="s">
        <v>1288</v>
      </c>
      <c r="AL26">
        <v>5.17</v>
      </c>
      <c r="AM26" t="s">
        <v>520</v>
      </c>
      <c r="AN26" s="243">
        <v>793865.18</v>
      </c>
      <c r="AO26">
        <v>815000</v>
      </c>
      <c r="AP26">
        <v>97.41</v>
      </c>
      <c r="AQ26" t="s">
        <v>725</v>
      </c>
      <c r="AR26" t="s">
        <v>1379</v>
      </c>
      <c r="AS26">
        <v>10.28</v>
      </c>
      <c r="AT26">
        <v>10.01</v>
      </c>
      <c r="AU26" s="243">
        <v>46472021.25</v>
      </c>
      <c r="AV26">
        <v>70110000</v>
      </c>
      <c r="AW26">
        <v>66.28</v>
      </c>
      <c r="AX26" t="s">
        <v>683</v>
      </c>
      <c r="AY26" t="s">
        <v>1360</v>
      </c>
      <c r="AZ26">
        <v>31.72</v>
      </c>
      <c r="BA26">
        <v>21.03</v>
      </c>
      <c r="BB26" s="243">
        <v>7941204.0700000003</v>
      </c>
      <c r="BC26">
        <v>0</v>
      </c>
      <c r="BD26" t="s">
        <v>520</v>
      </c>
      <c r="BE26" t="s">
        <v>668</v>
      </c>
      <c r="BF26" t="s">
        <v>1288</v>
      </c>
      <c r="BG26">
        <v>8.5</v>
      </c>
      <c r="BH26" t="s">
        <v>520</v>
      </c>
    </row>
    <row r="27" spans="1:60">
      <c r="A27">
        <v>126</v>
      </c>
      <c r="B27" t="s">
        <v>145</v>
      </c>
      <c r="C27" t="s">
        <v>519</v>
      </c>
      <c r="D27" t="s">
        <v>0</v>
      </c>
      <c r="E27" s="243">
        <v>16400010.449999999</v>
      </c>
      <c r="F27">
        <v>24370000</v>
      </c>
      <c r="G27">
        <v>67.3</v>
      </c>
      <c r="H27" t="s">
        <v>747</v>
      </c>
      <c r="I27" t="s">
        <v>1467</v>
      </c>
      <c r="J27">
        <v>16.899999999999999</v>
      </c>
      <c r="K27">
        <v>11.37</v>
      </c>
      <c r="L27" s="243">
        <v>17469802</v>
      </c>
      <c r="M27">
        <v>44490000</v>
      </c>
      <c r="N27">
        <v>39.270000000000003</v>
      </c>
      <c r="O27" t="s">
        <v>759</v>
      </c>
      <c r="P27" t="s">
        <v>1468</v>
      </c>
      <c r="Q27">
        <v>48.74</v>
      </c>
      <c r="R27">
        <v>19.14</v>
      </c>
      <c r="S27" s="243">
        <v>616068</v>
      </c>
      <c r="T27">
        <v>4382000</v>
      </c>
      <c r="U27">
        <v>14.06</v>
      </c>
      <c r="V27" t="s">
        <v>747</v>
      </c>
      <c r="W27" t="s">
        <v>1422</v>
      </c>
      <c r="X27">
        <v>6.25</v>
      </c>
      <c r="Y27">
        <v>0.88</v>
      </c>
      <c r="Z27" s="243">
        <v>21146838</v>
      </c>
      <c r="AA27">
        <v>6085000</v>
      </c>
      <c r="AB27">
        <v>347.52</v>
      </c>
      <c r="AC27" t="s">
        <v>668</v>
      </c>
      <c r="AD27" t="s">
        <v>1288</v>
      </c>
      <c r="AE27">
        <v>0</v>
      </c>
      <c r="AF27">
        <v>0</v>
      </c>
      <c r="AG27" s="243">
        <v>1378732</v>
      </c>
      <c r="AH27">
        <v>0</v>
      </c>
      <c r="AI27" t="s">
        <v>520</v>
      </c>
      <c r="AJ27" t="s">
        <v>668</v>
      </c>
      <c r="AK27" t="s">
        <v>1288</v>
      </c>
      <c r="AL27">
        <v>0.25</v>
      </c>
      <c r="AM27" t="s">
        <v>520</v>
      </c>
      <c r="AN27" s="243">
        <v>24009535.030000001</v>
      </c>
      <c r="AO27">
        <v>933000</v>
      </c>
      <c r="AP27">
        <v>2573.37</v>
      </c>
      <c r="AQ27" t="s">
        <v>668</v>
      </c>
      <c r="AR27" t="s">
        <v>1326</v>
      </c>
      <c r="AS27">
        <v>90.41</v>
      </c>
      <c r="AT27">
        <v>2326.56</v>
      </c>
      <c r="AU27" s="243">
        <v>81020985.480000004</v>
      </c>
      <c r="AV27">
        <v>80260000</v>
      </c>
      <c r="AW27">
        <v>100.95</v>
      </c>
      <c r="AX27" t="s">
        <v>730</v>
      </c>
      <c r="AY27" t="s">
        <v>1358</v>
      </c>
      <c r="AZ27">
        <v>40.770000000000003</v>
      </c>
      <c r="BA27">
        <v>41.16</v>
      </c>
      <c r="BB27" s="243">
        <v>6692979.4500000002</v>
      </c>
      <c r="BC27">
        <v>0</v>
      </c>
      <c r="BD27" t="s">
        <v>520</v>
      </c>
      <c r="BE27" t="s">
        <v>668</v>
      </c>
      <c r="BF27" t="s">
        <v>1288</v>
      </c>
      <c r="BG27">
        <v>7.98</v>
      </c>
      <c r="BH27" t="s">
        <v>520</v>
      </c>
    </row>
    <row r="28" spans="1:60">
      <c r="A28">
        <v>127</v>
      </c>
      <c r="B28" t="s">
        <v>146</v>
      </c>
      <c r="C28" t="s">
        <v>519</v>
      </c>
      <c r="D28" t="s">
        <v>0</v>
      </c>
      <c r="E28" s="243">
        <v>18610560.850000001</v>
      </c>
      <c r="F28">
        <v>18720000</v>
      </c>
      <c r="G28">
        <v>99.42</v>
      </c>
      <c r="H28" t="s">
        <v>754</v>
      </c>
      <c r="I28" t="s">
        <v>1289</v>
      </c>
      <c r="J28">
        <v>4.38</v>
      </c>
      <c r="K28">
        <v>4.3499999999999996</v>
      </c>
      <c r="L28" s="243">
        <v>32039459</v>
      </c>
      <c r="M28">
        <v>34180000</v>
      </c>
      <c r="N28">
        <v>93.74</v>
      </c>
      <c r="O28" t="s">
        <v>693</v>
      </c>
      <c r="P28" t="s">
        <v>1413</v>
      </c>
      <c r="Q28">
        <v>17.34</v>
      </c>
      <c r="R28">
        <v>16.25</v>
      </c>
      <c r="S28" s="243">
        <v>3708557</v>
      </c>
      <c r="T28">
        <v>4641000</v>
      </c>
      <c r="U28">
        <v>79.91</v>
      </c>
      <c r="V28" t="s">
        <v>695</v>
      </c>
      <c r="W28" t="s">
        <v>1466</v>
      </c>
      <c r="X28">
        <v>33.130000000000003</v>
      </c>
      <c r="Y28">
        <v>26.48</v>
      </c>
      <c r="Z28" s="243">
        <v>395410</v>
      </c>
      <c r="AA28">
        <v>3402000</v>
      </c>
      <c r="AB28">
        <v>11.62</v>
      </c>
      <c r="AC28" t="s">
        <v>704</v>
      </c>
      <c r="AD28" t="s">
        <v>1321</v>
      </c>
      <c r="AE28">
        <v>1.1399999999999999</v>
      </c>
      <c r="AF28">
        <v>0.13</v>
      </c>
      <c r="AG28" s="243">
        <v>368387</v>
      </c>
      <c r="AH28">
        <v>0</v>
      </c>
      <c r="AI28" t="s">
        <v>520</v>
      </c>
      <c r="AJ28" t="s">
        <v>668</v>
      </c>
      <c r="AK28" t="s">
        <v>1288</v>
      </c>
      <c r="AL28">
        <v>0.57999999999999996</v>
      </c>
      <c r="AM28" t="s">
        <v>520</v>
      </c>
      <c r="AN28" s="243">
        <v>2236848.7999999998</v>
      </c>
      <c r="AO28">
        <v>717000</v>
      </c>
      <c r="AP28">
        <v>311.97000000000003</v>
      </c>
      <c r="AQ28" t="s">
        <v>764</v>
      </c>
      <c r="AR28" t="s">
        <v>1309</v>
      </c>
      <c r="AS28">
        <v>6.05</v>
      </c>
      <c r="AT28">
        <v>18.86</v>
      </c>
      <c r="AU28" s="243">
        <v>57359222.649999999</v>
      </c>
      <c r="AV28">
        <v>61660000</v>
      </c>
      <c r="AW28">
        <v>93.03</v>
      </c>
      <c r="AX28" t="s">
        <v>693</v>
      </c>
      <c r="AY28" t="s">
        <v>1400</v>
      </c>
      <c r="AZ28">
        <v>13.5</v>
      </c>
      <c r="BA28">
        <v>12.56</v>
      </c>
      <c r="BB28" s="243">
        <v>4988588.8499999996</v>
      </c>
      <c r="BC28">
        <v>0</v>
      </c>
      <c r="BD28" t="s">
        <v>520</v>
      </c>
      <c r="BE28" t="s">
        <v>668</v>
      </c>
      <c r="BF28" t="s">
        <v>1288</v>
      </c>
      <c r="BG28">
        <v>7.56</v>
      </c>
      <c r="BH28" t="s">
        <v>520</v>
      </c>
    </row>
    <row r="29" spans="1:60">
      <c r="A29">
        <v>128</v>
      </c>
      <c r="B29" t="s">
        <v>78</v>
      </c>
      <c r="C29" t="s">
        <v>523</v>
      </c>
      <c r="D29" t="s">
        <v>0</v>
      </c>
      <c r="E29" s="243">
        <v>14050110.390000001</v>
      </c>
      <c r="F29">
        <v>12310000</v>
      </c>
      <c r="G29">
        <v>114.14</v>
      </c>
      <c r="H29" t="s">
        <v>722</v>
      </c>
      <c r="I29" t="s">
        <v>1437</v>
      </c>
      <c r="J29">
        <v>13.53</v>
      </c>
      <c r="K29">
        <v>15.45</v>
      </c>
      <c r="L29" s="243">
        <v>16907478</v>
      </c>
      <c r="M29">
        <v>22470000</v>
      </c>
      <c r="N29">
        <v>75.239999999999995</v>
      </c>
      <c r="O29" t="s">
        <v>681</v>
      </c>
      <c r="P29" t="s">
        <v>1339</v>
      </c>
      <c r="Q29">
        <v>65.150000000000006</v>
      </c>
      <c r="R29">
        <v>49.02</v>
      </c>
      <c r="S29" s="243">
        <v>1102361</v>
      </c>
      <c r="T29">
        <v>2517000</v>
      </c>
      <c r="U29">
        <v>43.8</v>
      </c>
      <c r="V29" t="s">
        <v>714</v>
      </c>
      <c r="W29" t="s">
        <v>1305</v>
      </c>
      <c r="X29">
        <v>4.2</v>
      </c>
      <c r="Y29">
        <v>1.84</v>
      </c>
      <c r="Z29" s="243">
        <v>1036982</v>
      </c>
      <c r="AA29">
        <v>2762000</v>
      </c>
      <c r="AB29">
        <v>37.54</v>
      </c>
      <c r="AC29" t="s">
        <v>686</v>
      </c>
      <c r="AD29" t="s">
        <v>1404</v>
      </c>
      <c r="AE29">
        <v>0.02</v>
      </c>
      <c r="AF29">
        <v>0.01</v>
      </c>
      <c r="AG29" s="243">
        <v>73959</v>
      </c>
      <c r="AH29">
        <v>0</v>
      </c>
      <c r="AI29" t="s">
        <v>520</v>
      </c>
      <c r="AJ29" t="s">
        <v>668</v>
      </c>
      <c r="AK29" t="s">
        <v>1288</v>
      </c>
      <c r="AL29">
        <v>8.09</v>
      </c>
      <c r="AM29" t="s">
        <v>520</v>
      </c>
      <c r="AN29" s="243">
        <v>8249078.4500000002</v>
      </c>
      <c r="AO29">
        <v>471000</v>
      </c>
      <c r="AP29">
        <v>1751.4</v>
      </c>
      <c r="AQ29" t="s">
        <v>716</v>
      </c>
      <c r="AR29" t="s">
        <v>1421</v>
      </c>
      <c r="AS29">
        <v>4.92</v>
      </c>
      <c r="AT29">
        <v>86.18</v>
      </c>
      <c r="AU29" s="243">
        <v>41419968.840000004</v>
      </c>
      <c r="AV29">
        <v>40530000</v>
      </c>
      <c r="AW29">
        <v>102.2</v>
      </c>
      <c r="AX29" t="s">
        <v>723</v>
      </c>
      <c r="AY29" t="s">
        <v>1450</v>
      </c>
      <c r="AZ29">
        <v>32.29</v>
      </c>
      <c r="BA29">
        <v>33</v>
      </c>
      <c r="BB29" s="243">
        <v>4061641.39</v>
      </c>
      <c r="BC29">
        <v>0</v>
      </c>
      <c r="BD29" t="s">
        <v>520</v>
      </c>
      <c r="BE29" t="s">
        <v>668</v>
      </c>
      <c r="BF29" t="s">
        <v>1288</v>
      </c>
      <c r="BG29">
        <v>13.2</v>
      </c>
      <c r="BH29" t="s">
        <v>520</v>
      </c>
    </row>
    <row r="30" spans="1:60">
      <c r="A30">
        <v>129</v>
      </c>
      <c r="B30" t="s">
        <v>79</v>
      </c>
      <c r="C30" t="s">
        <v>524</v>
      </c>
      <c r="D30" t="s">
        <v>0</v>
      </c>
      <c r="E30" s="243">
        <v>21964496.800000001</v>
      </c>
      <c r="F30">
        <v>16340000</v>
      </c>
      <c r="G30">
        <v>134.41999999999999</v>
      </c>
      <c r="H30" t="s">
        <v>688</v>
      </c>
      <c r="I30" t="s">
        <v>1394</v>
      </c>
      <c r="J30">
        <v>25.45</v>
      </c>
      <c r="K30">
        <v>34.21</v>
      </c>
      <c r="L30" s="243">
        <v>26898596</v>
      </c>
      <c r="M30">
        <v>29830000</v>
      </c>
      <c r="N30">
        <v>90.17</v>
      </c>
      <c r="O30" t="s">
        <v>666</v>
      </c>
      <c r="P30" t="s">
        <v>1396</v>
      </c>
      <c r="Q30">
        <v>65.31</v>
      </c>
      <c r="R30">
        <v>58.89</v>
      </c>
      <c r="S30" s="243">
        <v>710210</v>
      </c>
      <c r="T30">
        <v>4292000</v>
      </c>
      <c r="U30">
        <v>16.55</v>
      </c>
      <c r="V30" t="s">
        <v>708</v>
      </c>
      <c r="W30" t="s">
        <v>1434</v>
      </c>
      <c r="X30">
        <v>26.41</v>
      </c>
      <c r="Y30">
        <v>4.37</v>
      </c>
      <c r="Z30" s="243">
        <v>58441</v>
      </c>
      <c r="AA30">
        <v>2732000</v>
      </c>
      <c r="AB30">
        <v>2.14</v>
      </c>
      <c r="AC30" t="s">
        <v>672</v>
      </c>
      <c r="AD30" t="s">
        <v>1422</v>
      </c>
      <c r="AE30">
        <v>10.31</v>
      </c>
      <c r="AF30">
        <v>0.22</v>
      </c>
      <c r="AG30" s="243">
        <v>72247</v>
      </c>
      <c r="AH30">
        <v>0</v>
      </c>
      <c r="AI30" t="s">
        <v>520</v>
      </c>
      <c r="AJ30" t="s">
        <v>668</v>
      </c>
      <c r="AK30" t="s">
        <v>1288</v>
      </c>
      <c r="AL30">
        <v>23.65</v>
      </c>
      <c r="AM30" t="s">
        <v>520</v>
      </c>
      <c r="AN30" s="243">
        <v>167839.69</v>
      </c>
      <c r="AO30">
        <v>626000</v>
      </c>
      <c r="AP30">
        <v>26.81</v>
      </c>
      <c r="AQ30" t="s">
        <v>747</v>
      </c>
      <c r="AR30" t="s">
        <v>1372</v>
      </c>
      <c r="AS30">
        <v>0</v>
      </c>
      <c r="AT30">
        <v>0</v>
      </c>
      <c r="AU30" s="243">
        <v>49871830.490000002</v>
      </c>
      <c r="AV30">
        <v>53820000</v>
      </c>
      <c r="AW30">
        <v>92.66</v>
      </c>
      <c r="AX30" t="s">
        <v>722</v>
      </c>
      <c r="AY30" t="s">
        <v>1361</v>
      </c>
      <c r="AZ30">
        <v>46.85</v>
      </c>
      <c r="BA30">
        <v>43.42</v>
      </c>
      <c r="BB30" s="243">
        <v>7549748.7999999998</v>
      </c>
      <c r="BC30">
        <v>0</v>
      </c>
      <c r="BD30" t="s">
        <v>520</v>
      </c>
      <c r="BE30" t="s">
        <v>668</v>
      </c>
      <c r="BF30" t="s">
        <v>1288</v>
      </c>
      <c r="BG30">
        <v>14.24</v>
      </c>
      <c r="BH30" t="s">
        <v>520</v>
      </c>
    </row>
    <row r="31" spans="1:60">
      <c r="A31">
        <v>130</v>
      </c>
      <c r="B31" t="s">
        <v>147</v>
      </c>
      <c r="C31" t="s">
        <v>519</v>
      </c>
      <c r="D31" t="s">
        <v>0</v>
      </c>
      <c r="E31" s="243">
        <v>10777922.800000001</v>
      </c>
      <c r="F31">
        <v>12250000</v>
      </c>
      <c r="G31">
        <v>87.98</v>
      </c>
      <c r="H31" t="s">
        <v>757</v>
      </c>
      <c r="I31" t="s">
        <v>1449</v>
      </c>
      <c r="J31">
        <v>25.21</v>
      </c>
      <c r="K31">
        <v>22.18</v>
      </c>
      <c r="L31" s="243">
        <v>19795862</v>
      </c>
      <c r="M31">
        <v>22370000</v>
      </c>
      <c r="N31">
        <v>88.49</v>
      </c>
      <c r="O31" t="s">
        <v>802</v>
      </c>
      <c r="P31" t="s">
        <v>1427</v>
      </c>
      <c r="Q31">
        <v>40.18</v>
      </c>
      <c r="R31">
        <v>35.549999999999997</v>
      </c>
      <c r="S31" s="243">
        <v>526470</v>
      </c>
      <c r="T31">
        <v>2407000</v>
      </c>
      <c r="U31">
        <v>21.87</v>
      </c>
      <c r="V31" t="s">
        <v>674</v>
      </c>
      <c r="W31" t="s">
        <v>1306</v>
      </c>
      <c r="X31">
        <v>7.8</v>
      </c>
      <c r="Y31">
        <v>1.71</v>
      </c>
      <c r="Z31" s="243">
        <v>1125394</v>
      </c>
      <c r="AA31">
        <v>2854000</v>
      </c>
      <c r="AB31">
        <v>39.43</v>
      </c>
      <c r="AC31" t="s">
        <v>802</v>
      </c>
      <c r="AD31" t="s">
        <v>1433</v>
      </c>
      <c r="AE31">
        <v>0</v>
      </c>
      <c r="AF31">
        <v>0</v>
      </c>
      <c r="AG31" s="243">
        <v>125422</v>
      </c>
      <c r="AH31">
        <v>0</v>
      </c>
      <c r="AI31" t="s">
        <v>520</v>
      </c>
      <c r="AJ31" t="s">
        <v>668</v>
      </c>
      <c r="AK31" t="s">
        <v>1288</v>
      </c>
      <c r="AL31">
        <v>1.45</v>
      </c>
      <c r="AM31" t="s">
        <v>520</v>
      </c>
      <c r="AN31" s="243">
        <v>376813.37</v>
      </c>
      <c r="AO31">
        <v>469000</v>
      </c>
      <c r="AP31">
        <v>80.34</v>
      </c>
      <c r="AQ31" t="s">
        <v>664</v>
      </c>
      <c r="AR31" t="s">
        <v>1405</v>
      </c>
      <c r="AS31">
        <v>8.4600000000000009</v>
      </c>
      <c r="AT31">
        <v>6.8</v>
      </c>
      <c r="AU31" s="243">
        <v>32727884.170000002</v>
      </c>
      <c r="AV31">
        <v>40350000</v>
      </c>
      <c r="AW31">
        <v>81.11</v>
      </c>
      <c r="AX31" t="s">
        <v>817</v>
      </c>
      <c r="AY31" t="s">
        <v>1389</v>
      </c>
      <c r="AZ31">
        <v>32.83</v>
      </c>
      <c r="BA31">
        <v>26.63</v>
      </c>
      <c r="BB31" s="243">
        <v>3015891.8</v>
      </c>
      <c r="BC31">
        <v>0</v>
      </c>
      <c r="BD31" t="s">
        <v>520</v>
      </c>
      <c r="BE31" t="s">
        <v>668</v>
      </c>
      <c r="BF31" t="s">
        <v>1288</v>
      </c>
      <c r="BG31">
        <v>8.9</v>
      </c>
      <c r="BH31" t="s">
        <v>520</v>
      </c>
    </row>
    <row r="32" spans="1:60">
      <c r="A32">
        <v>132</v>
      </c>
      <c r="B32" t="s">
        <v>6</v>
      </c>
      <c r="C32" t="s">
        <v>527</v>
      </c>
      <c r="D32" t="s">
        <v>0</v>
      </c>
      <c r="E32" s="243">
        <v>9780519.1899999995</v>
      </c>
      <c r="F32">
        <v>6670000</v>
      </c>
      <c r="G32">
        <v>146.63</v>
      </c>
      <c r="H32" t="s">
        <v>678</v>
      </c>
      <c r="I32" t="s">
        <v>1357</v>
      </c>
      <c r="J32">
        <v>49.93</v>
      </c>
      <c r="K32">
        <v>73.22</v>
      </c>
      <c r="L32" s="243">
        <v>9939466</v>
      </c>
      <c r="M32">
        <v>12180000</v>
      </c>
      <c r="N32">
        <v>81.599999999999994</v>
      </c>
      <c r="O32" t="s">
        <v>686</v>
      </c>
      <c r="P32" t="s">
        <v>1458</v>
      </c>
      <c r="Q32">
        <v>89.02</v>
      </c>
      <c r="R32">
        <v>72.650000000000006</v>
      </c>
      <c r="S32" s="243">
        <v>994534</v>
      </c>
      <c r="T32">
        <v>1256000</v>
      </c>
      <c r="U32">
        <v>79.180000000000007</v>
      </c>
      <c r="V32" t="s">
        <v>730</v>
      </c>
      <c r="W32" t="s">
        <v>1323</v>
      </c>
      <c r="X32">
        <v>9.56</v>
      </c>
      <c r="Y32">
        <v>7.57</v>
      </c>
      <c r="Z32" s="243">
        <v>8898</v>
      </c>
      <c r="AA32">
        <v>1609000</v>
      </c>
      <c r="AB32">
        <v>0.55000000000000004</v>
      </c>
      <c r="AC32" t="s">
        <v>751</v>
      </c>
      <c r="AD32" t="s">
        <v>1330</v>
      </c>
      <c r="AE32">
        <v>11.37</v>
      </c>
      <c r="AF32">
        <v>0.06</v>
      </c>
      <c r="AG32" s="243">
        <v>44458</v>
      </c>
      <c r="AH32">
        <v>0</v>
      </c>
      <c r="AI32" t="s">
        <v>520</v>
      </c>
      <c r="AJ32" t="s">
        <v>668</v>
      </c>
      <c r="AK32" t="s">
        <v>1288</v>
      </c>
      <c r="AL32">
        <v>4.59</v>
      </c>
      <c r="AM32" t="s">
        <v>520</v>
      </c>
      <c r="AN32" s="243">
        <v>16391.32</v>
      </c>
      <c r="AO32">
        <v>255000</v>
      </c>
      <c r="AP32">
        <v>6.43</v>
      </c>
      <c r="AQ32" t="s">
        <v>683</v>
      </c>
      <c r="AR32" t="s">
        <v>1442</v>
      </c>
      <c r="AS32">
        <v>84.92</v>
      </c>
      <c r="AT32">
        <v>5.46</v>
      </c>
      <c r="AU32" s="243">
        <v>20784266.510000002</v>
      </c>
      <c r="AV32">
        <v>21970000</v>
      </c>
      <c r="AW32">
        <v>94.6</v>
      </c>
      <c r="AX32" t="s">
        <v>701</v>
      </c>
      <c r="AY32" t="s">
        <v>1356</v>
      </c>
      <c r="AZ32">
        <v>66.61</v>
      </c>
      <c r="BA32">
        <v>63.01</v>
      </c>
      <c r="BB32" s="243">
        <v>2558742.19</v>
      </c>
      <c r="BC32">
        <v>0</v>
      </c>
      <c r="BD32" t="s">
        <v>520</v>
      </c>
      <c r="BE32" t="s">
        <v>668</v>
      </c>
      <c r="BF32" t="s">
        <v>1288</v>
      </c>
      <c r="BG32">
        <v>18.8</v>
      </c>
      <c r="BH32" t="s">
        <v>520</v>
      </c>
    </row>
    <row r="33" spans="1:60">
      <c r="A33">
        <v>133</v>
      </c>
      <c r="B33" t="s">
        <v>148</v>
      </c>
      <c r="C33" t="s">
        <v>519</v>
      </c>
      <c r="D33" t="s">
        <v>0</v>
      </c>
      <c r="E33" s="243">
        <v>12226921.310000001</v>
      </c>
      <c r="F33">
        <v>12740000</v>
      </c>
      <c r="G33">
        <v>95.97</v>
      </c>
      <c r="H33" t="s">
        <v>681</v>
      </c>
      <c r="I33" t="s">
        <v>1423</v>
      </c>
      <c r="J33">
        <v>5.76</v>
      </c>
      <c r="K33">
        <v>5.53</v>
      </c>
      <c r="L33" s="243">
        <v>9258069</v>
      </c>
      <c r="M33">
        <v>23260000</v>
      </c>
      <c r="N33">
        <v>39.799999999999997</v>
      </c>
      <c r="O33" t="s">
        <v>683</v>
      </c>
      <c r="P33" t="s">
        <v>1343</v>
      </c>
      <c r="Q33">
        <v>34.11</v>
      </c>
      <c r="R33">
        <v>13.58</v>
      </c>
      <c r="S33" s="243">
        <v>1912409</v>
      </c>
      <c r="T33">
        <v>2855000</v>
      </c>
      <c r="U33">
        <v>66.98</v>
      </c>
      <c r="V33" t="s">
        <v>693</v>
      </c>
      <c r="W33" t="s">
        <v>1385</v>
      </c>
      <c r="X33">
        <v>38.58</v>
      </c>
      <c r="Y33">
        <v>25.84</v>
      </c>
      <c r="Z33" s="243">
        <v>622695</v>
      </c>
      <c r="AA33">
        <v>2617000</v>
      </c>
      <c r="AB33">
        <v>23.79</v>
      </c>
      <c r="AC33" t="s">
        <v>725</v>
      </c>
      <c r="AD33" t="s">
        <v>1286</v>
      </c>
      <c r="AE33">
        <v>0.05</v>
      </c>
      <c r="AF33">
        <v>0.01</v>
      </c>
      <c r="AG33" s="243">
        <v>52809</v>
      </c>
      <c r="AH33">
        <v>0</v>
      </c>
      <c r="AI33" t="s">
        <v>520</v>
      </c>
      <c r="AJ33" t="s">
        <v>668</v>
      </c>
      <c r="AK33" t="s">
        <v>1288</v>
      </c>
      <c r="AL33">
        <v>7.13</v>
      </c>
      <c r="AM33" t="s">
        <v>520</v>
      </c>
      <c r="AN33" s="243">
        <v>142539.04999999999</v>
      </c>
      <c r="AO33">
        <v>488000</v>
      </c>
      <c r="AP33">
        <v>29.21</v>
      </c>
      <c r="AQ33" t="s">
        <v>662</v>
      </c>
      <c r="AR33" t="s">
        <v>1294</v>
      </c>
      <c r="AS33">
        <v>92.96</v>
      </c>
      <c r="AT33">
        <v>27.15</v>
      </c>
      <c r="AU33" s="243">
        <v>24215442.359999999</v>
      </c>
      <c r="AV33">
        <v>41960000</v>
      </c>
      <c r="AW33">
        <v>57.71</v>
      </c>
      <c r="AX33" t="s">
        <v>751</v>
      </c>
      <c r="AY33" t="s">
        <v>1881</v>
      </c>
      <c r="AZ33">
        <v>19.559999999999999</v>
      </c>
      <c r="BA33">
        <v>11.29</v>
      </c>
      <c r="BB33" s="243">
        <v>4019243.31</v>
      </c>
      <c r="BC33">
        <v>0</v>
      </c>
      <c r="BD33" t="s">
        <v>520</v>
      </c>
      <c r="BE33" t="s">
        <v>668</v>
      </c>
      <c r="BF33" t="s">
        <v>1288</v>
      </c>
      <c r="BG33">
        <v>4.95</v>
      </c>
      <c r="BH33" t="s">
        <v>520</v>
      </c>
    </row>
    <row r="34" spans="1:60">
      <c r="A34">
        <v>134</v>
      </c>
      <c r="B34" t="s">
        <v>149</v>
      </c>
      <c r="C34" t="s">
        <v>525</v>
      </c>
      <c r="D34" t="s">
        <v>7</v>
      </c>
      <c r="E34" s="243">
        <v>9159423.5099999998</v>
      </c>
      <c r="F34">
        <v>19030000</v>
      </c>
      <c r="G34">
        <v>48.13</v>
      </c>
      <c r="H34" t="s">
        <v>1622</v>
      </c>
      <c r="I34" t="s">
        <v>1330</v>
      </c>
      <c r="J34">
        <v>36.21</v>
      </c>
      <c r="K34">
        <v>17.43</v>
      </c>
      <c r="L34" s="243">
        <v>30356847</v>
      </c>
      <c r="M34">
        <v>34740000</v>
      </c>
      <c r="N34">
        <v>87.38</v>
      </c>
      <c r="O34" t="s">
        <v>1643</v>
      </c>
      <c r="P34" t="s">
        <v>1443</v>
      </c>
      <c r="Q34">
        <v>63.13</v>
      </c>
      <c r="R34">
        <v>55.17</v>
      </c>
      <c r="S34" s="243">
        <v>2253882</v>
      </c>
      <c r="T34">
        <v>5132000</v>
      </c>
      <c r="U34">
        <v>43.92</v>
      </c>
      <c r="V34" t="s">
        <v>1645</v>
      </c>
      <c r="W34" t="s">
        <v>1304</v>
      </c>
      <c r="X34">
        <v>58.23</v>
      </c>
      <c r="Y34">
        <v>25.57</v>
      </c>
      <c r="Z34" s="243">
        <v>78992</v>
      </c>
      <c r="AA34">
        <v>3040000</v>
      </c>
      <c r="AB34">
        <v>2.6</v>
      </c>
      <c r="AC34" t="s">
        <v>1643</v>
      </c>
      <c r="AD34" t="s">
        <v>1452</v>
      </c>
      <c r="AE34">
        <v>5.86</v>
      </c>
      <c r="AF34">
        <v>0.15</v>
      </c>
      <c r="AG34" s="243">
        <v>51981</v>
      </c>
      <c r="AH34">
        <v>0</v>
      </c>
      <c r="AI34" t="s">
        <v>520</v>
      </c>
      <c r="AJ34" t="s">
        <v>1626</v>
      </c>
      <c r="AK34" t="s">
        <v>1288</v>
      </c>
      <c r="AL34">
        <v>19.52</v>
      </c>
      <c r="AM34" t="s">
        <v>520</v>
      </c>
      <c r="AN34" s="243">
        <v>88416.37</v>
      </c>
      <c r="AO34">
        <v>728000</v>
      </c>
      <c r="AP34">
        <v>12.15</v>
      </c>
      <c r="AQ34" t="s">
        <v>1654</v>
      </c>
      <c r="AR34" t="s">
        <v>1325</v>
      </c>
      <c r="AS34">
        <v>35.51</v>
      </c>
      <c r="AT34">
        <v>4.3099999999999996</v>
      </c>
      <c r="AU34" s="243">
        <v>41989541.880000003</v>
      </c>
      <c r="AV34">
        <v>62670000</v>
      </c>
      <c r="AW34">
        <v>67</v>
      </c>
      <c r="AX34" t="s">
        <v>1622</v>
      </c>
      <c r="AY34" t="s">
        <v>1285</v>
      </c>
      <c r="AZ34">
        <v>56.78</v>
      </c>
      <c r="BA34">
        <v>38.04</v>
      </c>
      <c r="BB34" s="243">
        <v>3449870.51</v>
      </c>
      <c r="BC34">
        <v>0</v>
      </c>
      <c r="BD34" t="s">
        <v>520</v>
      </c>
      <c r="BE34" t="s">
        <v>1626</v>
      </c>
      <c r="BF34" t="s">
        <v>1288</v>
      </c>
      <c r="BG34">
        <v>22.55</v>
      </c>
      <c r="BH34" t="s">
        <v>520</v>
      </c>
    </row>
    <row r="35" spans="1:60">
      <c r="A35">
        <v>136</v>
      </c>
      <c r="B35" t="s">
        <v>150</v>
      </c>
      <c r="C35" t="s">
        <v>527</v>
      </c>
      <c r="D35" t="s">
        <v>0</v>
      </c>
      <c r="E35" s="243">
        <v>8020881.6399999997</v>
      </c>
      <c r="F35">
        <v>7580000</v>
      </c>
      <c r="G35">
        <v>105.82</v>
      </c>
      <c r="H35" t="s">
        <v>670</v>
      </c>
      <c r="I35" t="s">
        <v>1300</v>
      </c>
      <c r="J35">
        <v>16.02</v>
      </c>
      <c r="K35">
        <v>16.95</v>
      </c>
      <c r="L35" s="243">
        <v>24290783</v>
      </c>
      <c r="M35">
        <v>13830000</v>
      </c>
      <c r="N35">
        <v>175.64</v>
      </c>
      <c r="O35" t="s">
        <v>716</v>
      </c>
      <c r="P35" t="s">
        <v>1408</v>
      </c>
      <c r="Q35">
        <v>84.22</v>
      </c>
      <c r="R35">
        <v>147.91999999999999</v>
      </c>
      <c r="S35" s="243">
        <v>377167</v>
      </c>
      <c r="T35">
        <v>1142000</v>
      </c>
      <c r="U35">
        <v>33.03</v>
      </c>
      <c r="V35" t="s">
        <v>664</v>
      </c>
      <c r="W35" t="s">
        <v>1344</v>
      </c>
      <c r="X35">
        <v>0.25</v>
      </c>
      <c r="Y35">
        <v>0.08</v>
      </c>
      <c r="Z35" s="243">
        <v>955760</v>
      </c>
      <c r="AA35">
        <v>2108000</v>
      </c>
      <c r="AB35">
        <v>45.34</v>
      </c>
      <c r="AC35" t="s">
        <v>666</v>
      </c>
      <c r="AD35" t="s">
        <v>1329</v>
      </c>
      <c r="AE35">
        <v>0.31</v>
      </c>
      <c r="AF35">
        <v>0.14000000000000001</v>
      </c>
      <c r="AG35" s="243">
        <v>24281</v>
      </c>
      <c r="AH35">
        <v>0</v>
      </c>
      <c r="AI35" t="s">
        <v>520</v>
      </c>
      <c r="AJ35" t="s">
        <v>668</v>
      </c>
      <c r="AK35" t="s">
        <v>1288</v>
      </c>
      <c r="AL35">
        <v>18.670000000000002</v>
      </c>
      <c r="AM35" t="s">
        <v>520</v>
      </c>
      <c r="AN35" s="243">
        <v>1367383.14</v>
      </c>
      <c r="AO35">
        <v>290000</v>
      </c>
      <c r="AP35">
        <v>471.51</v>
      </c>
      <c r="AQ35" t="s">
        <v>783</v>
      </c>
      <c r="AR35" t="s">
        <v>1459</v>
      </c>
      <c r="AS35">
        <v>98.73</v>
      </c>
      <c r="AT35">
        <v>465.54</v>
      </c>
      <c r="AU35" s="243">
        <v>35036255.780000001</v>
      </c>
      <c r="AV35">
        <v>24950000</v>
      </c>
      <c r="AW35">
        <v>140.43</v>
      </c>
      <c r="AX35" t="s">
        <v>741</v>
      </c>
      <c r="AY35" t="s">
        <v>1363</v>
      </c>
      <c r="AZ35">
        <v>65.94</v>
      </c>
      <c r="BA35">
        <v>92.59</v>
      </c>
      <c r="BB35" s="243">
        <v>2028830.64</v>
      </c>
      <c r="BC35">
        <v>0</v>
      </c>
      <c r="BD35" t="s">
        <v>520</v>
      </c>
      <c r="BE35" t="s">
        <v>668</v>
      </c>
      <c r="BF35" t="s">
        <v>1288</v>
      </c>
      <c r="BG35">
        <v>13.28</v>
      </c>
      <c r="BH35" t="s">
        <v>520</v>
      </c>
    </row>
    <row r="36" spans="1:60">
      <c r="A36">
        <v>137</v>
      </c>
      <c r="B36" t="s">
        <v>151</v>
      </c>
      <c r="C36" t="s">
        <v>521</v>
      </c>
      <c r="D36" t="s">
        <v>7</v>
      </c>
      <c r="E36" s="243">
        <v>7827509.1299999999</v>
      </c>
      <c r="F36">
        <v>11440000</v>
      </c>
      <c r="G36">
        <v>68.42</v>
      </c>
      <c r="H36" t="s">
        <v>1644</v>
      </c>
      <c r="I36" t="s">
        <v>1455</v>
      </c>
      <c r="J36">
        <v>19.54</v>
      </c>
      <c r="K36">
        <v>13.37</v>
      </c>
      <c r="L36" s="243">
        <v>29262455</v>
      </c>
      <c r="M36">
        <v>20880000</v>
      </c>
      <c r="N36">
        <v>140.15</v>
      </c>
      <c r="O36" t="s">
        <v>1648</v>
      </c>
      <c r="P36" t="s">
        <v>1322</v>
      </c>
      <c r="Q36">
        <v>55.66</v>
      </c>
      <c r="R36">
        <v>78</v>
      </c>
      <c r="S36" s="243">
        <v>2046392</v>
      </c>
      <c r="T36">
        <v>2376000</v>
      </c>
      <c r="U36">
        <v>86.13</v>
      </c>
      <c r="V36" t="s">
        <v>1631</v>
      </c>
      <c r="W36" t="s">
        <v>1414</v>
      </c>
      <c r="X36">
        <v>0.13</v>
      </c>
      <c r="Y36">
        <v>0.11</v>
      </c>
      <c r="Z36" s="243">
        <v>1183565</v>
      </c>
      <c r="AA36">
        <v>2536000</v>
      </c>
      <c r="AB36">
        <v>46.67</v>
      </c>
      <c r="AC36" t="s">
        <v>1648</v>
      </c>
      <c r="AD36" t="s">
        <v>1457</v>
      </c>
      <c r="AE36">
        <v>0</v>
      </c>
      <c r="AF36">
        <v>0</v>
      </c>
      <c r="AG36" s="243">
        <v>115931</v>
      </c>
      <c r="AH36">
        <v>0</v>
      </c>
      <c r="AI36" t="s">
        <v>520</v>
      </c>
      <c r="AJ36" t="s">
        <v>1626</v>
      </c>
      <c r="AK36" t="s">
        <v>1288</v>
      </c>
      <c r="AL36">
        <v>2.0499999999999998</v>
      </c>
      <c r="AM36" t="s">
        <v>520</v>
      </c>
      <c r="AN36" s="243">
        <v>949490.02</v>
      </c>
      <c r="AO36">
        <v>438000</v>
      </c>
      <c r="AP36">
        <v>216.78</v>
      </c>
      <c r="AQ36" t="s">
        <v>1632</v>
      </c>
      <c r="AR36" t="s">
        <v>1460</v>
      </c>
      <c r="AS36">
        <v>1.61</v>
      </c>
      <c r="AT36">
        <v>3.5</v>
      </c>
      <c r="AU36" s="243">
        <v>41385342.149999999</v>
      </c>
      <c r="AV36">
        <v>37670000</v>
      </c>
      <c r="AW36">
        <v>109.86</v>
      </c>
      <c r="AX36" t="s">
        <v>1633</v>
      </c>
      <c r="AY36" t="s">
        <v>1309</v>
      </c>
      <c r="AZ36">
        <v>43.1</v>
      </c>
      <c r="BA36">
        <v>47.35</v>
      </c>
      <c r="BB36" s="243">
        <v>3121585.13</v>
      </c>
      <c r="BC36">
        <v>0</v>
      </c>
      <c r="BD36" t="s">
        <v>520</v>
      </c>
      <c r="BE36" t="s">
        <v>1626</v>
      </c>
      <c r="BF36" t="s">
        <v>1288</v>
      </c>
      <c r="BG36">
        <v>12.79</v>
      </c>
      <c r="BH36" t="s">
        <v>520</v>
      </c>
    </row>
    <row r="37" spans="1:60" s="337" customFormat="1">
      <c r="A37" s="227">
        <v>143</v>
      </c>
      <c r="B37" s="227" t="s">
        <v>80</v>
      </c>
      <c r="C37" s="227" t="s">
        <v>523</v>
      </c>
      <c r="D37" s="227" t="s">
        <v>7</v>
      </c>
      <c r="E37" s="227">
        <v>9242534.9800000004</v>
      </c>
      <c r="F37" s="227">
        <v>10880000</v>
      </c>
      <c r="G37" s="227">
        <v>84.95</v>
      </c>
      <c r="H37" s="227" t="s">
        <v>1633</v>
      </c>
      <c r="I37" s="227" t="s">
        <v>1438</v>
      </c>
      <c r="J37" s="227">
        <v>13.12</v>
      </c>
      <c r="K37" s="227">
        <v>11.14</v>
      </c>
      <c r="L37" s="227">
        <v>27890613</v>
      </c>
      <c r="M37" s="227">
        <v>19860000</v>
      </c>
      <c r="N37" s="227">
        <v>140.44</v>
      </c>
      <c r="O37" s="227" t="s">
        <v>1630</v>
      </c>
      <c r="P37" s="227" t="s">
        <v>1323</v>
      </c>
      <c r="Q37" s="227">
        <v>33.369999999999997</v>
      </c>
      <c r="R37" s="227">
        <v>46.87</v>
      </c>
      <c r="S37" s="227">
        <v>2377174</v>
      </c>
      <c r="T37" s="227">
        <v>2549000</v>
      </c>
      <c r="U37" s="227">
        <v>93.26</v>
      </c>
      <c r="V37" s="227" t="s">
        <v>1635</v>
      </c>
      <c r="W37" s="227" t="s">
        <v>1391</v>
      </c>
      <c r="X37" s="227">
        <v>28.77</v>
      </c>
      <c r="Y37" s="227">
        <v>26.83</v>
      </c>
      <c r="Z37" s="227">
        <v>50941</v>
      </c>
      <c r="AA37" s="227">
        <v>2115000</v>
      </c>
      <c r="AB37" s="227">
        <v>2.41</v>
      </c>
      <c r="AC37" s="227" t="s">
        <v>1650</v>
      </c>
      <c r="AD37" s="227" t="s">
        <v>1454</v>
      </c>
      <c r="AE37" s="227">
        <v>3.05</v>
      </c>
      <c r="AF37" s="227">
        <v>7.0000000000000007E-2</v>
      </c>
      <c r="AG37" s="227">
        <v>96130</v>
      </c>
      <c r="AH37" s="227">
        <v>0</v>
      </c>
      <c r="AI37" s="227" t="s">
        <v>520</v>
      </c>
      <c r="AJ37" s="227" t="s">
        <v>1626</v>
      </c>
      <c r="AK37" s="227" t="s">
        <v>1288</v>
      </c>
      <c r="AL37" s="227">
        <v>5.33</v>
      </c>
      <c r="AM37" s="227" t="s">
        <v>520</v>
      </c>
      <c r="AN37" s="227">
        <v>1197234.58</v>
      </c>
      <c r="AO37" s="227">
        <v>416000</v>
      </c>
      <c r="AP37" s="227">
        <v>287.8</v>
      </c>
      <c r="AQ37" s="227" t="s">
        <v>1636</v>
      </c>
      <c r="AR37" s="227" t="s">
        <v>1367</v>
      </c>
      <c r="AS37" s="227">
        <v>18.420000000000002</v>
      </c>
      <c r="AT37" s="227">
        <v>53</v>
      </c>
      <c r="AU37" s="227">
        <v>40854627.560000002</v>
      </c>
      <c r="AV37" s="227">
        <v>35820000</v>
      </c>
      <c r="AW37" s="227">
        <v>114.06</v>
      </c>
      <c r="AX37" s="227" t="s">
        <v>1648</v>
      </c>
      <c r="AY37" s="227" t="s">
        <v>1414</v>
      </c>
      <c r="AZ37" s="227">
        <v>27.98</v>
      </c>
      <c r="BA37" s="227">
        <v>31.91</v>
      </c>
      <c r="BB37" s="227">
        <v>2863367.98</v>
      </c>
      <c r="BC37" s="227">
        <v>0</v>
      </c>
      <c r="BD37" s="227" t="s">
        <v>520</v>
      </c>
      <c r="BE37" s="227" t="s">
        <v>1626</v>
      </c>
      <c r="BF37" s="227" t="s">
        <v>1288</v>
      </c>
      <c r="BG37" s="227">
        <v>11.16</v>
      </c>
      <c r="BH37" s="227" t="s">
        <v>520</v>
      </c>
    </row>
    <row r="38" spans="1:60">
      <c r="A38">
        <v>145</v>
      </c>
      <c r="B38" t="s">
        <v>81</v>
      </c>
      <c r="C38" t="s">
        <v>523</v>
      </c>
      <c r="D38" t="s">
        <v>0</v>
      </c>
      <c r="E38" s="243">
        <v>8842730.4399999995</v>
      </c>
      <c r="F38">
        <v>7840000</v>
      </c>
      <c r="G38">
        <v>112.79</v>
      </c>
      <c r="H38" t="s">
        <v>666</v>
      </c>
      <c r="I38" t="s">
        <v>1329</v>
      </c>
      <c r="J38">
        <v>16.04</v>
      </c>
      <c r="K38">
        <v>18.09</v>
      </c>
      <c r="L38" s="243">
        <v>9981151</v>
      </c>
      <c r="M38">
        <v>14310000</v>
      </c>
      <c r="N38">
        <v>69.75</v>
      </c>
      <c r="O38" t="s">
        <v>698</v>
      </c>
      <c r="P38" t="s">
        <v>1461</v>
      </c>
      <c r="Q38">
        <v>63.97</v>
      </c>
      <c r="R38">
        <v>44.62</v>
      </c>
      <c r="S38" s="243">
        <v>508736</v>
      </c>
      <c r="T38">
        <v>1656000</v>
      </c>
      <c r="U38">
        <v>30.72</v>
      </c>
      <c r="V38" t="s">
        <v>817</v>
      </c>
      <c r="W38" t="s">
        <v>1440</v>
      </c>
      <c r="X38">
        <v>1.38</v>
      </c>
      <c r="Y38">
        <v>0.42</v>
      </c>
      <c r="Z38" s="243">
        <v>1530332</v>
      </c>
      <c r="AA38">
        <v>1704000</v>
      </c>
      <c r="AB38">
        <v>89.81</v>
      </c>
      <c r="AC38" t="s">
        <v>688</v>
      </c>
      <c r="AD38" t="s">
        <v>1295</v>
      </c>
      <c r="AE38">
        <v>3.33</v>
      </c>
      <c r="AF38">
        <v>2.99</v>
      </c>
      <c r="AG38" s="243">
        <v>20389</v>
      </c>
      <c r="AH38">
        <v>0</v>
      </c>
      <c r="AI38" t="s">
        <v>520</v>
      </c>
      <c r="AJ38" t="s">
        <v>668</v>
      </c>
      <c r="AK38" t="s">
        <v>1288</v>
      </c>
      <c r="AL38">
        <v>38.229999999999997</v>
      </c>
      <c r="AM38" t="s">
        <v>520</v>
      </c>
      <c r="AN38" s="243">
        <v>321551.27</v>
      </c>
      <c r="AO38">
        <v>300000</v>
      </c>
      <c r="AP38">
        <v>107.18</v>
      </c>
      <c r="AQ38" t="s">
        <v>754</v>
      </c>
      <c r="AR38" t="s">
        <v>1438</v>
      </c>
      <c r="AS38">
        <v>5.03</v>
      </c>
      <c r="AT38">
        <v>5.39</v>
      </c>
      <c r="AU38" s="243">
        <v>21204889.710000001</v>
      </c>
      <c r="AV38">
        <v>25810000</v>
      </c>
      <c r="AW38">
        <v>82.16</v>
      </c>
      <c r="AX38" t="s">
        <v>725</v>
      </c>
      <c r="AY38" t="s">
        <v>1359</v>
      </c>
      <c r="AZ38">
        <v>37.19</v>
      </c>
      <c r="BA38">
        <v>30.55</v>
      </c>
      <c r="BB38" s="243">
        <v>2991992.44</v>
      </c>
      <c r="BC38">
        <v>0</v>
      </c>
      <c r="BD38" t="s">
        <v>520</v>
      </c>
      <c r="BE38" t="s">
        <v>668</v>
      </c>
      <c r="BF38" t="s">
        <v>1288</v>
      </c>
      <c r="BG38">
        <v>10.67</v>
      </c>
      <c r="BH38" t="s">
        <v>520</v>
      </c>
    </row>
    <row r="39" spans="1:60">
      <c r="A39">
        <v>147</v>
      </c>
      <c r="B39" t="s">
        <v>152</v>
      </c>
      <c r="C39" t="s">
        <v>522</v>
      </c>
      <c r="D39" t="s">
        <v>0</v>
      </c>
      <c r="E39" s="243">
        <v>21713968.18</v>
      </c>
      <c r="F39">
        <v>17210000</v>
      </c>
      <c r="G39">
        <v>126.17</v>
      </c>
      <c r="H39" t="s">
        <v>764</v>
      </c>
      <c r="I39" t="s">
        <v>1316</v>
      </c>
      <c r="J39">
        <v>27.76</v>
      </c>
      <c r="K39">
        <v>35.03</v>
      </c>
      <c r="L39" s="243">
        <v>22015085</v>
      </c>
      <c r="M39">
        <v>31420000</v>
      </c>
      <c r="N39">
        <v>70.069999999999993</v>
      </c>
      <c r="O39" t="s">
        <v>725</v>
      </c>
      <c r="P39" t="s">
        <v>1420</v>
      </c>
      <c r="Q39">
        <v>85.11</v>
      </c>
      <c r="R39">
        <v>59.63</v>
      </c>
      <c r="S39" s="243">
        <v>389060</v>
      </c>
      <c r="T39">
        <v>3926000</v>
      </c>
      <c r="U39">
        <v>9.91</v>
      </c>
      <c r="V39" t="s">
        <v>672</v>
      </c>
      <c r="W39" t="s">
        <v>1420</v>
      </c>
      <c r="X39">
        <v>7.94</v>
      </c>
      <c r="Y39">
        <v>0.79</v>
      </c>
      <c r="Z39" s="243">
        <v>626501</v>
      </c>
      <c r="AA39">
        <v>3465000</v>
      </c>
      <c r="AB39">
        <v>18.079999999999998</v>
      </c>
      <c r="AC39" t="s">
        <v>817</v>
      </c>
      <c r="AD39" t="s">
        <v>1336</v>
      </c>
      <c r="AE39">
        <v>84.99</v>
      </c>
      <c r="AF39">
        <v>15.37</v>
      </c>
      <c r="AG39" s="243">
        <v>53012</v>
      </c>
      <c r="AH39">
        <v>0</v>
      </c>
      <c r="AI39" t="s">
        <v>520</v>
      </c>
      <c r="AJ39" t="s">
        <v>668</v>
      </c>
      <c r="AK39" t="s">
        <v>1288</v>
      </c>
      <c r="AL39">
        <v>11.56</v>
      </c>
      <c r="AM39" t="s">
        <v>520</v>
      </c>
      <c r="AN39" s="243">
        <v>654923.49</v>
      </c>
      <c r="AO39">
        <v>659000</v>
      </c>
      <c r="AP39">
        <v>99.38</v>
      </c>
      <c r="AQ39" t="s">
        <v>681</v>
      </c>
      <c r="AR39" t="s">
        <v>1321</v>
      </c>
      <c r="AS39">
        <v>79.88</v>
      </c>
      <c r="AT39">
        <v>79.38</v>
      </c>
      <c r="AU39" s="243">
        <v>45452549.670000002</v>
      </c>
      <c r="AV39">
        <v>56680000</v>
      </c>
      <c r="AW39">
        <v>80.19</v>
      </c>
      <c r="AX39" t="s">
        <v>757</v>
      </c>
      <c r="AY39" t="s">
        <v>1291</v>
      </c>
      <c r="AZ39">
        <v>56.89</v>
      </c>
      <c r="BA39">
        <v>45.62</v>
      </c>
      <c r="BB39" s="243">
        <v>4840508.18</v>
      </c>
      <c r="BC39">
        <v>0</v>
      </c>
      <c r="BD39" t="s">
        <v>520</v>
      </c>
      <c r="BE39" t="s">
        <v>668</v>
      </c>
      <c r="BF39" t="s">
        <v>1288</v>
      </c>
      <c r="BG39">
        <v>8.8000000000000007</v>
      </c>
      <c r="BH39" t="s">
        <v>520</v>
      </c>
    </row>
    <row r="40" spans="1:60">
      <c r="A40">
        <v>148</v>
      </c>
      <c r="B40" t="s">
        <v>82</v>
      </c>
      <c r="C40" t="s">
        <v>524</v>
      </c>
      <c r="D40" t="s">
        <v>0</v>
      </c>
      <c r="E40" s="243">
        <v>15047167.560000001</v>
      </c>
      <c r="F40">
        <v>11580000</v>
      </c>
      <c r="G40">
        <v>129.94</v>
      </c>
      <c r="H40" t="s">
        <v>730</v>
      </c>
      <c r="I40" t="s">
        <v>1393</v>
      </c>
      <c r="J40">
        <v>15.24</v>
      </c>
      <c r="K40">
        <v>19.809999999999999</v>
      </c>
      <c r="L40" s="243">
        <v>14651110</v>
      </c>
      <c r="M40">
        <v>21140000</v>
      </c>
      <c r="N40">
        <v>69.31</v>
      </c>
      <c r="O40" t="s">
        <v>664</v>
      </c>
      <c r="P40" t="s">
        <v>1411</v>
      </c>
      <c r="Q40">
        <v>26.14</v>
      </c>
      <c r="R40">
        <v>18.12</v>
      </c>
      <c r="S40" s="243">
        <v>1267009</v>
      </c>
      <c r="T40">
        <v>2887000</v>
      </c>
      <c r="U40">
        <v>43.89</v>
      </c>
      <c r="V40" t="s">
        <v>771</v>
      </c>
      <c r="W40" t="s">
        <v>1336</v>
      </c>
      <c r="X40">
        <v>0.04</v>
      </c>
      <c r="Y40">
        <v>0.02</v>
      </c>
      <c r="Z40" s="243">
        <v>154495</v>
      </c>
      <c r="AA40">
        <v>2080000</v>
      </c>
      <c r="AB40">
        <v>7.43</v>
      </c>
      <c r="AC40" t="s">
        <v>676</v>
      </c>
      <c r="AD40" t="s">
        <v>1409</v>
      </c>
      <c r="AE40">
        <v>69.239999999999995</v>
      </c>
      <c r="AF40">
        <v>5.14</v>
      </c>
      <c r="AG40" s="243">
        <v>91078</v>
      </c>
      <c r="AH40">
        <v>0</v>
      </c>
      <c r="AI40" t="s">
        <v>520</v>
      </c>
      <c r="AJ40" t="s">
        <v>668</v>
      </c>
      <c r="AK40" t="s">
        <v>1288</v>
      </c>
      <c r="AL40">
        <v>4.7</v>
      </c>
      <c r="AM40" t="s">
        <v>520</v>
      </c>
      <c r="AN40" s="243">
        <v>165418.49</v>
      </c>
      <c r="AO40">
        <v>443000</v>
      </c>
      <c r="AP40">
        <v>37.340000000000003</v>
      </c>
      <c r="AQ40" t="s">
        <v>674</v>
      </c>
      <c r="AR40" t="s">
        <v>1427</v>
      </c>
      <c r="AS40">
        <v>59.92</v>
      </c>
      <c r="AT40">
        <v>22.38</v>
      </c>
      <c r="AU40" s="243">
        <v>31376278.050000001</v>
      </c>
      <c r="AV40">
        <v>38130000</v>
      </c>
      <c r="AW40">
        <v>82.29</v>
      </c>
      <c r="AX40" t="s">
        <v>681</v>
      </c>
      <c r="AY40" t="s">
        <v>1464</v>
      </c>
      <c r="AZ40">
        <v>20.190000000000001</v>
      </c>
      <c r="BA40">
        <v>16.61</v>
      </c>
      <c r="BB40" s="243">
        <v>3831740.56</v>
      </c>
      <c r="BC40">
        <v>0</v>
      </c>
      <c r="BD40" t="s">
        <v>520</v>
      </c>
      <c r="BE40" t="s">
        <v>668</v>
      </c>
      <c r="BF40" t="s">
        <v>1288</v>
      </c>
      <c r="BG40">
        <v>6.47</v>
      </c>
      <c r="BH40" t="s">
        <v>520</v>
      </c>
    </row>
    <row r="41" spans="1:60">
      <c r="A41">
        <v>149</v>
      </c>
      <c r="B41" t="s">
        <v>153</v>
      </c>
      <c r="C41" t="s">
        <v>522</v>
      </c>
      <c r="D41" t="s">
        <v>0</v>
      </c>
      <c r="E41" s="243">
        <v>12419397.9</v>
      </c>
      <c r="F41">
        <v>16180000</v>
      </c>
      <c r="G41">
        <v>76.760000000000005</v>
      </c>
      <c r="H41" t="s">
        <v>778</v>
      </c>
      <c r="I41" t="s">
        <v>1412</v>
      </c>
      <c r="J41">
        <v>16.09</v>
      </c>
      <c r="K41">
        <v>12.35</v>
      </c>
      <c r="L41" s="243">
        <v>22473299</v>
      </c>
      <c r="M41">
        <v>29540000</v>
      </c>
      <c r="N41">
        <v>76.08</v>
      </c>
      <c r="O41" t="s">
        <v>754</v>
      </c>
      <c r="P41" t="s">
        <v>1432</v>
      </c>
      <c r="Q41">
        <v>53.92</v>
      </c>
      <c r="R41">
        <v>41.02</v>
      </c>
      <c r="S41" s="243">
        <v>268228</v>
      </c>
      <c r="T41">
        <v>3315000</v>
      </c>
      <c r="U41">
        <v>8.09</v>
      </c>
      <c r="V41" t="s">
        <v>759</v>
      </c>
      <c r="W41" t="s">
        <v>1312</v>
      </c>
      <c r="X41">
        <v>38.89</v>
      </c>
      <c r="Y41">
        <v>3.15</v>
      </c>
      <c r="Z41" s="243">
        <v>1406472</v>
      </c>
      <c r="AA41">
        <v>3626000</v>
      </c>
      <c r="AB41">
        <v>38.79</v>
      </c>
      <c r="AC41" t="s">
        <v>670</v>
      </c>
      <c r="AD41" t="s">
        <v>1300</v>
      </c>
      <c r="AE41">
        <v>1.17</v>
      </c>
      <c r="AF41">
        <v>0.45</v>
      </c>
      <c r="AG41" s="243">
        <v>93970</v>
      </c>
      <c r="AH41">
        <v>0</v>
      </c>
      <c r="AI41" t="s">
        <v>520</v>
      </c>
      <c r="AJ41" t="s">
        <v>668</v>
      </c>
      <c r="AK41" t="s">
        <v>1288</v>
      </c>
      <c r="AL41">
        <v>8.91</v>
      </c>
      <c r="AM41" t="s">
        <v>520</v>
      </c>
      <c r="AN41" s="243">
        <v>1536182.53</v>
      </c>
      <c r="AO41">
        <v>619000</v>
      </c>
      <c r="AP41">
        <v>248.17</v>
      </c>
      <c r="AQ41" t="s">
        <v>701</v>
      </c>
      <c r="AR41" t="s">
        <v>1390</v>
      </c>
      <c r="AS41">
        <v>40.119999999999997</v>
      </c>
      <c r="AT41">
        <v>99.56</v>
      </c>
      <c r="AU41" s="243">
        <v>38197549.43</v>
      </c>
      <c r="AV41">
        <v>53280000</v>
      </c>
      <c r="AW41">
        <v>71.69</v>
      </c>
      <c r="AX41" t="s">
        <v>662</v>
      </c>
      <c r="AY41" t="s">
        <v>1334</v>
      </c>
      <c r="AZ41">
        <v>38.909999999999997</v>
      </c>
      <c r="BA41">
        <v>27.89</v>
      </c>
      <c r="BB41" s="243">
        <v>5316825.9000000004</v>
      </c>
      <c r="BC41">
        <v>0</v>
      </c>
      <c r="BD41" t="s">
        <v>520</v>
      </c>
      <c r="BE41" t="s">
        <v>668</v>
      </c>
      <c r="BF41" t="s">
        <v>1288</v>
      </c>
      <c r="BG41">
        <v>11.26</v>
      </c>
      <c r="BH41" t="s">
        <v>520</v>
      </c>
    </row>
    <row r="42" spans="1:60">
      <c r="A42">
        <v>151</v>
      </c>
      <c r="B42" t="s">
        <v>154</v>
      </c>
      <c r="C42" t="s">
        <v>521</v>
      </c>
      <c r="D42" t="s">
        <v>7</v>
      </c>
      <c r="E42" s="243">
        <v>15857799.65</v>
      </c>
      <c r="F42">
        <v>19670000</v>
      </c>
      <c r="G42">
        <v>80.62</v>
      </c>
      <c r="H42" t="s">
        <v>1646</v>
      </c>
      <c r="I42" t="s">
        <v>1424</v>
      </c>
      <c r="J42">
        <v>7.82</v>
      </c>
      <c r="K42">
        <v>6.3</v>
      </c>
      <c r="L42" s="243">
        <v>56689558</v>
      </c>
      <c r="M42">
        <v>35920000</v>
      </c>
      <c r="N42">
        <v>157.82</v>
      </c>
      <c r="O42" t="s">
        <v>1626</v>
      </c>
      <c r="P42" t="s">
        <v>1401</v>
      </c>
      <c r="Q42">
        <v>29.69</v>
      </c>
      <c r="R42">
        <v>46.86</v>
      </c>
      <c r="S42" s="243">
        <v>2213149</v>
      </c>
      <c r="T42">
        <v>5112000</v>
      </c>
      <c r="U42">
        <v>43.29</v>
      </c>
      <c r="V42" t="s">
        <v>1649</v>
      </c>
      <c r="W42" t="s">
        <v>1342</v>
      </c>
      <c r="X42">
        <v>19.329999999999998</v>
      </c>
      <c r="Y42">
        <v>8.3699999999999992</v>
      </c>
      <c r="Z42" s="243">
        <v>101500</v>
      </c>
      <c r="AA42">
        <v>3335000</v>
      </c>
      <c r="AB42">
        <v>3.04</v>
      </c>
      <c r="AC42" t="s">
        <v>1623</v>
      </c>
      <c r="AD42" t="s">
        <v>1434</v>
      </c>
      <c r="AE42">
        <v>16.2</v>
      </c>
      <c r="AF42">
        <v>0.49</v>
      </c>
      <c r="AG42" s="243">
        <v>61122</v>
      </c>
      <c r="AH42">
        <v>0</v>
      </c>
      <c r="AI42" t="s">
        <v>520</v>
      </c>
      <c r="AJ42" t="s">
        <v>1626</v>
      </c>
      <c r="AK42" t="s">
        <v>1288</v>
      </c>
      <c r="AL42">
        <v>11.59</v>
      </c>
      <c r="AM42" t="s">
        <v>520</v>
      </c>
      <c r="AN42" s="243">
        <v>7709734.9400000004</v>
      </c>
      <c r="AO42">
        <v>753000</v>
      </c>
      <c r="AP42">
        <v>1023.87</v>
      </c>
      <c r="AQ42" t="s">
        <v>1639</v>
      </c>
      <c r="AR42" t="s">
        <v>1363</v>
      </c>
      <c r="AS42">
        <v>5.48</v>
      </c>
      <c r="AT42">
        <v>56.14</v>
      </c>
      <c r="AU42" s="243">
        <v>82632863.590000004</v>
      </c>
      <c r="AV42">
        <v>64790000</v>
      </c>
      <c r="AW42">
        <v>127.54</v>
      </c>
      <c r="AX42" t="s">
        <v>1639</v>
      </c>
      <c r="AY42" t="s">
        <v>1388</v>
      </c>
      <c r="AZ42">
        <v>22.93</v>
      </c>
      <c r="BA42">
        <v>29.24</v>
      </c>
      <c r="BB42" s="243">
        <v>6012776.5999999996</v>
      </c>
      <c r="BC42">
        <v>0</v>
      </c>
      <c r="BD42" t="s">
        <v>520</v>
      </c>
      <c r="BE42" t="s">
        <v>1626</v>
      </c>
      <c r="BF42" t="s">
        <v>1288</v>
      </c>
      <c r="BG42">
        <v>5.98</v>
      </c>
      <c r="BH42" t="s">
        <v>520</v>
      </c>
    </row>
    <row r="43" spans="1:60">
      <c r="A43">
        <v>152</v>
      </c>
      <c r="B43" t="s">
        <v>155</v>
      </c>
      <c r="C43" t="s">
        <v>523</v>
      </c>
      <c r="D43" t="s">
        <v>0</v>
      </c>
      <c r="E43" s="243">
        <v>20044287.239999998</v>
      </c>
      <c r="F43">
        <v>19950000</v>
      </c>
      <c r="G43">
        <v>100.47</v>
      </c>
      <c r="H43" t="s">
        <v>737</v>
      </c>
      <c r="I43" t="s">
        <v>1403</v>
      </c>
      <c r="J43">
        <v>6.86</v>
      </c>
      <c r="K43">
        <v>6.89</v>
      </c>
      <c r="L43" s="243">
        <v>29987925</v>
      </c>
      <c r="M43">
        <v>36430000</v>
      </c>
      <c r="N43">
        <v>82.32</v>
      </c>
      <c r="O43" t="s">
        <v>660</v>
      </c>
      <c r="P43" t="s">
        <v>1291</v>
      </c>
      <c r="Q43">
        <v>18.600000000000001</v>
      </c>
      <c r="R43">
        <v>15.31</v>
      </c>
      <c r="S43" s="243">
        <v>1138299</v>
      </c>
      <c r="T43">
        <v>4200000</v>
      </c>
      <c r="U43">
        <v>27.1</v>
      </c>
      <c r="V43" t="s">
        <v>757</v>
      </c>
      <c r="W43" t="s">
        <v>1412</v>
      </c>
      <c r="X43">
        <v>83.66</v>
      </c>
      <c r="Y43">
        <v>22.67</v>
      </c>
      <c r="Z43" s="243">
        <v>386783</v>
      </c>
      <c r="AA43">
        <v>4366000</v>
      </c>
      <c r="AB43">
        <v>8.86</v>
      </c>
      <c r="AC43" t="s">
        <v>778</v>
      </c>
      <c r="AD43" t="s">
        <v>1380</v>
      </c>
      <c r="AE43">
        <v>0.14000000000000001</v>
      </c>
      <c r="AF43">
        <v>0.01</v>
      </c>
      <c r="AG43" s="243">
        <v>35239</v>
      </c>
      <c r="AH43">
        <v>0</v>
      </c>
      <c r="AI43" t="s">
        <v>520</v>
      </c>
      <c r="AJ43" t="s">
        <v>668</v>
      </c>
      <c r="AK43" t="s">
        <v>1288</v>
      </c>
      <c r="AL43">
        <v>12.91</v>
      </c>
      <c r="AM43" t="s">
        <v>520</v>
      </c>
      <c r="AN43" s="243">
        <v>1341804.54</v>
      </c>
      <c r="AO43">
        <v>764000</v>
      </c>
      <c r="AP43">
        <v>175.63</v>
      </c>
      <c r="AQ43" t="s">
        <v>802</v>
      </c>
      <c r="AR43" t="s">
        <v>1381</v>
      </c>
      <c r="AS43">
        <v>6.7</v>
      </c>
      <c r="AT43">
        <v>11.77</v>
      </c>
      <c r="AU43" s="243">
        <v>52934337.780000001</v>
      </c>
      <c r="AV43">
        <v>65710000</v>
      </c>
      <c r="AW43">
        <v>80.56</v>
      </c>
      <c r="AX43" t="s">
        <v>743</v>
      </c>
      <c r="AY43" t="s">
        <v>1294</v>
      </c>
      <c r="AZ43">
        <v>15.11</v>
      </c>
      <c r="BA43">
        <v>12.17</v>
      </c>
      <c r="BB43" s="243">
        <v>8702938.2400000002</v>
      </c>
      <c r="BC43">
        <v>0</v>
      </c>
      <c r="BD43" t="s">
        <v>520</v>
      </c>
      <c r="BE43" t="s">
        <v>668</v>
      </c>
      <c r="BF43" t="s">
        <v>1288</v>
      </c>
      <c r="BG43">
        <v>4.1900000000000004</v>
      </c>
      <c r="BH43" t="s">
        <v>520</v>
      </c>
    </row>
    <row r="44" spans="1:60">
      <c r="A44">
        <v>153</v>
      </c>
      <c r="B44" t="s">
        <v>156</v>
      </c>
      <c r="C44" t="s">
        <v>521</v>
      </c>
      <c r="D44" t="s">
        <v>0</v>
      </c>
      <c r="E44" s="243">
        <v>13008819.85</v>
      </c>
      <c r="F44">
        <v>19230000</v>
      </c>
      <c r="G44">
        <v>67.650000000000006</v>
      </c>
      <c r="H44" t="s">
        <v>662</v>
      </c>
      <c r="I44" t="s">
        <v>1410</v>
      </c>
      <c r="J44">
        <v>10.64</v>
      </c>
      <c r="K44">
        <v>7.2</v>
      </c>
      <c r="L44" s="243">
        <v>39959515</v>
      </c>
      <c r="M44">
        <v>35110000</v>
      </c>
      <c r="N44">
        <v>113.81</v>
      </c>
      <c r="O44" t="s">
        <v>723</v>
      </c>
      <c r="P44" t="s">
        <v>1284</v>
      </c>
      <c r="Q44">
        <v>45.76</v>
      </c>
      <c r="R44">
        <v>52.08</v>
      </c>
      <c r="S44" s="243">
        <v>1062319</v>
      </c>
      <c r="T44">
        <v>4764000</v>
      </c>
      <c r="U44">
        <v>22.3</v>
      </c>
      <c r="V44" t="s">
        <v>676</v>
      </c>
      <c r="W44" t="s">
        <v>1320</v>
      </c>
      <c r="X44">
        <v>0.43</v>
      </c>
      <c r="Y44">
        <v>0.09</v>
      </c>
      <c r="Z44" s="243">
        <v>1217967</v>
      </c>
      <c r="AA44">
        <v>3490000</v>
      </c>
      <c r="AB44">
        <v>34.9</v>
      </c>
      <c r="AC44" t="s">
        <v>714</v>
      </c>
      <c r="AD44" t="s">
        <v>1403</v>
      </c>
      <c r="AE44">
        <v>5.2</v>
      </c>
      <c r="AF44">
        <v>1.81</v>
      </c>
      <c r="AG44" s="243">
        <v>23263</v>
      </c>
      <c r="AH44">
        <v>0</v>
      </c>
      <c r="AI44" t="s">
        <v>520</v>
      </c>
      <c r="AJ44" t="s">
        <v>668</v>
      </c>
      <c r="AK44" t="s">
        <v>1288</v>
      </c>
      <c r="AL44">
        <v>3.35</v>
      </c>
      <c r="AM44" t="s">
        <v>520</v>
      </c>
      <c r="AN44" s="243">
        <v>2814599.04</v>
      </c>
      <c r="AO44">
        <v>736000</v>
      </c>
      <c r="AP44">
        <v>382.42</v>
      </c>
      <c r="AQ44" t="s">
        <v>695</v>
      </c>
      <c r="AR44" t="s">
        <v>1375</v>
      </c>
      <c r="AS44">
        <v>7.5</v>
      </c>
      <c r="AT44">
        <v>28.66</v>
      </c>
      <c r="AU44" s="243">
        <v>58086482.890000001</v>
      </c>
      <c r="AV44">
        <v>63330000</v>
      </c>
      <c r="AW44">
        <v>91.72</v>
      </c>
      <c r="AX44" t="s">
        <v>666</v>
      </c>
      <c r="AY44" t="s">
        <v>1428</v>
      </c>
      <c r="AZ44">
        <v>34.340000000000003</v>
      </c>
      <c r="BA44">
        <v>31.5</v>
      </c>
      <c r="BB44" s="243">
        <v>5366140.8499999996</v>
      </c>
      <c r="BC44">
        <v>0</v>
      </c>
      <c r="BD44" t="s">
        <v>520</v>
      </c>
      <c r="BE44" t="s">
        <v>668</v>
      </c>
      <c r="BF44" t="s">
        <v>1288</v>
      </c>
      <c r="BG44">
        <v>4.42</v>
      </c>
      <c r="BH44" t="s">
        <v>520</v>
      </c>
    </row>
    <row r="45" spans="1:60">
      <c r="A45">
        <v>154</v>
      </c>
      <c r="B45" t="s">
        <v>8</v>
      </c>
      <c r="C45" t="s">
        <v>526</v>
      </c>
      <c r="D45" t="s">
        <v>0</v>
      </c>
      <c r="E45" s="243">
        <v>9610588.2300000004</v>
      </c>
      <c r="F45">
        <v>9550000</v>
      </c>
      <c r="G45">
        <v>100.63</v>
      </c>
      <c r="H45" t="s">
        <v>714</v>
      </c>
      <c r="I45" t="s">
        <v>1390</v>
      </c>
      <c r="J45">
        <v>29.5</v>
      </c>
      <c r="K45">
        <v>29.69</v>
      </c>
      <c r="L45" s="243">
        <v>11937632</v>
      </c>
      <c r="M45">
        <v>17430000</v>
      </c>
      <c r="N45">
        <v>68.489999999999995</v>
      </c>
      <c r="O45" t="s">
        <v>817</v>
      </c>
      <c r="P45" t="s">
        <v>1312</v>
      </c>
      <c r="Q45">
        <v>32.86</v>
      </c>
      <c r="R45">
        <v>22.5</v>
      </c>
      <c r="S45" s="243">
        <v>2354113</v>
      </c>
      <c r="T45">
        <v>3304000</v>
      </c>
      <c r="U45">
        <v>71.25</v>
      </c>
      <c r="V45" t="s">
        <v>701</v>
      </c>
      <c r="W45" t="s">
        <v>1444</v>
      </c>
      <c r="X45">
        <v>76</v>
      </c>
      <c r="Y45">
        <v>54.15</v>
      </c>
      <c r="Z45" s="243">
        <v>365779</v>
      </c>
      <c r="AA45">
        <v>800000</v>
      </c>
      <c r="AB45">
        <v>45.72</v>
      </c>
      <c r="AC45" t="s">
        <v>722</v>
      </c>
      <c r="AD45" t="s">
        <v>1418</v>
      </c>
      <c r="AE45">
        <v>0.65</v>
      </c>
      <c r="AF45">
        <v>0.3</v>
      </c>
      <c r="AG45" s="243">
        <v>42430</v>
      </c>
      <c r="AH45">
        <v>0</v>
      </c>
      <c r="AI45" t="s">
        <v>520</v>
      </c>
      <c r="AJ45" t="s">
        <v>668</v>
      </c>
      <c r="AK45" t="s">
        <v>1288</v>
      </c>
      <c r="AL45">
        <v>7.45</v>
      </c>
      <c r="AM45" t="s">
        <v>520</v>
      </c>
      <c r="AN45" s="243">
        <v>86981.89</v>
      </c>
      <c r="AO45">
        <v>366000</v>
      </c>
      <c r="AP45">
        <v>23.77</v>
      </c>
      <c r="AQ45" t="s">
        <v>672</v>
      </c>
      <c r="AR45" t="s">
        <v>1429</v>
      </c>
      <c r="AS45">
        <v>0</v>
      </c>
      <c r="AT45">
        <v>0</v>
      </c>
      <c r="AU45" s="243">
        <v>24397524.120000001</v>
      </c>
      <c r="AV45">
        <v>31450000</v>
      </c>
      <c r="AW45">
        <v>77.58</v>
      </c>
      <c r="AX45" t="s">
        <v>778</v>
      </c>
      <c r="AY45" t="s">
        <v>1454</v>
      </c>
      <c r="AZ45">
        <v>35.049999999999997</v>
      </c>
      <c r="BA45">
        <v>27.19</v>
      </c>
      <c r="BB45" s="243">
        <v>3260530.23</v>
      </c>
      <c r="BC45">
        <v>0</v>
      </c>
      <c r="BD45" t="s">
        <v>520</v>
      </c>
      <c r="BE45" t="s">
        <v>668</v>
      </c>
      <c r="BF45" t="s">
        <v>1288</v>
      </c>
      <c r="BG45">
        <v>7.53</v>
      </c>
      <c r="BH45" t="s">
        <v>520</v>
      </c>
    </row>
    <row r="46" spans="1:60">
      <c r="A46">
        <v>156</v>
      </c>
      <c r="B46" t="s">
        <v>157</v>
      </c>
      <c r="C46" t="s">
        <v>521</v>
      </c>
      <c r="D46" t="s">
        <v>0</v>
      </c>
      <c r="E46" s="243">
        <v>19153973.649999999</v>
      </c>
      <c r="F46">
        <v>13280000</v>
      </c>
      <c r="G46">
        <v>144.22999999999999</v>
      </c>
      <c r="H46" t="s">
        <v>783</v>
      </c>
      <c r="I46" t="s">
        <v>1451</v>
      </c>
      <c r="J46">
        <v>2.0499999999999998</v>
      </c>
      <c r="K46">
        <v>2.96</v>
      </c>
      <c r="L46" s="243">
        <v>11479371</v>
      </c>
      <c r="M46">
        <v>24240000</v>
      </c>
      <c r="N46">
        <v>47.36</v>
      </c>
      <c r="O46" t="s">
        <v>662</v>
      </c>
      <c r="P46" t="s">
        <v>1425</v>
      </c>
      <c r="Q46">
        <v>26.55</v>
      </c>
      <c r="R46">
        <v>12.57</v>
      </c>
      <c r="S46" s="243">
        <v>2529074</v>
      </c>
      <c r="T46">
        <v>2497000</v>
      </c>
      <c r="U46">
        <v>101.28</v>
      </c>
      <c r="V46" t="s">
        <v>783</v>
      </c>
      <c r="W46" t="s">
        <v>1332</v>
      </c>
      <c r="X46">
        <v>3.89</v>
      </c>
      <c r="Y46">
        <v>3.94</v>
      </c>
      <c r="Z46" s="243">
        <v>2840345</v>
      </c>
      <c r="AA46">
        <v>3205000</v>
      </c>
      <c r="AB46">
        <v>88.62</v>
      </c>
      <c r="AC46" t="s">
        <v>695</v>
      </c>
      <c r="AD46" t="s">
        <v>1416</v>
      </c>
      <c r="AE46">
        <v>0</v>
      </c>
      <c r="AF46">
        <v>0</v>
      </c>
      <c r="AG46" s="243">
        <v>89459</v>
      </c>
      <c r="AH46">
        <v>0</v>
      </c>
      <c r="AI46" t="s">
        <v>520</v>
      </c>
      <c r="AJ46" t="s">
        <v>668</v>
      </c>
      <c r="AK46" t="s">
        <v>1288</v>
      </c>
      <c r="AL46">
        <v>1.04</v>
      </c>
      <c r="AM46" t="s">
        <v>520</v>
      </c>
      <c r="AN46" s="243">
        <v>276958.36</v>
      </c>
      <c r="AO46">
        <v>508000</v>
      </c>
      <c r="AP46">
        <v>54.52</v>
      </c>
      <c r="AQ46" t="s">
        <v>778</v>
      </c>
      <c r="AR46" t="s">
        <v>1311</v>
      </c>
      <c r="AS46">
        <v>4.32</v>
      </c>
      <c r="AT46">
        <v>2.36</v>
      </c>
      <c r="AU46" s="243">
        <v>36369181.009999998</v>
      </c>
      <c r="AV46">
        <v>43730000</v>
      </c>
      <c r="AW46">
        <v>83.17</v>
      </c>
      <c r="AX46" t="s">
        <v>754</v>
      </c>
      <c r="AY46" t="s">
        <v>1303</v>
      </c>
      <c r="AZ46">
        <v>9.77</v>
      </c>
      <c r="BA46">
        <v>8.1199999999999992</v>
      </c>
      <c r="BB46" s="243">
        <v>4258165.6500000004</v>
      </c>
      <c r="BC46">
        <v>0</v>
      </c>
      <c r="BD46" t="s">
        <v>520</v>
      </c>
      <c r="BE46" t="s">
        <v>668</v>
      </c>
      <c r="BF46" t="s">
        <v>1288</v>
      </c>
      <c r="BG46">
        <v>3.42</v>
      </c>
      <c r="BH46" t="s">
        <v>520</v>
      </c>
    </row>
    <row r="47" spans="1:60">
      <c r="A47">
        <v>157</v>
      </c>
      <c r="B47" t="s">
        <v>158</v>
      </c>
      <c r="C47" t="s">
        <v>523</v>
      </c>
      <c r="D47" t="s">
        <v>0</v>
      </c>
      <c r="E47" s="243">
        <v>12575370.58</v>
      </c>
      <c r="F47">
        <v>9630000</v>
      </c>
      <c r="G47">
        <v>130.59</v>
      </c>
      <c r="H47" t="s">
        <v>695</v>
      </c>
      <c r="I47" t="s">
        <v>1349</v>
      </c>
      <c r="J47">
        <v>13.74</v>
      </c>
      <c r="K47">
        <v>17.95</v>
      </c>
      <c r="L47" s="243">
        <v>11554038</v>
      </c>
      <c r="M47">
        <v>17580000</v>
      </c>
      <c r="N47">
        <v>65.72</v>
      </c>
      <c r="O47" t="s">
        <v>743</v>
      </c>
      <c r="P47" t="s">
        <v>1334</v>
      </c>
      <c r="Q47">
        <v>62.01</v>
      </c>
      <c r="R47">
        <v>40.75</v>
      </c>
      <c r="S47" s="243">
        <v>640678</v>
      </c>
      <c r="T47">
        <v>2458000</v>
      </c>
      <c r="U47">
        <v>26.07</v>
      </c>
      <c r="V47" t="s">
        <v>704</v>
      </c>
      <c r="W47" t="s">
        <v>1337</v>
      </c>
      <c r="X47">
        <v>0.74</v>
      </c>
      <c r="Y47">
        <v>0.19</v>
      </c>
      <c r="Z47" s="243">
        <v>317503</v>
      </c>
      <c r="AA47">
        <v>1673000</v>
      </c>
      <c r="AB47">
        <v>18.98</v>
      </c>
      <c r="AC47" t="s">
        <v>664</v>
      </c>
      <c r="AD47" t="s">
        <v>1358</v>
      </c>
      <c r="AE47">
        <v>2.82</v>
      </c>
      <c r="AF47">
        <v>0.54</v>
      </c>
      <c r="AG47" s="243">
        <v>20566</v>
      </c>
      <c r="AH47">
        <v>0</v>
      </c>
      <c r="AI47" t="s">
        <v>520</v>
      </c>
      <c r="AJ47" t="s">
        <v>668</v>
      </c>
      <c r="AK47" t="s">
        <v>1288</v>
      </c>
      <c r="AL47">
        <v>58.21</v>
      </c>
      <c r="AM47" t="s">
        <v>520</v>
      </c>
      <c r="AN47" s="243">
        <v>1578623.25</v>
      </c>
      <c r="AO47">
        <v>369000</v>
      </c>
      <c r="AP47">
        <v>427.81</v>
      </c>
      <c r="AQ47" t="s">
        <v>723</v>
      </c>
      <c r="AR47" t="s">
        <v>1332</v>
      </c>
      <c r="AS47">
        <v>10.63</v>
      </c>
      <c r="AT47">
        <v>45.48</v>
      </c>
      <c r="AU47" s="243">
        <v>26686778.829999998</v>
      </c>
      <c r="AV47">
        <v>31710000</v>
      </c>
      <c r="AW47">
        <v>84.16</v>
      </c>
      <c r="AX47" t="s">
        <v>737</v>
      </c>
      <c r="AY47" t="s">
        <v>1320</v>
      </c>
      <c r="AZ47">
        <v>34.049999999999997</v>
      </c>
      <c r="BA47">
        <v>28.65</v>
      </c>
      <c r="BB47" s="243">
        <v>5223724.2</v>
      </c>
      <c r="BC47">
        <v>0</v>
      </c>
      <c r="BD47" t="s">
        <v>520</v>
      </c>
      <c r="BE47" t="s">
        <v>668</v>
      </c>
      <c r="BF47" t="s">
        <v>1288</v>
      </c>
      <c r="BG47">
        <v>14.38</v>
      </c>
      <c r="BH47" t="s">
        <v>520</v>
      </c>
    </row>
    <row r="48" spans="1:60">
      <c r="A48">
        <v>158</v>
      </c>
      <c r="B48" t="s">
        <v>159</v>
      </c>
      <c r="C48" t="s">
        <v>522</v>
      </c>
      <c r="D48" t="s">
        <v>7</v>
      </c>
      <c r="E48" s="243">
        <v>10200787</v>
      </c>
      <c r="F48">
        <v>18020000</v>
      </c>
      <c r="G48">
        <v>56.61</v>
      </c>
      <c r="H48" t="s">
        <v>1628</v>
      </c>
      <c r="I48" t="s">
        <v>1334</v>
      </c>
      <c r="J48">
        <v>23.63</v>
      </c>
      <c r="K48">
        <v>13.38</v>
      </c>
      <c r="L48" s="243">
        <v>33282435</v>
      </c>
      <c r="M48">
        <v>32900000</v>
      </c>
      <c r="N48">
        <v>101.16</v>
      </c>
      <c r="O48" t="s">
        <v>1641</v>
      </c>
      <c r="P48" t="s">
        <v>1354</v>
      </c>
      <c r="Q48">
        <v>71.61</v>
      </c>
      <c r="R48">
        <v>72.44</v>
      </c>
      <c r="S48" s="243">
        <v>4424583</v>
      </c>
      <c r="T48">
        <v>3551000</v>
      </c>
      <c r="U48">
        <v>124.6</v>
      </c>
      <c r="V48" t="s">
        <v>1648</v>
      </c>
      <c r="W48" t="s">
        <v>1445</v>
      </c>
      <c r="X48">
        <v>77.430000000000007</v>
      </c>
      <c r="Y48">
        <v>96.48</v>
      </c>
      <c r="Z48" s="243">
        <v>1584692</v>
      </c>
      <c r="AA48">
        <v>4189000</v>
      </c>
      <c r="AB48">
        <v>37.83</v>
      </c>
      <c r="AC48" t="s">
        <v>1637</v>
      </c>
      <c r="AD48" t="s">
        <v>1447</v>
      </c>
      <c r="AE48">
        <v>1.08</v>
      </c>
      <c r="AF48">
        <v>0.41</v>
      </c>
      <c r="AG48" s="243">
        <v>88647</v>
      </c>
      <c r="AH48">
        <v>0</v>
      </c>
      <c r="AI48" t="s">
        <v>520</v>
      </c>
      <c r="AJ48" t="s">
        <v>1626</v>
      </c>
      <c r="AK48" t="s">
        <v>1288</v>
      </c>
      <c r="AL48">
        <v>3.14</v>
      </c>
      <c r="AM48" t="s">
        <v>520</v>
      </c>
      <c r="AN48" s="243">
        <v>8353472.8799999999</v>
      </c>
      <c r="AO48">
        <v>690000</v>
      </c>
      <c r="AP48">
        <v>1210.6500000000001</v>
      </c>
      <c r="AQ48" t="s">
        <v>1626</v>
      </c>
      <c r="AR48" t="s">
        <v>1357</v>
      </c>
      <c r="AS48">
        <v>95.2</v>
      </c>
      <c r="AT48">
        <v>1152.5</v>
      </c>
      <c r="AU48" s="243">
        <v>57934616.880000003</v>
      </c>
      <c r="AV48">
        <v>59350000</v>
      </c>
      <c r="AW48">
        <v>97.62</v>
      </c>
      <c r="AX48" t="s">
        <v>1624</v>
      </c>
      <c r="AY48" t="s">
        <v>1284</v>
      </c>
      <c r="AZ48">
        <v>64.97</v>
      </c>
      <c r="BA48">
        <v>63.42</v>
      </c>
      <c r="BB48" s="243">
        <v>3705206.65</v>
      </c>
      <c r="BC48">
        <v>0</v>
      </c>
      <c r="BD48" t="s">
        <v>520</v>
      </c>
      <c r="BE48" t="s">
        <v>1626</v>
      </c>
      <c r="BF48" t="s">
        <v>1288</v>
      </c>
      <c r="BG48">
        <v>6.77</v>
      </c>
      <c r="BH48" t="s">
        <v>520</v>
      </c>
    </row>
    <row r="49" spans="1:60">
      <c r="A49">
        <v>159</v>
      </c>
      <c r="B49" t="s">
        <v>83</v>
      </c>
      <c r="C49" t="s">
        <v>519</v>
      </c>
      <c r="D49" t="s">
        <v>7</v>
      </c>
      <c r="E49" s="243">
        <v>24431999.370000001</v>
      </c>
      <c r="F49">
        <v>29010000</v>
      </c>
      <c r="G49">
        <v>84.22</v>
      </c>
      <c r="H49" t="s">
        <v>1632</v>
      </c>
      <c r="I49" t="s">
        <v>1361</v>
      </c>
      <c r="J49">
        <v>17.440000000000001</v>
      </c>
      <c r="K49">
        <v>14.69</v>
      </c>
      <c r="L49" s="243">
        <v>69390602</v>
      </c>
      <c r="M49">
        <v>52960000</v>
      </c>
      <c r="N49">
        <v>131.02000000000001</v>
      </c>
      <c r="O49" t="s">
        <v>1636</v>
      </c>
      <c r="P49" t="s">
        <v>1456</v>
      </c>
      <c r="Q49">
        <v>47.48</v>
      </c>
      <c r="R49">
        <v>62.21</v>
      </c>
      <c r="S49" s="243">
        <v>12554642</v>
      </c>
      <c r="T49">
        <v>6342000</v>
      </c>
      <c r="U49">
        <v>197.96</v>
      </c>
      <c r="V49" t="s">
        <v>1642</v>
      </c>
      <c r="W49" t="s">
        <v>1318</v>
      </c>
      <c r="X49">
        <v>27.77</v>
      </c>
      <c r="Y49">
        <v>54.97</v>
      </c>
      <c r="Z49" s="243">
        <v>9346246</v>
      </c>
      <c r="AA49">
        <v>6108000</v>
      </c>
      <c r="AB49">
        <v>153.02000000000001</v>
      </c>
      <c r="AC49" t="s">
        <v>1639</v>
      </c>
      <c r="AD49" t="s">
        <v>1451</v>
      </c>
      <c r="AE49">
        <v>1.68</v>
      </c>
      <c r="AF49">
        <v>2.56</v>
      </c>
      <c r="AG49" s="243">
        <v>43296</v>
      </c>
      <c r="AH49">
        <v>0</v>
      </c>
      <c r="AI49" t="s">
        <v>520</v>
      </c>
      <c r="AJ49" t="s">
        <v>1626</v>
      </c>
      <c r="AK49" t="s">
        <v>1288</v>
      </c>
      <c r="AL49">
        <v>5.83</v>
      </c>
      <c r="AM49" t="s">
        <v>520</v>
      </c>
      <c r="AN49" s="243">
        <v>8584185.5299999993</v>
      </c>
      <c r="AO49">
        <v>1110000</v>
      </c>
      <c r="AP49">
        <v>773.35</v>
      </c>
      <c r="AQ49" t="s">
        <v>1630</v>
      </c>
      <c r="AR49" t="s">
        <v>1445</v>
      </c>
      <c r="AS49">
        <v>7.43</v>
      </c>
      <c r="AT49">
        <v>57.45</v>
      </c>
      <c r="AU49" s="243">
        <v>124350970.90000001</v>
      </c>
      <c r="AV49">
        <v>95530000</v>
      </c>
      <c r="AW49">
        <v>130.16999999999999</v>
      </c>
      <c r="AX49" t="s">
        <v>1626</v>
      </c>
      <c r="AY49" t="s">
        <v>1408</v>
      </c>
      <c r="AZ49">
        <v>33.369999999999997</v>
      </c>
      <c r="BA49">
        <v>43.43</v>
      </c>
      <c r="BB49" s="243">
        <v>6708721.4199999999</v>
      </c>
      <c r="BC49">
        <v>0</v>
      </c>
      <c r="BD49" t="s">
        <v>520</v>
      </c>
      <c r="BE49" t="s">
        <v>1626</v>
      </c>
      <c r="BF49" t="s">
        <v>1288</v>
      </c>
      <c r="BG49">
        <v>5.5</v>
      </c>
      <c r="BH49" t="s">
        <v>520</v>
      </c>
    </row>
    <row r="50" spans="1:60">
      <c r="A50">
        <v>160</v>
      </c>
      <c r="B50" t="s">
        <v>9</v>
      </c>
      <c r="C50" t="s">
        <v>521</v>
      </c>
      <c r="D50" t="s">
        <v>7</v>
      </c>
      <c r="E50" s="243">
        <v>11950679.74</v>
      </c>
      <c r="F50">
        <v>18510000</v>
      </c>
      <c r="G50">
        <v>64.56</v>
      </c>
      <c r="H50" t="s">
        <v>1650</v>
      </c>
      <c r="I50" t="s">
        <v>1371</v>
      </c>
      <c r="J50">
        <v>18.25</v>
      </c>
      <c r="K50">
        <v>11.78</v>
      </c>
      <c r="L50" s="243">
        <v>51066903</v>
      </c>
      <c r="M50">
        <v>33790000</v>
      </c>
      <c r="N50">
        <v>151.13</v>
      </c>
      <c r="O50" t="s">
        <v>1639</v>
      </c>
      <c r="P50" t="s">
        <v>1459</v>
      </c>
      <c r="Q50">
        <v>55.06</v>
      </c>
      <c r="R50">
        <v>83.22</v>
      </c>
      <c r="S50" s="243">
        <v>4641709</v>
      </c>
      <c r="T50">
        <v>4568000</v>
      </c>
      <c r="U50">
        <v>101.61</v>
      </c>
      <c r="V50" t="s">
        <v>1634</v>
      </c>
      <c r="W50" t="s">
        <v>1459</v>
      </c>
      <c r="X50">
        <v>3.93</v>
      </c>
      <c r="Y50">
        <v>3.99</v>
      </c>
      <c r="Z50" s="243">
        <v>102068</v>
      </c>
      <c r="AA50">
        <v>3383000</v>
      </c>
      <c r="AB50">
        <v>3.02</v>
      </c>
      <c r="AC50" t="s">
        <v>1625</v>
      </c>
      <c r="AD50" t="s">
        <v>1372</v>
      </c>
      <c r="AE50">
        <v>0.17</v>
      </c>
      <c r="AF50">
        <v>0.01</v>
      </c>
      <c r="AG50" s="243">
        <v>540557</v>
      </c>
      <c r="AH50">
        <v>0</v>
      </c>
      <c r="AI50" t="s">
        <v>520</v>
      </c>
      <c r="AJ50" t="s">
        <v>1626</v>
      </c>
      <c r="AK50" t="s">
        <v>1288</v>
      </c>
      <c r="AL50">
        <v>0.76</v>
      </c>
      <c r="AM50" t="s">
        <v>520</v>
      </c>
      <c r="AN50" s="243">
        <v>1070134.93</v>
      </c>
      <c r="AO50">
        <v>709000</v>
      </c>
      <c r="AP50">
        <v>150.94</v>
      </c>
      <c r="AQ50" t="s">
        <v>1624</v>
      </c>
      <c r="AR50" t="s">
        <v>1304</v>
      </c>
      <c r="AS50">
        <v>46.12</v>
      </c>
      <c r="AT50">
        <v>69.62</v>
      </c>
      <c r="AU50" s="243">
        <v>69372051.670000002</v>
      </c>
      <c r="AV50">
        <v>60960000</v>
      </c>
      <c r="AW50">
        <v>113.8</v>
      </c>
      <c r="AX50" t="s">
        <v>1637</v>
      </c>
      <c r="AY50" t="s">
        <v>1457</v>
      </c>
      <c r="AZ50">
        <v>44.66</v>
      </c>
      <c r="BA50">
        <v>50.82</v>
      </c>
      <c r="BB50" s="243">
        <v>3497521.74</v>
      </c>
      <c r="BC50">
        <v>0</v>
      </c>
      <c r="BD50" t="s">
        <v>520</v>
      </c>
      <c r="BE50" t="s">
        <v>1626</v>
      </c>
      <c r="BF50" t="s">
        <v>1288</v>
      </c>
      <c r="BG50">
        <v>7.22</v>
      </c>
      <c r="BH50" t="s">
        <v>520</v>
      </c>
    </row>
    <row r="51" spans="1:60">
      <c r="A51">
        <v>161</v>
      </c>
      <c r="B51" t="s">
        <v>160</v>
      </c>
      <c r="C51" t="s">
        <v>527</v>
      </c>
      <c r="D51" t="s">
        <v>7</v>
      </c>
      <c r="E51" s="243">
        <v>11058813.949999999</v>
      </c>
      <c r="F51">
        <v>14190000</v>
      </c>
      <c r="G51">
        <v>77.930000000000007</v>
      </c>
      <c r="H51" t="s">
        <v>1649</v>
      </c>
      <c r="I51" t="s">
        <v>1328</v>
      </c>
      <c r="J51">
        <v>29.19</v>
      </c>
      <c r="K51">
        <v>22.75</v>
      </c>
      <c r="L51" s="243">
        <v>27429492</v>
      </c>
      <c r="M51">
        <v>25910000</v>
      </c>
      <c r="N51">
        <v>105.86</v>
      </c>
      <c r="O51" t="s">
        <v>1638</v>
      </c>
      <c r="P51" t="s">
        <v>1379</v>
      </c>
      <c r="Q51">
        <v>89.99</v>
      </c>
      <c r="R51">
        <v>95.27</v>
      </c>
      <c r="S51" s="243">
        <v>1153128</v>
      </c>
      <c r="T51">
        <v>3709000</v>
      </c>
      <c r="U51">
        <v>31.09</v>
      </c>
      <c r="V51" t="s">
        <v>1629</v>
      </c>
      <c r="W51" t="s">
        <v>1354</v>
      </c>
      <c r="X51">
        <v>55.84</v>
      </c>
      <c r="Y51">
        <v>17.36</v>
      </c>
      <c r="Z51" s="243">
        <v>116192</v>
      </c>
      <c r="AA51">
        <v>2388000</v>
      </c>
      <c r="AB51">
        <v>4.87</v>
      </c>
      <c r="AC51" t="s">
        <v>1644</v>
      </c>
      <c r="AD51" t="s">
        <v>1443</v>
      </c>
      <c r="AE51">
        <v>9.24</v>
      </c>
      <c r="AF51">
        <v>0.45</v>
      </c>
      <c r="AG51" s="243">
        <v>15004</v>
      </c>
      <c r="AH51">
        <v>0</v>
      </c>
      <c r="AI51" t="s">
        <v>520</v>
      </c>
      <c r="AJ51" t="s">
        <v>1626</v>
      </c>
      <c r="AK51" t="s">
        <v>1288</v>
      </c>
      <c r="AL51">
        <v>7.66</v>
      </c>
      <c r="AM51" t="s">
        <v>520</v>
      </c>
      <c r="AN51" s="243">
        <v>1126222.6499999999</v>
      </c>
      <c r="AO51">
        <v>543000</v>
      </c>
      <c r="AP51">
        <v>207.41</v>
      </c>
      <c r="AQ51" t="s">
        <v>1656</v>
      </c>
      <c r="AR51" t="s">
        <v>1324</v>
      </c>
      <c r="AS51">
        <v>98.3</v>
      </c>
      <c r="AT51">
        <v>203.88</v>
      </c>
      <c r="AU51" s="243">
        <v>40898852.600000001</v>
      </c>
      <c r="AV51">
        <v>46740000</v>
      </c>
      <c r="AW51">
        <v>87.5</v>
      </c>
      <c r="AX51" t="s">
        <v>1638</v>
      </c>
      <c r="AY51" t="s">
        <v>1412</v>
      </c>
      <c r="AZ51">
        <v>72.56</v>
      </c>
      <c r="BA51">
        <v>63.49</v>
      </c>
      <c r="BB51" s="243">
        <v>3941098.95</v>
      </c>
      <c r="BC51">
        <v>0</v>
      </c>
      <c r="BD51" t="s">
        <v>520</v>
      </c>
      <c r="BE51" t="s">
        <v>1626</v>
      </c>
      <c r="BF51" t="s">
        <v>1288</v>
      </c>
      <c r="BG51">
        <v>7.47</v>
      </c>
      <c r="BH51" t="s">
        <v>520</v>
      </c>
    </row>
    <row r="52" spans="1:60">
      <c r="A52">
        <v>162</v>
      </c>
      <c r="B52" t="s">
        <v>10</v>
      </c>
      <c r="C52" t="s">
        <v>519</v>
      </c>
      <c r="D52" t="s">
        <v>7</v>
      </c>
      <c r="E52" s="243">
        <v>25986949.640000001</v>
      </c>
      <c r="F52">
        <v>28940000</v>
      </c>
      <c r="G52">
        <v>89.8</v>
      </c>
      <c r="H52" t="s">
        <v>1635</v>
      </c>
      <c r="I52" t="s">
        <v>1342</v>
      </c>
      <c r="J52">
        <v>6.86</v>
      </c>
      <c r="K52">
        <v>6.16</v>
      </c>
      <c r="L52" s="243">
        <v>68390020</v>
      </c>
      <c r="M52">
        <v>52830000</v>
      </c>
      <c r="N52">
        <v>129.44999999999999</v>
      </c>
      <c r="O52" t="s">
        <v>1632</v>
      </c>
      <c r="P52" t="s">
        <v>1460</v>
      </c>
      <c r="Q52">
        <v>23.95</v>
      </c>
      <c r="R52">
        <v>31</v>
      </c>
      <c r="S52" s="243">
        <v>19785969</v>
      </c>
      <c r="T52">
        <v>6407000</v>
      </c>
      <c r="U52">
        <v>308.82</v>
      </c>
      <c r="V52" t="s">
        <v>1626</v>
      </c>
      <c r="W52" t="s">
        <v>1288</v>
      </c>
      <c r="X52">
        <v>0.36</v>
      </c>
      <c r="Y52">
        <v>1.1200000000000001</v>
      </c>
      <c r="Z52" s="243">
        <v>4591835</v>
      </c>
      <c r="AA52">
        <v>6025000</v>
      </c>
      <c r="AB52">
        <v>76.209999999999994</v>
      </c>
      <c r="AC52" t="s">
        <v>1630</v>
      </c>
      <c r="AD52" t="s">
        <v>1365</v>
      </c>
      <c r="AE52">
        <v>0.83</v>
      </c>
      <c r="AF52">
        <v>0.63</v>
      </c>
      <c r="AG52" s="243">
        <v>47327</v>
      </c>
      <c r="AH52">
        <v>0</v>
      </c>
      <c r="AI52" t="s">
        <v>520</v>
      </c>
      <c r="AJ52" t="s">
        <v>1626</v>
      </c>
      <c r="AK52" t="s">
        <v>1288</v>
      </c>
      <c r="AL52">
        <v>11.03</v>
      </c>
      <c r="AM52" t="s">
        <v>520</v>
      </c>
      <c r="AN52" s="243">
        <v>986829.05</v>
      </c>
      <c r="AO52">
        <v>1108000</v>
      </c>
      <c r="AP52">
        <v>89.06</v>
      </c>
      <c r="AQ52" t="s">
        <v>1652</v>
      </c>
      <c r="AR52" t="s">
        <v>1331</v>
      </c>
      <c r="AS52">
        <v>90.01</v>
      </c>
      <c r="AT52">
        <v>80.16</v>
      </c>
      <c r="AU52" s="243">
        <v>119788929.69</v>
      </c>
      <c r="AV52">
        <v>95310000</v>
      </c>
      <c r="AW52">
        <v>125.68</v>
      </c>
      <c r="AX52" t="s">
        <v>1642</v>
      </c>
      <c r="AY52" t="s">
        <v>1295</v>
      </c>
      <c r="AZ52">
        <v>16</v>
      </c>
      <c r="BA52">
        <v>20.11</v>
      </c>
      <c r="BB52" s="243">
        <v>7428234.6399999997</v>
      </c>
      <c r="BC52">
        <v>0</v>
      </c>
      <c r="BD52" t="s">
        <v>520</v>
      </c>
      <c r="BE52" t="s">
        <v>1626</v>
      </c>
      <c r="BF52" t="s">
        <v>1288</v>
      </c>
      <c r="BG52">
        <v>4.82</v>
      </c>
      <c r="BH52" t="s">
        <v>520</v>
      </c>
    </row>
    <row r="53" spans="1:60">
      <c r="A53">
        <v>163</v>
      </c>
      <c r="B53" t="s">
        <v>12</v>
      </c>
      <c r="C53" t="s">
        <v>525</v>
      </c>
      <c r="D53" t="s">
        <v>11</v>
      </c>
      <c r="E53" s="243">
        <v>13679645.9</v>
      </c>
      <c r="F53">
        <v>14380000</v>
      </c>
      <c r="G53">
        <v>95.13</v>
      </c>
      <c r="H53" t="s">
        <v>1528</v>
      </c>
      <c r="I53" t="s">
        <v>1381</v>
      </c>
      <c r="J53">
        <v>20.079999999999998</v>
      </c>
      <c r="K53">
        <v>19.11</v>
      </c>
      <c r="L53" s="243">
        <v>13845158</v>
      </c>
      <c r="M53">
        <v>26250000</v>
      </c>
      <c r="N53">
        <v>52.74</v>
      </c>
      <c r="O53" t="s">
        <v>1502</v>
      </c>
      <c r="P53" t="s">
        <v>1285</v>
      </c>
      <c r="Q53">
        <v>59.61</v>
      </c>
      <c r="R53">
        <v>31.44</v>
      </c>
      <c r="S53" s="243">
        <v>688335</v>
      </c>
      <c r="T53">
        <v>2837000</v>
      </c>
      <c r="U53">
        <v>24.26</v>
      </c>
      <c r="V53" t="s">
        <v>1526</v>
      </c>
      <c r="W53" t="s">
        <v>1338</v>
      </c>
      <c r="X53">
        <v>0.17</v>
      </c>
      <c r="Y53">
        <v>0.04</v>
      </c>
      <c r="Z53" s="243">
        <v>593654</v>
      </c>
      <c r="AA53">
        <v>3343000</v>
      </c>
      <c r="AB53">
        <v>17.760000000000002</v>
      </c>
      <c r="AC53" t="s">
        <v>1519</v>
      </c>
      <c r="AD53" t="s">
        <v>1342</v>
      </c>
      <c r="AE53">
        <v>0.21</v>
      </c>
      <c r="AF53">
        <v>0.04</v>
      </c>
      <c r="AG53" s="243">
        <v>59908</v>
      </c>
      <c r="AH53">
        <v>0</v>
      </c>
      <c r="AI53" t="s">
        <v>520</v>
      </c>
      <c r="AJ53" t="s">
        <v>1505</v>
      </c>
      <c r="AK53" t="s">
        <v>1288</v>
      </c>
      <c r="AL53">
        <v>22.45</v>
      </c>
      <c r="AM53" t="s">
        <v>520</v>
      </c>
      <c r="AN53" s="243">
        <v>3033115.29</v>
      </c>
      <c r="AO53">
        <v>550000</v>
      </c>
      <c r="AP53">
        <v>551.48</v>
      </c>
      <c r="AQ53" t="s">
        <v>1517</v>
      </c>
      <c r="AR53" t="s">
        <v>1316</v>
      </c>
      <c r="AS53">
        <v>95.98</v>
      </c>
      <c r="AT53">
        <v>529.29999999999995</v>
      </c>
      <c r="AU53" s="243">
        <v>31899816.190000001</v>
      </c>
      <c r="AV53">
        <v>47360000</v>
      </c>
      <c r="AW53">
        <v>67.36</v>
      </c>
      <c r="AX53" t="s">
        <v>1502</v>
      </c>
      <c r="AY53" t="s">
        <v>1330</v>
      </c>
      <c r="AZ53">
        <v>43.66</v>
      </c>
      <c r="BA53">
        <v>29.41</v>
      </c>
      <c r="BB53" s="243">
        <v>5503173.9000000004</v>
      </c>
      <c r="BC53">
        <v>0</v>
      </c>
      <c r="BD53" t="s">
        <v>520</v>
      </c>
      <c r="BE53" t="s">
        <v>1505</v>
      </c>
      <c r="BF53" t="s">
        <v>1288</v>
      </c>
      <c r="BG53">
        <v>14.99</v>
      </c>
      <c r="BH53" t="s">
        <v>520</v>
      </c>
    </row>
    <row r="54" spans="1:60">
      <c r="A54">
        <v>164</v>
      </c>
      <c r="B54" t="s">
        <v>161</v>
      </c>
      <c r="C54" t="s">
        <v>521</v>
      </c>
      <c r="D54" t="s">
        <v>7</v>
      </c>
      <c r="E54" s="243">
        <v>12075648.5</v>
      </c>
      <c r="F54">
        <v>18680000</v>
      </c>
      <c r="G54">
        <v>64.64</v>
      </c>
      <c r="H54" t="s">
        <v>1643</v>
      </c>
      <c r="I54" t="s">
        <v>1402</v>
      </c>
      <c r="J54">
        <v>20.16</v>
      </c>
      <c r="K54">
        <v>13.03</v>
      </c>
      <c r="L54" s="243">
        <v>30463872</v>
      </c>
      <c r="M54">
        <v>34100000</v>
      </c>
      <c r="N54">
        <v>89.34</v>
      </c>
      <c r="O54" t="s">
        <v>1623</v>
      </c>
      <c r="P54" t="s">
        <v>1293</v>
      </c>
      <c r="Q54">
        <v>63.78</v>
      </c>
      <c r="R54">
        <v>56.98</v>
      </c>
      <c r="S54" s="243">
        <v>582215</v>
      </c>
      <c r="T54">
        <v>3454000</v>
      </c>
      <c r="U54">
        <v>16.86</v>
      </c>
      <c r="V54" t="s">
        <v>1655</v>
      </c>
      <c r="W54" t="s">
        <v>1291</v>
      </c>
      <c r="X54">
        <v>14.19</v>
      </c>
      <c r="Y54">
        <v>2.39</v>
      </c>
      <c r="Z54" s="243">
        <v>1427162</v>
      </c>
      <c r="AA54">
        <v>4561000</v>
      </c>
      <c r="AB54">
        <v>31.29</v>
      </c>
      <c r="AC54" t="s">
        <v>1636</v>
      </c>
      <c r="AD54" t="s">
        <v>1460</v>
      </c>
      <c r="AE54">
        <v>0.81</v>
      </c>
      <c r="AF54">
        <v>0.25</v>
      </c>
      <c r="AG54" s="243">
        <v>51691</v>
      </c>
      <c r="AH54">
        <v>0</v>
      </c>
      <c r="AI54" t="s">
        <v>520</v>
      </c>
      <c r="AJ54" t="s">
        <v>1626</v>
      </c>
      <c r="AK54" t="s">
        <v>1288</v>
      </c>
      <c r="AL54">
        <v>7.67</v>
      </c>
      <c r="AM54" t="s">
        <v>520</v>
      </c>
      <c r="AN54" s="243">
        <v>386818.49</v>
      </c>
      <c r="AO54">
        <v>715000</v>
      </c>
      <c r="AP54">
        <v>54.1</v>
      </c>
      <c r="AQ54" t="s">
        <v>1625</v>
      </c>
      <c r="AR54" t="s">
        <v>1338</v>
      </c>
      <c r="AS54">
        <v>82.37</v>
      </c>
      <c r="AT54">
        <v>44.56</v>
      </c>
      <c r="AU54" s="243">
        <v>44987406.990000002</v>
      </c>
      <c r="AV54">
        <v>61510000</v>
      </c>
      <c r="AW54">
        <v>73.14</v>
      </c>
      <c r="AX54" t="s">
        <v>1657</v>
      </c>
      <c r="AY54" t="s">
        <v>1461</v>
      </c>
      <c r="AZ54">
        <v>49.53</v>
      </c>
      <c r="BA54">
        <v>36.229999999999997</v>
      </c>
      <c r="BB54" s="243">
        <v>4582971.5</v>
      </c>
      <c r="BC54">
        <v>0</v>
      </c>
      <c r="BD54" t="s">
        <v>520</v>
      </c>
      <c r="BE54" t="s">
        <v>1626</v>
      </c>
      <c r="BF54" t="s">
        <v>1288</v>
      </c>
      <c r="BG54">
        <v>9.5</v>
      </c>
      <c r="BH54" t="s">
        <v>520</v>
      </c>
    </row>
    <row r="55" spans="1:60">
      <c r="A55">
        <v>165</v>
      </c>
      <c r="B55" t="s">
        <v>13</v>
      </c>
      <c r="C55" t="s">
        <v>521</v>
      </c>
      <c r="D55" t="s">
        <v>7</v>
      </c>
      <c r="E55" s="243">
        <v>16631383.390000001</v>
      </c>
      <c r="F55">
        <v>23360000</v>
      </c>
      <c r="G55">
        <v>71.2</v>
      </c>
      <c r="H55" t="s">
        <v>1652</v>
      </c>
      <c r="I55" t="s">
        <v>1427</v>
      </c>
      <c r="J55">
        <v>13.96</v>
      </c>
      <c r="K55">
        <v>9.94</v>
      </c>
      <c r="L55" s="243">
        <v>42222736</v>
      </c>
      <c r="M55">
        <v>42650000</v>
      </c>
      <c r="N55">
        <v>99</v>
      </c>
      <c r="O55" t="s">
        <v>1647</v>
      </c>
      <c r="P55" t="s">
        <v>1380</v>
      </c>
      <c r="Q55">
        <v>34.54</v>
      </c>
      <c r="R55">
        <v>34.19</v>
      </c>
      <c r="S55" s="243">
        <v>10668497</v>
      </c>
      <c r="T55">
        <v>5965000</v>
      </c>
      <c r="U55">
        <v>178.85</v>
      </c>
      <c r="V55" t="s">
        <v>1630</v>
      </c>
      <c r="W55" t="s">
        <v>1347</v>
      </c>
      <c r="X55">
        <v>0.98</v>
      </c>
      <c r="Y55">
        <v>1.75</v>
      </c>
      <c r="Z55" s="243">
        <v>31871</v>
      </c>
      <c r="AA55">
        <v>4071000</v>
      </c>
      <c r="AB55">
        <v>0.78</v>
      </c>
      <c r="AC55" t="s">
        <v>1654</v>
      </c>
      <c r="AD55" t="s">
        <v>1352</v>
      </c>
      <c r="AE55">
        <v>2.27</v>
      </c>
      <c r="AF55">
        <v>0.02</v>
      </c>
      <c r="AG55" s="243">
        <v>26899</v>
      </c>
      <c r="AH55">
        <v>0</v>
      </c>
      <c r="AI55" t="s">
        <v>520</v>
      </c>
      <c r="AJ55" t="s">
        <v>1626</v>
      </c>
      <c r="AK55" t="s">
        <v>1288</v>
      </c>
      <c r="AL55">
        <v>39</v>
      </c>
      <c r="AM55" t="s">
        <v>520</v>
      </c>
      <c r="AN55" s="243">
        <v>1343616.42</v>
      </c>
      <c r="AO55">
        <v>894000</v>
      </c>
      <c r="AP55">
        <v>150.29</v>
      </c>
      <c r="AQ55" t="s">
        <v>1646</v>
      </c>
      <c r="AR55" t="s">
        <v>1336</v>
      </c>
      <c r="AS55">
        <v>1.95</v>
      </c>
      <c r="AT55">
        <v>2.92</v>
      </c>
      <c r="AU55" s="243">
        <v>70925002.810000002</v>
      </c>
      <c r="AV55">
        <v>76940000</v>
      </c>
      <c r="AW55">
        <v>92.18</v>
      </c>
      <c r="AX55" t="s">
        <v>1646</v>
      </c>
      <c r="AY55" t="s">
        <v>1321</v>
      </c>
      <c r="AZ55">
        <v>24.03</v>
      </c>
      <c r="BA55">
        <v>22.16</v>
      </c>
      <c r="BB55" s="243">
        <v>7105174.3899999997</v>
      </c>
      <c r="BC55">
        <v>0</v>
      </c>
      <c r="BD55" t="s">
        <v>520</v>
      </c>
      <c r="BE55" t="s">
        <v>1626</v>
      </c>
      <c r="BF55" t="s">
        <v>1288</v>
      </c>
      <c r="BG55">
        <v>13.2</v>
      </c>
      <c r="BH55" t="s">
        <v>520</v>
      </c>
    </row>
    <row r="56" spans="1:60">
      <c r="A56">
        <v>166</v>
      </c>
      <c r="B56" t="s">
        <v>84</v>
      </c>
      <c r="C56" t="s">
        <v>521</v>
      </c>
      <c r="D56" t="s">
        <v>7</v>
      </c>
      <c r="E56" s="243">
        <v>10445191.49</v>
      </c>
      <c r="F56">
        <v>16120000</v>
      </c>
      <c r="G56">
        <v>64.8</v>
      </c>
      <c r="H56" t="s">
        <v>1625</v>
      </c>
      <c r="I56" t="s">
        <v>1429</v>
      </c>
      <c r="J56">
        <v>16.23</v>
      </c>
      <c r="K56">
        <v>10.52</v>
      </c>
      <c r="L56" s="243">
        <v>22589114</v>
      </c>
      <c r="M56">
        <v>29440000</v>
      </c>
      <c r="N56">
        <v>76.73</v>
      </c>
      <c r="O56" t="s">
        <v>1654</v>
      </c>
      <c r="P56" t="s">
        <v>1422</v>
      </c>
      <c r="Q56">
        <v>54.67</v>
      </c>
      <c r="R56">
        <v>41.94</v>
      </c>
      <c r="S56" s="243">
        <v>1126455</v>
      </c>
      <c r="T56">
        <v>4245000</v>
      </c>
      <c r="U56">
        <v>26.54</v>
      </c>
      <c r="V56" t="s">
        <v>1623</v>
      </c>
      <c r="W56" t="s">
        <v>1302</v>
      </c>
      <c r="X56">
        <v>27.71</v>
      </c>
      <c r="Y56">
        <v>7.35</v>
      </c>
      <c r="Z56" s="243">
        <v>778227</v>
      </c>
      <c r="AA56">
        <v>2678000</v>
      </c>
      <c r="AB56">
        <v>29.06</v>
      </c>
      <c r="AC56" t="s">
        <v>1632</v>
      </c>
      <c r="AD56" t="s">
        <v>1423</v>
      </c>
      <c r="AE56">
        <v>0.13</v>
      </c>
      <c r="AF56">
        <v>0.04</v>
      </c>
      <c r="AG56" s="243">
        <v>52244</v>
      </c>
      <c r="AH56">
        <v>0</v>
      </c>
      <c r="AI56" t="s">
        <v>520</v>
      </c>
      <c r="AJ56" t="s">
        <v>1626</v>
      </c>
      <c r="AK56" t="s">
        <v>1288</v>
      </c>
      <c r="AL56">
        <v>1.22</v>
      </c>
      <c r="AM56" t="s">
        <v>520</v>
      </c>
      <c r="AN56" s="243">
        <v>728222.69</v>
      </c>
      <c r="AO56">
        <v>617000</v>
      </c>
      <c r="AP56">
        <v>118.03</v>
      </c>
      <c r="AQ56" t="s">
        <v>1638</v>
      </c>
      <c r="AR56" t="s">
        <v>1387</v>
      </c>
      <c r="AS56">
        <v>86.75</v>
      </c>
      <c r="AT56">
        <v>102.38</v>
      </c>
      <c r="AU56" s="243">
        <v>35719454.18</v>
      </c>
      <c r="AV56">
        <v>53100000</v>
      </c>
      <c r="AW56">
        <v>67.27</v>
      </c>
      <c r="AX56" t="s">
        <v>1654</v>
      </c>
      <c r="AY56" t="s">
        <v>1308</v>
      </c>
      <c r="AZ56">
        <v>41.96</v>
      </c>
      <c r="BA56">
        <v>28.23</v>
      </c>
      <c r="BB56" s="243">
        <v>4583358.49</v>
      </c>
      <c r="BC56">
        <v>0</v>
      </c>
      <c r="BD56" t="s">
        <v>520</v>
      </c>
      <c r="BE56" t="s">
        <v>1626</v>
      </c>
      <c r="BF56" t="s">
        <v>1288</v>
      </c>
      <c r="BG56">
        <v>9.36</v>
      </c>
      <c r="BH56" t="s">
        <v>520</v>
      </c>
    </row>
    <row r="57" spans="1:60">
      <c r="A57">
        <v>167</v>
      </c>
      <c r="B57" t="s">
        <v>162</v>
      </c>
      <c r="C57" t="s">
        <v>522</v>
      </c>
      <c r="D57" t="s">
        <v>7</v>
      </c>
      <c r="E57" s="243">
        <v>18763313.609999999</v>
      </c>
      <c r="F57">
        <v>26430000</v>
      </c>
      <c r="G57">
        <v>70.989999999999995</v>
      </c>
      <c r="H57" t="s">
        <v>1647</v>
      </c>
      <c r="I57" t="s">
        <v>1448</v>
      </c>
      <c r="J57">
        <v>11.77</v>
      </c>
      <c r="K57">
        <v>8.35</v>
      </c>
      <c r="L57" s="243">
        <v>30971603</v>
      </c>
      <c r="M57">
        <v>48250000</v>
      </c>
      <c r="N57">
        <v>64.19</v>
      </c>
      <c r="O57" t="s">
        <v>1653</v>
      </c>
      <c r="P57" t="s">
        <v>1399</v>
      </c>
      <c r="Q57">
        <v>80.25</v>
      </c>
      <c r="R57">
        <v>51.51</v>
      </c>
      <c r="S57" s="243">
        <v>2182966</v>
      </c>
      <c r="T57">
        <v>6272000</v>
      </c>
      <c r="U57">
        <v>34.799999999999997</v>
      </c>
      <c r="V57" t="s">
        <v>1652</v>
      </c>
      <c r="W57" t="s">
        <v>1321</v>
      </c>
      <c r="X57">
        <v>6.02</v>
      </c>
      <c r="Y57">
        <v>2.1</v>
      </c>
      <c r="Z57" s="243">
        <v>906834</v>
      </c>
      <c r="AA57">
        <v>5076000</v>
      </c>
      <c r="AB57">
        <v>17.87</v>
      </c>
      <c r="AC57" t="s">
        <v>1656</v>
      </c>
      <c r="AD57" t="s">
        <v>1305</v>
      </c>
      <c r="AE57">
        <v>0.13</v>
      </c>
      <c r="AF57">
        <v>0.02</v>
      </c>
      <c r="AG57" s="243">
        <v>66592</v>
      </c>
      <c r="AH57">
        <v>0</v>
      </c>
      <c r="AI57" t="s">
        <v>520</v>
      </c>
      <c r="AJ57" t="s">
        <v>1626</v>
      </c>
      <c r="AK57" t="s">
        <v>1288</v>
      </c>
      <c r="AL57">
        <v>6.36</v>
      </c>
      <c r="AM57" t="s">
        <v>520</v>
      </c>
      <c r="AN57" s="243">
        <v>3720508.01</v>
      </c>
      <c r="AO57">
        <v>1012000</v>
      </c>
      <c r="AP57">
        <v>367.64</v>
      </c>
      <c r="AQ57" t="s">
        <v>1635</v>
      </c>
      <c r="AR57" t="s">
        <v>1414</v>
      </c>
      <c r="AS57">
        <v>84.25</v>
      </c>
      <c r="AT57">
        <v>309.74</v>
      </c>
      <c r="AU57" s="243">
        <v>56611816.619999997</v>
      </c>
      <c r="AV57">
        <v>87040000</v>
      </c>
      <c r="AW57">
        <v>65.040000000000006</v>
      </c>
      <c r="AX57" t="s">
        <v>1653</v>
      </c>
      <c r="AY57" t="s">
        <v>1343</v>
      </c>
      <c r="AZ57">
        <v>53.58</v>
      </c>
      <c r="BA57">
        <v>34.85</v>
      </c>
      <c r="BB57" s="243">
        <v>7699516.6100000003</v>
      </c>
      <c r="BC57">
        <v>0</v>
      </c>
      <c r="BD57" t="s">
        <v>520</v>
      </c>
      <c r="BE57" t="s">
        <v>1626</v>
      </c>
      <c r="BF57" t="s">
        <v>1288</v>
      </c>
      <c r="BG57">
        <v>7.09</v>
      </c>
      <c r="BH57" t="s">
        <v>520</v>
      </c>
    </row>
    <row r="58" spans="1:60">
      <c r="A58">
        <v>168</v>
      </c>
      <c r="B58" t="s">
        <v>163</v>
      </c>
      <c r="C58" t="s">
        <v>521</v>
      </c>
      <c r="D58" t="s">
        <v>7</v>
      </c>
      <c r="E58" s="243">
        <v>13332592.16</v>
      </c>
      <c r="F58">
        <v>24610000</v>
      </c>
      <c r="G58">
        <v>54.18</v>
      </c>
      <c r="H58" t="s">
        <v>1654</v>
      </c>
      <c r="I58" t="s">
        <v>1407</v>
      </c>
      <c r="J58">
        <v>19.190000000000001</v>
      </c>
      <c r="K58">
        <v>10.39</v>
      </c>
      <c r="L58" s="243">
        <v>40403206</v>
      </c>
      <c r="M58">
        <v>44920000</v>
      </c>
      <c r="N58">
        <v>89.94</v>
      </c>
      <c r="O58" t="s">
        <v>1644</v>
      </c>
      <c r="P58" t="s">
        <v>1306</v>
      </c>
      <c r="Q58">
        <v>51.74</v>
      </c>
      <c r="R58">
        <v>46.54</v>
      </c>
      <c r="S58" s="243">
        <v>891397</v>
      </c>
      <c r="T58">
        <v>6849000</v>
      </c>
      <c r="U58">
        <v>13.01</v>
      </c>
      <c r="V58" t="s">
        <v>1627</v>
      </c>
      <c r="W58" t="s">
        <v>1333</v>
      </c>
      <c r="X58">
        <v>17.84</v>
      </c>
      <c r="Y58">
        <v>2.3199999999999998</v>
      </c>
      <c r="Z58" s="243">
        <v>20514</v>
      </c>
      <c r="AA58">
        <v>3719000</v>
      </c>
      <c r="AB58">
        <v>0.55000000000000004</v>
      </c>
      <c r="AC58" t="s">
        <v>1622</v>
      </c>
      <c r="AD58" t="s">
        <v>1330</v>
      </c>
      <c r="AE58">
        <v>3.39</v>
      </c>
      <c r="AF58">
        <v>0.02</v>
      </c>
      <c r="AG58" s="243">
        <v>64129</v>
      </c>
      <c r="AH58">
        <v>0</v>
      </c>
      <c r="AI58" t="s">
        <v>520</v>
      </c>
      <c r="AJ58" t="s">
        <v>1626</v>
      </c>
      <c r="AK58" t="s">
        <v>1288</v>
      </c>
      <c r="AL58">
        <v>4.5</v>
      </c>
      <c r="AM58" t="s">
        <v>520</v>
      </c>
      <c r="AN58" s="243">
        <v>6967605.0300000003</v>
      </c>
      <c r="AO58">
        <v>942000</v>
      </c>
      <c r="AP58">
        <v>739.66</v>
      </c>
      <c r="AQ58" t="s">
        <v>1648</v>
      </c>
      <c r="AR58" t="s">
        <v>1388</v>
      </c>
      <c r="AS58">
        <v>86.7</v>
      </c>
      <c r="AT58">
        <v>641.26</v>
      </c>
      <c r="AU58" s="243">
        <v>61679443.189999998</v>
      </c>
      <c r="AV58">
        <v>81040000</v>
      </c>
      <c r="AW58">
        <v>76.11</v>
      </c>
      <c r="AX58" t="s">
        <v>1650</v>
      </c>
      <c r="AY58" t="s">
        <v>1422</v>
      </c>
      <c r="AZ58">
        <v>48.1</v>
      </c>
      <c r="BA58">
        <v>36.61</v>
      </c>
      <c r="BB58" s="243">
        <v>5565232.1600000001</v>
      </c>
      <c r="BC58">
        <v>0</v>
      </c>
      <c r="BD58" t="s">
        <v>520</v>
      </c>
      <c r="BE58" t="s">
        <v>1626</v>
      </c>
      <c r="BF58" t="s">
        <v>1288</v>
      </c>
      <c r="BG58">
        <v>8.82</v>
      </c>
      <c r="BH58" t="s">
        <v>520</v>
      </c>
    </row>
    <row r="59" spans="1:60">
      <c r="A59">
        <v>169</v>
      </c>
      <c r="B59" t="s">
        <v>85</v>
      </c>
      <c r="C59" t="s">
        <v>525</v>
      </c>
      <c r="D59" t="s">
        <v>7</v>
      </c>
      <c r="E59" s="243">
        <v>17232153</v>
      </c>
      <c r="F59">
        <v>19620000</v>
      </c>
      <c r="G59">
        <v>87.83</v>
      </c>
      <c r="H59" t="s">
        <v>1636</v>
      </c>
      <c r="I59" t="s">
        <v>1387</v>
      </c>
      <c r="J59">
        <v>11.64</v>
      </c>
      <c r="K59">
        <v>10.220000000000001</v>
      </c>
      <c r="L59" s="243">
        <v>28779770</v>
      </c>
      <c r="M59">
        <v>35820000</v>
      </c>
      <c r="N59">
        <v>80.349999999999994</v>
      </c>
      <c r="O59" t="s">
        <v>1657</v>
      </c>
      <c r="P59" t="s">
        <v>1452</v>
      </c>
      <c r="Q59">
        <v>35.090000000000003</v>
      </c>
      <c r="R59">
        <v>28.19</v>
      </c>
      <c r="S59" s="243">
        <v>924182</v>
      </c>
      <c r="T59">
        <v>5150000</v>
      </c>
      <c r="U59">
        <v>17.95</v>
      </c>
      <c r="V59" t="s">
        <v>1650</v>
      </c>
      <c r="W59" t="s">
        <v>1410</v>
      </c>
      <c r="X59">
        <v>9.19</v>
      </c>
      <c r="Y59">
        <v>1.65</v>
      </c>
      <c r="Z59" s="243">
        <v>11780</v>
      </c>
      <c r="AA59">
        <v>3269000</v>
      </c>
      <c r="AB59">
        <v>0.36</v>
      </c>
      <c r="AC59" t="s">
        <v>1653</v>
      </c>
      <c r="AD59" t="s">
        <v>1425</v>
      </c>
      <c r="AE59">
        <v>9.33</v>
      </c>
      <c r="AF59">
        <v>0.03</v>
      </c>
      <c r="AG59" s="243">
        <v>74319</v>
      </c>
      <c r="AH59">
        <v>0</v>
      </c>
      <c r="AI59" t="s">
        <v>520</v>
      </c>
      <c r="AJ59" t="s">
        <v>1626</v>
      </c>
      <c r="AK59" t="s">
        <v>1288</v>
      </c>
      <c r="AL59">
        <v>8.19</v>
      </c>
      <c r="AM59" t="s">
        <v>520</v>
      </c>
      <c r="AN59" s="243">
        <v>2136739.86</v>
      </c>
      <c r="AO59">
        <v>751000</v>
      </c>
      <c r="AP59">
        <v>284.52</v>
      </c>
      <c r="AQ59" t="s">
        <v>1633</v>
      </c>
      <c r="AR59" t="s">
        <v>1447</v>
      </c>
      <c r="AS59">
        <v>0.18</v>
      </c>
      <c r="AT59">
        <v>0.51</v>
      </c>
      <c r="AU59" s="243">
        <v>49158943.859999999</v>
      </c>
      <c r="AV59">
        <v>64610000</v>
      </c>
      <c r="AW59">
        <v>76.09</v>
      </c>
      <c r="AX59" t="s">
        <v>1655</v>
      </c>
      <c r="AY59" t="s">
        <v>1432</v>
      </c>
      <c r="AZ59">
        <v>24.82</v>
      </c>
      <c r="BA59">
        <v>18.88</v>
      </c>
      <c r="BB59" s="243">
        <v>7308718</v>
      </c>
      <c r="BC59">
        <v>0</v>
      </c>
      <c r="BD59" t="s">
        <v>520</v>
      </c>
      <c r="BE59" t="s">
        <v>1626</v>
      </c>
      <c r="BF59" t="s">
        <v>1288</v>
      </c>
      <c r="BG59">
        <v>8.68</v>
      </c>
      <c r="BH59" t="s">
        <v>520</v>
      </c>
    </row>
    <row r="60" spans="1:60">
      <c r="A60">
        <v>170</v>
      </c>
      <c r="B60" t="s">
        <v>164</v>
      </c>
      <c r="C60" t="s">
        <v>521</v>
      </c>
      <c r="D60" t="s">
        <v>7</v>
      </c>
      <c r="E60" s="243">
        <v>9345598.5</v>
      </c>
      <c r="F60">
        <v>16790000</v>
      </c>
      <c r="G60">
        <v>55.66</v>
      </c>
      <c r="H60" t="s">
        <v>1627</v>
      </c>
      <c r="I60" t="s">
        <v>1399</v>
      </c>
      <c r="J60">
        <v>19.32</v>
      </c>
      <c r="K60">
        <v>10.76</v>
      </c>
      <c r="L60" s="243">
        <v>34216311</v>
      </c>
      <c r="M60">
        <v>30650000</v>
      </c>
      <c r="N60">
        <v>111.64</v>
      </c>
      <c r="O60" t="s">
        <v>1624</v>
      </c>
      <c r="P60" t="s">
        <v>1417</v>
      </c>
      <c r="Q60">
        <v>58.65</v>
      </c>
      <c r="R60">
        <v>65.47</v>
      </c>
      <c r="S60" s="243">
        <v>691779</v>
      </c>
      <c r="T60">
        <v>2609000</v>
      </c>
      <c r="U60">
        <v>26.52</v>
      </c>
      <c r="V60" t="s">
        <v>1625</v>
      </c>
      <c r="W60" t="s">
        <v>1382</v>
      </c>
      <c r="X60">
        <v>65.09</v>
      </c>
      <c r="Y60">
        <v>17.260000000000002</v>
      </c>
      <c r="Z60" s="243">
        <v>1533512</v>
      </c>
      <c r="AA60">
        <v>4598000</v>
      </c>
      <c r="AB60">
        <v>33.35</v>
      </c>
      <c r="AC60" t="s">
        <v>1631</v>
      </c>
      <c r="AD60" t="s">
        <v>1289</v>
      </c>
      <c r="AE60">
        <v>0.05</v>
      </c>
      <c r="AF60">
        <v>0.02</v>
      </c>
      <c r="AG60" s="243">
        <v>40033</v>
      </c>
      <c r="AH60">
        <v>0</v>
      </c>
      <c r="AI60" t="s">
        <v>520</v>
      </c>
      <c r="AJ60" t="s">
        <v>1626</v>
      </c>
      <c r="AK60" t="s">
        <v>1288</v>
      </c>
      <c r="AL60">
        <v>11.18</v>
      </c>
      <c r="AM60" t="s">
        <v>520</v>
      </c>
      <c r="AN60" s="243">
        <v>177104.96</v>
      </c>
      <c r="AO60">
        <v>643000</v>
      </c>
      <c r="AP60">
        <v>27.54</v>
      </c>
      <c r="AQ60" t="s">
        <v>1628</v>
      </c>
      <c r="AR60" t="s">
        <v>1434</v>
      </c>
      <c r="AS60">
        <v>20.37</v>
      </c>
      <c r="AT60">
        <v>5.61</v>
      </c>
      <c r="AU60" s="243">
        <v>46004338.460000001</v>
      </c>
      <c r="AV60">
        <v>55290000</v>
      </c>
      <c r="AW60">
        <v>83.21</v>
      </c>
      <c r="AX60" t="s">
        <v>1644</v>
      </c>
      <c r="AY60" t="s">
        <v>1448</v>
      </c>
      <c r="AZ60">
        <v>48.61</v>
      </c>
      <c r="BA60">
        <v>40.450000000000003</v>
      </c>
      <c r="BB60" s="243">
        <v>3571559.5</v>
      </c>
      <c r="BC60">
        <v>0</v>
      </c>
      <c r="BD60" t="s">
        <v>520</v>
      </c>
      <c r="BE60" t="s">
        <v>1626</v>
      </c>
      <c r="BF60" t="s">
        <v>1288</v>
      </c>
      <c r="BG60">
        <v>7.6</v>
      </c>
      <c r="BH60" t="s">
        <v>520</v>
      </c>
    </row>
    <row r="61" spans="1:60">
      <c r="A61">
        <v>171</v>
      </c>
      <c r="B61" t="s">
        <v>86</v>
      </c>
      <c r="C61" t="s">
        <v>524</v>
      </c>
      <c r="D61" t="s">
        <v>7</v>
      </c>
      <c r="E61" s="243">
        <v>10754534.789999999</v>
      </c>
      <c r="F61">
        <v>16390000</v>
      </c>
      <c r="G61">
        <v>65.62</v>
      </c>
      <c r="H61" t="s">
        <v>1623</v>
      </c>
      <c r="I61" t="s">
        <v>1458</v>
      </c>
      <c r="J61">
        <v>12.04</v>
      </c>
      <c r="K61">
        <v>7.9</v>
      </c>
      <c r="L61" s="243">
        <v>42125546</v>
      </c>
      <c r="M61">
        <v>29920000</v>
      </c>
      <c r="N61">
        <v>140.79</v>
      </c>
      <c r="O61" t="s">
        <v>1642</v>
      </c>
      <c r="P61" t="s">
        <v>1329</v>
      </c>
      <c r="Q61">
        <v>40.22</v>
      </c>
      <c r="R61">
        <v>56.63</v>
      </c>
      <c r="S61" s="243">
        <v>355753</v>
      </c>
      <c r="T61">
        <v>4399000</v>
      </c>
      <c r="U61">
        <v>8.09</v>
      </c>
      <c r="V61" t="s">
        <v>1654</v>
      </c>
      <c r="W61" t="s">
        <v>1312</v>
      </c>
      <c r="X61">
        <v>1.32</v>
      </c>
      <c r="Y61">
        <v>0.11</v>
      </c>
      <c r="Z61" s="243">
        <v>37794</v>
      </c>
      <c r="AA61">
        <v>2634000</v>
      </c>
      <c r="AB61">
        <v>1.43</v>
      </c>
      <c r="AC61" t="s">
        <v>1627</v>
      </c>
      <c r="AD61" t="s">
        <v>1406</v>
      </c>
      <c r="AE61">
        <v>9.69</v>
      </c>
      <c r="AF61">
        <v>0.14000000000000001</v>
      </c>
      <c r="AG61" s="243">
        <v>137741</v>
      </c>
      <c r="AH61">
        <v>0</v>
      </c>
      <c r="AI61" t="s">
        <v>520</v>
      </c>
      <c r="AJ61" t="s">
        <v>1626</v>
      </c>
      <c r="AK61" t="s">
        <v>1288</v>
      </c>
      <c r="AL61">
        <v>1.42</v>
      </c>
      <c r="AM61" t="s">
        <v>520</v>
      </c>
      <c r="AN61" s="243">
        <v>1849640.34</v>
      </c>
      <c r="AO61">
        <v>627000</v>
      </c>
      <c r="AP61">
        <v>295</v>
      </c>
      <c r="AQ61" t="s">
        <v>1631</v>
      </c>
      <c r="AR61" t="s">
        <v>1300</v>
      </c>
      <c r="AS61">
        <v>4.24</v>
      </c>
      <c r="AT61">
        <v>12.51</v>
      </c>
      <c r="AU61" s="243">
        <v>55261009.130000003</v>
      </c>
      <c r="AV61">
        <v>53970000</v>
      </c>
      <c r="AW61">
        <v>102.39</v>
      </c>
      <c r="AX61" t="s">
        <v>1656</v>
      </c>
      <c r="AY61" t="s">
        <v>1453</v>
      </c>
      <c r="AZ61">
        <v>33.17</v>
      </c>
      <c r="BA61">
        <v>33.96</v>
      </c>
      <c r="BB61" s="243">
        <v>5800362.79</v>
      </c>
      <c r="BC61">
        <v>0</v>
      </c>
      <c r="BD61" t="s">
        <v>520</v>
      </c>
      <c r="BE61" t="s">
        <v>1626</v>
      </c>
      <c r="BF61" t="s">
        <v>1288</v>
      </c>
      <c r="BG61">
        <v>3.4</v>
      </c>
      <c r="BH61" t="s">
        <v>520</v>
      </c>
    </row>
    <row r="62" spans="1:60">
      <c r="A62">
        <v>172</v>
      </c>
      <c r="B62" t="s">
        <v>14</v>
      </c>
      <c r="C62" t="s">
        <v>526</v>
      </c>
      <c r="D62" t="s">
        <v>7</v>
      </c>
      <c r="E62" s="243">
        <v>11162413.74</v>
      </c>
      <c r="F62">
        <v>9810000</v>
      </c>
      <c r="G62">
        <v>113.79</v>
      </c>
      <c r="H62" t="s">
        <v>1642</v>
      </c>
      <c r="I62" t="s">
        <v>1418</v>
      </c>
      <c r="J62">
        <v>18.28</v>
      </c>
      <c r="K62">
        <v>20.8</v>
      </c>
      <c r="L62" s="243">
        <v>13497182</v>
      </c>
      <c r="M62">
        <v>17910000</v>
      </c>
      <c r="N62">
        <v>75.36</v>
      </c>
      <c r="O62" t="s">
        <v>1622</v>
      </c>
      <c r="P62" t="s">
        <v>1325</v>
      </c>
      <c r="Q62">
        <v>68.849999999999994</v>
      </c>
      <c r="R62">
        <v>51.89</v>
      </c>
      <c r="S62" s="243">
        <v>804394</v>
      </c>
      <c r="T62">
        <v>2393000</v>
      </c>
      <c r="U62">
        <v>33.61</v>
      </c>
      <c r="V62" t="s">
        <v>1647</v>
      </c>
      <c r="W62" t="s">
        <v>1331</v>
      </c>
      <c r="X62">
        <v>5</v>
      </c>
      <c r="Y62">
        <v>1.68</v>
      </c>
      <c r="Z62" s="243">
        <v>163570</v>
      </c>
      <c r="AA62">
        <v>1812000</v>
      </c>
      <c r="AB62">
        <v>9.0299999999999994</v>
      </c>
      <c r="AC62" t="s">
        <v>1638</v>
      </c>
      <c r="AD62" t="s">
        <v>1353</v>
      </c>
      <c r="AE62">
        <v>5.88</v>
      </c>
      <c r="AF62">
        <v>0.53</v>
      </c>
      <c r="AG62" s="243">
        <v>19939</v>
      </c>
      <c r="AH62">
        <v>0</v>
      </c>
      <c r="AI62" t="s">
        <v>520</v>
      </c>
      <c r="AJ62" t="s">
        <v>1626</v>
      </c>
      <c r="AK62" t="s">
        <v>1288</v>
      </c>
      <c r="AL62">
        <v>13.39</v>
      </c>
      <c r="AM62" t="s">
        <v>520</v>
      </c>
      <c r="AN62" s="243">
        <v>63538.84</v>
      </c>
      <c r="AO62">
        <v>375000</v>
      </c>
      <c r="AP62">
        <v>16.940000000000001</v>
      </c>
      <c r="AQ62" t="s">
        <v>1640</v>
      </c>
      <c r="AR62" t="s">
        <v>1299</v>
      </c>
      <c r="AS62">
        <v>46.34</v>
      </c>
      <c r="AT62">
        <v>7.85</v>
      </c>
      <c r="AU62" s="243">
        <v>25711037.579999998</v>
      </c>
      <c r="AV62">
        <v>32300000</v>
      </c>
      <c r="AW62">
        <v>79.599999999999994</v>
      </c>
      <c r="AX62" t="s">
        <v>1625</v>
      </c>
      <c r="AY62" t="s">
        <v>1434</v>
      </c>
      <c r="AZ62">
        <v>44.4</v>
      </c>
      <c r="BA62">
        <v>35.340000000000003</v>
      </c>
      <c r="BB62" s="243">
        <v>4285882.74</v>
      </c>
      <c r="BC62">
        <v>0</v>
      </c>
      <c r="BD62" t="s">
        <v>520</v>
      </c>
      <c r="BE62" t="s">
        <v>1626</v>
      </c>
      <c r="BF62" t="s">
        <v>1288</v>
      </c>
      <c r="BG62">
        <v>8.9</v>
      </c>
      <c r="BH62" t="s">
        <v>520</v>
      </c>
    </row>
    <row r="63" spans="1:60">
      <c r="A63">
        <v>173</v>
      </c>
      <c r="B63" t="s">
        <v>15</v>
      </c>
      <c r="C63" t="s">
        <v>523</v>
      </c>
      <c r="D63" t="s">
        <v>11</v>
      </c>
      <c r="E63" s="243">
        <v>12477545.630000001</v>
      </c>
      <c r="F63">
        <v>12750000</v>
      </c>
      <c r="G63">
        <v>97.86</v>
      </c>
      <c r="H63" t="s">
        <v>1525</v>
      </c>
      <c r="I63" t="s">
        <v>1348</v>
      </c>
      <c r="J63">
        <v>16.07</v>
      </c>
      <c r="K63">
        <v>15.73</v>
      </c>
      <c r="L63" s="243">
        <v>14318861</v>
      </c>
      <c r="M63">
        <v>23280000</v>
      </c>
      <c r="N63">
        <v>61.51</v>
      </c>
      <c r="O63" t="s">
        <v>1507</v>
      </c>
      <c r="P63" t="s">
        <v>1355</v>
      </c>
      <c r="Q63">
        <v>29.44</v>
      </c>
      <c r="R63">
        <v>18.11</v>
      </c>
      <c r="S63" s="243">
        <v>454820</v>
      </c>
      <c r="T63">
        <v>2422000</v>
      </c>
      <c r="U63">
        <v>18.78</v>
      </c>
      <c r="V63" t="s">
        <v>1530</v>
      </c>
      <c r="W63" t="s">
        <v>1303</v>
      </c>
      <c r="X63">
        <v>22.08</v>
      </c>
      <c r="Y63">
        <v>4.1500000000000004</v>
      </c>
      <c r="Z63" s="243">
        <v>1291004</v>
      </c>
      <c r="AA63">
        <v>3060000</v>
      </c>
      <c r="AB63">
        <v>42.19</v>
      </c>
      <c r="AC63" t="s">
        <v>1537</v>
      </c>
      <c r="AD63" t="s">
        <v>1309</v>
      </c>
      <c r="AE63">
        <v>0</v>
      </c>
      <c r="AF63">
        <v>0</v>
      </c>
      <c r="AG63" s="243">
        <v>101232</v>
      </c>
      <c r="AH63">
        <v>0</v>
      </c>
      <c r="AI63" t="s">
        <v>520</v>
      </c>
      <c r="AJ63" t="s">
        <v>1505</v>
      </c>
      <c r="AK63" t="s">
        <v>1288</v>
      </c>
      <c r="AL63">
        <v>4.01</v>
      </c>
      <c r="AM63" t="s">
        <v>520</v>
      </c>
      <c r="AN63" s="243">
        <v>316055.02</v>
      </c>
      <c r="AO63">
        <v>488000</v>
      </c>
      <c r="AP63">
        <v>64.77</v>
      </c>
      <c r="AQ63" t="s">
        <v>1522</v>
      </c>
      <c r="AR63" t="s">
        <v>1380</v>
      </c>
      <c r="AS63">
        <v>7.74</v>
      </c>
      <c r="AT63">
        <v>5.01</v>
      </c>
      <c r="AU63" s="243">
        <v>28959517.649999999</v>
      </c>
      <c r="AV63">
        <v>42000000</v>
      </c>
      <c r="AW63">
        <v>68.95</v>
      </c>
      <c r="AX63" t="s">
        <v>1533</v>
      </c>
      <c r="AY63" t="s">
        <v>1355</v>
      </c>
      <c r="AZ63">
        <v>21.93</v>
      </c>
      <c r="BA63">
        <v>15.12</v>
      </c>
      <c r="BB63" s="243">
        <v>4454646.63</v>
      </c>
      <c r="BC63">
        <v>0</v>
      </c>
      <c r="BD63" t="s">
        <v>520</v>
      </c>
      <c r="BE63" t="s">
        <v>1505</v>
      </c>
      <c r="BF63" t="s">
        <v>1288</v>
      </c>
      <c r="BG63">
        <v>9.9600000000000009</v>
      </c>
      <c r="BH63" t="s">
        <v>520</v>
      </c>
    </row>
    <row r="64" spans="1:60">
      <c r="A64">
        <v>174</v>
      </c>
      <c r="B64" t="s">
        <v>16</v>
      </c>
      <c r="C64" t="s">
        <v>519</v>
      </c>
      <c r="D64" t="s">
        <v>7</v>
      </c>
      <c r="E64" s="243">
        <v>29733698.670000002</v>
      </c>
      <c r="F64">
        <v>25950000</v>
      </c>
      <c r="G64">
        <v>114.58</v>
      </c>
      <c r="H64" t="s">
        <v>1626</v>
      </c>
      <c r="I64" t="s">
        <v>1414</v>
      </c>
      <c r="J64">
        <v>30.62</v>
      </c>
      <c r="K64">
        <v>35.08</v>
      </c>
      <c r="L64" s="243">
        <v>57628467</v>
      </c>
      <c r="M64">
        <v>47380000</v>
      </c>
      <c r="N64">
        <v>121.63</v>
      </c>
      <c r="O64" t="s">
        <v>1656</v>
      </c>
      <c r="P64" t="s">
        <v>1378</v>
      </c>
      <c r="Q64">
        <v>64.290000000000006</v>
      </c>
      <c r="R64">
        <v>78.19</v>
      </c>
      <c r="S64" s="243">
        <v>3592087</v>
      </c>
      <c r="T64">
        <v>4215000</v>
      </c>
      <c r="U64">
        <v>85.22</v>
      </c>
      <c r="V64" t="s">
        <v>1636</v>
      </c>
      <c r="W64" t="s">
        <v>1437</v>
      </c>
      <c r="X64">
        <v>17.14</v>
      </c>
      <c r="Y64">
        <v>14.61</v>
      </c>
      <c r="Z64" s="243">
        <v>2095718</v>
      </c>
      <c r="AA64">
        <v>6932000</v>
      </c>
      <c r="AB64">
        <v>30.23</v>
      </c>
      <c r="AC64" t="s">
        <v>1633</v>
      </c>
      <c r="AD64" t="s">
        <v>1324</v>
      </c>
      <c r="AE64">
        <v>0</v>
      </c>
      <c r="AF64">
        <v>0</v>
      </c>
      <c r="AG64" s="243">
        <v>70180</v>
      </c>
      <c r="AH64">
        <v>0</v>
      </c>
      <c r="AI64" t="s">
        <v>520</v>
      </c>
      <c r="AJ64" t="s">
        <v>1626</v>
      </c>
      <c r="AK64" t="s">
        <v>1288</v>
      </c>
      <c r="AL64">
        <v>15.28</v>
      </c>
      <c r="AM64" t="s">
        <v>520</v>
      </c>
      <c r="AN64" s="243">
        <v>1754550.2</v>
      </c>
      <c r="AO64">
        <v>993000</v>
      </c>
      <c r="AP64">
        <v>176.69</v>
      </c>
      <c r="AQ64" t="s">
        <v>1651</v>
      </c>
      <c r="AR64" t="s">
        <v>1378</v>
      </c>
      <c r="AS64">
        <v>91.57</v>
      </c>
      <c r="AT64">
        <v>161.80000000000001</v>
      </c>
      <c r="AU64" s="243">
        <v>94874700.870000005</v>
      </c>
      <c r="AV64">
        <v>85470000</v>
      </c>
      <c r="AW64">
        <v>111</v>
      </c>
      <c r="AX64" t="s">
        <v>1631</v>
      </c>
      <c r="AY64" t="s">
        <v>1323</v>
      </c>
      <c r="AZ64">
        <v>51</v>
      </c>
      <c r="BA64">
        <v>56.61</v>
      </c>
      <c r="BB64" s="243">
        <v>6696085.6699999999</v>
      </c>
      <c r="BC64">
        <v>0</v>
      </c>
      <c r="BD64" t="s">
        <v>520</v>
      </c>
      <c r="BE64" t="s">
        <v>1626</v>
      </c>
      <c r="BF64" t="s">
        <v>1288</v>
      </c>
      <c r="BG64">
        <v>11.22</v>
      </c>
      <c r="BH64" t="s">
        <v>520</v>
      </c>
    </row>
    <row r="65" spans="1:60" s="308" customFormat="1">
      <c r="A65">
        <v>175</v>
      </c>
      <c r="B65" t="s">
        <v>165</v>
      </c>
      <c r="C65" t="s">
        <v>522</v>
      </c>
      <c r="D65" t="s">
        <v>7</v>
      </c>
      <c r="E65" s="243">
        <v>13798500.689999999</v>
      </c>
      <c r="F65">
        <v>18660000</v>
      </c>
      <c r="G65">
        <v>73.95</v>
      </c>
      <c r="H65" t="s">
        <v>1638</v>
      </c>
      <c r="I65" t="s">
        <v>1320</v>
      </c>
      <c r="J65">
        <v>11.83</v>
      </c>
      <c r="K65">
        <v>8.75</v>
      </c>
      <c r="L65" s="243">
        <v>33928497</v>
      </c>
      <c r="M65">
        <v>34070000</v>
      </c>
      <c r="N65">
        <v>99.58</v>
      </c>
      <c r="O65" t="s">
        <v>1652</v>
      </c>
      <c r="P65" t="s">
        <v>1350</v>
      </c>
      <c r="Q65">
        <v>45.67</v>
      </c>
      <c r="R65">
        <v>45.48</v>
      </c>
      <c r="S65" s="243">
        <v>2832634</v>
      </c>
      <c r="T65">
        <v>3389000</v>
      </c>
      <c r="U65">
        <v>83.58</v>
      </c>
      <c r="V65" t="s">
        <v>1633</v>
      </c>
      <c r="W65" t="s">
        <v>1457</v>
      </c>
      <c r="X65">
        <v>4.0999999999999996</v>
      </c>
      <c r="Y65">
        <v>3.43</v>
      </c>
      <c r="Z65" s="243">
        <v>818037</v>
      </c>
      <c r="AA65">
        <v>4627000</v>
      </c>
      <c r="AB65">
        <v>17.68</v>
      </c>
      <c r="AC65" t="s">
        <v>1651</v>
      </c>
      <c r="AD65" t="s">
        <v>1351</v>
      </c>
      <c r="AE65">
        <v>12.23</v>
      </c>
      <c r="AF65">
        <v>2.16</v>
      </c>
      <c r="AG65" s="243">
        <v>125731</v>
      </c>
      <c r="AH65">
        <v>0</v>
      </c>
      <c r="AI65" t="s">
        <v>520</v>
      </c>
      <c r="AJ65" t="s">
        <v>1626</v>
      </c>
      <c r="AK65" t="s">
        <v>1288</v>
      </c>
      <c r="AL65">
        <v>7.12</v>
      </c>
      <c r="AM65" t="s">
        <v>520</v>
      </c>
      <c r="AN65" s="243">
        <v>381805.03</v>
      </c>
      <c r="AO65">
        <v>714000</v>
      </c>
      <c r="AP65">
        <v>53.47</v>
      </c>
      <c r="AQ65" t="s">
        <v>1643</v>
      </c>
      <c r="AR65" t="s">
        <v>1413</v>
      </c>
      <c r="AS65">
        <v>78.09</v>
      </c>
      <c r="AT65">
        <v>41.76</v>
      </c>
      <c r="AU65" s="243">
        <v>51885204.719999999</v>
      </c>
      <c r="AV65">
        <v>61460000</v>
      </c>
      <c r="AW65">
        <v>84.42</v>
      </c>
      <c r="AX65" t="s">
        <v>1647</v>
      </c>
      <c r="AY65" t="s">
        <v>1373</v>
      </c>
      <c r="AZ65">
        <v>34.020000000000003</v>
      </c>
      <c r="BA65">
        <v>28.72</v>
      </c>
      <c r="BB65" s="243">
        <v>4184557.69</v>
      </c>
      <c r="BC65">
        <v>0</v>
      </c>
      <c r="BD65" t="s">
        <v>520</v>
      </c>
      <c r="BE65" t="s">
        <v>1626</v>
      </c>
      <c r="BF65" t="s">
        <v>1288</v>
      </c>
      <c r="BG65">
        <v>6.13</v>
      </c>
      <c r="BH65" t="s">
        <v>520</v>
      </c>
    </row>
    <row r="66" spans="1:60">
      <c r="A66">
        <v>176</v>
      </c>
      <c r="B66" t="s">
        <v>166</v>
      </c>
      <c r="C66" t="s">
        <v>523</v>
      </c>
      <c r="D66" t="s">
        <v>11</v>
      </c>
      <c r="E66" s="243">
        <v>6005941.2699999996</v>
      </c>
      <c r="F66">
        <v>11490000</v>
      </c>
      <c r="G66">
        <v>52.27</v>
      </c>
      <c r="H66" t="s">
        <v>1533</v>
      </c>
      <c r="I66" t="s">
        <v>1355</v>
      </c>
      <c r="J66">
        <v>9.76</v>
      </c>
      <c r="K66">
        <v>5.0999999999999996</v>
      </c>
      <c r="L66" s="243">
        <v>21050928</v>
      </c>
      <c r="M66">
        <v>20970000</v>
      </c>
      <c r="N66">
        <v>100.39</v>
      </c>
      <c r="O66" t="s">
        <v>1534</v>
      </c>
      <c r="P66" t="s">
        <v>1440</v>
      </c>
      <c r="Q66">
        <v>40.56</v>
      </c>
      <c r="R66">
        <v>40.71</v>
      </c>
      <c r="S66" s="243">
        <v>1746688</v>
      </c>
      <c r="T66">
        <v>2724000</v>
      </c>
      <c r="U66">
        <v>64.12</v>
      </c>
      <c r="V66" t="s">
        <v>1527</v>
      </c>
      <c r="W66" t="s">
        <v>1289</v>
      </c>
      <c r="X66">
        <v>0.98</v>
      </c>
      <c r="Y66">
        <v>0.63</v>
      </c>
      <c r="Z66" s="243">
        <v>91238</v>
      </c>
      <c r="AA66">
        <v>2206000</v>
      </c>
      <c r="AB66">
        <v>4.1399999999999997</v>
      </c>
      <c r="AC66" t="s">
        <v>1520</v>
      </c>
      <c r="AD66" t="s">
        <v>1364</v>
      </c>
      <c r="AE66">
        <v>0.43</v>
      </c>
      <c r="AF66">
        <v>0.02</v>
      </c>
      <c r="AG66" s="243">
        <v>29906</v>
      </c>
      <c r="AH66">
        <v>0</v>
      </c>
      <c r="AI66" t="s">
        <v>520</v>
      </c>
      <c r="AJ66" t="s">
        <v>1505</v>
      </c>
      <c r="AK66" t="s">
        <v>1288</v>
      </c>
      <c r="AL66">
        <v>13.92</v>
      </c>
      <c r="AM66" t="s">
        <v>520</v>
      </c>
      <c r="AN66" s="243">
        <v>11651050.140000001</v>
      </c>
      <c r="AO66">
        <v>440000</v>
      </c>
      <c r="AP66">
        <v>2647.97</v>
      </c>
      <c r="AQ66" t="s">
        <v>1505</v>
      </c>
      <c r="AR66" t="s">
        <v>1288</v>
      </c>
      <c r="AS66">
        <v>0.48</v>
      </c>
      <c r="AT66">
        <v>12.83</v>
      </c>
      <c r="AU66" s="243">
        <v>40575751.409999996</v>
      </c>
      <c r="AV66">
        <v>37830000</v>
      </c>
      <c r="AW66">
        <v>107.26</v>
      </c>
      <c r="AX66" t="s">
        <v>1527</v>
      </c>
      <c r="AY66" t="s">
        <v>1390</v>
      </c>
      <c r="AZ66">
        <v>22.68</v>
      </c>
      <c r="BA66">
        <v>24.32</v>
      </c>
      <c r="BB66" s="243">
        <v>2475916.27</v>
      </c>
      <c r="BC66">
        <v>0</v>
      </c>
      <c r="BD66" t="s">
        <v>520</v>
      </c>
      <c r="BE66" t="s">
        <v>1505</v>
      </c>
      <c r="BF66" t="s">
        <v>1288</v>
      </c>
      <c r="BG66">
        <v>9.8800000000000008</v>
      </c>
      <c r="BH66" t="s">
        <v>520</v>
      </c>
    </row>
    <row r="67" spans="1:60">
      <c r="A67">
        <v>177</v>
      </c>
      <c r="B67" t="s">
        <v>647</v>
      </c>
      <c r="C67" t="s">
        <v>527</v>
      </c>
      <c r="D67" t="s">
        <v>0</v>
      </c>
      <c r="E67" s="243">
        <v>5151764.8</v>
      </c>
      <c r="F67">
        <v>2020000</v>
      </c>
      <c r="G67">
        <v>255.04</v>
      </c>
      <c r="H67" t="s">
        <v>668</v>
      </c>
      <c r="I67" t="s">
        <v>1288</v>
      </c>
      <c r="J67">
        <v>19.87</v>
      </c>
      <c r="K67">
        <v>50.66</v>
      </c>
      <c r="L67" s="243">
        <v>10921374</v>
      </c>
      <c r="M67">
        <v>3680000</v>
      </c>
      <c r="N67">
        <v>296.77999999999997</v>
      </c>
      <c r="O67" t="s">
        <v>668</v>
      </c>
      <c r="P67" t="s">
        <v>1318</v>
      </c>
      <c r="Q67">
        <v>70.36</v>
      </c>
      <c r="R67">
        <v>208.81</v>
      </c>
      <c r="S67" s="243">
        <v>31457</v>
      </c>
      <c r="T67">
        <v>374000</v>
      </c>
      <c r="U67">
        <v>8.41</v>
      </c>
      <c r="V67" t="s">
        <v>683</v>
      </c>
      <c r="W67" t="s">
        <v>1442</v>
      </c>
      <c r="X67">
        <v>34.020000000000003</v>
      </c>
      <c r="Y67">
        <v>2.86</v>
      </c>
      <c r="Z67" s="243">
        <v>15005</v>
      </c>
      <c r="AA67">
        <v>489000</v>
      </c>
      <c r="AB67">
        <v>3.07</v>
      </c>
      <c r="AC67" t="s">
        <v>747</v>
      </c>
      <c r="AD67" t="s">
        <v>1458</v>
      </c>
      <c r="AE67">
        <v>61.27</v>
      </c>
      <c r="AF67">
        <v>1.88</v>
      </c>
      <c r="AG67" s="243">
        <v>10772</v>
      </c>
      <c r="AH67">
        <v>0</v>
      </c>
      <c r="AI67" t="s">
        <v>520</v>
      </c>
      <c r="AJ67" t="s">
        <v>668</v>
      </c>
      <c r="AK67" t="s">
        <v>1288</v>
      </c>
      <c r="AL67">
        <v>31.3</v>
      </c>
      <c r="AM67" t="s">
        <v>520</v>
      </c>
      <c r="AN67" s="243">
        <v>92401.33</v>
      </c>
      <c r="AO67">
        <v>77000</v>
      </c>
      <c r="AP67">
        <v>120</v>
      </c>
      <c r="AQ67" t="s">
        <v>686</v>
      </c>
      <c r="AR67" t="s">
        <v>1417</v>
      </c>
      <c r="AS67">
        <v>0</v>
      </c>
      <c r="AT67">
        <v>0</v>
      </c>
      <c r="AU67" s="243">
        <v>16222774.130000001</v>
      </c>
      <c r="AV67">
        <v>6640000</v>
      </c>
      <c r="AW67">
        <v>244.32</v>
      </c>
      <c r="AX67" t="s">
        <v>668</v>
      </c>
      <c r="AY67" t="s">
        <v>1326</v>
      </c>
      <c r="AZ67">
        <v>53.82</v>
      </c>
      <c r="BA67">
        <v>131.49</v>
      </c>
      <c r="BB67" s="243">
        <v>579424.80000000005</v>
      </c>
      <c r="BC67">
        <v>0</v>
      </c>
      <c r="BD67" t="s">
        <v>520</v>
      </c>
      <c r="BE67" t="s">
        <v>668</v>
      </c>
      <c r="BF67" t="s">
        <v>1288</v>
      </c>
      <c r="BG67">
        <v>39.42</v>
      </c>
      <c r="BH67" t="s">
        <v>520</v>
      </c>
    </row>
    <row r="68" spans="1:60">
      <c r="A68">
        <v>178</v>
      </c>
      <c r="B68" t="s">
        <v>17</v>
      </c>
      <c r="C68" t="s">
        <v>523</v>
      </c>
      <c r="D68" t="s">
        <v>0</v>
      </c>
      <c r="E68" s="243">
        <v>24817627.690000001</v>
      </c>
      <c r="F68">
        <v>15660000</v>
      </c>
      <c r="G68">
        <v>158.47999999999999</v>
      </c>
      <c r="H68" t="s">
        <v>716</v>
      </c>
      <c r="I68" t="s">
        <v>1310</v>
      </c>
      <c r="J68">
        <v>12.52</v>
      </c>
      <c r="K68">
        <v>19.84</v>
      </c>
      <c r="L68" s="243">
        <v>46496735</v>
      </c>
      <c r="M68">
        <v>28580000</v>
      </c>
      <c r="N68">
        <v>162.69</v>
      </c>
      <c r="O68" t="s">
        <v>741</v>
      </c>
      <c r="P68" t="s">
        <v>1393</v>
      </c>
      <c r="Q68">
        <v>17.399999999999999</v>
      </c>
      <c r="R68">
        <v>28.3</v>
      </c>
      <c r="S68" s="243">
        <v>702647</v>
      </c>
      <c r="T68">
        <v>4291000</v>
      </c>
      <c r="U68">
        <v>16.37</v>
      </c>
      <c r="V68" t="s">
        <v>690</v>
      </c>
      <c r="W68" t="s">
        <v>1372</v>
      </c>
      <c r="X68">
        <v>14.43</v>
      </c>
      <c r="Y68">
        <v>2.36</v>
      </c>
      <c r="Z68" s="243">
        <v>173186</v>
      </c>
      <c r="AA68">
        <v>2430000</v>
      </c>
      <c r="AB68">
        <v>7.13</v>
      </c>
      <c r="AC68" t="s">
        <v>674</v>
      </c>
      <c r="AD68" t="s">
        <v>1340</v>
      </c>
      <c r="AE68">
        <v>3.77</v>
      </c>
      <c r="AF68">
        <v>0.27</v>
      </c>
      <c r="AG68" s="243">
        <v>100504</v>
      </c>
      <c r="AH68">
        <v>0</v>
      </c>
      <c r="AI68" t="s">
        <v>520</v>
      </c>
      <c r="AJ68" t="s">
        <v>668</v>
      </c>
      <c r="AK68" t="s">
        <v>1288</v>
      </c>
      <c r="AL68">
        <v>52.53</v>
      </c>
      <c r="AM68" t="s">
        <v>520</v>
      </c>
      <c r="AN68" s="243">
        <v>451638.31</v>
      </c>
      <c r="AO68">
        <v>599000</v>
      </c>
      <c r="AP68">
        <v>75.400000000000006</v>
      </c>
      <c r="AQ68" t="s">
        <v>791</v>
      </c>
      <c r="AR68" t="s">
        <v>1354</v>
      </c>
      <c r="AS68">
        <v>88.77</v>
      </c>
      <c r="AT68">
        <v>66.930000000000007</v>
      </c>
      <c r="AU68" s="243">
        <v>72742338</v>
      </c>
      <c r="AV68">
        <v>51560000</v>
      </c>
      <c r="AW68">
        <v>141.08000000000001</v>
      </c>
      <c r="AX68" t="s">
        <v>716</v>
      </c>
      <c r="AY68" t="s">
        <v>1357</v>
      </c>
      <c r="AZ68">
        <v>16.16</v>
      </c>
      <c r="BA68">
        <v>22.8</v>
      </c>
      <c r="BB68" s="243">
        <v>7322582.6900000004</v>
      </c>
      <c r="BC68">
        <v>0</v>
      </c>
      <c r="BD68" t="s">
        <v>520</v>
      </c>
      <c r="BE68" t="s">
        <v>668</v>
      </c>
      <c r="BF68" t="s">
        <v>1288</v>
      </c>
      <c r="BG68">
        <v>12.85</v>
      </c>
      <c r="BH68" t="s">
        <v>520</v>
      </c>
    </row>
    <row r="69" spans="1:60">
      <c r="A69">
        <v>179</v>
      </c>
      <c r="B69" t="s">
        <v>167</v>
      </c>
      <c r="C69" t="s">
        <v>522</v>
      </c>
      <c r="D69" t="s">
        <v>7</v>
      </c>
      <c r="E69" s="243">
        <v>15800511.67</v>
      </c>
      <c r="F69">
        <v>19410000</v>
      </c>
      <c r="G69">
        <v>81.400000000000006</v>
      </c>
      <c r="H69" t="s">
        <v>1651</v>
      </c>
      <c r="I69" t="s">
        <v>1405</v>
      </c>
      <c r="J69">
        <v>28.61</v>
      </c>
      <c r="K69">
        <v>23.29</v>
      </c>
      <c r="L69" s="243">
        <v>27965759</v>
      </c>
      <c r="M69">
        <v>35440000</v>
      </c>
      <c r="N69">
        <v>78.91</v>
      </c>
      <c r="O69" t="s">
        <v>1640</v>
      </c>
      <c r="P69" t="s">
        <v>1313</v>
      </c>
      <c r="Q69">
        <v>52.73</v>
      </c>
      <c r="R69">
        <v>41.61</v>
      </c>
      <c r="S69" s="243">
        <v>1471995</v>
      </c>
      <c r="T69">
        <v>5020000</v>
      </c>
      <c r="U69">
        <v>29.32</v>
      </c>
      <c r="V69" t="s">
        <v>1644</v>
      </c>
      <c r="W69" t="s">
        <v>1350</v>
      </c>
      <c r="X69">
        <v>34.46</v>
      </c>
      <c r="Y69">
        <v>10.1</v>
      </c>
      <c r="Z69" s="243">
        <v>208962</v>
      </c>
      <c r="AA69">
        <v>3327000</v>
      </c>
      <c r="AB69">
        <v>6.28</v>
      </c>
      <c r="AC69" t="s">
        <v>1629</v>
      </c>
      <c r="AD69" t="s">
        <v>1413</v>
      </c>
      <c r="AE69">
        <v>0.52</v>
      </c>
      <c r="AF69">
        <v>0.03</v>
      </c>
      <c r="AG69" s="243">
        <v>108610</v>
      </c>
      <c r="AH69">
        <v>0</v>
      </c>
      <c r="AI69" t="s">
        <v>520</v>
      </c>
      <c r="AJ69" t="s">
        <v>1626</v>
      </c>
      <c r="AK69" t="s">
        <v>1288</v>
      </c>
      <c r="AL69">
        <v>3.42</v>
      </c>
      <c r="AM69" t="s">
        <v>520</v>
      </c>
      <c r="AN69" s="243">
        <v>611603.29</v>
      </c>
      <c r="AO69">
        <v>743000</v>
      </c>
      <c r="AP69">
        <v>82.32</v>
      </c>
      <c r="AQ69" t="s">
        <v>1647</v>
      </c>
      <c r="AR69" t="s">
        <v>1465</v>
      </c>
      <c r="AS69">
        <v>18.88</v>
      </c>
      <c r="AT69">
        <v>15.54</v>
      </c>
      <c r="AU69" s="243">
        <v>46167440.960000001</v>
      </c>
      <c r="AV69">
        <v>63940000</v>
      </c>
      <c r="AW69">
        <v>72.2</v>
      </c>
      <c r="AX69" t="s">
        <v>1628</v>
      </c>
      <c r="AY69" t="s">
        <v>1442</v>
      </c>
      <c r="AZ69">
        <v>43.09</v>
      </c>
      <c r="BA69">
        <v>31.11</v>
      </c>
      <c r="BB69" s="243">
        <v>5913171.6699999999</v>
      </c>
      <c r="BC69">
        <v>0</v>
      </c>
      <c r="BD69" t="s">
        <v>520</v>
      </c>
      <c r="BE69" t="s">
        <v>1626</v>
      </c>
      <c r="BF69" t="s">
        <v>1288</v>
      </c>
      <c r="BG69">
        <v>10.210000000000001</v>
      </c>
      <c r="BH69" t="s">
        <v>520</v>
      </c>
    </row>
    <row r="70" spans="1:60">
      <c r="A70">
        <v>180</v>
      </c>
      <c r="B70" t="s">
        <v>168</v>
      </c>
      <c r="C70" t="s">
        <v>521</v>
      </c>
      <c r="D70" t="s">
        <v>7</v>
      </c>
      <c r="E70" s="243">
        <v>16087839.57</v>
      </c>
      <c r="F70">
        <v>19820000</v>
      </c>
      <c r="G70">
        <v>81.17</v>
      </c>
      <c r="H70" t="s">
        <v>1624</v>
      </c>
      <c r="I70" t="s">
        <v>1354</v>
      </c>
      <c r="J70">
        <v>13.96</v>
      </c>
      <c r="K70">
        <v>11.33</v>
      </c>
      <c r="L70" s="243">
        <v>50484316</v>
      </c>
      <c r="M70">
        <v>36180000</v>
      </c>
      <c r="N70">
        <v>139.54</v>
      </c>
      <c r="O70" t="s">
        <v>1637</v>
      </c>
      <c r="P70" t="s">
        <v>1433</v>
      </c>
      <c r="Q70">
        <v>54.79</v>
      </c>
      <c r="R70">
        <v>76.45</v>
      </c>
      <c r="S70" s="243">
        <v>3451256</v>
      </c>
      <c r="T70">
        <v>5249000</v>
      </c>
      <c r="U70">
        <v>65.75</v>
      </c>
      <c r="V70" t="s">
        <v>1651</v>
      </c>
      <c r="W70" t="s">
        <v>1403</v>
      </c>
      <c r="X70">
        <v>47.68</v>
      </c>
      <c r="Y70">
        <v>31.35</v>
      </c>
      <c r="Z70" s="243">
        <v>72131</v>
      </c>
      <c r="AA70">
        <v>3262000</v>
      </c>
      <c r="AB70">
        <v>2.21</v>
      </c>
      <c r="AC70" t="s">
        <v>1655</v>
      </c>
      <c r="AD70" t="s">
        <v>1313</v>
      </c>
      <c r="AE70">
        <v>0.3</v>
      </c>
      <c r="AF70">
        <v>0.01</v>
      </c>
      <c r="AG70" s="243">
        <v>52515</v>
      </c>
      <c r="AH70">
        <v>0</v>
      </c>
      <c r="AI70" t="s">
        <v>520</v>
      </c>
      <c r="AJ70" t="s">
        <v>1626</v>
      </c>
      <c r="AK70" t="s">
        <v>1288</v>
      </c>
      <c r="AL70">
        <v>5.78</v>
      </c>
      <c r="AM70" t="s">
        <v>520</v>
      </c>
      <c r="AN70" s="243">
        <v>473550.58</v>
      </c>
      <c r="AO70">
        <v>759000</v>
      </c>
      <c r="AP70">
        <v>62.39</v>
      </c>
      <c r="AQ70" t="s">
        <v>1623</v>
      </c>
      <c r="AR70" t="s">
        <v>1415</v>
      </c>
      <c r="AS70">
        <v>44.41</v>
      </c>
      <c r="AT70">
        <v>27.71</v>
      </c>
      <c r="AU70" s="243">
        <v>70621608.150000006</v>
      </c>
      <c r="AV70">
        <v>65270000</v>
      </c>
      <c r="AW70">
        <v>108.2</v>
      </c>
      <c r="AX70" t="s">
        <v>1632</v>
      </c>
      <c r="AY70" t="s">
        <v>1447</v>
      </c>
      <c r="AZ70">
        <v>44.98</v>
      </c>
      <c r="BA70">
        <v>48.66</v>
      </c>
      <c r="BB70" s="243">
        <v>5461306.5700000003</v>
      </c>
      <c r="BC70">
        <v>0</v>
      </c>
      <c r="BD70" t="s">
        <v>520</v>
      </c>
      <c r="BE70" t="s">
        <v>1626</v>
      </c>
      <c r="BF70" t="s">
        <v>1288</v>
      </c>
      <c r="BG70">
        <v>3.69</v>
      </c>
      <c r="BH70" t="s">
        <v>520</v>
      </c>
    </row>
    <row r="71" spans="1:60">
      <c r="A71">
        <v>182</v>
      </c>
      <c r="B71" t="s">
        <v>169</v>
      </c>
      <c r="C71" t="s">
        <v>527</v>
      </c>
      <c r="D71" t="s">
        <v>7</v>
      </c>
      <c r="E71" s="243">
        <v>6674763.5700000003</v>
      </c>
      <c r="F71">
        <v>10920000</v>
      </c>
      <c r="G71">
        <v>61.12</v>
      </c>
      <c r="H71" t="s">
        <v>1657</v>
      </c>
      <c r="I71" t="s">
        <v>1333</v>
      </c>
      <c r="J71">
        <v>13.72</v>
      </c>
      <c r="K71">
        <v>8.39</v>
      </c>
      <c r="L71" s="243">
        <v>16256332</v>
      </c>
      <c r="M71">
        <v>19930000</v>
      </c>
      <c r="N71">
        <v>81.569999999999993</v>
      </c>
      <c r="O71" t="s">
        <v>1655</v>
      </c>
      <c r="P71" t="s">
        <v>1434</v>
      </c>
      <c r="Q71">
        <v>38.770000000000003</v>
      </c>
      <c r="R71">
        <v>31.62</v>
      </c>
      <c r="S71" s="243">
        <v>549837</v>
      </c>
      <c r="T71">
        <v>1501000</v>
      </c>
      <c r="U71">
        <v>36.630000000000003</v>
      </c>
      <c r="V71" t="s">
        <v>1638</v>
      </c>
      <c r="W71" t="s">
        <v>1463</v>
      </c>
      <c r="X71">
        <v>12.74</v>
      </c>
      <c r="Y71">
        <v>4.67</v>
      </c>
      <c r="Z71" s="243">
        <v>265816</v>
      </c>
      <c r="AA71">
        <v>3191000</v>
      </c>
      <c r="AB71">
        <v>8.33</v>
      </c>
      <c r="AC71" t="s">
        <v>1641</v>
      </c>
      <c r="AD71" t="s">
        <v>1335</v>
      </c>
      <c r="AE71">
        <v>0.81</v>
      </c>
      <c r="AF71">
        <v>7.0000000000000007E-2</v>
      </c>
      <c r="AG71" s="243">
        <v>69322</v>
      </c>
      <c r="AH71">
        <v>0</v>
      </c>
      <c r="AI71" t="s">
        <v>520</v>
      </c>
      <c r="AJ71" t="s">
        <v>1626</v>
      </c>
      <c r="AK71" t="s">
        <v>1288</v>
      </c>
      <c r="AL71">
        <v>4.07</v>
      </c>
      <c r="AM71" t="s">
        <v>520</v>
      </c>
      <c r="AN71" s="243">
        <v>575564.59</v>
      </c>
      <c r="AO71">
        <v>418000</v>
      </c>
      <c r="AP71">
        <v>137.69</v>
      </c>
      <c r="AQ71" t="s">
        <v>1645</v>
      </c>
      <c r="AR71" t="s">
        <v>1342</v>
      </c>
      <c r="AS71">
        <v>87.18</v>
      </c>
      <c r="AT71">
        <v>120.04</v>
      </c>
      <c r="AU71" s="243">
        <v>24391635.16</v>
      </c>
      <c r="AV71">
        <v>35960000</v>
      </c>
      <c r="AW71">
        <v>67.83</v>
      </c>
      <c r="AX71" t="s">
        <v>1627</v>
      </c>
      <c r="AY71" t="s">
        <v>1307</v>
      </c>
      <c r="AZ71">
        <v>31.96</v>
      </c>
      <c r="BA71">
        <v>21.68</v>
      </c>
      <c r="BB71" s="243">
        <v>2972479.57</v>
      </c>
      <c r="BC71">
        <v>0</v>
      </c>
      <c r="BD71" t="s">
        <v>520</v>
      </c>
      <c r="BE71" t="s">
        <v>1626</v>
      </c>
      <c r="BF71" t="s">
        <v>1288</v>
      </c>
      <c r="BG71">
        <v>14.27</v>
      </c>
      <c r="BH71" t="s">
        <v>520</v>
      </c>
    </row>
    <row r="72" spans="1:60">
      <c r="A72">
        <v>183</v>
      </c>
      <c r="B72" t="s">
        <v>18</v>
      </c>
      <c r="C72" t="s">
        <v>527</v>
      </c>
      <c r="D72" t="s">
        <v>7</v>
      </c>
      <c r="E72" s="243">
        <v>8945491.0600000005</v>
      </c>
      <c r="F72">
        <v>10020000</v>
      </c>
      <c r="G72">
        <v>89.28</v>
      </c>
      <c r="H72" t="s">
        <v>1631</v>
      </c>
      <c r="I72" t="s">
        <v>1351</v>
      </c>
      <c r="J72">
        <v>24.03</v>
      </c>
      <c r="K72">
        <v>21.45</v>
      </c>
      <c r="L72" s="243">
        <v>16574637</v>
      </c>
      <c r="M72">
        <v>18290000</v>
      </c>
      <c r="N72">
        <v>90.62</v>
      </c>
      <c r="O72" t="s">
        <v>1629</v>
      </c>
      <c r="P72" t="s">
        <v>1419</v>
      </c>
      <c r="Q72">
        <v>78.59</v>
      </c>
      <c r="R72">
        <v>71.22</v>
      </c>
      <c r="S72" s="243">
        <v>121056</v>
      </c>
      <c r="T72">
        <v>2118000</v>
      </c>
      <c r="U72">
        <v>5.72</v>
      </c>
      <c r="V72" t="s">
        <v>1653</v>
      </c>
      <c r="W72" t="s">
        <v>1308</v>
      </c>
      <c r="X72">
        <v>9.65</v>
      </c>
      <c r="Y72">
        <v>0.55000000000000004</v>
      </c>
      <c r="Z72" s="243">
        <v>212631</v>
      </c>
      <c r="AA72">
        <v>2188000</v>
      </c>
      <c r="AB72">
        <v>9.7200000000000006</v>
      </c>
      <c r="AC72" t="s">
        <v>1645</v>
      </c>
      <c r="AD72" t="s">
        <v>1354</v>
      </c>
      <c r="AE72">
        <v>0</v>
      </c>
      <c r="AF72">
        <v>0</v>
      </c>
      <c r="AG72" s="243">
        <v>38660</v>
      </c>
      <c r="AH72">
        <v>0</v>
      </c>
      <c r="AI72" t="s">
        <v>520</v>
      </c>
      <c r="AJ72" t="s">
        <v>1626</v>
      </c>
      <c r="AK72" t="s">
        <v>1288</v>
      </c>
      <c r="AL72">
        <v>4.5599999999999996</v>
      </c>
      <c r="AM72" t="s">
        <v>520</v>
      </c>
      <c r="AN72" s="243">
        <v>2965.87</v>
      </c>
      <c r="AO72">
        <v>384000</v>
      </c>
      <c r="AP72">
        <v>0.77</v>
      </c>
      <c r="AQ72" t="s">
        <v>1653</v>
      </c>
      <c r="AR72" t="s">
        <v>1360</v>
      </c>
      <c r="AS72">
        <v>0</v>
      </c>
      <c r="AT72">
        <v>0</v>
      </c>
      <c r="AU72" s="243">
        <v>25895440.93</v>
      </c>
      <c r="AV72">
        <v>33000000</v>
      </c>
      <c r="AW72">
        <v>78.47</v>
      </c>
      <c r="AX72" t="s">
        <v>1643</v>
      </c>
      <c r="AY72" t="s">
        <v>1452</v>
      </c>
      <c r="AZ72">
        <v>58.65</v>
      </c>
      <c r="BA72">
        <v>46.03</v>
      </c>
      <c r="BB72" s="243">
        <v>3659196.06</v>
      </c>
      <c r="BC72">
        <v>0</v>
      </c>
      <c r="BD72" t="s">
        <v>520</v>
      </c>
      <c r="BE72" t="s">
        <v>1626</v>
      </c>
      <c r="BF72" t="s">
        <v>1288</v>
      </c>
      <c r="BG72">
        <v>4.58</v>
      </c>
      <c r="BH72" t="s">
        <v>520</v>
      </c>
    </row>
    <row r="73" spans="1:60">
      <c r="A73">
        <v>184</v>
      </c>
      <c r="B73" t="s">
        <v>19</v>
      </c>
      <c r="C73" t="s">
        <v>526</v>
      </c>
      <c r="D73" t="s">
        <v>7</v>
      </c>
      <c r="E73" s="243">
        <v>11139326.83</v>
      </c>
      <c r="F73">
        <v>14050000</v>
      </c>
      <c r="G73">
        <v>79.28</v>
      </c>
      <c r="H73" t="s">
        <v>1645</v>
      </c>
      <c r="I73" t="s">
        <v>1353</v>
      </c>
      <c r="J73">
        <v>13.19</v>
      </c>
      <c r="K73">
        <v>10.46</v>
      </c>
      <c r="L73" s="243">
        <v>34506782</v>
      </c>
      <c r="M73">
        <v>25640000</v>
      </c>
      <c r="N73">
        <v>134.58000000000001</v>
      </c>
      <c r="O73" t="s">
        <v>1635</v>
      </c>
      <c r="P73" t="s">
        <v>1447</v>
      </c>
      <c r="Q73">
        <v>19.34</v>
      </c>
      <c r="R73">
        <v>26.03</v>
      </c>
      <c r="S73" s="243">
        <v>4605520</v>
      </c>
      <c r="T73">
        <v>3742000</v>
      </c>
      <c r="U73">
        <v>123.08</v>
      </c>
      <c r="V73" t="s">
        <v>1637</v>
      </c>
      <c r="W73" t="s">
        <v>1388</v>
      </c>
      <c r="X73">
        <v>2.4900000000000002</v>
      </c>
      <c r="Y73">
        <v>3.06</v>
      </c>
      <c r="Z73" s="243">
        <v>38412</v>
      </c>
      <c r="AA73">
        <v>2290000</v>
      </c>
      <c r="AB73">
        <v>1.68</v>
      </c>
      <c r="AC73" t="s">
        <v>1628</v>
      </c>
      <c r="AD73" t="s">
        <v>1461</v>
      </c>
      <c r="AE73">
        <v>0</v>
      </c>
      <c r="AF73">
        <v>0</v>
      </c>
      <c r="AG73" s="243">
        <v>12738</v>
      </c>
      <c r="AH73">
        <v>0</v>
      </c>
      <c r="AI73" t="s">
        <v>520</v>
      </c>
      <c r="AJ73" t="s">
        <v>1626</v>
      </c>
      <c r="AK73" t="s">
        <v>1288</v>
      </c>
      <c r="AL73">
        <v>2.61</v>
      </c>
      <c r="AM73" t="s">
        <v>520</v>
      </c>
      <c r="AN73" s="243">
        <v>702626.77</v>
      </c>
      <c r="AO73">
        <v>538000</v>
      </c>
      <c r="AP73">
        <v>130.6</v>
      </c>
      <c r="AQ73" t="s">
        <v>1649</v>
      </c>
      <c r="AR73" t="s">
        <v>1284</v>
      </c>
      <c r="AS73">
        <v>0</v>
      </c>
      <c r="AT73">
        <v>0</v>
      </c>
      <c r="AU73" s="243">
        <v>51005405.600000001</v>
      </c>
      <c r="AV73">
        <v>46260000</v>
      </c>
      <c r="AW73">
        <v>110.26</v>
      </c>
      <c r="AX73" t="s">
        <v>1636</v>
      </c>
      <c r="AY73" t="s">
        <v>1322</v>
      </c>
      <c r="AZ73">
        <v>16.190000000000001</v>
      </c>
      <c r="BA73">
        <v>17.850000000000001</v>
      </c>
      <c r="BB73" s="243">
        <v>2946188.83</v>
      </c>
      <c r="BC73">
        <v>0</v>
      </c>
      <c r="BD73" t="s">
        <v>520</v>
      </c>
      <c r="BE73" t="s">
        <v>1626</v>
      </c>
      <c r="BF73" t="s">
        <v>1288</v>
      </c>
      <c r="BG73">
        <v>4.5999999999999996</v>
      </c>
      <c r="BH73" t="s">
        <v>520</v>
      </c>
    </row>
    <row r="74" spans="1:60">
      <c r="A74">
        <v>185</v>
      </c>
      <c r="B74" t="s">
        <v>170</v>
      </c>
      <c r="C74" t="s">
        <v>525</v>
      </c>
      <c r="D74" t="s">
        <v>7</v>
      </c>
      <c r="E74" s="243">
        <v>19476673.879999999</v>
      </c>
      <c r="F74">
        <v>21190000</v>
      </c>
      <c r="G74">
        <v>91.91</v>
      </c>
      <c r="H74" t="s">
        <v>1634</v>
      </c>
      <c r="I74" t="s">
        <v>1345</v>
      </c>
      <c r="J74">
        <v>28.49</v>
      </c>
      <c r="K74">
        <v>26.18</v>
      </c>
      <c r="L74" s="243">
        <v>50363517</v>
      </c>
      <c r="M74">
        <v>38690000</v>
      </c>
      <c r="N74">
        <v>130.16999999999999</v>
      </c>
      <c r="O74" t="s">
        <v>1633</v>
      </c>
      <c r="P74" t="s">
        <v>1348</v>
      </c>
      <c r="Q74">
        <v>60.14</v>
      </c>
      <c r="R74">
        <v>78.290000000000006</v>
      </c>
      <c r="S74" s="243">
        <v>764327</v>
      </c>
      <c r="T74">
        <v>5338000</v>
      </c>
      <c r="U74">
        <v>14.32</v>
      </c>
      <c r="V74" t="s">
        <v>1628</v>
      </c>
      <c r="W74" t="s">
        <v>1299</v>
      </c>
      <c r="X74">
        <v>0.09</v>
      </c>
      <c r="Y74">
        <v>0.01</v>
      </c>
      <c r="Z74" s="243">
        <v>375171</v>
      </c>
      <c r="AA74">
        <v>3761000</v>
      </c>
      <c r="AB74">
        <v>9.98</v>
      </c>
      <c r="AC74" t="s">
        <v>1646</v>
      </c>
      <c r="AD74" t="s">
        <v>1405</v>
      </c>
      <c r="AE74">
        <v>0.09</v>
      </c>
      <c r="AF74">
        <v>0.01</v>
      </c>
      <c r="AG74" s="243">
        <v>135042</v>
      </c>
      <c r="AH74">
        <v>0</v>
      </c>
      <c r="AI74" t="s">
        <v>520</v>
      </c>
      <c r="AJ74" t="s">
        <v>1626</v>
      </c>
      <c r="AK74" t="s">
        <v>1288</v>
      </c>
      <c r="AL74">
        <v>9.85</v>
      </c>
      <c r="AM74" t="s">
        <v>520</v>
      </c>
      <c r="AN74" s="243">
        <v>311612.61</v>
      </c>
      <c r="AO74">
        <v>811000</v>
      </c>
      <c r="AP74">
        <v>38.42</v>
      </c>
      <c r="AQ74" t="s">
        <v>1655</v>
      </c>
      <c r="AR74" t="s">
        <v>1369</v>
      </c>
      <c r="AS74">
        <v>79.64</v>
      </c>
      <c r="AT74">
        <v>30.6</v>
      </c>
      <c r="AU74" s="243">
        <v>71426343.489999995</v>
      </c>
      <c r="AV74">
        <v>69790000</v>
      </c>
      <c r="AW74">
        <v>102.34</v>
      </c>
      <c r="AX74" t="s">
        <v>1651</v>
      </c>
      <c r="AY74" t="s">
        <v>1378</v>
      </c>
      <c r="AZ74">
        <v>50.54</v>
      </c>
      <c r="BA74">
        <v>51.73</v>
      </c>
      <c r="BB74" s="243">
        <v>7016425.8799999999</v>
      </c>
      <c r="BC74">
        <v>0</v>
      </c>
      <c r="BD74" t="s">
        <v>520</v>
      </c>
      <c r="BE74" t="s">
        <v>1626</v>
      </c>
      <c r="BF74" t="s">
        <v>1288</v>
      </c>
      <c r="BG74">
        <v>23.22</v>
      </c>
      <c r="BH74" t="s">
        <v>520</v>
      </c>
    </row>
    <row r="75" spans="1:60">
      <c r="A75">
        <v>186</v>
      </c>
      <c r="B75" t="s">
        <v>87</v>
      </c>
      <c r="C75" t="s">
        <v>525</v>
      </c>
      <c r="D75" t="s">
        <v>11</v>
      </c>
      <c r="E75" s="243">
        <v>7699861.7599999998</v>
      </c>
      <c r="F75">
        <v>13330000</v>
      </c>
      <c r="G75">
        <v>57.76</v>
      </c>
      <c r="H75" t="s">
        <v>1516</v>
      </c>
      <c r="I75" t="s">
        <v>1312</v>
      </c>
      <c r="J75">
        <v>23.09</v>
      </c>
      <c r="K75">
        <v>13.34</v>
      </c>
      <c r="L75" s="243">
        <v>25454938</v>
      </c>
      <c r="M75">
        <v>24340000</v>
      </c>
      <c r="N75">
        <v>104.58</v>
      </c>
      <c r="O75" t="s">
        <v>1538</v>
      </c>
      <c r="P75" t="s">
        <v>1428</v>
      </c>
      <c r="Q75">
        <v>57.13</v>
      </c>
      <c r="R75">
        <v>59.75</v>
      </c>
      <c r="S75" s="243">
        <v>929318</v>
      </c>
      <c r="T75">
        <v>2829000</v>
      </c>
      <c r="U75">
        <v>32.85</v>
      </c>
      <c r="V75" t="s">
        <v>1519</v>
      </c>
      <c r="W75" t="s">
        <v>1465</v>
      </c>
      <c r="X75">
        <v>12.5</v>
      </c>
      <c r="Y75">
        <v>4.1100000000000003</v>
      </c>
      <c r="Z75" s="243">
        <v>261278</v>
      </c>
      <c r="AA75">
        <v>2901000</v>
      </c>
      <c r="AB75">
        <v>9.01</v>
      </c>
      <c r="AC75" t="s">
        <v>1522</v>
      </c>
      <c r="AD75" t="s">
        <v>1462</v>
      </c>
      <c r="AE75">
        <v>0.03</v>
      </c>
      <c r="AF75">
        <v>0</v>
      </c>
      <c r="AG75" s="243">
        <v>19590</v>
      </c>
      <c r="AH75">
        <v>0</v>
      </c>
      <c r="AI75" t="s">
        <v>520</v>
      </c>
      <c r="AJ75" t="s">
        <v>1505</v>
      </c>
      <c r="AK75" t="s">
        <v>1288</v>
      </c>
      <c r="AL75">
        <v>34.270000000000003</v>
      </c>
      <c r="AM75" t="s">
        <v>520</v>
      </c>
      <c r="AN75" s="243">
        <v>2756765.44</v>
      </c>
      <c r="AO75">
        <v>510000</v>
      </c>
      <c r="AP75">
        <v>540.54</v>
      </c>
      <c r="AQ75" t="s">
        <v>1525</v>
      </c>
      <c r="AR75" t="s">
        <v>1431</v>
      </c>
      <c r="AS75">
        <v>26.19</v>
      </c>
      <c r="AT75">
        <v>141.58000000000001</v>
      </c>
      <c r="AU75" s="243">
        <v>37121751.200000003</v>
      </c>
      <c r="AV75">
        <v>43910000</v>
      </c>
      <c r="AW75">
        <v>84.54</v>
      </c>
      <c r="AX75" t="s">
        <v>1526</v>
      </c>
      <c r="AY75" t="s">
        <v>1374</v>
      </c>
      <c r="AZ75">
        <v>46.24</v>
      </c>
      <c r="BA75">
        <v>39.090000000000003</v>
      </c>
      <c r="BB75" s="243">
        <v>2755779.76</v>
      </c>
      <c r="BC75">
        <v>0</v>
      </c>
      <c r="BD75" t="s">
        <v>520</v>
      </c>
      <c r="BE75" t="s">
        <v>1505</v>
      </c>
      <c r="BF75" t="s">
        <v>1288</v>
      </c>
      <c r="BG75">
        <v>16.489999999999998</v>
      </c>
      <c r="BH75" t="s">
        <v>520</v>
      </c>
    </row>
    <row r="76" spans="1:60">
      <c r="A76">
        <v>187</v>
      </c>
      <c r="B76" t="s">
        <v>171</v>
      </c>
      <c r="C76" t="s">
        <v>523</v>
      </c>
      <c r="D76" t="s">
        <v>7</v>
      </c>
      <c r="E76" s="243">
        <v>11998164.48</v>
      </c>
      <c r="F76">
        <v>14570000</v>
      </c>
      <c r="G76">
        <v>82.35</v>
      </c>
      <c r="H76" t="s">
        <v>1656</v>
      </c>
      <c r="I76" t="s">
        <v>1430</v>
      </c>
      <c r="J76">
        <v>25.67</v>
      </c>
      <c r="K76">
        <v>21.14</v>
      </c>
      <c r="L76" s="243">
        <v>22369244</v>
      </c>
      <c r="M76">
        <v>26600000</v>
      </c>
      <c r="N76">
        <v>84.09</v>
      </c>
      <c r="O76" t="s">
        <v>1650</v>
      </c>
      <c r="P76" t="s">
        <v>1467</v>
      </c>
      <c r="Q76">
        <v>54.53</v>
      </c>
      <c r="R76">
        <v>45.86</v>
      </c>
      <c r="S76" s="243">
        <v>10448693</v>
      </c>
      <c r="T76">
        <v>3597000</v>
      </c>
      <c r="U76">
        <v>290.48</v>
      </c>
      <c r="V76" t="s">
        <v>1639</v>
      </c>
      <c r="W76" t="s">
        <v>1326</v>
      </c>
      <c r="X76">
        <v>2.66</v>
      </c>
      <c r="Y76">
        <v>7.72</v>
      </c>
      <c r="Z76" s="243">
        <v>7132255</v>
      </c>
      <c r="AA76">
        <v>2655000</v>
      </c>
      <c r="AB76">
        <v>268.63</v>
      </c>
      <c r="AC76" t="s">
        <v>1626</v>
      </c>
      <c r="AD76" t="s">
        <v>1310</v>
      </c>
      <c r="AE76">
        <v>0</v>
      </c>
      <c r="AF76">
        <v>0</v>
      </c>
      <c r="AG76" s="243">
        <v>55255</v>
      </c>
      <c r="AH76">
        <v>0</v>
      </c>
      <c r="AI76" t="s">
        <v>520</v>
      </c>
      <c r="AJ76" t="s">
        <v>1626</v>
      </c>
      <c r="AK76" t="s">
        <v>1288</v>
      </c>
      <c r="AL76">
        <v>1.72</v>
      </c>
      <c r="AM76" t="s">
        <v>520</v>
      </c>
      <c r="AN76" s="243">
        <v>2987353.05</v>
      </c>
      <c r="AO76">
        <v>558000</v>
      </c>
      <c r="AP76">
        <v>535.37</v>
      </c>
      <c r="AQ76" t="s">
        <v>1634</v>
      </c>
      <c r="AR76" t="s">
        <v>1365</v>
      </c>
      <c r="AS76">
        <v>0.91</v>
      </c>
      <c r="AT76">
        <v>4.87</v>
      </c>
      <c r="AU76" s="243">
        <v>54990964.530000001</v>
      </c>
      <c r="AV76">
        <v>47980000</v>
      </c>
      <c r="AW76">
        <v>114.61</v>
      </c>
      <c r="AX76" t="s">
        <v>1630</v>
      </c>
      <c r="AY76" t="s">
        <v>1327</v>
      </c>
      <c r="AZ76">
        <v>28.34</v>
      </c>
      <c r="BA76">
        <v>32.479999999999997</v>
      </c>
      <c r="BB76" s="243">
        <v>3977392.48</v>
      </c>
      <c r="BC76">
        <v>0</v>
      </c>
      <c r="BD76" t="s">
        <v>520</v>
      </c>
      <c r="BE76" t="s">
        <v>1626</v>
      </c>
      <c r="BF76" t="s">
        <v>1288</v>
      </c>
      <c r="BG76">
        <v>3.83</v>
      </c>
      <c r="BH76" t="s">
        <v>520</v>
      </c>
    </row>
    <row r="77" spans="1:60">
      <c r="A77">
        <v>189</v>
      </c>
      <c r="B77" t="s">
        <v>172</v>
      </c>
      <c r="C77" t="s">
        <v>521</v>
      </c>
      <c r="D77" t="s">
        <v>0</v>
      </c>
      <c r="E77" s="243">
        <v>32563580.420000002</v>
      </c>
      <c r="F77">
        <v>18960000</v>
      </c>
      <c r="G77">
        <v>171.75</v>
      </c>
      <c r="H77" t="s">
        <v>728</v>
      </c>
      <c r="I77" t="s">
        <v>1326</v>
      </c>
      <c r="J77">
        <v>6.39</v>
      </c>
      <c r="K77">
        <v>10.97</v>
      </c>
      <c r="L77" s="243">
        <v>33959918</v>
      </c>
      <c r="M77">
        <v>34610000</v>
      </c>
      <c r="N77">
        <v>98.12</v>
      </c>
      <c r="O77" t="s">
        <v>695</v>
      </c>
      <c r="P77" t="s">
        <v>1335</v>
      </c>
      <c r="Q77">
        <v>37.83</v>
      </c>
      <c r="R77">
        <v>37.119999999999997</v>
      </c>
      <c r="S77" s="243">
        <v>3258366</v>
      </c>
      <c r="T77">
        <v>2786000</v>
      </c>
      <c r="U77">
        <v>116.95</v>
      </c>
      <c r="V77" t="s">
        <v>741</v>
      </c>
      <c r="W77" t="s">
        <v>1401</v>
      </c>
      <c r="X77">
        <v>2.4</v>
      </c>
      <c r="Y77">
        <v>2.81</v>
      </c>
      <c r="Z77" s="243">
        <v>863411</v>
      </c>
      <c r="AA77">
        <v>5358000</v>
      </c>
      <c r="AB77">
        <v>16.11</v>
      </c>
      <c r="AC77" t="s">
        <v>743</v>
      </c>
      <c r="AD77" t="s">
        <v>1417</v>
      </c>
      <c r="AE77">
        <v>0.31</v>
      </c>
      <c r="AF77">
        <v>0.05</v>
      </c>
      <c r="AG77" s="243">
        <v>28969</v>
      </c>
      <c r="AH77">
        <v>0</v>
      </c>
      <c r="AI77" t="s">
        <v>520</v>
      </c>
      <c r="AJ77" t="s">
        <v>668</v>
      </c>
      <c r="AK77" t="s">
        <v>1288</v>
      </c>
      <c r="AL77">
        <v>9.4700000000000006</v>
      </c>
      <c r="AM77" t="s">
        <v>520</v>
      </c>
      <c r="AN77" s="243">
        <v>441447.48</v>
      </c>
      <c r="AO77">
        <v>726000</v>
      </c>
      <c r="AP77">
        <v>60.81</v>
      </c>
      <c r="AQ77" t="s">
        <v>745</v>
      </c>
      <c r="AR77" t="s">
        <v>1409</v>
      </c>
      <c r="AS77">
        <v>12.09</v>
      </c>
      <c r="AT77">
        <v>7.35</v>
      </c>
      <c r="AU77" s="243">
        <v>71115691.900000006</v>
      </c>
      <c r="AV77">
        <v>62440000</v>
      </c>
      <c r="AW77">
        <v>113.89</v>
      </c>
      <c r="AX77" t="s">
        <v>678</v>
      </c>
      <c r="AY77" t="s">
        <v>1437</v>
      </c>
      <c r="AZ77">
        <v>21.18</v>
      </c>
      <c r="BA77">
        <v>24.12</v>
      </c>
      <c r="BB77" s="243">
        <v>7648816.4199999999</v>
      </c>
      <c r="BC77">
        <v>0</v>
      </c>
      <c r="BD77" t="s">
        <v>520</v>
      </c>
      <c r="BE77" t="s">
        <v>668</v>
      </c>
      <c r="BF77" t="s">
        <v>1288</v>
      </c>
      <c r="BG77">
        <v>4.09</v>
      </c>
      <c r="BH77" t="s">
        <v>520</v>
      </c>
    </row>
    <row r="78" spans="1:60" s="337" customFormat="1">
      <c r="A78" s="227">
        <v>190</v>
      </c>
      <c r="B78" s="227" t="s">
        <v>173</v>
      </c>
      <c r="C78" s="227" t="s">
        <v>523</v>
      </c>
      <c r="D78" s="227" t="s">
        <v>7</v>
      </c>
      <c r="E78" s="227">
        <v>15350006.960000001</v>
      </c>
      <c r="F78" s="227">
        <v>16130000</v>
      </c>
      <c r="G78" s="227">
        <v>95.16</v>
      </c>
      <c r="H78" s="227" t="s">
        <v>1637</v>
      </c>
      <c r="I78" s="227" t="s">
        <v>1378</v>
      </c>
      <c r="J78" s="227">
        <v>13.37</v>
      </c>
      <c r="K78" s="227">
        <v>12.72</v>
      </c>
      <c r="L78" s="227">
        <v>23034946</v>
      </c>
      <c r="M78" s="227">
        <v>29450000</v>
      </c>
      <c r="N78" s="227">
        <v>78.22</v>
      </c>
      <c r="O78" s="227" t="s">
        <v>1627</v>
      </c>
      <c r="P78" s="227" t="s">
        <v>1439</v>
      </c>
      <c r="Q78" s="227">
        <v>45.82</v>
      </c>
      <c r="R78" s="227">
        <v>35.840000000000003</v>
      </c>
      <c r="S78" s="227">
        <v>3286199</v>
      </c>
      <c r="T78" s="227">
        <v>4269000</v>
      </c>
      <c r="U78" s="227">
        <v>76.98</v>
      </c>
      <c r="V78" s="227" t="s">
        <v>1632</v>
      </c>
      <c r="W78" s="227" t="s">
        <v>1309</v>
      </c>
      <c r="X78" s="227">
        <v>3.85</v>
      </c>
      <c r="Y78" s="227">
        <v>2.97</v>
      </c>
      <c r="Z78" s="227">
        <v>2853294</v>
      </c>
      <c r="AA78" s="227">
        <v>2654000</v>
      </c>
      <c r="AB78" s="227">
        <v>107.51</v>
      </c>
      <c r="AC78" s="227" t="s">
        <v>1642</v>
      </c>
      <c r="AD78" s="227" t="s">
        <v>1349</v>
      </c>
      <c r="AE78" s="227">
        <v>0.05</v>
      </c>
      <c r="AF78" s="227">
        <v>0.05</v>
      </c>
      <c r="AG78" s="227">
        <v>39585</v>
      </c>
      <c r="AH78" s="227">
        <v>0</v>
      </c>
      <c r="AI78" s="227" t="s">
        <v>520</v>
      </c>
      <c r="AJ78" s="227" t="s">
        <v>1626</v>
      </c>
      <c r="AK78" s="227" t="s">
        <v>1288</v>
      </c>
      <c r="AL78" s="227">
        <v>4.3899999999999997</v>
      </c>
      <c r="AM78" s="227" t="s">
        <v>520</v>
      </c>
      <c r="AN78" s="227">
        <v>3702674.72</v>
      </c>
      <c r="AO78" s="227">
        <v>617000</v>
      </c>
      <c r="AP78" s="227">
        <v>600.11</v>
      </c>
      <c r="AQ78" s="227" t="s">
        <v>1637</v>
      </c>
      <c r="AR78" s="227" t="s">
        <v>1295</v>
      </c>
      <c r="AS78" s="227">
        <v>7.0000000000000007E-2</v>
      </c>
      <c r="AT78" s="227">
        <v>0.4</v>
      </c>
      <c r="AU78" s="227">
        <v>48266705.68</v>
      </c>
      <c r="AV78" s="227">
        <v>53120000</v>
      </c>
      <c r="AW78" s="227">
        <v>90.86</v>
      </c>
      <c r="AX78" s="227" t="s">
        <v>1645</v>
      </c>
      <c r="AY78" s="227" t="s">
        <v>1331</v>
      </c>
      <c r="AZ78" s="227">
        <v>26.39</v>
      </c>
      <c r="BA78" s="227">
        <v>23.98</v>
      </c>
      <c r="BB78" s="227">
        <v>5113566.96</v>
      </c>
      <c r="BC78" s="227">
        <v>0</v>
      </c>
      <c r="BD78" s="227" t="s">
        <v>520</v>
      </c>
      <c r="BE78" s="227" t="s">
        <v>1626</v>
      </c>
      <c r="BF78" s="227" t="s">
        <v>1288</v>
      </c>
      <c r="BG78" s="227">
        <v>6.77</v>
      </c>
      <c r="BH78" s="227" t="s">
        <v>520</v>
      </c>
    </row>
    <row r="79" spans="1:60">
      <c r="A79">
        <v>191</v>
      </c>
      <c r="B79" t="s">
        <v>20</v>
      </c>
      <c r="C79" t="s">
        <v>525</v>
      </c>
      <c r="D79" t="s">
        <v>11</v>
      </c>
      <c r="E79" s="243">
        <v>18957656</v>
      </c>
      <c r="F79">
        <v>20540000</v>
      </c>
      <c r="G79">
        <v>92.3</v>
      </c>
      <c r="H79" t="s">
        <v>1537</v>
      </c>
      <c r="I79" t="s">
        <v>1435</v>
      </c>
      <c r="J79">
        <v>16.96</v>
      </c>
      <c r="K79">
        <v>15.65</v>
      </c>
      <c r="L79" s="243">
        <v>36203938</v>
      </c>
      <c r="M79">
        <v>37490000</v>
      </c>
      <c r="N79">
        <v>96.57</v>
      </c>
      <c r="O79" t="s">
        <v>1526</v>
      </c>
      <c r="P79" t="s">
        <v>1382</v>
      </c>
      <c r="Q79">
        <v>50.31</v>
      </c>
      <c r="R79">
        <v>48.59</v>
      </c>
      <c r="S79" s="243">
        <v>3160290</v>
      </c>
      <c r="T79">
        <v>5161000</v>
      </c>
      <c r="U79">
        <v>61.23</v>
      </c>
      <c r="V79" t="s">
        <v>1540</v>
      </c>
      <c r="W79" t="s">
        <v>1456</v>
      </c>
      <c r="X79">
        <v>29.85</v>
      </c>
      <c r="Y79">
        <v>18.28</v>
      </c>
      <c r="Z79" s="243">
        <v>800440</v>
      </c>
      <c r="AA79">
        <v>3653000</v>
      </c>
      <c r="AB79">
        <v>21.91</v>
      </c>
      <c r="AC79" t="s">
        <v>1538</v>
      </c>
      <c r="AD79" t="s">
        <v>1441</v>
      </c>
      <c r="AE79">
        <v>1.18</v>
      </c>
      <c r="AF79">
        <v>0.26</v>
      </c>
      <c r="AG79" s="243">
        <v>152642</v>
      </c>
      <c r="AH79">
        <v>0</v>
      </c>
      <c r="AI79" t="s">
        <v>520</v>
      </c>
      <c r="AJ79" t="s">
        <v>1505</v>
      </c>
      <c r="AK79" t="s">
        <v>1288</v>
      </c>
      <c r="AL79">
        <v>5.57</v>
      </c>
      <c r="AM79" t="s">
        <v>520</v>
      </c>
      <c r="AN79" s="243">
        <v>6738134.54</v>
      </c>
      <c r="AO79">
        <v>786000</v>
      </c>
      <c r="AP79">
        <v>857.27</v>
      </c>
      <c r="AQ79" t="s">
        <v>1541</v>
      </c>
      <c r="AR79" t="s">
        <v>1298</v>
      </c>
      <c r="AS79">
        <v>23.41</v>
      </c>
      <c r="AT79">
        <v>200.66</v>
      </c>
      <c r="AU79" s="243">
        <v>66013100.539999999</v>
      </c>
      <c r="AV79">
        <v>67630000</v>
      </c>
      <c r="AW79">
        <v>97.61</v>
      </c>
      <c r="AX79" t="s">
        <v>1538</v>
      </c>
      <c r="AY79" t="s">
        <v>1395</v>
      </c>
      <c r="AZ79">
        <v>36.31</v>
      </c>
      <c r="BA79">
        <v>35.44</v>
      </c>
      <c r="BB79" s="243">
        <v>6334416</v>
      </c>
      <c r="BC79">
        <v>0</v>
      </c>
      <c r="BD79" t="s">
        <v>520</v>
      </c>
      <c r="BE79" t="s">
        <v>1505</v>
      </c>
      <c r="BF79" t="s">
        <v>1288</v>
      </c>
      <c r="BG79">
        <v>15.78</v>
      </c>
      <c r="BH79" t="s">
        <v>520</v>
      </c>
    </row>
    <row r="80" spans="1:60">
      <c r="A80">
        <v>192</v>
      </c>
      <c r="B80" t="s">
        <v>174</v>
      </c>
      <c r="C80" t="s">
        <v>522</v>
      </c>
      <c r="D80" t="s">
        <v>7</v>
      </c>
      <c r="E80" s="243">
        <v>8374431.9299999997</v>
      </c>
      <c r="F80">
        <v>20260000</v>
      </c>
      <c r="G80">
        <v>41.33</v>
      </c>
      <c r="H80" t="s">
        <v>1653</v>
      </c>
      <c r="I80" t="s">
        <v>1343</v>
      </c>
      <c r="J80">
        <v>22.77</v>
      </c>
      <c r="K80">
        <v>9.41</v>
      </c>
      <c r="L80" s="243">
        <v>40452589</v>
      </c>
      <c r="M80">
        <v>36990000</v>
      </c>
      <c r="N80">
        <v>109.36</v>
      </c>
      <c r="O80" t="s">
        <v>1645</v>
      </c>
      <c r="P80" t="s">
        <v>1356</v>
      </c>
      <c r="Q80">
        <v>57.23</v>
      </c>
      <c r="R80">
        <v>62.59</v>
      </c>
      <c r="S80" s="243">
        <v>634482</v>
      </c>
      <c r="T80">
        <v>4528000</v>
      </c>
      <c r="U80">
        <v>14.01</v>
      </c>
      <c r="V80" t="s">
        <v>1640</v>
      </c>
      <c r="W80" t="s">
        <v>1325</v>
      </c>
      <c r="X80">
        <v>9.06</v>
      </c>
      <c r="Y80">
        <v>1.27</v>
      </c>
      <c r="Z80" s="243">
        <v>78068</v>
      </c>
      <c r="AA80">
        <v>4176000</v>
      </c>
      <c r="AB80">
        <v>1.87</v>
      </c>
      <c r="AC80" t="s">
        <v>1657</v>
      </c>
      <c r="AD80" t="s">
        <v>1333</v>
      </c>
      <c r="AE80">
        <v>2.57</v>
      </c>
      <c r="AF80">
        <v>0.05</v>
      </c>
      <c r="AG80" s="243">
        <v>45648</v>
      </c>
      <c r="AH80">
        <v>0</v>
      </c>
      <c r="AI80" t="s">
        <v>520</v>
      </c>
      <c r="AJ80" t="s">
        <v>1626</v>
      </c>
      <c r="AK80" t="s">
        <v>1288</v>
      </c>
      <c r="AL80">
        <v>0.5</v>
      </c>
      <c r="AM80" t="s">
        <v>520</v>
      </c>
      <c r="AN80" s="243">
        <v>6832886.3200000003</v>
      </c>
      <c r="AO80">
        <v>776000</v>
      </c>
      <c r="AP80">
        <v>880.53</v>
      </c>
      <c r="AQ80" t="s">
        <v>1642</v>
      </c>
      <c r="AR80" t="s">
        <v>1451</v>
      </c>
      <c r="AS80">
        <v>0</v>
      </c>
      <c r="AT80">
        <v>0</v>
      </c>
      <c r="AU80" s="243">
        <v>56418105.25</v>
      </c>
      <c r="AV80">
        <v>66730000</v>
      </c>
      <c r="AW80">
        <v>84.55</v>
      </c>
      <c r="AX80" t="s">
        <v>1652</v>
      </c>
      <c r="AY80" t="s">
        <v>1413</v>
      </c>
      <c r="AZ80">
        <v>44.52</v>
      </c>
      <c r="BA80">
        <v>37.64</v>
      </c>
      <c r="BB80" s="243">
        <v>3031692.93</v>
      </c>
      <c r="BC80">
        <v>0</v>
      </c>
      <c r="BD80" t="s">
        <v>520</v>
      </c>
      <c r="BE80" t="s">
        <v>1626</v>
      </c>
      <c r="BF80" t="s">
        <v>1288</v>
      </c>
      <c r="BG80">
        <v>5.84</v>
      </c>
      <c r="BH80" t="s">
        <v>520</v>
      </c>
    </row>
    <row r="81" spans="1:60">
      <c r="A81">
        <v>193</v>
      </c>
      <c r="B81" t="s">
        <v>21</v>
      </c>
      <c r="C81" t="s">
        <v>525</v>
      </c>
      <c r="D81" t="s">
        <v>11</v>
      </c>
      <c r="E81" s="243">
        <v>11067094.699999999</v>
      </c>
      <c r="F81">
        <v>14510000</v>
      </c>
      <c r="G81">
        <v>76.27</v>
      </c>
      <c r="H81" t="s">
        <v>1503</v>
      </c>
      <c r="I81" t="s">
        <v>1409</v>
      </c>
      <c r="J81">
        <v>11.69</v>
      </c>
      <c r="K81">
        <v>8.91</v>
      </c>
      <c r="L81" s="243">
        <v>27077105</v>
      </c>
      <c r="M81">
        <v>26490000</v>
      </c>
      <c r="N81">
        <v>102.22</v>
      </c>
      <c r="O81" t="s">
        <v>1531</v>
      </c>
      <c r="P81" t="s">
        <v>1344</v>
      </c>
      <c r="Q81">
        <v>49.11</v>
      </c>
      <c r="R81">
        <v>50.2</v>
      </c>
      <c r="S81" s="243">
        <v>3210405</v>
      </c>
      <c r="T81">
        <v>3325000</v>
      </c>
      <c r="U81">
        <v>96.55</v>
      </c>
      <c r="V81" t="s">
        <v>1535</v>
      </c>
      <c r="W81" t="s">
        <v>1341</v>
      </c>
      <c r="X81">
        <v>22.25</v>
      </c>
      <c r="Y81">
        <v>21.48</v>
      </c>
      <c r="Z81" s="243">
        <v>110365</v>
      </c>
      <c r="AA81">
        <v>2900000</v>
      </c>
      <c r="AB81">
        <v>3.81</v>
      </c>
      <c r="AC81" t="s">
        <v>1524</v>
      </c>
      <c r="AD81" t="s">
        <v>1410</v>
      </c>
      <c r="AE81">
        <v>0.04</v>
      </c>
      <c r="AF81">
        <v>0</v>
      </c>
      <c r="AG81" s="243">
        <v>66645</v>
      </c>
      <c r="AH81">
        <v>0</v>
      </c>
      <c r="AI81" t="s">
        <v>520</v>
      </c>
      <c r="AJ81" t="s">
        <v>1505</v>
      </c>
      <c r="AK81" t="s">
        <v>1288</v>
      </c>
      <c r="AL81">
        <v>3.89</v>
      </c>
      <c r="AM81" t="s">
        <v>520</v>
      </c>
      <c r="AN81" s="243">
        <v>176147.17</v>
      </c>
      <c r="AO81">
        <v>555000</v>
      </c>
      <c r="AP81">
        <v>31.74</v>
      </c>
      <c r="AQ81" t="s">
        <v>1520</v>
      </c>
      <c r="AR81" t="s">
        <v>1455</v>
      </c>
      <c r="AS81">
        <v>6.99</v>
      </c>
      <c r="AT81">
        <v>2.2200000000000002</v>
      </c>
      <c r="AU81" s="243">
        <v>41707761.869999997</v>
      </c>
      <c r="AV81">
        <v>47780000</v>
      </c>
      <c r="AW81">
        <v>87.29</v>
      </c>
      <c r="AX81" t="s">
        <v>1534</v>
      </c>
      <c r="AY81" t="s">
        <v>1415</v>
      </c>
      <c r="AZ81">
        <v>36.729999999999997</v>
      </c>
      <c r="BA81">
        <v>32.07</v>
      </c>
      <c r="BB81" s="243">
        <v>4720886.7</v>
      </c>
      <c r="BC81">
        <v>0</v>
      </c>
      <c r="BD81" t="s">
        <v>520</v>
      </c>
      <c r="BE81" t="s">
        <v>1505</v>
      </c>
      <c r="BF81" t="s">
        <v>1288</v>
      </c>
      <c r="BG81">
        <v>7.79</v>
      </c>
      <c r="BH81" t="s">
        <v>520</v>
      </c>
    </row>
    <row r="82" spans="1:60">
      <c r="A82">
        <v>194</v>
      </c>
      <c r="B82" t="s">
        <v>175</v>
      </c>
      <c r="C82" t="s">
        <v>524</v>
      </c>
      <c r="D82" t="s">
        <v>11</v>
      </c>
      <c r="E82" s="243">
        <v>8753736.2400000002</v>
      </c>
      <c r="F82">
        <v>12690000</v>
      </c>
      <c r="G82">
        <v>68.98</v>
      </c>
      <c r="H82" t="s">
        <v>1530</v>
      </c>
      <c r="I82" t="s">
        <v>1464</v>
      </c>
      <c r="J82">
        <v>16.260000000000002</v>
      </c>
      <c r="K82">
        <v>11.22</v>
      </c>
      <c r="L82" s="243">
        <v>21699685</v>
      </c>
      <c r="M82">
        <v>23170000</v>
      </c>
      <c r="N82">
        <v>93.65</v>
      </c>
      <c r="O82" t="s">
        <v>1504</v>
      </c>
      <c r="P82" t="s">
        <v>1374</v>
      </c>
      <c r="Q82">
        <v>52.5</v>
      </c>
      <c r="R82">
        <v>49.17</v>
      </c>
      <c r="S82" s="243">
        <v>512111</v>
      </c>
      <c r="T82">
        <v>3216000</v>
      </c>
      <c r="U82">
        <v>15.92</v>
      </c>
      <c r="V82" t="s">
        <v>1524</v>
      </c>
      <c r="W82" t="s">
        <v>1452</v>
      </c>
      <c r="X82">
        <v>1.84</v>
      </c>
      <c r="Y82">
        <v>0.28999999999999998</v>
      </c>
      <c r="Z82" s="243">
        <v>114260</v>
      </c>
      <c r="AA82">
        <v>2238000</v>
      </c>
      <c r="AB82">
        <v>5.1100000000000003</v>
      </c>
      <c r="AC82" t="s">
        <v>1530</v>
      </c>
      <c r="AD82" t="s">
        <v>1427</v>
      </c>
      <c r="AE82">
        <v>0.28999999999999998</v>
      </c>
      <c r="AF82">
        <v>0.01</v>
      </c>
      <c r="AG82" s="243">
        <v>20533</v>
      </c>
      <c r="AH82">
        <v>0</v>
      </c>
      <c r="AI82" t="s">
        <v>520</v>
      </c>
      <c r="AJ82" t="s">
        <v>1505</v>
      </c>
      <c r="AK82" t="s">
        <v>1288</v>
      </c>
      <c r="AL82">
        <v>12.79</v>
      </c>
      <c r="AM82" t="s">
        <v>520</v>
      </c>
      <c r="AN82" s="243">
        <v>599366.76</v>
      </c>
      <c r="AO82">
        <v>486000</v>
      </c>
      <c r="AP82">
        <v>123.33</v>
      </c>
      <c r="AQ82" t="s">
        <v>1519</v>
      </c>
      <c r="AR82" t="s">
        <v>1297</v>
      </c>
      <c r="AS82">
        <v>11.49</v>
      </c>
      <c r="AT82">
        <v>14.17</v>
      </c>
      <c r="AU82" s="243">
        <v>31699692</v>
      </c>
      <c r="AV82">
        <v>41800000</v>
      </c>
      <c r="AW82">
        <v>75.84</v>
      </c>
      <c r="AX82" t="s">
        <v>1521</v>
      </c>
      <c r="AY82" t="s">
        <v>1325</v>
      </c>
      <c r="AZ82">
        <v>40.68</v>
      </c>
      <c r="BA82">
        <v>30.85</v>
      </c>
      <c r="BB82" s="243">
        <v>3870602.24</v>
      </c>
      <c r="BC82">
        <v>0</v>
      </c>
      <c r="BD82" t="s">
        <v>520</v>
      </c>
      <c r="BE82" t="s">
        <v>1505</v>
      </c>
      <c r="BF82" t="s">
        <v>1288</v>
      </c>
      <c r="BG82">
        <v>6.86</v>
      </c>
      <c r="BH82" t="s">
        <v>520</v>
      </c>
    </row>
    <row r="83" spans="1:60">
      <c r="A83">
        <v>195</v>
      </c>
      <c r="B83" t="s">
        <v>22</v>
      </c>
      <c r="C83" t="s">
        <v>527</v>
      </c>
      <c r="D83" t="s">
        <v>7</v>
      </c>
      <c r="E83" s="243">
        <v>12424411.02</v>
      </c>
      <c r="F83">
        <v>12400000</v>
      </c>
      <c r="G83">
        <v>100.2</v>
      </c>
      <c r="H83" t="s">
        <v>1648</v>
      </c>
      <c r="I83" t="s">
        <v>1370</v>
      </c>
      <c r="J83">
        <v>10.32</v>
      </c>
      <c r="K83">
        <v>10.34</v>
      </c>
      <c r="L83" s="243">
        <v>18117805</v>
      </c>
      <c r="M83">
        <v>22650000</v>
      </c>
      <c r="N83">
        <v>79.989999999999995</v>
      </c>
      <c r="O83" t="s">
        <v>1628</v>
      </c>
      <c r="P83" t="s">
        <v>1429</v>
      </c>
      <c r="Q83">
        <v>54.33</v>
      </c>
      <c r="R83">
        <v>43.46</v>
      </c>
      <c r="S83" s="243">
        <v>2399184</v>
      </c>
      <c r="T83">
        <v>3302000</v>
      </c>
      <c r="U83">
        <v>72.66</v>
      </c>
      <c r="V83" t="s">
        <v>1656</v>
      </c>
      <c r="W83" t="s">
        <v>1300</v>
      </c>
      <c r="X83">
        <v>0.75</v>
      </c>
      <c r="Y83">
        <v>0.55000000000000004</v>
      </c>
      <c r="Z83" s="243">
        <v>33507</v>
      </c>
      <c r="AA83">
        <v>2023000</v>
      </c>
      <c r="AB83">
        <v>1.66</v>
      </c>
      <c r="AC83" t="s">
        <v>1640</v>
      </c>
      <c r="AD83" t="s">
        <v>1411</v>
      </c>
      <c r="AE83">
        <v>0.13</v>
      </c>
      <c r="AF83">
        <v>0</v>
      </c>
      <c r="AG83" s="243">
        <v>71192</v>
      </c>
      <c r="AH83">
        <v>0</v>
      </c>
      <c r="AI83" t="s">
        <v>520</v>
      </c>
      <c r="AJ83" t="s">
        <v>1626</v>
      </c>
      <c r="AK83" t="s">
        <v>1288</v>
      </c>
      <c r="AL83">
        <v>13.43</v>
      </c>
      <c r="AM83" t="s">
        <v>520</v>
      </c>
      <c r="AN83" s="243">
        <v>503587.7</v>
      </c>
      <c r="AO83">
        <v>475000</v>
      </c>
      <c r="AP83">
        <v>106.02</v>
      </c>
      <c r="AQ83" t="s">
        <v>1641</v>
      </c>
      <c r="AR83" t="s">
        <v>1400</v>
      </c>
      <c r="AS83">
        <v>38.24</v>
      </c>
      <c r="AT83">
        <v>40.54</v>
      </c>
      <c r="AU83" s="243">
        <v>33549686.719999999</v>
      </c>
      <c r="AV83">
        <v>40850000</v>
      </c>
      <c r="AW83">
        <v>82.13</v>
      </c>
      <c r="AX83" t="s">
        <v>1623</v>
      </c>
      <c r="AY83" t="s">
        <v>1364</v>
      </c>
      <c r="AZ83">
        <v>33.82</v>
      </c>
      <c r="BA83">
        <v>27.78</v>
      </c>
      <c r="BB83" s="243">
        <v>4081337.02</v>
      </c>
      <c r="BC83">
        <v>0</v>
      </c>
      <c r="BD83" t="s">
        <v>520</v>
      </c>
      <c r="BE83" t="s">
        <v>1626</v>
      </c>
      <c r="BF83" t="s">
        <v>1288</v>
      </c>
      <c r="BG83">
        <v>11.02</v>
      </c>
      <c r="BH83" t="s">
        <v>520</v>
      </c>
    </row>
    <row r="84" spans="1:60">
      <c r="A84">
        <v>196</v>
      </c>
      <c r="B84" t="s">
        <v>88</v>
      </c>
      <c r="C84" t="s">
        <v>523</v>
      </c>
      <c r="D84" t="s">
        <v>11</v>
      </c>
      <c r="E84" s="243">
        <v>11259252.279999999</v>
      </c>
      <c r="F84">
        <v>13480000</v>
      </c>
      <c r="G84">
        <v>83.53</v>
      </c>
      <c r="H84" t="s">
        <v>1501</v>
      </c>
      <c r="I84" t="s">
        <v>1379</v>
      </c>
      <c r="J84">
        <v>20.47</v>
      </c>
      <c r="K84">
        <v>17.100000000000001</v>
      </c>
      <c r="L84" s="243">
        <v>17586813</v>
      </c>
      <c r="M84">
        <v>24610000</v>
      </c>
      <c r="N84">
        <v>71.459999999999994</v>
      </c>
      <c r="O84" t="s">
        <v>1516</v>
      </c>
      <c r="P84" t="s">
        <v>1446</v>
      </c>
      <c r="Q84">
        <v>45.23</v>
      </c>
      <c r="R84">
        <v>32.32</v>
      </c>
      <c r="S84" s="243">
        <v>552549</v>
      </c>
      <c r="T84">
        <v>2998000</v>
      </c>
      <c r="U84">
        <v>18.43</v>
      </c>
      <c r="V84" t="s">
        <v>1536</v>
      </c>
      <c r="W84" t="s">
        <v>1464</v>
      </c>
      <c r="X84">
        <v>6.06</v>
      </c>
      <c r="Y84">
        <v>1.1200000000000001</v>
      </c>
      <c r="Z84" s="243">
        <v>5312</v>
      </c>
      <c r="AA84">
        <v>2796000</v>
      </c>
      <c r="AB84">
        <v>0.19</v>
      </c>
      <c r="AC84" t="s">
        <v>1507</v>
      </c>
      <c r="AD84" t="s">
        <v>1343</v>
      </c>
      <c r="AE84">
        <v>128.35</v>
      </c>
      <c r="AF84">
        <v>0.24</v>
      </c>
      <c r="AG84" s="243">
        <v>20784</v>
      </c>
      <c r="AH84">
        <v>0</v>
      </c>
      <c r="AI84" t="s">
        <v>520</v>
      </c>
      <c r="AJ84" t="s">
        <v>1505</v>
      </c>
      <c r="AK84" t="s">
        <v>1288</v>
      </c>
      <c r="AL84">
        <v>5.37</v>
      </c>
      <c r="AM84" t="s">
        <v>520</v>
      </c>
      <c r="AN84" s="243">
        <v>515275</v>
      </c>
      <c r="AO84">
        <v>516000</v>
      </c>
      <c r="AP84">
        <v>99.86</v>
      </c>
      <c r="AQ84" t="s">
        <v>1531</v>
      </c>
      <c r="AR84" t="s">
        <v>1361</v>
      </c>
      <c r="AS84">
        <v>51.82</v>
      </c>
      <c r="AT84">
        <v>51.75</v>
      </c>
      <c r="AU84" s="243">
        <v>29939985.280000001</v>
      </c>
      <c r="AV84">
        <v>44400000</v>
      </c>
      <c r="AW84">
        <v>67.430000000000007</v>
      </c>
      <c r="AX84" t="s">
        <v>1507</v>
      </c>
      <c r="AY84" t="s">
        <v>1290</v>
      </c>
      <c r="AZ84">
        <v>35.299999999999997</v>
      </c>
      <c r="BA84">
        <v>23.8</v>
      </c>
      <c r="BB84" s="243">
        <v>3494726.28</v>
      </c>
      <c r="BC84">
        <v>0</v>
      </c>
      <c r="BD84" t="s">
        <v>520</v>
      </c>
      <c r="BE84" t="s">
        <v>1505</v>
      </c>
      <c r="BF84" t="s">
        <v>1288</v>
      </c>
      <c r="BG84">
        <v>5.8</v>
      </c>
      <c r="BH84" t="s">
        <v>520</v>
      </c>
    </row>
    <row r="85" spans="1:60">
      <c r="A85">
        <v>197</v>
      </c>
      <c r="B85" t="s">
        <v>23</v>
      </c>
      <c r="C85" t="s">
        <v>527</v>
      </c>
      <c r="D85" t="s">
        <v>11</v>
      </c>
      <c r="E85" s="243">
        <v>6436994.0300000003</v>
      </c>
      <c r="F85">
        <v>7640000</v>
      </c>
      <c r="G85">
        <v>84.25</v>
      </c>
      <c r="H85" t="s">
        <v>1539</v>
      </c>
      <c r="I85" t="s">
        <v>1400</v>
      </c>
      <c r="J85">
        <v>37.979999999999997</v>
      </c>
      <c r="K85">
        <v>32</v>
      </c>
      <c r="L85" s="243">
        <v>16961442</v>
      </c>
      <c r="M85">
        <v>13950000</v>
      </c>
      <c r="N85">
        <v>121.59</v>
      </c>
      <c r="O85" t="s">
        <v>1537</v>
      </c>
      <c r="P85" t="s">
        <v>1381</v>
      </c>
      <c r="Q85">
        <v>83.01</v>
      </c>
      <c r="R85">
        <v>100.93</v>
      </c>
      <c r="S85" s="243">
        <v>359476</v>
      </c>
      <c r="T85">
        <v>1370000</v>
      </c>
      <c r="U85">
        <v>26.24</v>
      </c>
      <c r="V85" t="s">
        <v>1503</v>
      </c>
      <c r="W85" t="s">
        <v>1409</v>
      </c>
      <c r="X85">
        <v>69.709999999999994</v>
      </c>
      <c r="Y85">
        <v>18.29</v>
      </c>
      <c r="Z85" s="243">
        <v>1382886</v>
      </c>
      <c r="AA85">
        <v>1917000</v>
      </c>
      <c r="AB85">
        <v>72.14</v>
      </c>
      <c r="AC85" t="s">
        <v>1517</v>
      </c>
      <c r="AD85" t="s">
        <v>1398</v>
      </c>
      <c r="AE85">
        <v>4.1399999999999997</v>
      </c>
      <c r="AF85">
        <v>2.99</v>
      </c>
      <c r="AG85" s="243">
        <v>11352</v>
      </c>
      <c r="AH85">
        <v>0</v>
      </c>
      <c r="AI85" t="s">
        <v>520</v>
      </c>
      <c r="AJ85" t="s">
        <v>1505</v>
      </c>
      <c r="AK85" t="s">
        <v>1288</v>
      </c>
      <c r="AL85">
        <v>27.18</v>
      </c>
      <c r="AM85" t="s">
        <v>520</v>
      </c>
      <c r="AN85" s="243">
        <v>273651.94</v>
      </c>
      <c r="AO85">
        <v>293000</v>
      </c>
      <c r="AP85">
        <v>93.4</v>
      </c>
      <c r="AQ85" t="s">
        <v>1534</v>
      </c>
      <c r="AR85" t="s">
        <v>1428</v>
      </c>
      <c r="AS85">
        <v>0</v>
      </c>
      <c r="AT85">
        <v>0</v>
      </c>
      <c r="AU85" s="243">
        <v>25425801.969999999</v>
      </c>
      <c r="AV85">
        <v>25170000</v>
      </c>
      <c r="AW85">
        <v>101.02</v>
      </c>
      <c r="AX85" t="s">
        <v>1518</v>
      </c>
      <c r="AY85" t="s">
        <v>1345</v>
      </c>
      <c r="AZ85">
        <v>66.209999999999994</v>
      </c>
      <c r="BA85">
        <v>66.88</v>
      </c>
      <c r="BB85" s="243">
        <v>2348742.0299999998</v>
      </c>
      <c r="BC85">
        <v>0</v>
      </c>
      <c r="BD85" t="s">
        <v>520</v>
      </c>
      <c r="BE85" t="s">
        <v>1505</v>
      </c>
      <c r="BF85" t="s">
        <v>1288</v>
      </c>
      <c r="BG85">
        <v>18.329999999999998</v>
      </c>
      <c r="BH85" t="s">
        <v>520</v>
      </c>
    </row>
    <row r="86" spans="1:60">
      <c r="A86">
        <v>198</v>
      </c>
      <c r="B86" t="s">
        <v>176</v>
      </c>
      <c r="C86" t="s">
        <v>527</v>
      </c>
      <c r="D86" t="s">
        <v>11</v>
      </c>
      <c r="E86" s="243">
        <v>7672356.3799999999</v>
      </c>
      <c r="F86">
        <v>7920000</v>
      </c>
      <c r="G86">
        <v>96.87</v>
      </c>
      <c r="H86" t="s">
        <v>1527</v>
      </c>
      <c r="I86" t="s">
        <v>1324</v>
      </c>
      <c r="J86">
        <v>34.94</v>
      </c>
      <c r="K86">
        <v>33.840000000000003</v>
      </c>
      <c r="L86" s="243">
        <v>10686979</v>
      </c>
      <c r="M86">
        <v>14460000</v>
      </c>
      <c r="N86">
        <v>73.91</v>
      </c>
      <c r="O86" t="s">
        <v>1532</v>
      </c>
      <c r="P86" t="s">
        <v>1317</v>
      </c>
      <c r="Q86">
        <v>74.28</v>
      </c>
      <c r="R86">
        <v>54.9</v>
      </c>
      <c r="S86" s="243">
        <v>97736</v>
      </c>
      <c r="T86">
        <v>1783000</v>
      </c>
      <c r="U86">
        <v>5.48</v>
      </c>
      <c r="V86" t="s">
        <v>1502</v>
      </c>
      <c r="W86" t="s">
        <v>1425</v>
      </c>
      <c r="X86">
        <v>80.39</v>
      </c>
      <c r="Y86">
        <v>4.41</v>
      </c>
      <c r="Z86" s="243">
        <v>1285</v>
      </c>
      <c r="AA86">
        <v>1614000</v>
      </c>
      <c r="AB86">
        <v>0.08</v>
      </c>
      <c r="AC86" t="s">
        <v>1502</v>
      </c>
      <c r="AD86" t="s">
        <v>1881</v>
      </c>
      <c r="AE86">
        <v>529.03</v>
      </c>
      <c r="AF86">
        <v>0.42</v>
      </c>
      <c r="AG86" s="243">
        <v>12674</v>
      </c>
      <c r="AH86">
        <v>0</v>
      </c>
      <c r="AI86" t="s">
        <v>520</v>
      </c>
      <c r="AJ86" t="s">
        <v>1505</v>
      </c>
      <c r="AK86" t="s">
        <v>1288</v>
      </c>
      <c r="AL86">
        <v>19.72</v>
      </c>
      <c r="AM86" t="s">
        <v>520</v>
      </c>
      <c r="AN86" s="243">
        <v>1610778.69</v>
      </c>
      <c r="AO86">
        <v>303000</v>
      </c>
      <c r="AP86">
        <v>531.61</v>
      </c>
      <c r="AQ86" t="s">
        <v>1527</v>
      </c>
      <c r="AR86" t="s">
        <v>1398</v>
      </c>
      <c r="AS86">
        <v>95.72</v>
      </c>
      <c r="AT86">
        <v>508.86</v>
      </c>
      <c r="AU86" s="243">
        <v>20081809.07</v>
      </c>
      <c r="AV86">
        <v>26080000</v>
      </c>
      <c r="AW86">
        <v>77</v>
      </c>
      <c r="AX86" t="s">
        <v>1520</v>
      </c>
      <c r="AY86" t="s">
        <v>1313</v>
      </c>
      <c r="AZ86">
        <v>60.99</v>
      </c>
      <c r="BA86">
        <v>46.96</v>
      </c>
      <c r="BB86" s="243">
        <v>2779935.38</v>
      </c>
      <c r="BC86">
        <v>0</v>
      </c>
      <c r="BD86" t="s">
        <v>520</v>
      </c>
      <c r="BE86" t="s">
        <v>1505</v>
      </c>
      <c r="BF86" t="s">
        <v>1288</v>
      </c>
      <c r="BG86">
        <v>23.29</v>
      </c>
      <c r="BH86" t="s">
        <v>520</v>
      </c>
    </row>
    <row r="87" spans="1:60">
      <c r="A87">
        <v>199</v>
      </c>
      <c r="B87" t="s">
        <v>24</v>
      </c>
      <c r="C87" t="s">
        <v>526</v>
      </c>
      <c r="D87" t="s">
        <v>11</v>
      </c>
      <c r="E87" s="243">
        <v>13336306.1</v>
      </c>
      <c r="F87">
        <v>10550000</v>
      </c>
      <c r="G87">
        <v>126.41</v>
      </c>
      <c r="H87" t="s">
        <v>1523</v>
      </c>
      <c r="I87" t="s">
        <v>1416</v>
      </c>
      <c r="J87">
        <v>21.91</v>
      </c>
      <c r="K87">
        <v>27.7</v>
      </c>
      <c r="L87" s="243">
        <v>22458575</v>
      </c>
      <c r="M87">
        <v>19260000</v>
      </c>
      <c r="N87">
        <v>116.61</v>
      </c>
      <c r="O87" t="s">
        <v>1518</v>
      </c>
      <c r="P87" t="s">
        <v>1336</v>
      </c>
      <c r="Q87">
        <v>78.8</v>
      </c>
      <c r="R87">
        <v>91.89</v>
      </c>
      <c r="S87" s="243">
        <v>511111</v>
      </c>
      <c r="T87">
        <v>1295000</v>
      </c>
      <c r="U87">
        <v>39.47</v>
      </c>
      <c r="V87" t="s">
        <v>1518</v>
      </c>
      <c r="W87" t="s">
        <v>1297</v>
      </c>
      <c r="X87">
        <v>5.19</v>
      </c>
      <c r="Y87">
        <v>2.0499999999999998</v>
      </c>
      <c r="Z87" s="243">
        <v>49904</v>
      </c>
      <c r="AA87">
        <v>3231000</v>
      </c>
      <c r="AB87">
        <v>1.54</v>
      </c>
      <c r="AC87" t="s">
        <v>1516</v>
      </c>
      <c r="AD87" t="s">
        <v>1312</v>
      </c>
      <c r="AE87">
        <v>60.85</v>
      </c>
      <c r="AF87">
        <v>0.94</v>
      </c>
      <c r="AG87" s="243">
        <v>6157</v>
      </c>
      <c r="AH87">
        <v>0</v>
      </c>
      <c r="AI87" t="s">
        <v>520</v>
      </c>
      <c r="AJ87" t="s">
        <v>1505</v>
      </c>
      <c r="AK87" t="s">
        <v>1288</v>
      </c>
      <c r="AL87">
        <v>23.7</v>
      </c>
      <c r="AM87" t="s">
        <v>520</v>
      </c>
      <c r="AN87" s="243">
        <v>1058170.08</v>
      </c>
      <c r="AO87">
        <v>404000</v>
      </c>
      <c r="AP87">
        <v>261.92</v>
      </c>
      <c r="AQ87" t="s">
        <v>1515</v>
      </c>
      <c r="AR87" t="s">
        <v>1404</v>
      </c>
      <c r="AS87">
        <v>57.68</v>
      </c>
      <c r="AT87">
        <v>151.08000000000001</v>
      </c>
      <c r="AU87" s="243">
        <v>37420223.18</v>
      </c>
      <c r="AV87">
        <v>34740000</v>
      </c>
      <c r="AW87">
        <v>107.72</v>
      </c>
      <c r="AX87" t="s">
        <v>1525</v>
      </c>
      <c r="AY87" t="s">
        <v>1404</v>
      </c>
      <c r="AZ87">
        <v>56.89</v>
      </c>
      <c r="BA87">
        <v>61.28</v>
      </c>
      <c r="BB87" s="243">
        <v>3099906.1</v>
      </c>
      <c r="BC87">
        <v>0</v>
      </c>
      <c r="BD87" t="s">
        <v>520</v>
      </c>
      <c r="BE87" t="s">
        <v>1505</v>
      </c>
      <c r="BF87" t="s">
        <v>1288</v>
      </c>
      <c r="BG87">
        <v>7.69</v>
      </c>
      <c r="BH87" t="s">
        <v>520</v>
      </c>
    </row>
    <row r="88" spans="1:60">
      <c r="A88">
        <v>200</v>
      </c>
      <c r="B88" t="s">
        <v>89</v>
      </c>
      <c r="C88" t="s">
        <v>524</v>
      </c>
      <c r="D88" t="s">
        <v>7</v>
      </c>
      <c r="E88" s="243">
        <v>7097251.0800000001</v>
      </c>
      <c r="F88">
        <v>11530000</v>
      </c>
      <c r="G88">
        <v>61.55</v>
      </c>
      <c r="H88" t="s">
        <v>1655</v>
      </c>
      <c r="I88" t="s">
        <v>1432</v>
      </c>
      <c r="J88">
        <v>13.6</v>
      </c>
      <c r="K88">
        <v>8.3699999999999992</v>
      </c>
      <c r="L88" s="243">
        <v>18555075</v>
      </c>
      <c r="M88">
        <v>21050000</v>
      </c>
      <c r="N88">
        <v>88.15</v>
      </c>
      <c r="O88" t="s">
        <v>1625</v>
      </c>
      <c r="P88" t="s">
        <v>1448</v>
      </c>
      <c r="Q88">
        <v>43.61</v>
      </c>
      <c r="R88">
        <v>38.44</v>
      </c>
      <c r="S88" s="243">
        <v>1090067</v>
      </c>
      <c r="T88">
        <v>3008000</v>
      </c>
      <c r="U88">
        <v>36.24</v>
      </c>
      <c r="V88" t="s">
        <v>1641</v>
      </c>
      <c r="W88" t="s">
        <v>1400</v>
      </c>
      <c r="X88">
        <v>17.350000000000001</v>
      </c>
      <c r="Y88">
        <v>6.29</v>
      </c>
      <c r="Z88" s="243">
        <v>210177</v>
      </c>
      <c r="AA88">
        <v>1951000</v>
      </c>
      <c r="AB88">
        <v>10.77</v>
      </c>
      <c r="AC88" t="s">
        <v>1624</v>
      </c>
      <c r="AD88" t="s">
        <v>1430</v>
      </c>
      <c r="AE88">
        <v>2.12</v>
      </c>
      <c r="AF88">
        <v>0.23</v>
      </c>
      <c r="AG88" s="243">
        <v>13215</v>
      </c>
      <c r="AH88">
        <v>0</v>
      </c>
      <c r="AI88" t="s">
        <v>520</v>
      </c>
      <c r="AJ88" t="s">
        <v>1626</v>
      </c>
      <c r="AK88" t="s">
        <v>1288</v>
      </c>
      <c r="AL88">
        <v>7.58</v>
      </c>
      <c r="AM88" t="s">
        <v>520</v>
      </c>
      <c r="AN88" s="243">
        <v>298193.62</v>
      </c>
      <c r="AO88">
        <v>441000</v>
      </c>
      <c r="AP88">
        <v>67.62</v>
      </c>
      <c r="AQ88" t="s">
        <v>1629</v>
      </c>
      <c r="AR88" t="s">
        <v>1350</v>
      </c>
      <c r="AS88">
        <v>91.99</v>
      </c>
      <c r="AT88">
        <v>62.2</v>
      </c>
      <c r="AU88" s="243">
        <v>27263978.699999999</v>
      </c>
      <c r="AV88">
        <v>37980000</v>
      </c>
      <c r="AW88">
        <v>71.790000000000006</v>
      </c>
      <c r="AX88" t="s">
        <v>1640</v>
      </c>
      <c r="AY88" t="s">
        <v>1406</v>
      </c>
      <c r="AZ88">
        <v>34.94</v>
      </c>
      <c r="BA88">
        <v>25.08</v>
      </c>
      <c r="BB88" s="243">
        <v>2935776.08</v>
      </c>
      <c r="BC88">
        <v>0</v>
      </c>
      <c r="BD88" t="s">
        <v>520</v>
      </c>
      <c r="BE88" t="s">
        <v>1626</v>
      </c>
      <c r="BF88" t="s">
        <v>1288</v>
      </c>
      <c r="BG88">
        <v>3.69</v>
      </c>
      <c r="BH88" t="s">
        <v>520</v>
      </c>
    </row>
    <row r="89" spans="1:60">
      <c r="A89">
        <v>201</v>
      </c>
      <c r="B89" t="s">
        <v>90</v>
      </c>
      <c r="C89" t="s">
        <v>524</v>
      </c>
      <c r="D89" t="s">
        <v>7</v>
      </c>
      <c r="E89" s="243">
        <v>9330839.1600000001</v>
      </c>
      <c r="F89">
        <v>13560000</v>
      </c>
      <c r="G89">
        <v>68.81</v>
      </c>
      <c r="H89" t="s">
        <v>1629</v>
      </c>
      <c r="I89" t="s">
        <v>1364</v>
      </c>
      <c r="J89">
        <v>10.28</v>
      </c>
      <c r="K89">
        <v>7.07</v>
      </c>
      <c r="L89" s="243">
        <v>27178522</v>
      </c>
      <c r="M89">
        <v>24760000</v>
      </c>
      <c r="N89">
        <v>109.77</v>
      </c>
      <c r="O89" t="s">
        <v>1646</v>
      </c>
      <c r="P89" t="s">
        <v>1366</v>
      </c>
      <c r="Q89">
        <v>28.29</v>
      </c>
      <c r="R89">
        <v>31.05</v>
      </c>
      <c r="S89" s="243">
        <v>673430</v>
      </c>
      <c r="T89">
        <v>3444000</v>
      </c>
      <c r="U89">
        <v>19.55</v>
      </c>
      <c r="V89" t="s">
        <v>1643</v>
      </c>
      <c r="W89" t="s">
        <v>1448</v>
      </c>
      <c r="X89">
        <v>15.99</v>
      </c>
      <c r="Y89">
        <v>3.13</v>
      </c>
      <c r="Z89" s="243">
        <v>881553</v>
      </c>
      <c r="AA89">
        <v>2387000</v>
      </c>
      <c r="AB89">
        <v>36.93</v>
      </c>
      <c r="AC89" t="s">
        <v>1634</v>
      </c>
      <c r="AD89" t="s">
        <v>1386</v>
      </c>
      <c r="AE89">
        <v>7.0000000000000007E-2</v>
      </c>
      <c r="AF89">
        <v>0.03</v>
      </c>
      <c r="AG89" s="243">
        <v>34744</v>
      </c>
      <c r="AH89">
        <v>0</v>
      </c>
      <c r="AI89" t="s">
        <v>520</v>
      </c>
      <c r="AJ89" t="s">
        <v>1626</v>
      </c>
      <c r="AK89" t="s">
        <v>1288</v>
      </c>
      <c r="AL89">
        <v>15.49</v>
      </c>
      <c r="AM89" t="s">
        <v>520</v>
      </c>
      <c r="AN89" s="243">
        <v>227817.03</v>
      </c>
      <c r="AO89">
        <v>519000</v>
      </c>
      <c r="AP89">
        <v>43.9</v>
      </c>
      <c r="AQ89" t="s">
        <v>1650</v>
      </c>
      <c r="AR89" t="s">
        <v>1373</v>
      </c>
      <c r="AS89">
        <v>0</v>
      </c>
      <c r="AT89">
        <v>0</v>
      </c>
      <c r="AU89" s="243">
        <v>38326905.189999998</v>
      </c>
      <c r="AV89">
        <v>44670000</v>
      </c>
      <c r="AW89">
        <v>85.8</v>
      </c>
      <c r="AX89" t="s">
        <v>1641</v>
      </c>
      <c r="AY89" t="s">
        <v>1311</v>
      </c>
      <c r="AZ89">
        <v>22.86</v>
      </c>
      <c r="BA89">
        <v>19.61</v>
      </c>
      <c r="BB89" s="243">
        <v>2947683.16</v>
      </c>
      <c r="BC89">
        <v>0</v>
      </c>
      <c r="BD89" t="s">
        <v>520</v>
      </c>
      <c r="BE89" t="s">
        <v>1626</v>
      </c>
      <c r="BF89" t="s">
        <v>1288</v>
      </c>
      <c r="BG89">
        <v>12.62</v>
      </c>
      <c r="BH89" t="s">
        <v>520</v>
      </c>
    </row>
    <row r="90" spans="1:60">
      <c r="A90">
        <v>211</v>
      </c>
      <c r="B90" t="s">
        <v>25</v>
      </c>
      <c r="C90" t="s">
        <v>524</v>
      </c>
      <c r="D90" t="s">
        <v>7</v>
      </c>
      <c r="E90" s="243">
        <v>14214754.33</v>
      </c>
      <c r="F90">
        <v>13250000</v>
      </c>
      <c r="G90">
        <v>107.28</v>
      </c>
      <c r="H90" t="s">
        <v>1630</v>
      </c>
      <c r="I90" t="s">
        <v>1433</v>
      </c>
      <c r="J90">
        <v>14.64</v>
      </c>
      <c r="K90">
        <v>15.7</v>
      </c>
      <c r="L90" s="243">
        <v>32243729</v>
      </c>
      <c r="M90">
        <v>24190000</v>
      </c>
      <c r="N90">
        <v>133.29</v>
      </c>
      <c r="O90" t="s">
        <v>1631</v>
      </c>
      <c r="P90" t="s">
        <v>1385</v>
      </c>
      <c r="Q90">
        <v>51.46</v>
      </c>
      <c r="R90">
        <v>68.59</v>
      </c>
      <c r="S90" s="243">
        <v>2199163</v>
      </c>
      <c r="T90">
        <v>3385000</v>
      </c>
      <c r="U90">
        <v>64.97</v>
      </c>
      <c r="V90" t="s">
        <v>1624</v>
      </c>
      <c r="W90" t="s">
        <v>1370</v>
      </c>
      <c r="X90">
        <v>12.99</v>
      </c>
      <c r="Y90">
        <v>8.44</v>
      </c>
      <c r="Z90" s="243">
        <v>221758</v>
      </c>
      <c r="AA90">
        <v>2298000</v>
      </c>
      <c r="AB90">
        <v>9.65</v>
      </c>
      <c r="AC90" t="s">
        <v>1649</v>
      </c>
      <c r="AD90" t="s">
        <v>1424</v>
      </c>
      <c r="AE90">
        <v>7.04</v>
      </c>
      <c r="AF90">
        <v>0.68</v>
      </c>
      <c r="AG90" s="243">
        <v>25100</v>
      </c>
      <c r="AH90">
        <v>0</v>
      </c>
      <c r="AI90" t="s">
        <v>520</v>
      </c>
      <c r="AJ90" t="s">
        <v>1626</v>
      </c>
      <c r="AK90" t="s">
        <v>1288</v>
      </c>
      <c r="AL90">
        <v>3.99</v>
      </c>
      <c r="AM90" t="s">
        <v>520</v>
      </c>
      <c r="AN90" s="243">
        <v>47902.26</v>
      </c>
      <c r="AO90">
        <v>507000</v>
      </c>
      <c r="AP90">
        <v>9.4499999999999993</v>
      </c>
      <c r="AQ90" t="s">
        <v>1622</v>
      </c>
      <c r="AR90" t="s">
        <v>1446</v>
      </c>
      <c r="AS90">
        <v>27.49</v>
      </c>
      <c r="AT90">
        <v>2.6</v>
      </c>
      <c r="AU90" s="243">
        <v>48952406.590000004</v>
      </c>
      <c r="AV90">
        <v>43630000</v>
      </c>
      <c r="AW90">
        <v>112.2</v>
      </c>
      <c r="AX90" t="s">
        <v>1634</v>
      </c>
      <c r="AY90" t="s">
        <v>1418</v>
      </c>
      <c r="AZ90">
        <v>38.79</v>
      </c>
      <c r="BA90">
        <v>43.52</v>
      </c>
      <c r="BB90" s="243">
        <v>3677854.33</v>
      </c>
      <c r="BC90">
        <v>0</v>
      </c>
      <c r="BD90" t="s">
        <v>520</v>
      </c>
      <c r="BE90" t="s">
        <v>1626</v>
      </c>
      <c r="BF90" t="s">
        <v>1288</v>
      </c>
      <c r="BG90">
        <v>6.7</v>
      </c>
      <c r="BH90" t="s">
        <v>520</v>
      </c>
    </row>
    <row r="91" spans="1:60">
      <c r="A91">
        <v>220</v>
      </c>
      <c r="B91" t="s">
        <v>26</v>
      </c>
      <c r="C91" t="s">
        <v>527</v>
      </c>
      <c r="D91" t="s">
        <v>7</v>
      </c>
      <c r="E91" s="243">
        <v>6296110.46</v>
      </c>
      <c r="F91">
        <v>11130000</v>
      </c>
      <c r="G91">
        <v>56.57</v>
      </c>
      <c r="H91" t="s">
        <v>1640</v>
      </c>
      <c r="I91" t="s">
        <v>1397</v>
      </c>
      <c r="J91">
        <v>25.94</v>
      </c>
      <c r="K91">
        <v>14.68</v>
      </c>
      <c r="L91" s="243">
        <v>24074826</v>
      </c>
      <c r="M91">
        <v>20310000</v>
      </c>
      <c r="N91">
        <v>118.54</v>
      </c>
      <c r="O91" t="s">
        <v>1651</v>
      </c>
      <c r="P91" t="s">
        <v>1345</v>
      </c>
      <c r="Q91">
        <v>91.82</v>
      </c>
      <c r="R91">
        <v>108.84</v>
      </c>
      <c r="S91" s="243">
        <v>184445</v>
      </c>
      <c r="T91">
        <v>2499000</v>
      </c>
      <c r="U91">
        <v>7.38</v>
      </c>
      <c r="V91" t="s">
        <v>1622</v>
      </c>
      <c r="W91" t="s">
        <v>1397</v>
      </c>
      <c r="X91">
        <v>62.92</v>
      </c>
      <c r="Y91">
        <v>4.6399999999999997</v>
      </c>
      <c r="Z91" s="243">
        <v>172877</v>
      </c>
      <c r="AA91">
        <v>2275000</v>
      </c>
      <c r="AB91">
        <v>7.6</v>
      </c>
      <c r="AC91" t="s">
        <v>1652</v>
      </c>
      <c r="AD91" t="s">
        <v>1415</v>
      </c>
      <c r="AE91">
        <v>0.96</v>
      </c>
      <c r="AF91">
        <v>7.0000000000000007E-2</v>
      </c>
      <c r="AG91" s="243">
        <v>20506</v>
      </c>
      <c r="AH91">
        <v>0</v>
      </c>
      <c r="AI91" t="s">
        <v>520</v>
      </c>
      <c r="AJ91" t="s">
        <v>1626</v>
      </c>
      <c r="AK91" t="s">
        <v>1288</v>
      </c>
      <c r="AL91">
        <v>20.329999999999998</v>
      </c>
      <c r="AM91" t="s">
        <v>520</v>
      </c>
      <c r="AN91" s="243">
        <v>66992.77</v>
      </c>
      <c r="AO91">
        <v>426000</v>
      </c>
      <c r="AP91">
        <v>15.73</v>
      </c>
      <c r="AQ91" t="s">
        <v>1627</v>
      </c>
      <c r="AR91" t="s">
        <v>1422</v>
      </c>
      <c r="AS91">
        <v>98.74</v>
      </c>
      <c r="AT91">
        <v>15.53</v>
      </c>
      <c r="AU91" s="243">
        <v>30815757.23</v>
      </c>
      <c r="AV91">
        <v>36640000</v>
      </c>
      <c r="AW91">
        <v>84.1</v>
      </c>
      <c r="AX91" t="s">
        <v>1629</v>
      </c>
      <c r="AY91" t="s">
        <v>1396</v>
      </c>
      <c r="AZ91">
        <v>77.64</v>
      </c>
      <c r="BA91">
        <v>65.3</v>
      </c>
      <c r="BB91" s="243">
        <v>2736340.46</v>
      </c>
      <c r="BC91">
        <v>0</v>
      </c>
      <c r="BD91" t="s">
        <v>520</v>
      </c>
      <c r="BE91" t="s">
        <v>1626</v>
      </c>
      <c r="BF91" t="s">
        <v>1288</v>
      </c>
      <c r="BG91">
        <v>12.23</v>
      </c>
      <c r="BH91" t="s">
        <v>520</v>
      </c>
    </row>
    <row r="92" spans="1:60">
      <c r="A92">
        <v>221</v>
      </c>
      <c r="B92" t="s">
        <v>27</v>
      </c>
      <c r="C92" t="s">
        <v>527</v>
      </c>
      <c r="D92" t="s">
        <v>7</v>
      </c>
      <c r="E92" s="243">
        <v>8494729.6500000004</v>
      </c>
      <c r="F92">
        <v>11680000</v>
      </c>
      <c r="G92">
        <v>72.73</v>
      </c>
      <c r="H92" t="s">
        <v>1641</v>
      </c>
      <c r="I92" t="s">
        <v>1396</v>
      </c>
      <c r="J92">
        <v>20.8</v>
      </c>
      <c r="K92">
        <v>15.13</v>
      </c>
      <c r="L92" s="243">
        <v>23317511</v>
      </c>
      <c r="M92">
        <v>21330000</v>
      </c>
      <c r="N92">
        <v>109.32</v>
      </c>
      <c r="O92" t="s">
        <v>1649</v>
      </c>
      <c r="P92" t="s">
        <v>1463</v>
      </c>
      <c r="Q92">
        <v>70.37</v>
      </c>
      <c r="R92">
        <v>76.92</v>
      </c>
      <c r="S92" s="243">
        <v>1350130</v>
      </c>
      <c r="T92">
        <v>2632000</v>
      </c>
      <c r="U92">
        <v>51.3</v>
      </c>
      <c r="V92" t="s">
        <v>1646</v>
      </c>
      <c r="W92" t="s">
        <v>1377</v>
      </c>
      <c r="X92">
        <v>16.41</v>
      </c>
      <c r="Y92">
        <v>8.42</v>
      </c>
      <c r="Z92" s="243">
        <v>853136</v>
      </c>
      <c r="AA92">
        <v>2391000</v>
      </c>
      <c r="AB92">
        <v>35.68</v>
      </c>
      <c r="AC92" t="s">
        <v>1635</v>
      </c>
      <c r="AD92" t="s">
        <v>1390</v>
      </c>
      <c r="AE92">
        <v>6.99</v>
      </c>
      <c r="AF92">
        <v>2.4900000000000002</v>
      </c>
      <c r="AG92" s="243">
        <v>30116</v>
      </c>
      <c r="AH92">
        <v>0</v>
      </c>
      <c r="AI92" t="s">
        <v>520</v>
      </c>
      <c r="AJ92" t="s">
        <v>1626</v>
      </c>
      <c r="AK92" t="s">
        <v>1288</v>
      </c>
      <c r="AL92">
        <v>17.84</v>
      </c>
      <c r="AM92" t="s">
        <v>520</v>
      </c>
      <c r="AN92" s="243">
        <v>144672.89000000001</v>
      </c>
      <c r="AO92">
        <v>447000</v>
      </c>
      <c r="AP92">
        <v>32.369999999999997</v>
      </c>
      <c r="AQ92" t="s">
        <v>1657</v>
      </c>
      <c r="AR92" t="s">
        <v>1364</v>
      </c>
      <c r="AS92">
        <v>0</v>
      </c>
      <c r="AT92">
        <v>0</v>
      </c>
      <c r="AU92" s="243">
        <v>34190295.539999999</v>
      </c>
      <c r="AV92">
        <v>38480000</v>
      </c>
      <c r="AW92">
        <v>88.85</v>
      </c>
      <c r="AX92" t="s">
        <v>1649</v>
      </c>
      <c r="AY92" t="s">
        <v>1462</v>
      </c>
      <c r="AZ92">
        <v>54</v>
      </c>
      <c r="BA92">
        <v>47.98</v>
      </c>
      <c r="BB92" s="243">
        <v>3032399.65</v>
      </c>
      <c r="BC92">
        <v>0</v>
      </c>
      <c r="BD92" t="s">
        <v>520</v>
      </c>
      <c r="BE92" t="s">
        <v>1626</v>
      </c>
      <c r="BF92" t="s">
        <v>1288</v>
      </c>
      <c r="BG92">
        <v>12.1</v>
      </c>
      <c r="BH92" t="s">
        <v>520</v>
      </c>
    </row>
    <row r="93" spans="1:60">
      <c r="A93">
        <v>240</v>
      </c>
      <c r="B93" t="s">
        <v>177</v>
      </c>
      <c r="C93" t="s">
        <v>522</v>
      </c>
      <c r="D93" t="s">
        <v>11</v>
      </c>
      <c r="E93" s="243">
        <v>22260925.050000001</v>
      </c>
      <c r="F93">
        <v>23090000</v>
      </c>
      <c r="G93">
        <v>96.41</v>
      </c>
      <c r="H93" t="s">
        <v>1540</v>
      </c>
      <c r="I93" t="s">
        <v>1287</v>
      </c>
      <c r="J93">
        <v>29.5</v>
      </c>
      <c r="K93">
        <v>28.44</v>
      </c>
      <c r="L93" s="243">
        <v>51839756</v>
      </c>
      <c r="M93">
        <v>42150000</v>
      </c>
      <c r="N93">
        <v>122.99</v>
      </c>
      <c r="O93" t="s">
        <v>1528</v>
      </c>
      <c r="P93" t="s">
        <v>1383</v>
      </c>
      <c r="Q93">
        <v>51.9</v>
      </c>
      <c r="R93">
        <v>63.83</v>
      </c>
      <c r="S93" s="243">
        <v>1447004</v>
      </c>
      <c r="T93">
        <v>5973000</v>
      </c>
      <c r="U93">
        <v>24.23</v>
      </c>
      <c r="V93" t="s">
        <v>1529</v>
      </c>
      <c r="W93" t="s">
        <v>1301</v>
      </c>
      <c r="X93">
        <v>26.72</v>
      </c>
      <c r="Y93">
        <v>6.47</v>
      </c>
      <c r="Z93" s="243">
        <v>285941</v>
      </c>
      <c r="AA93">
        <v>3943000</v>
      </c>
      <c r="AB93">
        <v>7.25</v>
      </c>
      <c r="AC93" t="s">
        <v>1526</v>
      </c>
      <c r="AD93" t="s">
        <v>1337</v>
      </c>
      <c r="AE93">
        <v>0.09</v>
      </c>
      <c r="AF93">
        <v>0.01</v>
      </c>
      <c r="AG93" s="243">
        <v>35253</v>
      </c>
      <c r="AH93">
        <v>0</v>
      </c>
      <c r="AI93" t="s">
        <v>520</v>
      </c>
      <c r="AJ93" t="s">
        <v>1505</v>
      </c>
      <c r="AK93" t="s">
        <v>1288</v>
      </c>
      <c r="AL93">
        <v>22.64</v>
      </c>
      <c r="AM93" t="s">
        <v>520</v>
      </c>
      <c r="AN93" s="243">
        <v>2571305.2000000002</v>
      </c>
      <c r="AO93">
        <v>884000</v>
      </c>
      <c r="AP93">
        <v>290.87</v>
      </c>
      <c r="AQ93" t="s">
        <v>1537</v>
      </c>
      <c r="AR93" t="s">
        <v>1444</v>
      </c>
      <c r="AS93">
        <v>14.62</v>
      </c>
      <c r="AT93">
        <v>42.52</v>
      </c>
      <c r="AU93" s="243">
        <v>78440184.25</v>
      </c>
      <c r="AV93">
        <v>76040000</v>
      </c>
      <c r="AW93">
        <v>103.16</v>
      </c>
      <c r="AX93" t="s">
        <v>1537</v>
      </c>
      <c r="AY93" t="s">
        <v>1423</v>
      </c>
      <c r="AZ93">
        <v>43.65</v>
      </c>
      <c r="BA93">
        <v>45.03</v>
      </c>
      <c r="BB93" s="243">
        <v>5834044.0499999998</v>
      </c>
      <c r="BC93">
        <v>0</v>
      </c>
      <c r="BD93" t="s">
        <v>520</v>
      </c>
      <c r="BE93" t="s">
        <v>1505</v>
      </c>
      <c r="BF93" t="s">
        <v>1288</v>
      </c>
      <c r="BG93">
        <v>7.3</v>
      </c>
      <c r="BH93" t="s">
        <v>520</v>
      </c>
    </row>
    <row r="94" spans="1:60">
      <c r="A94">
        <v>241</v>
      </c>
      <c r="B94" t="s">
        <v>91</v>
      </c>
      <c r="C94" t="s">
        <v>522</v>
      </c>
      <c r="D94" t="s">
        <v>11</v>
      </c>
      <c r="E94" s="243">
        <v>16262855.66</v>
      </c>
      <c r="F94">
        <v>25070000</v>
      </c>
      <c r="G94">
        <v>64.87</v>
      </c>
      <c r="H94" t="s">
        <v>1520</v>
      </c>
      <c r="I94" t="s">
        <v>1452</v>
      </c>
      <c r="J94">
        <v>19.78</v>
      </c>
      <c r="K94">
        <v>12.83</v>
      </c>
      <c r="L94" s="243">
        <v>43873161</v>
      </c>
      <c r="M94">
        <v>45780000</v>
      </c>
      <c r="N94">
        <v>95.83</v>
      </c>
      <c r="O94" t="s">
        <v>1529</v>
      </c>
      <c r="P94" t="s">
        <v>1409</v>
      </c>
      <c r="Q94">
        <v>50.1</v>
      </c>
      <c r="R94">
        <v>48.01</v>
      </c>
      <c r="S94" s="243">
        <v>1349496</v>
      </c>
      <c r="T94">
        <v>5662000</v>
      </c>
      <c r="U94">
        <v>23.83</v>
      </c>
      <c r="V94" t="s">
        <v>1504</v>
      </c>
      <c r="W94" t="s">
        <v>1413</v>
      </c>
      <c r="X94">
        <v>4.13</v>
      </c>
      <c r="Y94">
        <v>0.99</v>
      </c>
      <c r="Z94" s="243">
        <v>1698647</v>
      </c>
      <c r="AA94">
        <v>5108000</v>
      </c>
      <c r="AB94">
        <v>33.25</v>
      </c>
      <c r="AC94" t="s">
        <v>1518</v>
      </c>
      <c r="AD94" t="s">
        <v>1456</v>
      </c>
      <c r="AE94">
        <v>0.02</v>
      </c>
      <c r="AF94">
        <v>0.01</v>
      </c>
      <c r="AG94" s="243">
        <v>66633</v>
      </c>
      <c r="AH94">
        <v>0</v>
      </c>
      <c r="AI94" t="s">
        <v>520</v>
      </c>
      <c r="AJ94" t="s">
        <v>1505</v>
      </c>
      <c r="AK94" t="s">
        <v>1288</v>
      </c>
      <c r="AL94">
        <v>11.01</v>
      </c>
      <c r="AM94" t="s">
        <v>520</v>
      </c>
      <c r="AN94" s="243">
        <v>385187.34</v>
      </c>
      <c r="AO94">
        <v>960000</v>
      </c>
      <c r="AP94">
        <v>40.119999999999997</v>
      </c>
      <c r="AQ94" t="s">
        <v>1529</v>
      </c>
      <c r="AR94" t="s">
        <v>1306</v>
      </c>
      <c r="AS94">
        <v>90.26</v>
      </c>
      <c r="AT94">
        <v>36.22</v>
      </c>
      <c r="AU94" s="243">
        <v>63635980</v>
      </c>
      <c r="AV94">
        <v>82580000</v>
      </c>
      <c r="AW94">
        <v>77.06</v>
      </c>
      <c r="AX94" t="s">
        <v>1536</v>
      </c>
      <c r="AY94" t="s">
        <v>1371</v>
      </c>
      <c r="AZ94">
        <v>40.24</v>
      </c>
      <c r="BA94">
        <v>31.01</v>
      </c>
      <c r="BB94" s="243">
        <v>6631669.6600000001</v>
      </c>
      <c r="BC94">
        <v>0</v>
      </c>
      <c r="BD94" t="s">
        <v>520</v>
      </c>
      <c r="BE94" t="s">
        <v>1505</v>
      </c>
      <c r="BF94" t="s">
        <v>1288</v>
      </c>
      <c r="BG94">
        <v>10.199999999999999</v>
      </c>
      <c r="BH94" t="s">
        <v>520</v>
      </c>
    </row>
    <row r="95" spans="1:60">
      <c r="A95">
        <v>242</v>
      </c>
      <c r="B95" t="s">
        <v>28</v>
      </c>
      <c r="C95" t="s">
        <v>521</v>
      </c>
      <c r="D95" t="s">
        <v>11</v>
      </c>
      <c r="E95" s="243">
        <v>21634380.739999998</v>
      </c>
      <c r="F95">
        <v>23760000</v>
      </c>
      <c r="G95">
        <v>91.05</v>
      </c>
      <c r="H95" t="s">
        <v>1515</v>
      </c>
      <c r="I95" t="s">
        <v>1304</v>
      </c>
      <c r="J95">
        <v>16.760000000000002</v>
      </c>
      <c r="K95">
        <v>15.26</v>
      </c>
      <c r="L95" s="243">
        <v>40567856</v>
      </c>
      <c r="M95">
        <v>43370000</v>
      </c>
      <c r="N95">
        <v>93.54</v>
      </c>
      <c r="O95" t="s">
        <v>1530</v>
      </c>
      <c r="P95" t="s">
        <v>1296</v>
      </c>
      <c r="Q95">
        <v>62.94</v>
      </c>
      <c r="R95">
        <v>58.88</v>
      </c>
      <c r="S95" s="243">
        <v>2031911</v>
      </c>
      <c r="T95">
        <v>5829000</v>
      </c>
      <c r="U95">
        <v>34.86</v>
      </c>
      <c r="V95" t="s">
        <v>1501</v>
      </c>
      <c r="W95" t="s">
        <v>1361</v>
      </c>
      <c r="X95">
        <v>24.53</v>
      </c>
      <c r="Y95">
        <v>8.5500000000000007</v>
      </c>
      <c r="Z95" s="243">
        <v>1196818</v>
      </c>
      <c r="AA95">
        <v>4372000</v>
      </c>
      <c r="AB95">
        <v>27.37</v>
      </c>
      <c r="AC95" t="s">
        <v>1501</v>
      </c>
      <c r="AD95" t="s">
        <v>1381</v>
      </c>
      <c r="AE95">
        <v>5.21</v>
      </c>
      <c r="AF95">
        <v>1.43</v>
      </c>
      <c r="AG95" s="243">
        <v>54089</v>
      </c>
      <c r="AH95">
        <v>0</v>
      </c>
      <c r="AI95" t="s">
        <v>520</v>
      </c>
      <c r="AJ95" t="s">
        <v>1505</v>
      </c>
      <c r="AK95" t="s">
        <v>1288</v>
      </c>
      <c r="AL95">
        <v>9.2899999999999991</v>
      </c>
      <c r="AM95" t="s">
        <v>520</v>
      </c>
      <c r="AN95" s="243">
        <v>349586.45</v>
      </c>
      <c r="AO95">
        <v>909000</v>
      </c>
      <c r="AP95">
        <v>38.46</v>
      </c>
      <c r="AQ95" t="s">
        <v>1504</v>
      </c>
      <c r="AR95" t="s">
        <v>1293</v>
      </c>
      <c r="AS95">
        <v>26.38</v>
      </c>
      <c r="AT95">
        <v>10.15</v>
      </c>
      <c r="AU95" s="243">
        <v>65834641.189999998</v>
      </c>
      <c r="AV95">
        <v>78240000</v>
      </c>
      <c r="AW95">
        <v>84.14</v>
      </c>
      <c r="AX95" t="s">
        <v>1529</v>
      </c>
      <c r="AY95" t="s">
        <v>1419</v>
      </c>
      <c r="AZ95">
        <v>45.29</v>
      </c>
      <c r="BA95">
        <v>38.11</v>
      </c>
      <c r="BB95" s="243">
        <v>6971378.7400000002</v>
      </c>
      <c r="BC95">
        <v>0</v>
      </c>
      <c r="BD95" t="s">
        <v>520</v>
      </c>
      <c r="BE95" t="s">
        <v>1505</v>
      </c>
      <c r="BF95" t="s">
        <v>1288</v>
      </c>
      <c r="BG95">
        <v>6.13</v>
      </c>
      <c r="BH95" t="s">
        <v>520</v>
      </c>
    </row>
    <row r="96" spans="1:60">
      <c r="A96">
        <v>243</v>
      </c>
      <c r="B96" t="s">
        <v>92</v>
      </c>
      <c r="C96" t="s">
        <v>526</v>
      </c>
      <c r="D96" t="s">
        <v>11</v>
      </c>
      <c r="E96" s="243">
        <v>15532929.699999999</v>
      </c>
      <c r="F96">
        <v>18150000</v>
      </c>
      <c r="G96">
        <v>85.58</v>
      </c>
      <c r="H96" t="s">
        <v>1518</v>
      </c>
      <c r="I96" t="s">
        <v>1463</v>
      </c>
      <c r="J96">
        <v>15.38</v>
      </c>
      <c r="K96">
        <v>13.16</v>
      </c>
      <c r="L96" s="243">
        <v>29351392</v>
      </c>
      <c r="M96">
        <v>33130000</v>
      </c>
      <c r="N96">
        <v>88.59</v>
      </c>
      <c r="O96" t="s">
        <v>1536</v>
      </c>
      <c r="P96" t="s">
        <v>1369</v>
      </c>
      <c r="Q96">
        <v>37.89</v>
      </c>
      <c r="R96">
        <v>33.57</v>
      </c>
      <c r="S96" s="243">
        <v>2226399</v>
      </c>
      <c r="T96">
        <v>4377000</v>
      </c>
      <c r="U96">
        <v>50.87</v>
      </c>
      <c r="V96" t="s">
        <v>1506</v>
      </c>
      <c r="W96" t="s">
        <v>1383</v>
      </c>
      <c r="X96">
        <v>3.82</v>
      </c>
      <c r="Y96">
        <v>1.94</v>
      </c>
      <c r="Z96" s="243">
        <v>306336</v>
      </c>
      <c r="AA96">
        <v>3418000</v>
      </c>
      <c r="AB96">
        <v>8.9600000000000009</v>
      </c>
      <c r="AC96" t="s">
        <v>1503</v>
      </c>
      <c r="AD96" t="s">
        <v>1350</v>
      </c>
      <c r="AE96">
        <v>0.13</v>
      </c>
      <c r="AF96">
        <v>0.01</v>
      </c>
      <c r="AG96" s="243">
        <v>28823</v>
      </c>
      <c r="AH96">
        <v>0</v>
      </c>
      <c r="AI96" t="s">
        <v>520</v>
      </c>
      <c r="AJ96" t="s">
        <v>1505</v>
      </c>
      <c r="AK96" t="s">
        <v>1288</v>
      </c>
      <c r="AL96">
        <v>6.76</v>
      </c>
      <c r="AM96" t="s">
        <v>520</v>
      </c>
      <c r="AN96" s="243">
        <v>3953666.77</v>
      </c>
      <c r="AO96">
        <v>695000</v>
      </c>
      <c r="AP96">
        <v>568.87</v>
      </c>
      <c r="AQ96" t="s">
        <v>1535</v>
      </c>
      <c r="AR96" t="s">
        <v>1401</v>
      </c>
      <c r="AS96">
        <v>0.77</v>
      </c>
      <c r="AT96">
        <v>4.37</v>
      </c>
      <c r="AU96" s="243">
        <v>51399546.469999999</v>
      </c>
      <c r="AV96">
        <v>59770000</v>
      </c>
      <c r="AW96">
        <v>86</v>
      </c>
      <c r="AX96" t="s">
        <v>1503</v>
      </c>
      <c r="AY96" t="s">
        <v>1337</v>
      </c>
      <c r="AZ96">
        <v>26.52</v>
      </c>
      <c r="BA96">
        <v>22.8</v>
      </c>
      <c r="BB96" s="243">
        <v>5424490.7000000002</v>
      </c>
      <c r="BC96">
        <v>0</v>
      </c>
      <c r="BD96" t="s">
        <v>520</v>
      </c>
      <c r="BE96" t="s">
        <v>1505</v>
      </c>
      <c r="BF96" t="s">
        <v>1288</v>
      </c>
      <c r="BG96">
        <v>7.41</v>
      </c>
      <c r="BH96" t="s">
        <v>520</v>
      </c>
    </row>
    <row r="97" spans="1:60">
      <c r="A97">
        <v>244</v>
      </c>
      <c r="B97" t="s">
        <v>29</v>
      </c>
      <c r="C97" t="s">
        <v>523</v>
      </c>
      <c r="D97" t="s">
        <v>11</v>
      </c>
      <c r="E97" s="243">
        <v>21554990.059999999</v>
      </c>
      <c r="F97">
        <v>20730000</v>
      </c>
      <c r="G97">
        <v>103.98</v>
      </c>
      <c r="H97" t="s">
        <v>1535</v>
      </c>
      <c r="I97" t="s">
        <v>1367</v>
      </c>
      <c r="J97">
        <v>20.48</v>
      </c>
      <c r="K97">
        <v>21.29</v>
      </c>
      <c r="L97" s="243">
        <v>37126314</v>
      </c>
      <c r="M97">
        <v>37840000</v>
      </c>
      <c r="N97">
        <v>98.11</v>
      </c>
      <c r="O97" t="s">
        <v>1503</v>
      </c>
      <c r="P97" t="s">
        <v>1328</v>
      </c>
      <c r="Q97">
        <v>62.7</v>
      </c>
      <c r="R97">
        <v>61.52</v>
      </c>
      <c r="S97" s="243">
        <v>5938692</v>
      </c>
      <c r="T97">
        <v>5308000</v>
      </c>
      <c r="U97">
        <v>111.88</v>
      </c>
      <c r="V97" t="s">
        <v>1541</v>
      </c>
      <c r="W97" t="s">
        <v>1431</v>
      </c>
      <c r="X97">
        <v>12.35</v>
      </c>
      <c r="Y97">
        <v>13.82</v>
      </c>
      <c r="Z97" s="243">
        <v>4366773</v>
      </c>
      <c r="AA97">
        <v>3589000</v>
      </c>
      <c r="AB97">
        <v>121.67</v>
      </c>
      <c r="AC97" t="s">
        <v>1541</v>
      </c>
      <c r="AD97" t="s">
        <v>1394</v>
      </c>
      <c r="AE97">
        <v>0.03</v>
      </c>
      <c r="AF97">
        <v>0.03</v>
      </c>
      <c r="AG97" s="243">
        <v>101302</v>
      </c>
      <c r="AH97">
        <v>0</v>
      </c>
      <c r="AI97" t="s">
        <v>520</v>
      </c>
      <c r="AJ97" t="s">
        <v>1505</v>
      </c>
      <c r="AK97" t="s">
        <v>1288</v>
      </c>
      <c r="AL97">
        <v>9.24</v>
      </c>
      <c r="AM97" t="s">
        <v>520</v>
      </c>
      <c r="AN97" s="243">
        <v>15531112.189999999</v>
      </c>
      <c r="AO97">
        <v>793000</v>
      </c>
      <c r="AP97">
        <v>1958.53</v>
      </c>
      <c r="AQ97" t="s">
        <v>1523</v>
      </c>
      <c r="AR97" t="s">
        <v>1318</v>
      </c>
      <c r="AS97">
        <v>27.72</v>
      </c>
      <c r="AT97">
        <v>542.80999999999995</v>
      </c>
      <c r="AU97" s="243">
        <v>84619183.25</v>
      </c>
      <c r="AV97">
        <v>68260000</v>
      </c>
      <c r="AW97">
        <v>123.97</v>
      </c>
      <c r="AX97" t="s">
        <v>1535</v>
      </c>
      <c r="AY97" t="s">
        <v>1316</v>
      </c>
      <c r="AZ97">
        <v>38.69</v>
      </c>
      <c r="BA97">
        <v>47.97</v>
      </c>
      <c r="BB97" s="243">
        <v>7062472.0599999996</v>
      </c>
      <c r="BC97">
        <v>0</v>
      </c>
      <c r="BD97" t="s">
        <v>520</v>
      </c>
      <c r="BE97" t="s">
        <v>1505</v>
      </c>
      <c r="BF97" t="s">
        <v>1288</v>
      </c>
      <c r="BG97">
        <v>9.51</v>
      </c>
      <c r="BH97" t="s">
        <v>520</v>
      </c>
    </row>
    <row r="98" spans="1:60">
      <c r="A98">
        <v>245</v>
      </c>
      <c r="B98" t="s">
        <v>93</v>
      </c>
      <c r="C98" t="s">
        <v>525</v>
      </c>
      <c r="D98" t="s">
        <v>11</v>
      </c>
      <c r="E98" s="243">
        <v>9017197.5800000001</v>
      </c>
      <c r="F98">
        <v>14670000</v>
      </c>
      <c r="G98">
        <v>61.47</v>
      </c>
      <c r="H98" t="s">
        <v>1532</v>
      </c>
      <c r="I98" t="s">
        <v>1339</v>
      </c>
      <c r="J98">
        <v>17.55</v>
      </c>
      <c r="K98">
        <v>10.79</v>
      </c>
      <c r="L98" s="243">
        <v>32003933</v>
      </c>
      <c r="M98">
        <v>26780000</v>
      </c>
      <c r="N98">
        <v>119.51</v>
      </c>
      <c r="O98" t="s">
        <v>1515</v>
      </c>
      <c r="P98" t="s">
        <v>1441</v>
      </c>
      <c r="Q98">
        <v>37.54</v>
      </c>
      <c r="R98">
        <v>44.87</v>
      </c>
      <c r="S98" s="243">
        <v>2409570</v>
      </c>
      <c r="T98">
        <v>2636000</v>
      </c>
      <c r="U98">
        <v>91.41</v>
      </c>
      <c r="V98" t="s">
        <v>1517</v>
      </c>
      <c r="W98" t="s">
        <v>1375</v>
      </c>
      <c r="X98">
        <v>0.04</v>
      </c>
      <c r="Y98">
        <v>0.03</v>
      </c>
      <c r="Z98" s="243">
        <v>3219855</v>
      </c>
      <c r="AA98">
        <v>3663000</v>
      </c>
      <c r="AB98">
        <v>87.9</v>
      </c>
      <c r="AC98" t="s">
        <v>1535</v>
      </c>
      <c r="AD98" t="s">
        <v>1401</v>
      </c>
      <c r="AE98">
        <v>0.9</v>
      </c>
      <c r="AF98">
        <v>0.79</v>
      </c>
      <c r="AG98" s="243">
        <v>27318</v>
      </c>
      <c r="AH98">
        <v>0</v>
      </c>
      <c r="AI98" t="s">
        <v>520</v>
      </c>
      <c r="AJ98" t="s">
        <v>1505</v>
      </c>
      <c r="AK98" t="s">
        <v>1288</v>
      </c>
      <c r="AL98">
        <v>10.210000000000001</v>
      </c>
      <c r="AM98" t="s">
        <v>520</v>
      </c>
      <c r="AN98" s="243">
        <v>903138.91</v>
      </c>
      <c r="AO98">
        <v>561000</v>
      </c>
      <c r="AP98">
        <v>160.99</v>
      </c>
      <c r="AQ98" t="s">
        <v>1538</v>
      </c>
      <c r="AR98" t="s">
        <v>1358</v>
      </c>
      <c r="AS98">
        <v>0.4</v>
      </c>
      <c r="AT98">
        <v>0.65</v>
      </c>
      <c r="AU98" s="243">
        <v>47581012.490000002</v>
      </c>
      <c r="AV98">
        <v>48310000</v>
      </c>
      <c r="AW98">
        <v>98.49</v>
      </c>
      <c r="AX98" t="s">
        <v>1501</v>
      </c>
      <c r="AY98" t="s">
        <v>1314</v>
      </c>
      <c r="AZ98">
        <v>28.66</v>
      </c>
      <c r="BA98">
        <v>28.22</v>
      </c>
      <c r="BB98" s="243">
        <v>2621476.58</v>
      </c>
      <c r="BC98">
        <v>0</v>
      </c>
      <c r="BD98" t="s">
        <v>520</v>
      </c>
      <c r="BE98" t="s">
        <v>1505</v>
      </c>
      <c r="BF98" t="s">
        <v>1288</v>
      </c>
      <c r="BG98">
        <v>10.28</v>
      </c>
      <c r="BH98" t="s">
        <v>520</v>
      </c>
    </row>
    <row r="99" spans="1:60">
      <c r="A99">
        <v>246</v>
      </c>
      <c r="B99" t="s">
        <v>178</v>
      </c>
      <c r="C99" t="s">
        <v>524</v>
      </c>
      <c r="D99" t="s">
        <v>11</v>
      </c>
      <c r="E99" s="243">
        <v>16597688.42</v>
      </c>
      <c r="F99">
        <v>15270000</v>
      </c>
      <c r="G99">
        <v>108.69</v>
      </c>
      <c r="H99" t="s">
        <v>1541</v>
      </c>
      <c r="I99" t="s">
        <v>1309</v>
      </c>
      <c r="J99">
        <v>18.97</v>
      </c>
      <c r="K99">
        <v>20.62</v>
      </c>
      <c r="L99" s="243">
        <v>27860606</v>
      </c>
      <c r="M99">
        <v>27880000</v>
      </c>
      <c r="N99">
        <v>99.93</v>
      </c>
      <c r="O99" t="s">
        <v>1522</v>
      </c>
      <c r="P99" t="s">
        <v>1353</v>
      </c>
      <c r="Q99">
        <v>49.94</v>
      </c>
      <c r="R99">
        <v>49.9</v>
      </c>
      <c r="S99" s="243">
        <v>871971</v>
      </c>
      <c r="T99">
        <v>2935000</v>
      </c>
      <c r="U99">
        <v>29.71</v>
      </c>
      <c r="V99" t="s">
        <v>1531</v>
      </c>
      <c r="W99" t="s">
        <v>1353</v>
      </c>
      <c r="X99">
        <v>17.579999999999998</v>
      </c>
      <c r="Y99">
        <v>5.22</v>
      </c>
      <c r="Z99" s="243">
        <v>4507029</v>
      </c>
      <c r="AA99">
        <v>3620000</v>
      </c>
      <c r="AB99">
        <v>124.5</v>
      </c>
      <c r="AC99" t="s">
        <v>1523</v>
      </c>
      <c r="AD99" t="s">
        <v>1408</v>
      </c>
      <c r="AE99">
        <v>0.02</v>
      </c>
      <c r="AF99">
        <v>0.02</v>
      </c>
      <c r="AG99" s="243">
        <v>23685</v>
      </c>
      <c r="AH99">
        <v>0</v>
      </c>
      <c r="AI99" t="s">
        <v>520</v>
      </c>
      <c r="AJ99" t="s">
        <v>1505</v>
      </c>
      <c r="AK99" t="s">
        <v>1288</v>
      </c>
      <c r="AL99">
        <v>17.899999999999999</v>
      </c>
      <c r="AM99" t="s">
        <v>520</v>
      </c>
      <c r="AN99" s="243">
        <v>8170.43</v>
      </c>
      <c r="AO99">
        <v>585000</v>
      </c>
      <c r="AP99">
        <v>1.4</v>
      </c>
      <c r="AQ99" t="s">
        <v>1507</v>
      </c>
      <c r="AR99" t="s">
        <v>1308</v>
      </c>
      <c r="AS99">
        <v>100</v>
      </c>
      <c r="AT99">
        <v>1.4</v>
      </c>
      <c r="AU99" s="243">
        <v>49869149.850000001</v>
      </c>
      <c r="AV99">
        <v>50290000</v>
      </c>
      <c r="AW99">
        <v>99.16</v>
      </c>
      <c r="AX99" t="s">
        <v>1539</v>
      </c>
      <c r="AY99" t="s">
        <v>1305</v>
      </c>
      <c r="AZ99">
        <v>34.549999999999997</v>
      </c>
      <c r="BA99">
        <v>34.26</v>
      </c>
      <c r="BB99" s="243">
        <v>5023640.42</v>
      </c>
      <c r="BC99">
        <v>0</v>
      </c>
      <c r="BD99" t="s">
        <v>520</v>
      </c>
      <c r="BE99" t="s">
        <v>1505</v>
      </c>
      <c r="BF99" t="s">
        <v>1288</v>
      </c>
      <c r="BG99">
        <v>11.33</v>
      </c>
      <c r="BH99" t="s">
        <v>520</v>
      </c>
    </row>
    <row r="100" spans="1:60">
      <c r="A100">
        <v>247</v>
      </c>
      <c r="B100" t="s">
        <v>179</v>
      </c>
      <c r="C100" t="s">
        <v>523</v>
      </c>
      <c r="D100" t="s">
        <v>11</v>
      </c>
      <c r="E100" s="243">
        <v>12776050.289999999</v>
      </c>
      <c r="F100">
        <v>16310000</v>
      </c>
      <c r="G100">
        <v>78.33</v>
      </c>
      <c r="H100" t="s">
        <v>1522</v>
      </c>
      <c r="I100" t="s">
        <v>1380</v>
      </c>
      <c r="J100">
        <v>10.11</v>
      </c>
      <c r="K100">
        <v>7.92</v>
      </c>
      <c r="L100" s="243">
        <v>39170945</v>
      </c>
      <c r="M100">
        <v>29780000</v>
      </c>
      <c r="N100">
        <v>131.53</v>
      </c>
      <c r="O100" t="s">
        <v>1506</v>
      </c>
      <c r="P100" t="s">
        <v>1289</v>
      </c>
      <c r="Q100">
        <v>39.06</v>
      </c>
      <c r="R100">
        <v>51.37</v>
      </c>
      <c r="S100" s="243">
        <v>258974</v>
      </c>
      <c r="T100">
        <v>4313000</v>
      </c>
      <c r="U100">
        <v>6</v>
      </c>
      <c r="V100" t="s">
        <v>1533</v>
      </c>
      <c r="W100" t="s">
        <v>1307</v>
      </c>
      <c r="X100">
        <v>8.8699999999999992</v>
      </c>
      <c r="Y100">
        <v>0.53</v>
      </c>
      <c r="Z100" s="243">
        <v>1212319</v>
      </c>
      <c r="AA100">
        <v>2703000</v>
      </c>
      <c r="AB100">
        <v>44.85</v>
      </c>
      <c r="AC100" t="s">
        <v>1540</v>
      </c>
      <c r="AD100" t="s">
        <v>1466</v>
      </c>
      <c r="AE100">
        <v>0.01</v>
      </c>
      <c r="AF100">
        <v>0</v>
      </c>
      <c r="AG100" s="243">
        <v>26413</v>
      </c>
      <c r="AH100">
        <v>0</v>
      </c>
      <c r="AI100" t="s">
        <v>520</v>
      </c>
      <c r="AJ100" t="s">
        <v>1505</v>
      </c>
      <c r="AK100" t="s">
        <v>1288</v>
      </c>
      <c r="AL100">
        <v>14.02</v>
      </c>
      <c r="AM100" t="s">
        <v>520</v>
      </c>
      <c r="AN100" s="243">
        <v>1509395.65</v>
      </c>
      <c r="AO100">
        <v>624000</v>
      </c>
      <c r="AP100">
        <v>241.89</v>
      </c>
      <c r="AQ100" t="s">
        <v>1539</v>
      </c>
      <c r="AR100" t="s">
        <v>1370</v>
      </c>
      <c r="AS100">
        <v>19.13</v>
      </c>
      <c r="AT100">
        <v>46.28</v>
      </c>
      <c r="AU100" s="243">
        <v>54954096.939999998</v>
      </c>
      <c r="AV100">
        <v>53730000</v>
      </c>
      <c r="AW100">
        <v>102.28</v>
      </c>
      <c r="AX100" t="s">
        <v>1515</v>
      </c>
      <c r="AY100" t="s">
        <v>1381</v>
      </c>
      <c r="AZ100">
        <v>30.76</v>
      </c>
      <c r="BA100">
        <v>31.46</v>
      </c>
      <c r="BB100" s="243">
        <v>4102281.29</v>
      </c>
      <c r="BC100">
        <v>0</v>
      </c>
      <c r="BD100" t="s">
        <v>520</v>
      </c>
      <c r="BE100" t="s">
        <v>1505</v>
      </c>
      <c r="BF100" t="s">
        <v>1288</v>
      </c>
      <c r="BG100">
        <v>7.39</v>
      </c>
      <c r="BH100" t="s">
        <v>520</v>
      </c>
    </row>
    <row r="101" spans="1:60">
      <c r="A101">
        <v>248</v>
      </c>
      <c r="B101" t="s">
        <v>94</v>
      </c>
      <c r="C101" t="s">
        <v>525</v>
      </c>
      <c r="D101" t="s">
        <v>11</v>
      </c>
      <c r="E101" s="243">
        <v>13588128.83</v>
      </c>
      <c r="F101">
        <v>16370000</v>
      </c>
      <c r="G101">
        <v>83.01</v>
      </c>
      <c r="H101" t="s">
        <v>1538</v>
      </c>
      <c r="I101" t="s">
        <v>1428</v>
      </c>
      <c r="J101">
        <v>13.15</v>
      </c>
      <c r="K101">
        <v>10.92</v>
      </c>
      <c r="L101" s="243">
        <v>25806173</v>
      </c>
      <c r="M101">
        <v>29880000</v>
      </c>
      <c r="N101">
        <v>86.37</v>
      </c>
      <c r="O101" t="s">
        <v>1520</v>
      </c>
      <c r="P101" t="s">
        <v>1368</v>
      </c>
      <c r="Q101">
        <v>66.849999999999994</v>
      </c>
      <c r="R101">
        <v>57.74</v>
      </c>
      <c r="S101" s="243">
        <v>1030750</v>
      </c>
      <c r="T101">
        <v>3475000</v>
      </c>
      <c r="U101">
        <v>29.66</v>
      </c>
      <c r="V101" t="s">
        <v>1534</v>
      </c>
      <c r="W101" t="s">
        <v>1462</v>
      </c>
      <c r="X101">
        <v>41.26</v>
      </c>
      <c r="Y101">
        <v>12.24</v>
      </c>
      <c r="Z101" s="243">
        <v>156941</v>
      </c>
      <c r="AA101">
        <v>3558000</v>
      </c>
      <c r="AB101">
        <v>4.41</v>
      </c>
      <c r="AC101" t="s">
        <v>1536</v>
      </c>
      <c r="AD101" t="s">
        <v>1368</v>
      </c>
      <c r="AE101">
        <v>0.03</v>
      </c>
      <c r="AF101">
        <v>0</v>
      </c>
      <c r="AG101" s="243">
        <v>32769</v>
      </c>
      <c r="AH101">
        <v>0</v>
      </c>
      <c r="AI101" t="s">
        <v>520</v>
      </c>
      <c r="AJ101" t="s">
        <v>1505</v>
      </c>
      <c r="AK101" t="s">
        <v>1288</v>
      </c>
      <c r="AL101">
        <v>14.68</v>
      </c>
      <c r="AM101" t="s">
        <v>520</v>
      </c>
      <c r="AN101" s="243">
        <v>2476418.5699999998</v>
      </c>
      <c r="AO101">
        <v>627000</v>
      </c>
      <c r="AP101">
        <v>394.96</v>
      </c>
      <c r="AQ101" t="s">
        <v>1506</v>
      </c>
      <c r="AR101" t="s">
        <v>1391</v>
      </c>
      <c r="AS101">
        <v>28.83</v>
      </c>
      <c r="AT101">
        <v>113.86</v>
      </c>
      <c r="AU101" s="243">
        <v>43091180.399999999</v>
      </c>
      <c r="AV101">
        <v>53910000</v>
      </c>
      <c r="AW101">
        <v>79.930000000000007</v>
      </c>
      <c r="AX101" t="s">
        <v>1530</v>
      </c>
      <c r="AY101" t="s">
        <v>1458</v>
      </c>
      <c r="AZ101">
        <v>46.84</v>
      </c>
      <c r="BA101">
        <v>37.44</v>
      </c>
      <c r="BB101" s="243">
        <v>4399743.83</v>
      </c>
      <c r="BC101">
        <v>0</v>
      </c>
      <c r="BD101" t="s">
        <v>520</v>
      </c>
      <c r="BE101" t="s">
        <v>1505</v>
      </c>
      <c r="BF101" t="s">
        <v>1288</v>
      </c>
      <c r="BG101">
        <v>5.71</v>
      </c>
      <c r="BH101" t="s">
        <v>520</v>
      </c>
    </row>
    <row r="102" spans="1:60">
      <c r="A102">
        <v>249</v>
      </c>
      <c r="B102" t="s">
        <v>30</v>
      </c>
      <c r="C102" t="s">
        <v>527</v>
      </c>
      <c r="D102" t="s">
        <v>11</v>
      </c>
      <c r="E102" s="243">
        <v>10970591.08</v>
      </c>
      <c r="F102">
        <v>11090000</v>
      </c>
      <c r="G102">
        <v>98.92</v>
      </c>
      <c r="H102" t="s">
        <v>1517</v>
      </c>
      <c r="I102" t="s">
        <v>1456</v>
      </c>
      <c r="J102">
        <v>20.350000000000001</v>
      </c>
      <c r="K102">
        <v>20.13</v>
      </c>
      <c r="L102" s="243">
        <v>32423739</v>
      </c>
      <c r="M102">
        <v>20240000</v>
      </c>
      <c r="N102">
        <v>160.19999999999999</v>
      </c>
      <c r="O102" t="s">
        <v>1541</v>
      </c>
      <c r="P102" t="s">
        <v>1416</v>
      </c>
      <c r="Q102">
        <v>86.49</v>
      </c>
      <c r="R102">
        <v>138.55000000000001</v>
      </c>
      <c r="S102" s="243">
        <v>410406</v>
      </c>
      <c r="T102">
        <v>2258000</v>
      </c>
      <c r="U102">
        <v>18.18</v>
      </c>
      <c r="V102" t="s">
        <v>1520</v>
      </c>
      <c r="W102" t="s">
        <v>1364</v>
      </c>
      <c r="X102">
        <v>31.72</v>
      </c>
      <c r="Y102">
        <v>5.77</v>
      </c>
      <c r="Z102" s="243">
        <v>1077372</v>
      </c>
      <c r="AA102">
        <v>2498000</v>
      </c>
      <c r="AB102">
        <v>43.13</v>
      </c>
      <c r="AC102" t="s">
        <v>1506</v>
      </c>
      <c r="AD102" t="s">
        <v>1323</v>
      </c>
      <c r="AE102">
        <v>0.06</v>
      </c>
      <c r="AF102">
        <v>0.02</v>
      </c>
      <c r="AG102" s="243">
        <v>23299</v>
      </c>
      <c r="AH102">
        <v>0</v>
      </c>
      <c r="AI102" t="s">
        <v>520</v>
      </c>
      <c r="AJ102" t="s">
        <v>1505</v>
      </c>
      <c r="AK102" t="s">
        <v>1288</v>
      </c>
      <c r="AL102">
        <v>7.05</v>
      </c>
      <c r="AM102" t="s">
        <v>520</v>
      </c>
      <c r="AN102" s="243">
        <v>1512885.74</v>
      </c>
      <c r="AO102">
        <v>424000</v>
      </c>
      <c r="AP102">
        <v>356.81</v>
      </c>
      <c r="AQ102" t="s">
        <v>1528</v>
      </c>
      <c r="AR102" t="s">
        <v>1457</v>
      </c>
      <c r="AS102">
        <v>0.14000000000000001</v>
      </c>
      <c r="AT102">
        <v>0.49</v>
      </c>
      <c r="AU102" s="243">
        <v>46418292.82</v>
      </c>
      <c r="AV102">
        <v>36510000</v>
      </c>
      <c r="AW102">
        <v>127.14</v>
      </c>
      <c r="AX102" t="s">
        <v>1523</v>
      </c>
      <c r="AY102" t="s">
        <v>1349</v>
      </c>
      <c r="AZ102">
        <v>65.510000000000005</v>
      </c>
      <c r="BA102">
        <v>83.29</v>
      </c>
      <c r="BB102" s="243">
        <v>3043233.08</v>
      </c>
      <c r="BC102">
        <v>0</v>
      </c>
      <c r="BD102" t="s">
        <v>520</v>
      </c>
      <c r="BE102" t="s">
        <v>1505</v>
      </c>
      <c r="BF102" t="s">
        <v>1288</v>
      </c>
      <c r="BG102">
        <v>6.55</v>
      </c>
      <c r="BH102" t="s">
        <v>520</v>
      </c>
    </row>
    <row r="103" spans="1:60">
      <c r="A103">
        <v>250</v>
      </c>
      <c r="B103" t="s">
        <v>180</v>
      </c>
      <c r="C103" t="s">
        <v>527</v>
      </c>
      <c r="D103" t="s">
        <v>11</v>
      </c>
      <c r="E103" s="243">
        <v>4008653.52</v>
      </c>
      <c r="F103">
        <v>9420000</v>
      </c>
      <c r="G103">
        <v>42.55</v>
      </c>
      <c r="H103" t="s">
        <v>1507</v>
      </c>
      <c r="I103" t="s">
        <v>1360</v>
      </c>
      <c r="J103">
        <v>20.85</v>
      </c>
      <c r="K103">
        <v>8.8699999999999992</v>
      </c>
      <c r="L103" s="243">
        <v>26404752</v>
      </c>
      <c r="M103">
        <v>17200000</v>
      </c>
      <c r="N103">
        <v>153.52000000000001</v>
      </c>
      <c r="O103" t="s">
        <v>1535</v>
      </c>
      <c r="P103" t="s">
        <v>1398</v>
      </c>
      <c r="Q103">
        <v>66.819999999999993</v>
      </c>
      <c r="R103">
        <v>102.59</v>
      </c>
      <c r="S103" s="243">
        <v>853781</v>
      </c>
      <c r="T103">
        <v>624000</v>
      </c>
      <c r="U103">
        <v>136.82</v>
      </c>
      <c r="V103" t="s">
        <v>1523</v>
      </c>
      <c r="W103" t="s">
        <v>1408</v>
      </c>
      <c r="X103">
        <v>5.14</v>
      </c>
      <c r="Y103">
        <v>7.03</v>
      </c>
      <c r="Z103" s="243">
        <v>606580</v>
      </c>
      <c r="AA103">
        <v>3425000</v>
      </c>
      <c r="AB103">
        <v>17.71</v>
      </c>
      <c r="AC103" t="s">
        <v>1531</v>
      </c>
      <c r="AD103" t="s">
        <v>1314</v>
      </c>
      <c r="AE103">
        <v>0.54</v>
      </c>
      <c r="AF103">
        <v>0.09</v>
      </c>
      <c r="AG103" s="243">
        <v>24897</v>
      </c>
      <c r="AH103">
        <v>0</v>
      </c>
      <c r="AI103" t="s">
        <v>520</v>
      </c>
      <c r="AJ103" t="s">
        <v>1505</v>
      </c>
      <c r="AK103" t="s">
        <v>1288</v>
      </c>
      <c r="AL103">
        <v>1.05</v>
      </c>
      <c r="AM103" t="s">
        <v>520</v>
      </c>
      <c r="AN103" s="243">
        <v>131324.07999999999</v>
      </c>
      <c r="AO103">
        <v>361000</v>
      </c>
      <c r="AP103">
        <v>36.380000000000003</v>
      </c>
      <c r="AQ103" t="s">
        <v>1530</v>
      </c>
      <c r="AR103" t="s">
        <v>1443</v>
      </c>
      <c r="AS103">
        <v>0</v>
      </c>
      <c r="AT103">
        <v>0</v>
      </c>
      <c r="AU103" s="243">
        <v>32029987.600000001</v>
      </c>
      <c r="AV103">
        <v>31030000</v>
      </c>
      <c r="AW103">
        <v>103.22</v>
      </c>
      <c r="AX103" t="s">
        <v>1528</v>
      </c>
      <c r="AY103" t="s">
        <v>1377</v>
      </c>
      <c r="AZ103">
        <v>57.85</v>
      </c>
      <c r="BA103">
        <v>59.71</v>
      </c>
      <c r="BB103" s="243">
        <v>1511608.52</v>
      </c>
      <c r="BC103">
        <v>0</v>
      </c>
      <c r="BD103" t="s">
        <v>520</v>
      </c>
      <c r="BE103" t="s">
        <v>1505</v>
      </c>
      <c r="BF103" t="s">
        <v>1288</v>
      </c>
      <c r="BG103">
        <v>16.47</v>
      </c>
      <c r="BH103" t="s">
        <v>520</v>
      </c>
    </row>
    <row r="104" spans="1:60">
      <c r="A104">
        <v>251</v>
      </c>
      <c r="B104" t="s">
        <v>181</v>
      </c>
      <c r="C104" t="s">
        <v>526</v>
      </c>
      <c r="D104" t="s">
        <v>11</v>
      </c>
      <c r="E104" s="243">
        <v>4530756.45</v>
      </c>
      <c r="F104">
        <v>11010000</v>
      </c>
      <c r="G104">
        <v>41.15</v>
      </c>
      <c r="H104" t="s">
        <v>1502</v>
      </c>
      <c r="I104" t="s">
        <v>1468</v>
      </c>
      <c r="J104">
        <v>7.99</v>
      </c>
      <c r="K104">
        <v>3.29</v>
      </c>
      <c r="L104" s="243">
        <v>26762881</v>
      </c>
      <c r="M104">
        <v>20100000</v>
      </c>
      <c r="N104">
        <v>133.15</v>
      </c>
      <c r="O104" t="s">
        <v>1540</v>
      </c>
      <c r="P104" t="s">
        <v>1390</v>
      </c>
      <c r="Q104">
        <v>46</v>
      </c>
      <c r="R104">
        <v>61.24</v>
      </c>
      <c r="S104" s="243">
        <v>176431</v>
      </c>
      <c r="T104">
        <v>2451000</v>
      </c>
      <c r="U104">
        <v>7.2</v>
      </c>
      <c r="V104" t="s">
        <v>1516</v>
      </c>
      <c r="W104" t="s">
        <v>1407</v>
      </c>
      <c r="X104">
        <v>6.63</v>
      </c>
      <c r="Y104">
        <v>0.48</v>
      </c>
      <c r="Z104" s="243">
        <v>24111</v>
      </c>
      <c r="AA104">
        <v>2268000</v>
      </c>
      <c r="AB104">
        <v>1.06</v>
      </c>
      <c r="AC104" t="s">
        <v>1533</v>
      </c>
      <c r="AD104" t="s">
        <v>1407</v>
      </c>
      <c r="AE104">
        <v>1.65</v>
      </c>
      <c r="AF104">
        <v>0.02</v>
      </c>
      <c r="AG104" s="243">
        <v>15846</v>
      </c>
      <c r="AH104">
        <v>0</v>
      </c>
      <c r="AI104" t="s">
        <v>520</v>
      </c>
      <c r="AJ104" t="s">
        <v>1505</v>
      </c>
      <c r="AK104" t="s">
        <v>1288</v>
      </c>
      <c r="AL104">
        <v>4.18</v>
      </c>
      <c r="AM104" t="s">
        <v>520</v>
      </c>
      <c r="AN104" s="243">
        <v>72499.929999999993</v>
      </c>
      <c r="AO104">
        <v>421000</v>
      </c>
      <c r="AP104">
        <v>17.22</v>
      </c>
      <c r="AQ104" t="s">
        <v>1533</v>
      </c>
      <c r="AR104" t="s">
        <v>1439</v>
      </c>
      <c r="AS104">
        <v>62.7</v>
      </c>
      <c r="AT104">
        <v>10.8</v>
      </c>
      <c r="AU104" s="243">
        <v>31582525.379999999</v>
      </c>
      <c r="AV104">
        <v>36250000</v>
      </c>
      <c r="AW104">
        <v>87.12</v>
      </c>
      <c r="AX104" t="s">
        <v>1522</v>
      </c>
      <c r="AY104" t="s">
        <v>1302</v>
      </c>
      <c r="AZ104">
        <v>40.31</v>
      </c>
      <c r="BA104">
        <v>35.119999999999997</v>
      </c>
      <c r="BB104" s="243">
        <v>1585847.45</v>
      </c>
      <c r="BC104">
        <v>0</v>
      </c>
      <c r="BD104" t="s">
        <v>520</v>
      </c>
      <c r="BE104" t="s">
        <v>1505</v>
      </c>
      <c r="BF104" t="s">
        <v>1288</v>
      </c>
      <c r="BG104">
        <v>4.45</v>
      </c>
      <c r="BH104" t="s">
        <v>520</v>
      </c>
    </row>
    <row r="105" spans="1:60">
      <c r="A105">
        <v>252</v>
      </c>
      <c r="B105" t="s">
        <v>95</v>
      </c>
      <c r="C105" t="s">
        <v>522</v>
      </c>
      <c r="D105" t="s">
        <v>11</v>
      </c>
      <c r="E105" s="243">
        <v>12316982.640000001</v>
      </c>
      <c r="F105">
        <v>15290000</v>
      </c>
      <c r="G105">
        <v>80.56</v>
      </c>
      <c r="H105" t="s">
        <v>1534</v>
      </c>
      <c r="I105" t="s">
        <v>1440</v>
      </c>
      <c r="J105">
        <v>20.68</v>
      </c>
      <c r="K105">
        <v>16.66</v>
      </c>
      <c r="L105" s="243">
        <v>20634141</v>
      </c>
      <c r="M105">
        <v>27910000</v>
      </c>
      <c r="N105">
        <v>73.930000000000007</v>
      </c>
      <c r="O105" t="s">
        <v>1521</v>
      </c>
      <c r="P105" t="s">
        <v>1333</v>
      </c>
      <c r="Q105">
        <v>57.22</v>
      </c>
      <c r="R105">
        <v>42.3</v>
      </c>
      <c r="S105" s="243">
        <v>759978</v>
      </c>
      <c r="T105">
        <v>461000</v>
      </c>
      <c r="U105">
        <v>164.85</v>
      </c>
      <c r="V105" t="s">
        <v>1505</v>
      </c>
      <c r="W105" t="s">
        <v>1357</v>
      </c>
      <c r="X105">
        <v>7.11</v>
      </c>
      <c r="Y105">
        <v>11.72</v>
      </c>
      <c r="Z105" s="243">
        <v>1764220</v>
      </c>
      <c r="AA105">
        <v>6094000</v>
      </c>
      <c r="AB105">
        <v>28.95</v>
      </c>
      <c r="AC105" t="s">
        <v>1539</v>
      </c>
      <c r="AD105" t="s">
        <v>1453</v>
      </c>
      <c r="AE105">
        <v>2.3199999999999998</v>
      </c>
      <c r="AF105">
        <v>0.67</v>
      </c>
      <c r="AG105" s="243">
        <v>33822</v>
      </c>
      <c r="AH105">
        <v>0</v>
      </c>
      <c r="AI105" t="s">
        <v>520</v>
      </c>
      <c r="AJ105" t="s">
        <v>1505</v>
      </c>
      <c r="AK105" t="s">
        <v>1288</v>
      </c>
      <c r="AL105">
        <v>16.7</v>
      </c>
      <c r="AM105" t="s">
        <v>520</v>
      </c>
      <c r="AN105" s="243">
        <v>364771.39</v>
      </c>
      <c r="AO105">
        <v>585000</v>
      </c>
      <c r="AP105">
        <v>62.35</v>
      </c>
      <c r="AQ105" t="s">
        <v>1503</v>
      </c>
      <c r="AR105" t="s">
        <v>1302</v>
      </c>
      <c r="AS105">
        <v>7.57</v>
      </c>
      <c r="AT105">
        <v>4.72</v>
      </c>
      <c r="AU105" s="243">
        <v>35873915.030000001</v>
      </c>
      <c r="AV105">
        <v>50340000</v>
      </c>
      <c r="AW105">
        <v>71.260000000000005</v>
      </c>
      <c r="AX105" t="s">
        <v>1532</v>
      </c>
      <c r="AY105" t="s">
        <v>1397</v>
      </c>
      <c r="AZ105">
        <v>40.369999999999997</v>
      </c>
      <c r="BA105">
        <v>28.77</v>
      </c>
      <c r="BB105" s="243">
        <v>3530807.64</v>
      </c>
      <c r="BC105">
        <v>0</v>
      </c>
      <c r="BD105" t="s">
        <v>520</v>
      </c>
      <c r="BE105" t="s">
        <v>1505</v>
      </c>
      <c r="BF105" t="s">
        <v>1288</v>
      </c>
      <c r="BG105">
        <v>13.18</v>
      </c>
      <c r="BH105" t="s">
        <v>520</v>
      </c>
    </row>
    <row r="106" spans="1:60">
      <c r="A106">
        <v>260</v>
      </c>
      <c r="B106" t="s">
        <v>96</v>
      </c>
      <c r="C106" t="s">
        <v>525</v>
      </c>
      <c r="D106" t="s">
        <v>11</v>
      </c>
      <c r="E106" s="243">
        <v>14471683.76</v>
      </c>
      <c r="F106">
        <v>19420000</v>
      </c>
      <c r="G106">
        <v>74.52</v>
      </c>
      <c r="H106" t="s">
        <v>1504</v>
      </c>
      <c r="I106" t="s">
        <v>1296</v>
      </c>
      <c r="J106">
        <v>15.7</v>
      </c>
      <c r="K106">
        <v>11.7</v>
      </c>
      <c r="L106" s="243">
        <v>49061672</v>
      </c>
      <c r="M106">
        <v>35460000</v>
      </c>
      <c r="N106">
        <v>138.36000000000001</v>
      </c>
      <c r="O106" t="s">
        <v>1527</v>
      </c>
      <c r="P106" t="s">
        <v>1300</v>
      </c>
      <c r="Q106">
        <v>35.06</v>
      </c>
      <c r="R106">
        <v>48.51</v>
      </c>
      <c r="S106" s="243">
        <v>2727103</v>
      </c>
      <c r="T106">
        <v>4095000</v>
      </c>
      <c r="U106">
        <v>66.599999999999994</v>
      </c>
      <c r="V106" t="s">
        <v>1525</v>
      </c>
      <c r="W106" t="s">
        <v>1390</v>
      </c>
      <c r="X106">
        <v>7.47</v>
      </c>
      <c r="Y106">
        <v>4.9800000000000004</v>
      </c>
      <c r="Z106" s="243">
        <v>712976</v>
      </c>
      <c r="AA106">
        <v>4252000</v>
      </c>
      <c r="AB106">
        <v>16.77</v>
      </c>
      <c r="AC106" t="s">
        <v>1534</v>
      </c>
      <c r="AD106" t="s">
        <v>1319</v>
      </c>
      <c r="AE106">
        <v>0.09</v>
      </c>
      <c r="AF106">
        <v>0.02</v>
      </c>
      <c r="AG106" s="243">
        <v>48709</v>
      </c>
      <c r="AH106">
        <v>0</v>
      </c>
      <c r="AI106" t="s">
        <v>520</v>
      </c>
      <c r="AJ106" t="s">
        <v>1505</v>
      </c>
      <c r="AK106" t="s">
        <v>1288</v>
      </c>
      <c r="AL106">
        <v>6.89</v>
      </c>
      <c r="AM106" t="s">
        <v>520</v>
      </c>
      <c r="AN106" s="243">
        <v>315697.89</v>
      </c>
      <c r="AO106">
        <v>743000</v>
      </c>
      <c r="AP106">
        <v>42.49</v>
      </c>
      <c r="AQ106" t="s">
        <v>1526</v>
      </c>
      <c r="AR106" t="s">
        <v>1419</v>
      </c>
      <c r="AS106">
        <v>1.48</v>
      </c>
      <c r="AT106">
        <v>0.63</v>
      </c>
      <c r="AU106" s="243">
        <v>67337841.650000006</v>
      </c>
      <c r="AV106">
        <v>63970000</v>
      </c>
      <c r="AW106">
        <v>105.26</v>
      </c>
      <c r="AX106" t="s">
        <v>1540</v>
      </c>
      <c r="AY106" t="s">
        <v>1289</v>
      </c>
      <c r="AZ106">
        <v>29.24</v>
      </c>
      <c r="BA106">
        <v>30.78</v>
      </c>
      <c r="BB106" s="243">
        <v>5230132.76</v>
      </c>
      <c r="BC106">
        <v>0</v>
      </c>
      <c r="BD106" t="s">
        <v>520</v>
      </c>
      <c r="BE106" t="s">
        <v>1505</v>
      </c>
      <c r="BF106" t="s">
        <v>1288</v>
      </c>
      <c r="BG106">
        <v>8.5500000000000007</v>
      </c>
      <c r="BH106" t="s">
        <v>520</v>
      </c>
    </row>
    <row r="107" spans="1:60">
      <c r="A107">
        <v>262</v>
      </c>
      <c r="B107" t="s">
        <v>97</v>
      </c>
      <c r="C107" t="s">
        <v>523</v>
      </c>
      <c r="D107" t="s">
        <v>11</v>
      </c>
      <c r="E107" s="243">
        <v>11870575.050000001</v>
      </c>
      <c r="F107">
        <v>14460000</v>
      </c>
      <c r="G107">
        <v>82.09</v>
      </c>
      <c r="H107" t="s">
        <v>1519</v>
      </c>
      <c r="I107" t="s">
        <v>1331</v>
      </c>
      <c r="J107">
        <v>13.72</v>
      </c>
      <c r="K107">
        <v>11.26</v>
      </c>
      <c r="L107" s="243">
        <v>37579025</v>
      </c>
      <c r="M107">
        <v>26400000</v>
      </c>
      <c r="N107">
        <v>142.34</v>
      </c>
      <c r="O107" t="s">
        <v>1517</v>
      </c>
      <c r="P107" t="s">
        <v>1414</v>
      </c>
      <c r="Q107">
        <v>59.44</v>
      </c>
      <c r="R107">
        <v>84.61</v>
      </c>
      <c r="S107" s="243">
        <v>520923</v>
      </c>
      <c r="T107">
        <v>3311000</v>
      </c>
      <c r="U107">
        <v>15.73</v>
      </c>
      <c r="V107" t="s">
        <v>1521</v>
      </c>
      <c r="W107" t="s">
        <v>1429</v>
      </c>
      <c r="X107">
        <v>13.84</v>
      </c>
      <c r="Y107">
        <v>2.1800000000000002</v>
      </c>
      <c r="Z107" s="243">
        <v>1519935</v>
      </c>
      <c r="AA107">
        <v>2896000</v>
      </c>
      <c r="AB107">
        <v>52.48</v>
      </c>
      <c r="AC107" t="s">
        <v>1527</v>
      </c>
      <c r="AD107" t="s">
        <v>1391</v>
      </c>
      <c r="AE107">
        <v>0</v>
      </c>
      <c r="AF107">
        <v>0</v>
      </c>
      <c r="AG107" s="243">
        <v>17254</v>
      </c>
      <c r="AH107">
        <v>0</v>
      </c>
      <c r="AI107" t="s">
        <v>520</v>
      </c>
      <c r="AJ107" t="s">
        <v>1505</v>
      </c>
      <c r="AK107" t="s">
        <v>1288</v>
      </c>
      <c r="AL107">
        <v>7.09</v>
      </c>
      <c r="AM107" t="s">
        <v>520</v>
      </c>
      <c r="AN107" s="243">
        <v>143081.79999999999</v>
      </c>
      <c r="AO107">
        <v>553000</v>
      </c>
      <c r="AP107">
        <v>25.87</v>
      </c>
      <c r="AQ107" t="s">
        <v>1521</v>
      </c>
      <c r="AR107" t="s">
        <v>1452</v>
      </c>
      <c r="AS107">
        <v>56.09</v>
      </c>
      <c r="AT107">
        <v>14.51</v>
      </c>
      <c r="AU107" s="243">
        <v>51650793.850000001</v>
      </c>
      <c r="AV107">
        <v>47620000</v>
      </c>
      <c r="AW107">
        <v>108.46</v>
      </c>
      <c r="AX107" t="s">
        <v>1517</v>
      </c>
      <c r="AY107" t="s">
        <v>1367</v>
      </c>
      <c r="AZ107">
        <v>46.7</v>
      </c>
      <c r="BA107">
        <v>50.65</v>
      </c>
      <c r="BB107" s="243">
        <v>4070297.05</v>
      </c>
      <c r="BC107">
        <v>0</v>
      </c>
      <c r="BD107" t="s">
        <v>520</v>
      </c>
      <c r="BE107" t="s">
        <v>1505</v>
      </c>
      <c r="BF107" t="s">
        <v>1288</v>
      </c>
      <c r="BG107">
        <v>3.79</v>
      </c>
      <c r="BH107" t="s">
        <v>520</v>
      </c>
    </row>
    <row r="108" spans="1:60" s="308" customFormat="1">
      <c r="A108">
        <v>268</v>
      </c>
      <c r="B108" t="s">
        <v>1282</v>
      </c>
      <c r="C108" t="s">
        <v>527</v>
      </c>
      <c r="D108" t="s">
        <v>11</v>
      </c>
      <c r="E108" s="243">
        <v>4096644.68</v>
      </c>
      <c r="F108">
        <v>2800000</v>
      </c>
      <c r="G108">
        <v>146.31</v>
      </c>
      <c r="H108" t="s">
        <v>1505</v>
      </c>
      <c r="I108" t="s">
        <v>1363</v>
      </c>
      <c r="J108">
        <v>32.96</v>
      </c>
      <c r="K108">
        <v>48.22</v>
      </c>
      <c r="L108" s="243">
        <v>19076118</v>
      </c>
      <c r="M108">
        <v>5120000</v>
      </c>
      <c r="N108">
        <v>372.58</v>
      </c>
      <c r="O108" t="s">
        <v>1505</v>
      </c>
      <c r="P108" t="s">
        <v>1288</v>
      </c>
      <c r="Q108">
        <v>72.11</v>
      </c>
      <c r="R108">
        <v>268.64999999999998</v>
      </c>
      <c r="S108" s="243">
        <v>82914</v>
      </c>
      <c r="T108">
        <v>203000</v>
      </c>
      <c r="U108">
        <v>40.840000000000003</v>
      </c>
      <c r="V108" t="s">
        <v>1515</v>
      </c>
      <c r="W108" t="s">
        <v>1395</v>
      </c>
      <c r="X108">
        <v>13.39</v>
      </c>
      <c r="Y108">
        <v>5.47</v>
      </c>
      <c r="Z108" s="243">
        <v>2792403</v>
      </c>
      <c r="AA108">
        <v>1000000</v>
      </c>
      <c r="AB108">
        <v>279.24</v>
      </c>
      <c r="AC108" t="s">
        <v>1505</v>
      </c>
      <c r="AD108" t="s">
        <v>1318</v>
      </c>
      <c r="AE108">
        <v>1.3</v>
      </c>
      <c r="AF108">
        <v>3.62</v>
      </c>
      <c r="AG108" s="243">
        <v>25782</v>
      </c>
      <c r="AH108">
        <v>0</v>
      </c>
      <c r="AI108" t="s">
        <v>520</v>
      </c>
      <c r="AJ108" t="s">
        <v>1505</v>
      </c>
      <c r="AK108" t="s">
        <v>1288</v>
      </c>
      <c r="AL108">
        <v>15.62</v>
      </c>
      <c r="AM108" t="s">
        <v>520</v>
      </c>
      <c r="AN108" s="243">
        <v>24129.06</v>
      </c>
      <c r="AO108">
        <v>107000</v>
      </c>
      <c r="AP108">
        <v>22.55</v>
      </c>
      <c r="AQ108" t="s">
        <v>1532</v>
      </c>
      <c r="AR108" t="s">
        <v>1402</v>
      </c>
      <c r="AS108">
        <v>0</v>
      </c>
      <c r="AT108">
        <v>0</v>
      </c>
      <c r="AU108" s="243">
        <v>26097990.739999998</v>
      </c>
      <c r="AV108">
        <v>9230000</v>
      </c>
      <c r="AW108">
        <v>282.75</v>
      </c>
      <c r="AX108" t="s">
        <v>1505</v>
      </c>
      <c r="AY108" t="s">
        <v>1288</v>
      </c>
      <c r="AZ108">
        <v>58.08</v>
      </c>
      <c r="BA108">
        <v>164.21</v>
      </c>
      <c r="BB108" s="243">
        <v>1108675.68</v>
      </c>
      <c r="BC108">
        <v>0</v>
      </c>
      <c r="BD108" t="s">
        <v>520</v>
      </c>
      <c r="BE108" t="s">
        <v>1505</v>
      </c>
      <c r="BF108" t="s">
        <v>1288</v>
      </c>
      <c r="BG108">
        <v>14.12</v>
      </c>
      <c r="BH108" t="s">
        <v>520</v>
      </c>
    </row>
    <row r="109" spans="1:60">
      <c r="A109">
        <v>300</v>
      </c>
      <c r="B109" t="s">
        <v>98</v>
      </c>
      <c r="C109" t="s">
        <v>519</v>
      </c>
      <c r="D109" t="s">
        <v>11</v>
      </c>
      <c r="E109" s="243">
        <v>14802976.75</v>
      </c>
      <c r="F109">
        <v>19820000</v>
      </c>
      <c r="G109">
        <v>74.69</v>
      </c>
      <c r="H109" t="s">
        <v>1529</v>
      </c>
      <c r="I109" t="s">
        <v>1374</v>
      </c>
      <c r="J109">
        <v>10.91</v>
      </c>
      <c r="K109">
        <v>8.15</v>
      </c>
      <c r="L109" s="243">
        <v>37447901</v>
      </c>
      <c r="M109">
        <v>36190000</v>
      </c>
      <c r="N109">
        <v>103.48</v>
      </c>
      <c r="O109" t="s">
        <v>1519</v>
      </c>
      <c r="P109" t="s">
        <v>1331</v>
      </c>
      <c r="Q109">
        <v>68.11</v>
      </c>
      <c r="R109">
        <v>70.48</v>
      </c>
      <c r="S109" s="243">
        <v>1256264</v>
      </c>
      <c r="T109">
        <v>4420000</v>
      </c>
      <c r="U109">
        <v>28.42</v>
      </c>
      <c r="V109" t="s">
        <v>1522</v>
      </c>
      <c r="W109" t="s">
        <v>1335</v>
      </c>
      <c r="X109">
        <v>1.55</v>
      </c>
      <c r="Y109">
        <v>0.44</v>
      </c>
      <c r="Z109" s="243">
        <v>2176272</v>
      </c>
      <c r="AA109">
        <v>4101000</v>
      </c>
      <c r="AB109">
        <v>53.07</v>
      </c>
      <c r="AC109" t="s">
        <v>1525</v>
      </c>
      <c r="AD109" t="s">
        <v>1341</v>
      </c>
      <c r="AE109">
        <v>1.1200000000000001</v>
      </c>
      <c r="AF109">
        <v>0.59</v>
      </c>
      <c r="AG109" s="243">
        <v>194363</v>
      </c>
      <c r="AH109">
        <v>0</v>
      </c>
      <c r="AI109" t="s">
        <v>520</v>
      </c>
      <c r="AJ109" t="s">
        <v>1505</v>
      </c>
      <c r="AK109" t="s">
        <v>1288</v>
      </c>
      <c r="AL109">
        <v>3.31</v>
      </c>
      <c r="AM109" t="s">
        <v>520</v>
      </c>
      <c r="AN109" s="243">
        <v>3215816.17</v>
      </c>
      <c r="AO109">
        <v>759000</v>
      </c>
      <c r="AP109">
        <v>423.69</v>
      </c>
      <c r="AQ109" t="s">
        <v>1540</v>
      </c>
      <c r="AR109" t="s">
        <v>1341</v>
      </c>
      <c r="AS109">
        <v>1.23</v>
      </c>
      <c r="AT109">
        <v>5.2</v>
      </c>
      <c r="AU109" s="243">
        <v>59093592.920000002</v>
      </c>
      <c r="AV109">
        <v>65290000</v>
      </c>
      <c r="AW109">
        <v>90.51</v>
      </c>
      <c r="AX109" t="s">
        <v>1519</v>
      </c>
      <c r="AY109" t="s">
        <v>1405</v>
      </c>
      <c r="AZ109">
        <v>46.05</v>
      </c>
      <c r="BA109">
        <v>41.68</v>
      </c>
      <c r="BB109" s="243">
        <v>5571014.75</v>
      </c>
      <c r="BC109">
        <v>0</v>
      </c>
      <c r="BD109" t="s">
        <v>520</v>
      </c>
      <c r="BE109" t="s">
        <v>1505</v>
      </c>
      <c r="BF109" t="s">
        <v>1288</v>
      </c>
      <c r="BG109">
        <v>7.8</v>
      </c>
      <c r="BH109" t="s">
        <v>520</v>
      </c>
    </row>
    <row r="110" spans="1:60">
      <c r="A110">
        <v>301</v>
      </c>
      <c r="B110" t="s">
        <v>99</v>
      </c>
      <c r="C110" t="s">
        <v>524</v>
      </c>
      <c r="D110" t="s">
        <v>11</v>
      </c>
      <c r="E110" s="243">
        <v>12958614.109999999</v>
      </c>
      <c r="F110">
        <v>15950000</v>
      </c>
      <c r="G110">
        <v>81.25</v>
      </c>
      <c r="H110" t="s">
        <v>1531</v>
      </c>
      <c r="I110" t="s">
        <v>1292</v>
      </c>
      <c r="J110">
        <v>31.04</v>
      </c>
      <c r="K110">
        <v>25.22</v>
      </c>
      <c r="L110" s="243">
        <v>40783172</v>
      </c>
      <c r="M110">
        <v>29110000</v>
      </c>
      <c r="N110">
        <v>140.1</v>
      </c>
      <c r="O110" t="s">
        <v>1525</v>
      </c>
      <c r="P110" t="s">
        <v>1309</v>
      </c>
      <c r="Q110">
        <v>65.17</v>
      </c>
      <c r="R110">
        <v>91.31</v>
      </c>
      <c r="S110" s="243">
        <v>152680</v>
      </c>
      <c r="T110">
        <v>2626000</v>
      </c>
      <c r="U110">
        <v>5.81</v>
      </c>
      <c r="V110" t="s">
        <v>1507</v>
      </c>
      <c r="W110" t="s">
        <v>1290</v>
      </c>
      <c r="X110">
        <v>1.61</v>
      </c>
      <c r="Y110">
        <v>0.09</v>
      </c>
      <c r="Z110" s="243">
        <v>91048</v>
      </c>
      <c r="AA110">
        <v>4224000</v>
      </c>
      <c r="AB110">
        <v>2.16</v>
      </c>
      <c r="AC110" t="s">
        <v>1532</v>
      </c>
      <c r="AD110" t="s">
        <v>1299</v>
      </c>
      <c r="AE110">
        <v>6.87</v>
      </c>
      <c r="AF110">
        <v>0.15</v>
      </c>
      <c r="AG110" s="243">
        <v>86344</v>
      </c>
      <c r="AH110">
        <v>0</v>
      </c>
      <c r="AI110" t="s">
        <v>520</v>
      </c>
      <c r="AJ110" t="s">
        <v>1505</v>
      </c>
      <c r="AK110" t="s">
        <v>1288</v>
      </c>
      <c r="AL110">
        <v>5.55</v>
      </c>
      <c r="AM110" t="s">
        <v>520</v>
      </c>
      <c r="AN110" s="243">
        <v>192544.7</v>
      </c>
      <c r="AO110">
        <v>610000</v>
      </c>
      <c r="AP110">
        <v>31.56</v>
      </c>
      <c r="AQ110" t="s">
        <v>1524</v>
      </c>
      <c r="AR110" t="s">
        <v>1410</v>
      </c>
      <c r="AS110">
        <v>0</v>
      </c>
      <c r="AT110">
        <v>0</v>
      </c>
      <c r="AU110" s="243">
        <v>54264402.810000002</v>
      </c>
      <c r="AV110">
        <v>52520000</v>
      </c>
      <c r="AW110">
        <v>103.32</v>
      </c>
      <c r="AX110" t="s">
        <v>1506</v>
      </c>
      <c r="AY110" t="s">
        <v>1287</v>
      </c>
      <c r="AZ110">
        <v>56.42</v>
      </c>
      <c r="BA110">
        <v>58.3</v>
      </c>
      <c r="BB110" s="243">
        <v>3998365.11</v>
      </c>
      <c r="BC110">
        <v>0</v>
      </c>
      <c r="BD110" t="s">
        <v>520</v>
      </c>
      <c r="BE110" t="s">
        <v>1505</v>
      </c>
      <c r="BF110" t="s">
        <v>1288</v>
      </c>
      <c r="BG110">
        <v>10.84</v>
      </c>
      <c r="BH110" t="s">
        <v>520</v>
      </c>
    </row>
    <row r="111" spans="1:60">
      <c r="A111">
        <v>302</v>
      </c>
      <c r="B111" t="s">
        <v>31</v>
      </c>
      <c r="C111" t="s">
        <v>521</v>
      </c>
      <c r="D111" t="s">
        <v>11</v>
      </c>
      <c r="E111" s="243">
        <v>12045701.640000001</v>
      </c>
      <c r="F111">
        <v>12520000</v>
      </c>
      <c r="G111">
        <v>96.21</v>
      </c>
      <c r="H111" t="s">
        <v>1506</v>
      </c>
      <c r="I111" t="s">
        <v>1377</v>
      </c>
      <c r="J111">
        <v>18.77</v>
      </c>
      <c r="K111">
        <v>18.059999999999999</v>
      </c>
      <c r="L111" s="243">
        <v>14925295</v>
      </c>
      <c r="M111">
        <v>22860000</v>
      </c>
      <c r="N111">
        <v>65.290000000000006</v>
      </c>
      <c r="O111" t="s">
        <v>1533</v>
      </c>
      <c r="P111" t="s">
        <v>1397</v>
      </c>
      <c r="Q111">
        <v>64.66</v>
      </c>
      <c r="R111">
        <v>42.22</v>
      </c>
      <c r="S111" s="243">
        <v>1048666</v>
      </c>
      <c r="T111">
        <v>2743000</v>
      </c>
      <c r="U111">
        <v>38.229999999999997</v>
      </c>
      <c r="V111" t="s">
        <v>1539</v>
      </c>
      <c r="W111" t="s">
        <v>1449</v>
      </c>
      <c r="X111">
        <v>33.200000000000003</v>
      </c>
      <c r="Y111">
        <v>12.69</v>
      </c>
      <c r="Z111" s="243">
        <v>66839</v>
      </c>
      <c r="AA111">
        <v>2628000</v>
      </c>
      <c r="AB111">
        <v>2.54</v>
      </c>
      <c r="AC111" t="s">
        <v>1521</v>
      </c>
      <c r="AD111" t="s">
        <v>1429</v>
      </c>
      <c r="AE111">
        <v>0.47</v>
      </c>
      <c r="AF111">
        <v>0.01</v>
      </c>
      <c r="AG111" s="243">
        <v>346258</v>
      </c>
      <c r="AH111">
        <v>0</v>
      </c>
      <c r="AI111" t="s">
        <v>520</v>
      </c>
      <c r="AJ111" t="s">
        <v>1505</v>
      </c>
      <c r="AK111" t="s">
        <v>1288</v>
      </c>
      <c r="AL111">
        <v>0.65</v>
      </c>
      <c r="AM111" t="s">
        <v>520</v>
      </c>
      <c r="AN111" s="243">
        <v>2514</v>
      </c>
      <c r="AO111">
        <v>479000</v>
      </c>
      <c r="AP111">
        <v>0.52</v>
      </c>
      <c r="AQ111" t="s">
        <v>1502</v>
      </c>
      <c r="AR111" t="s">
        <v>1343</v>
      </c>
      <c r="AS111">
        <v>0</v>
      </c>
      <c r="AT111">
        <v>0</v>
      </c>
      <c r="AU111" s="243">
        <v>28435273.640000001</v>
      </c>
      <c r="AV111">
        <v>41230000</v>
      </c>
      <c r="AW111">
        <v>68.97</v>
      </c>
      <c r="AX111" t="s">
        <v>1516</v>
      </c>
      <c r="AY111" t="s">
        <v>1392</v>
      </c>
      <c r="AZ111">
        <v>43.12</v>
      </c>
      <c r="BA111">
        <v>29.74</v>
      </c>
      <c r="BB111" s="243">
        <v>5150660.6399999997</v>
      </c>
      <c r="BC111">
        <v>0</v>
      </c>
      <c r="BD111" t="s">
        <v>520</v>
      </c>
      <c r="BE111" t="s">
        <v>1505</v>
      </c>
      <c r="BF111" t="s">
        <v>1288</v>
      </c>
      <c r="BG111">
        <v>4.83</v>
      </c>
      <c r="BH111" t="s">
        <v>520</v>
      </c>
    </row>
    <row r="112" spans="1:60">
      <c r="A112">
        <v>310</v>
      </c>
      <c r="B112" t="s">
        <v>32</v>
      </c>
      <c r="C112" t="s">
        <v>526</v>
      </c>
      <c r="D112" t="s">
        <v>11</v>
      </c>
      <c r="E112" s="243">
        <v>11156821.560000001</v>
      </c>
      <c r="F112">
        <v>14870000</v>
      </c>
      <c r="G112">
        <v>75.03</v>
      </c>
      <c r="H112" t="s">
        <v>1526</v>
      </c>
      <c r="I112" t="s">
        <v>1301</v>
      </c>
      <c r="J112">
        <v>10.78</v>
      </c>
      <c r="K112">
        <v>8.08</v>
      </c>
      <c r="L112" s="243">
        <v>31388939</v>
      </c>
      <c r="M112">
        <v>27140000</v>
      </c>
      <c r="N112">
        <v>115.66</v>
      </c>
      <c r="O112" t="s">
        <v>1539</v>
      </c>
      <c r="P112" t="s">
        <v>1342</v>
      </c>
      <c r="Q112">
        <v>62.61</v>
      </c>
      <c r="R112">
        <v>72.42</v>
      </c>
      <c r="S112" s="243">
        <v>1140357</v>
      </c>
      <c r="T112">
        <v>3335000</v>
      </c>
      <c r="U112">
        <v>34.19</v>
      </c>
      <c r="V112" t="s">
        <v>1538</v>
      </c>
      <c r="W112" t="s">
        <v>1428</v>
      </c>
      <c r="X112">
        <v>1.47</v>
      </c>
      <c r="Y112">
        <v>0.5</v>
      </c>
      <c r="Z112" s="243">
        <v>178546</v>
      </c>
      <c r="AA112">
        <v>3046000</v>
      </c>
      <c r="AB112">
        <v>5.86</v>
      </c>
      <c r="AC112" t="s">
        <v>1529</v>
      </c>
      <c r="AD112" t="s">
        <v>1373</v>
      </c>
      <c r="AE112">
        <v>0</v>
      </c>
      <c r="AF112">
        <v>0</v>
      </c>
      <c r="AG112" s="243">
        <v>29271</v>
      </c>
      <c r="AH112">
        <v>0</v>
      </c>
      <c r="AI112" t="s">
        <v>520</v>
      </c>
      <c r="AJ112" t="s">
        <v>1505</v>
      </c>
      <c r="AK112" t="s">
        <v>1288</v>
      </c>
      <c r="AL112">
        <v>10.88</v>
      </c>
      <c r="AM112" t="s">
        <v>520</v>
      </c>
      <c r="AN112" s="243">
        <v>127131.14</v>
      </c>
      <c r="AO112">
        <v>569000</v>
      </c>
      <c r="AP112">
        <v>22.34</v>
      </c>
      <c r="AQ112" t="s">
        <v>1516</v>
      </c>
      <c r="AR112" t="s">
        <v>1371</v>
      </c>
      <c r="AS112">
        <v>25.09</v>
      </c>
      <c r="AT112">
        <v>5.61</v>
      </c>
      <c r="AU112" s="243">
        <v>44021065.700000003</v>
      </c>
      <c r="AV112">
        <v>48960000</v>
      </c>
      <c r="AW112">
        <v>89.91</v>
      </c>
      <c r="AX112" t="s">
        <v>1531</v>
      </c>
      <c r="AY112" t="s">
        <v>1354</v>
      </c>
      <c r="AZ112">
        <v>47.49</v>
      </c>
      <c r="BA112">
        <v>42.7</v>
      </c>
      <c r="BB112" s="243">
        <v>4219857.5599999996</v>
      </c>
      <c r="BC112">
        <v>0</v>
      </c>
      <c r="BD112" t="s">
        <v>520</v>
      </c>
      <c r="BE112" t="s">
        <v>1505</v>
      </c>
      <c r="BF112" t="s">
        <v>1288</v>
      </c>
      <c r="BG112">
        <v>5.84</v>
      </c>
      <c r="BH112" t="s">
        <v>520</v>
      </c>
    </row>
    <row r="113" spans="1:60">
      <c r="A113">
        <v>313</v>
      </c>
      <c r="B113" t="s">
        <v>182</v>
      </c>
      <c r="C113" t="s">
        <v>526</v>
      </c>
      <c r="D113" t="s">
        <v>11</v>
      </c>
      <c r="E113" s="243">
        <v>5304320.34</v>
      </c>
      <c r="F113">
        <v>8350000</v>
      </c>
      <c r="G113">
        <v>63.52</v>
      </c>
      <c r="H113" t="s">
        <v>1521</v>
      </c>
      <c r="I113" t="s">
        <v>1299</v>
      </c>
      <c r="J113">
        <v>30.17</v>
      </c>
      <c r="K113">
        <v>19.16</v>
      </c>
      <c r="L113" s="243">
        <v>17052910</v>
      </c>
      <c r="M113">
        <v>15250000</v>
      </c>
      <c r="N113">
        <v>111.82</v>
      </c>
      <c r="O113" t="s">
        <v>1501</v>
      </c>
      <c r="P113" t="s">
        <v>1297</v>
      </c>
      <c r="Q113">
        <v>91.89</v>
      </c>
      <c r="R113">
        <v>102.76</v>
      </c>
      <c r="S113" s="243">
        <v>235622</v>
      </c>
      <c r="T113">
        <v>495000</v>
      </c>
      <c r="U113">
        <v>47.6</v>
      </c>
      <c r="V113" t="s">
        <v>1537</v>
      </c>
      <c r="W113" t="s">
        <v>1286</v>
      </c>
      <c r="X113">
        <v>5.69</v>
      </c>
      <c r="Y113">
        <v>2.71</v>
      </c>
      <c r="Z113" s="243">
        <v>167060</v>
      </c>
      <c r="AA113">
        <v>3095000</v>
      </c>
      <c r="AB113">
        <v>5.4</v>
      </c>
      <c r="AC113" t="s">
        <v>1504</v>
      </c>
      <c r="AD113" t="s">
        <v>1396</v>
      </c>
      <c r="AE113">
        <v>1.82</v>
      </c>
      <c r="AF113">
        <v>0.1</v>
      </c>
      <c r="AG113" s="243">
        <v>41583</v>
      </c>
      <c r="AH113">
        <v>0</v>
      </c>
      <c r="AI113" t="s">
        <v>520</v>
      </c>
      <c r="AJ113" t="s">
        <v>1505</v>
      </c>
      <c r="AK113" t="s">
        <v>1288</v>
      </c>
      <c r="AL113">
        <v>8.3699999999999992</v>
      </c>
      <c r="AM113" t="s">
        <v>520</v>
      </c>
      <c r="AN113" s="243">
        <v>109807.27</v>
      </c>
      <c r="AO113">
        <v>320000</v>
      </c>
      <c r="AP113">
        <v>34.31</v>
      </c>
      <c r="AQ113" t="s">
        <v>1536</v>
      </c>
      <c r="AR113" t="s">
        <v>1464</v>
      </c>
      <c r="AS113">
        <v>0</v>
      </c>
      <c r="AT113">
        <v>0</v>
      </c>
      <c r="AU113" s="243">
        <v>22911302.609999999</v>
      </c>
      <c r="AV113">
        <v>27510000</v>
      </c>
      <c r="AW113">
        <v>83.28</v>
      </c>
      <c r="AX113" t="s">
        <v>1504</v>
      </c>
      <c r="AY113" t="s">
        <v>1369</v>
      </c>
      <c r="AZ113">
        <v>75.47</v>
      </c>
      <c r="BA113">
        <v>62.85</v>
      </c>
      <c r="BB113" s="243">
        <v>1983544.34</v>
      </c>
      <c r="BC113">
        <v>0</v>
      </c>
      <c r="BD113" t="s">
        <v>520</v>
      </c>
      <c r="BE113" t="s">
        <v>1505</v>
      </c>
      <c r="BF113" t="s">
        <v>1288</v>
      </c>
      <c r="BG113">
        <v>7.47</v>
      </c>
      <c r="BH113" t="s">
        <v>520</v>
      </c>
    </row>
    <row r="114" spans="1:60">
      <c r="A114">
        <v>320</v>
      </c>
      <c r="B114" t="s">
        <v>183</v>
      </c>
      <c r="C114" t="s">
        <v>523</v>
      </c>
      <c r="D114" t="s">
        <v>33</v>
      </c>
      <c r="E114" s="243">
        <v>15884141.699999999</v>
      </c>
      <c r="F114">
        <v>16280000</v>
      </c>
      <c r="G114">
        <v>97.57</v>
      </c>
      <c r="H114" t="s">
        <v>549</v>
      </c>
      <c r="I114" t="s">
        <v>1460</v>
      </c>
      <c r="J114">
        <v>7</v>
      </c>
      <c r="K114">
        <v>6.83</v>
      </c>
      <c r="L114" s="243">
        <v>35920045</v>
      </c>
      <c r="M114">
        <v>29720000</v>
      </c>
      <c r="N114">
        <v>120.86</v>
      </c>
      <c r="O114" t="s">
        <v>540</v>
      </c>
      <c r="P114" t="s">
        <v>1362</v>
      </c>
      <c r="Q114">
        <v>75.22</v>
      </c>
      <c r="R114">
        <v>90.91</v>
      </c>
      <c r="S114" s="243">
        <v>1426039</v>
      </c>
      <c r="T114">
        <v>2936000</v>
      </c>
      <c r="U114">
        <v>48.57</v>
      </c>
      <c r="V114" t="s">
        <v>538</v>
      </c>
      <c r="W114" t="s">
        <v>1378</v>
      </c>
      <c r="X114">
        <v>0.18</v>
      </c>
      <c r="Y114">
        <v>0.09</v>
      </c>
      <c r="Z114" s="243">
        <v>1541576</v>
      </c>
      <c r="AA114">
        <v>4051000</v>
      </c>
      <c r="AB114">
        <v>38.049999999999997</v>
      </c>
      <c r="AC114" t="s">
        <v>551</v>
      </c>
      <c r="AD114" t="s">
        <v>1444</v>
      </c>
      <c r="AE114">
        <v>0.02</v>
      </c>
      <c r="AF114">
        <v>0.01</v>
      </c>
      <c r="AG114" s="243">
        <v>66584</v>
      </c>
      <c r="AH114">
        <v>0</v>
      </c>
      <c r="AI114" t="s">
        <v>520</v>
      </c>
      <c r="AJ114" t="s">
        <v>532</v>
      </c>
      <c r="AK114" t="s">
        <v>1288</v>
      </c>
      <c r="AL114">
        <v>4.2699999999999996</v>
      </c>
      <c r="AM114" t="s">
        <v>520</v>
      </c>
      <c r="AN114" s="243">
        <v>1031750.71</v>
      </c>
      <c r="AO114">
        <v>623000</v>
      </c>
      <c r="AP114">
        <v>165.61</v>
      </c>
      <c r="AQ114" t="s">
        <v>529</v>
      </c>
      <c r="AR114" t="s">
        <v>1286</v>
      </c>
      <c r="AS114">
        <v>0</v>
      </c>
      <c r="AT114">
        <v>0</v>
      </c>
      <c r="AU114" s="243">
        <v>55870136.409999996</v>
      </c>
      <c r="AV114">
        <v>53610000</v>
      </c>
      <c r="AW114">
        <v>104.22</v>
      </c>
      <c r="AX114" t="s">
        <v>535</v>
      </c>
      <c r="AY114" t="s">
        <v>1348</v>
      </c>
      <c r="AZ114">
        <v>50.36</v>
      </c>
      <c r="BA114">
        <v>52.48</v>
      </c>
      <c r="BB114" s="243">
        <v>6000003.7000000002</v>
      </c>
      <c r="BC114">
        <v>0</v>
      </c>
      <c r="BD114" t="s">
        <v>520</v>
      </c>
      <c r="BE114" t="s">
        <v>532</v>
      </c>
      <c r="BF114" t="s">
        <v>1288</v>
      </c>
      <c r="BG114">
        <v>7.36</v>
      </c>
      <c r="BH114" t="s">
        <v>520</v>
      </c>
    </row>
    <row r="115" spans="1:60">
      <c r="A115">
        <v>321</v>
      </c>
      <c r="B115" t="s">
        <v>184</v>
      </c>
      <c r="C115" t="s">
        <v>522</v>
      </c>
      <c r="D115" t="s">
        <v>33</v>
      </c>
      <c r="E115" s="243">
        <v>13856027.710000001</v>
      </c>
      <c r="F115">
        <v>18630000</v>
      </c>
      <c r="G115">
        <v>74.37</v>
      </c>
      <c r="H115" t="s">
        <v>540</v>
      </c>
      <c r="I115" t="s">
        <v>1373</v>
      </c>
      <c r="J115">
        <v>13.19</v>
      </c>
      <c r="K115">
        <v>9.81</v>
      </c>
      <c r="L115" s="243">
        <v>23963240</v>
      </c>
      <c r="M115">
        <v>34020000</v>
      </c>
      <c r="N115">
        <v>70.44</v>
      </c>
      <c r="O115" t="s">
        <v>554</v>
      </c>
      <c r="P115" t="s">
        <v>1376</v>
      </c>
      <c r="Q115">
        <v>71.760000000000005</v>
      </c>
      <c r="R115">
        <v>50.54</v>
      </c>
      <c r="S115" s="243">
        <v>373190</v>
      </c>
      <c r="T115">
        <v>3207000</v>
      </c>
      <c r="U115">
        <v>11.64</v>
      </c>
      <c r="V115" t="s">
        <v>545</v>
      </c>
      <c r="W115" t="s">
        <v>1317</v>
      </c>
      <c r="X115">
        <v>45.2</v>
      </c>
      <c r="Y115">
        <v>5.26</v>
      </c>
      <c r="Z115" s="243">
        <v>1531071</v>
      </c>
      <c r="AA115">
        <v>4800000</v>
      </c>
      <c r="AB115">
        <v>31.9</v>
      </c>
      <c r="AC115" t="s">
        <v>533</v>
      </c>
      <c r="AD115" t="s">
        <v>1348</v>
      </c>
      <c r="AE115">
        <v>0.11</v>
      </c>
      <c r="AF115">
        <v>0.03</v>
      </c>
      <c r="AG115" s="243">
        <v>111706</v>
      </c>
      <c r="AH115">
        <v>0</v>
      </c>
      <c r="AI115" t="s">
        <v>520</v>
      </c>
      <c r="AJ115" t="s">
        <v>532</v>
      </c>
      <c r="AK115" t="s">
        <v>1288</v>
      </c>
      <c r="AL115">
        <v>6.78</v>
      </c>
      <c r="AM115" t="s">
        <v>520</v>
      </c>
      <c r="AN115" s="243">
        <v>85309.26</v>
      </c>
      <c r="AO115">
        <v>713000</v>
      </c>
      <c r="AP115">
        <v>11.96</v>
      </c>
      <c r="AQ115" t="s">
        <v>531</v>
      </c>
      <c r="AR115" t="s">
        <v>1339</v>
      </c>
      <c r="AS115">
        <v>51.47</v>
      </c>
      <c r="AT115">
        <v>6.16</v>
      </c>
      <c r="AU115" s="243">
        <v>39920543.969999999</v>
      </c>
      <c r="AV115">
        <v>61370000</v>
      </c>
      <c r="AW115">
        <v>65.05</v>
      </c>
      <c r="AX115" t="s">
        <v>554</v>
      </c>
      <c r="AY115" t="s">
        <v>1346</v>
      </c>
      <c r="AZ115">
        <v>48.21</v>
      </c>
      <c r="BA115">
        <v>31.36</v>
      </c>
      <c r="BB115" s="243">
        <v>4431877.71</v>
      </c>
      <c r="BC115">
        <v>0</v>
      </c>
      <c r="BD115" t="s">
        <v>520</v>
      </c>
      <c r="BE115" t="s">
        <v>532</v>
      </c>
      <c r="BF115" t="s">
        <v>1288</v>
      </c>
      <c r="BG115">
        <v>8.64</v>
      </c>
      <c r="BH115" t="s">
        <v>520</v>
      </c>
    </row>
    <row r="116" spans="1:60">
      <c r="A116">
        <v>322</v>
      </c>
      <c r="B116" t="s">
        <v>34</v>
      </c>
      <c r="C116" t="s">
        <v>524</v>
      </c>
      <c r="D116" t="s">
        <v>33</v>
      </c>
      <c r="E116" s="243">
        <v>11852876.02</v>
      </c>
      <c r="F116">
        <v>12410000</v>
      </c>
      <c r="G116">
        <v>95.51</v>
      </c>
      <c r="H116" t="s">
        <v>556</v>
      </c>
      <c r="I116" t="s">
        <v>1453</v>
      </c>
      <c r="J116">
        <v>15.69</v>
      </c>
      <c r="K116">
        <v>14.99</v>
      </c>
      <c r="L116" s="243">
        <v>19231358</v>
      </c>
      <c r="M116">
        <v>22660000</v>
      </c>
      <c r="N116">
        <v>84.87</v>
      </c>
      <c r="O116" t="s">
        <v>531</v>
      </c>
      <c r="P116" t="s">
        <v>1455</v>
      </c>
      <c r="Q116">
        <v>74.06</v>
      </c>
      <c r="R116">
        <v>62.86</v>
      </c>
      <c r="S116" s="243">
        <v>2035277</v>
      </c>
      <c r="T116">
        <v>1712000</v>
      </c>
      <c r="U116">
        <v>118.88</v>
      </c>
      <c r="V116" t="s">
        <v>542</v>
      </c>
      <c r="W116" t="s">
        <v>1416</v>
      </c>
      <c r="X116">
        <v>34.26</v>
      </c>
      <c r="Y116">
        <v>40.729999999999997</v>
      </c>
      <c r="Z116" s="243">
        <v>3475470</v>
      </c>
      <c r="AA116">
        <v>3623000</v>
      </c>
      <c r="AB116">
        <v>95.93</v>
      </c>
      <c r="AC116" t="s">
        <v>548</v>
      </c>
      <c r="AD116" t="s">
        <v>1393</v>
      </c>
      <c r="AE116">
        <v>0.21</v>
      </c>
      <c r="AF116">
        <v>0.2</v>
      </c>
      <c r="AG116" s="243">
        <v>38761</v>
      </c>
      <c r="AH116">
        <v>0</v>
      </c>
      <c r="AI116" t="s">
        <v>520</v>
      </c>
      <c r="AJ116" t="s">
        <v>532</v>
      </c>
      <c r="AK116" t="s">
        <v>1288</v>
      </c>
      <c r="AL116">
        <v>17.04</v>
      </c>
      <c r="AM116" t="s">
        <v>520</v>
      </c>
      <c r="AN116" s="243">
        <v>67205.710000000006</v>
      </c>
      <c r="AO116">
        <v>475000</v>
      </c>
      <c r="AP116">
        <v>14.15</v>
      </c>
      <c r="AQ116" t="s">
        <v>552</v>
      </c>
      <c r="AR116" t="s">
        <v>1432</v>
      </c>
      <c r="AS116">
        <v>0</v>
      </c>
      <c r="AT116">
        <v>0</v>
      </c>
      <c r="AU116" s="243">
        <v>36700947.729999997</v>
      </c>
      <c r="AV116">
        <v>40880000</v>
      </c>
      <c r="AW116">
        <v>89.78</v>
      </c>
      <c r="AX116" t="s">
        <v>545</v>
      </c>
      <c r="AY116" t="s">
        <v>1424</v>
      </c>
      <c r="AZ116">
        <v>45.82</v>
      </c>
      <c r="BA116">
        <v>41.13</v>
      </c>
      <c r="BB116" s="243">
        <v>3746312.66</v>
      </c>
      <c r="BC116">
        <v>0</v>
      </c>
      <c r="BD116" t="s">
        <v>520</v>
      </c>
      <c r="BE116" t="s">
        <v>532</v>
      </c>
      <c r="BF116" t="s">
        <v>1288</v>
      </c>
      <c r="BG116">
        <v>8.33</v>
      </c>
      <c r="BH116" t="s">
        <v>520</v>
      </c>
    </row>
    <row r="117" spans="1:60">
      <c r="A117">
        <v>323</v>
      </c>
      <c r="B117" t="s">
        <v>185</v>
      </c>
      <c r="C117" t="s">
        <v>525</v>
      </c>
      <c r="D117" t="s">
        <v>11</v>
      </c>
      <c r="E117" s="243">
        <v>8537633.9399999995</v>
      </c>
      <c r="F117">
        <v>12380000</v>
      </c>
      <c r="G117">
        <v>68.959999999999994</v>
      </c>
      <c r="H117" t="s">
        <v>1536</v>
      </c>
      <c r="I117" t="s">
        <v>1359</v>
      </c>
      <c r="J117">
        <v>19</v>
      </c>
      <c r="K117">
        <v>13.1</v>
      </c>
      <c r="L117" s="243">
        <v>19170331</v>
      </c>
      <c r="M117">
        <v>22610000</v>
      </c>
      <c r="N117">
        <v>84.79</v>
      </c>
      <c r="O117" t="s">
        <v>1524</v>
      </c>
      <c r="P117" t="s">
        <v>1410</v>
      </c>
      <c r="Q117">
        <v>80.61</v>
      </c>
      <c r="R117">
        <v>68.34</v>
      </c>
      <c r="S117" s="243">
        <v>1091070</v>
      </c>
      <c r="T117">
        <v>2203000</v>
      </c>
      <c r="U117">
        <v>49.53</v>
      </c>
      <c r="V117" t="s">
        <v>1528</v>
      </c>
      <c r="W117" t="s">
        <v>1453</v>
      </c>
      <c r="X117">
        <v>49.51</v>
      </c>
      <c r="Y117">
        <v>24.52</v>
      </c>
      <c r="Z117" s="243">
        <v>1330685</v>
      </c>
      <c r="AA117">
        <v>3113000</v>
      </c>
      <c r="AB117">
        <v>42.75</v>
      </c>
      <c r="AC117" t="s">
        <v>1528</v>
      </c>
      <c r="AD117" t="s">
        <v>1322</v>
      </c>
      <c r="AE117">
        <v>0.23</v>
      </c>
      <c r="AF117">
        <v>0.1</v>
      </c>
      <c r="AG117" s="243">
        <v>22746</v>
      </c>
      <c r="AH117">
        <v>0</v>
      </c>
      <c r="AI117" t="s">
        <v>520</v>
      </c>
      <c r="AJ117" t="s">
        <v>1505</v>
      </c>
      <c r="AK117" t="s">
        <v>1288</v>
      </c>
      <c r="AL117">
        <v>14.94</v>
      </c>
      <c r="AM117" t="s">
        <v>520</v>
      </c>
      <c r="AN117" s="243">
        <v>1167221.46</v>
      </c>
      <c r="AO117">
        <v>474000</v>
      </c>
      <c r="AP117">
        <v>246.25</v>
      </c>
      <c r="AQ117" t="s">
        <v>1518</v>
      </c>
      <c r="AR117" t="s">
        <v>1403</v>
      </c>
      <c r="AS117">
        <v>59.03</v>
      </c>
      <c r="AT117">
        <v>145.36000000000001</v>
      </c>
      <c r="AU117" s="243">
        <v>31319687.399999999</v>
      </c>
      <c r="AV117">
        <v>40780000</v>
      </c>
      <c r="AW117">
        <v>76.8</v>
      </c>
      <c r="AX117" t="s">
        <v>1524</v>
      </c>
      <c r="AY117" t="s">
        <v>1299</v>
      </c>
      <c r="AZ117">
        <v>58.46</v>
      </c>
      <c r="BA117">
        <v>44.9</v>
      </c>
      <c r="BB117" s="243">
        <v>2684860.94</v>
      </c>
      <c r="BC117">
        <v>0</v>
      </c>
      <c r="BD117" t="s">
        <v>520</v>
      </c>
      <c r="BE117" t="s">
        <v>1505</v>
      </c>
      <c r="BF117" t="s">
        <v>1288</v>
      </c>
      <c r="BG117">
        <v>8.52</v>
      </c>
      <c r="BH117" t="s">
        <v>520</v>
      </c>
    </row>
    <row r="118" spans="1:60">
      <c r="A118">
        <v>351</v>
      </c>
      <c r="B118" t="s">
        <v>100</v>
      </c>
      <c r="C118" t="s">
        <v>527</v>
      </c>
      <c r="D118" t="s">
        <v>11</v>
      </c>
      <c r="E118" s="243">
        <v>7240151.4800000004</v>
      </c>
      <c r="F118">
        <v>11300000</v>
      </c>
      <c r="G118">
        <v>64.069999999999993</v>
      </c>
      <c r="H118" t="s">
        <v>1524</v>
      </c>
      <c r="I118" t="s">
        <v>1313</v>
      </c>
      <c r="J118">
        <v>26.34</v>
      </c>
      <c r="K118">
        <v>16.88</v>
      </c>
      <c r="L118" s="243">
        <v>37425762</v>
      </c>
      <c r="M118">
        <v>20630000</v>
      </c>
      <c r="N118">
        <v>181.41</v>
      </c>
      <c r="O118" t="s">
        <v>1523</v>
      </c>
      <c r="P118" t="s">
        <v>1363</v>
      </c>
      <c r="Q118">
        <v>62.33</v>
      </c>
      <c r="R118">
        <v>113.07</v>
      </c>
      <c r="S118" s="243">
        <v>297994</v>
      </c>
      <c r="T118">
        <v>2631000</v>
      </c>
      <c r="U118">
        <v>11.33</v>
      </c>
      <c r="V118" t="s">
        <v>1532</v>
      </c>
      <c r="W118" t="s">
        <v>1446</v>
      </c>
      <c r="X118">
        <v>6.45</v>
      </c>
      <c r="Y118">
        <v>0.73</v>
      </c>
      <c r="Z118" s="243">
        <v>754267</v>
      </c>
      <c r="AA118">
        <v>2217000</v>
      </c>
      <c r="AB118">
        <v>34.020000000000003</v>
      </c>
      <c r="AC118" t="s">
        <v>1515</v>
      </c>
      <c r="AD118" t="s">
        <v>1370</v>
      </c>
      <c r="AE118">
        <v>1.37</v>
      </c>
      <c r="AF118">
        <v>0.46</v>
      </c>
      <c r="AG118" s="243">
        <v>27676</v>
      </c>
      <c r="AH118">
        <v>0</v>
      </c>
      <c r="AI118" t="s">
        <v>520</v>
      </c>
      <c r="AJ118" t="s">
        <v>1505</v>
      </c>
      <c r="AK118" t="s">
        <v>1288</v>
      </c>
      <c r="AL118">
        <v>56.53</v>
      </c>
      <c r="AM118" t="s">
        <v>520</v>
      </c>
      <c r="AN118" s="243">
        <v>724551.21</v>
      </c>
      <c r="AO118">
        <v>432000</v>
      </c>
      <c r="AP118">
        <v>167.72</v>
      </c>
      <c r="AQ118" t="s">
        <v>1501</v>
      </c>
      <c r="AR118" t="s">
        <v>1450</v>
      </c>
      <c r="AS118">
        <v>74.62</v>
      </c>
      <c r="AT118">
        <v>125.16</v>
      </c>
      <c r="AU118" s="243">
        <v>46470401.689999998</v>
      </c>
      <c r="AV118">
        <v>37210000</v>
      </c>
      <c r="AW118">
        <v>124.89</v>
      </c>
      <c r="AX118" t="s">
        <v>1541</v>
      </c>
      <c r="AY118" t="s">
        <v>1416</v>
      </c>
      <c r="AZ118">
        <v>55.56</v>
      </c>
      <c r="BA118">
        <v>69.39</v>
      </c>
      <c r="BB118" s="243">
        <v>3106535.48</v>
      </c>
      <c r="BC118">
        <v>0</v>
      </c>
      <c r="BD118" t="s">
        <v>520</v>
      </c>
      <c r="BE118" t="s">
        <v>1505</v>
      </c>
      <c r="BF118" t="s">
        <v>1288</v>
      </c>
      <c r="BG118">
        <v>24.72</v>
      </c>
      <c r="BH118" t="s">
        <v>520</v>
      </c>
    </row>
    <row r="119" spans="1:60">
      <c r="A119">
        <v>400</v>
      </c>
      <c r="B119" t="s">
        <v>35</v>
      </c>
      <c r="C119" t="s">
        <v>522</v>
      </c>
      <c r="D119" t="s">
        <v>33</v>
      </c>
      <c r="E119" s="243">
        <v>19987019.219999999</v>
      </c>
      <c r="F119">
        <v>25260000</v>
      </c>
      <c r="G119">
        <v>79.13</v>
      </c>
      <c r="H119" t="s">
        <v>539</v>
      </c>
      <c r="I119" t="s">
        <v>1462</v>
      </c>
      <c r="J119">
        <v>22.66</v>
      </c>
      <c r="K119">
        <v>17.93</v>
      </c>
      <c r="L119" s="243">
        <v>63222325</v>
      </c>
      <c r="M119">
        <v>46110000</v>
      </c>
      <c r="N119">
        <v>137.11000000000001</v>
      </c>
      <c r="O119" t="s">
        <v>556</v>
      </c>
      <c r="P119" t="s">
        <v>1444</v>
      </c>
      <c r="Q119">
        <v>37.619999999999997</v>
      </c>
      <c r="R119">
        <v>51.58</v>
      </c>
      <c r="S119" s="243">
        <v>1207494</v>
      </c>
      <c r="T119">
        <v>5464000</v>
      </c>
      <c r="U119">
        <v>22.1</v>
      </c>
      <c r="V119" t="s">
        <v>544</v>
      </c>
      <c r="W119" t="s">
        <v>1396</v>
      </c>
      <c r="X119">
        <v>2.91</v>
      </c>
      <c r="Y119">
        <v>0.64</v>
      </c>
      <c r="Z119" s="243">
        <v>93227</v>
      </c>
      <c r="AA119">
        <v>5379000</v>
      </c>
      <c r="AB119">
        <v>1.73</v>
      </c>
      <c r="AC119" t="s">
        <v>531</v>
      </c>
      <c r="AD119" t="s">
        <v>1376</v>
      </c>
      <c r="AE119">
        <v>31</v>
      </c>
      <c r="AF119">
        <v>0.54</v>
      </c>
      <c r="AG119" s="243">
        <v>33528</v>
      </c>
      <c r="AH119">
        <v>0</v>
      </c>
      <c r="AI119" t="s">
        <v>520</v>
      </c>
      <c r="AJ119" t="s">
        <v>532</v>
      </c>
      <c r="AK119" t="s">
        <v>1288</v>
      </c>
      <c r="AL119">
        <v>26.54</v>
      </c>
      <c r="AM119" t="s">
        <v>520</v>
      </c>
      <c r="AN119" s="243">
        <v>2320021.9300000002</v>
      </c>
      <c r="AO119">
        <v>967000</v>
      </c>
      <c r="AP119">
        <v>239.92</v>
      </c>
      <c r="AQ119" t="s">
        <v>541</v>
      </c>
      <c r="AR119" t="s">
        <v>1289</v>
      </c>
      <c r="AS119">
        <v>22.59</v>
      </c>
      <c r="AT119">
        <v>54.19</v>
      </c>
      <c r="AU119" s="243">
        <v>86863615.150000006</v>
      </c>
      <c r="AV119">
        <v>83180000</v>
      </c>
      <c r="AW119">
        <v>104.43</v>
      </c>
      <c r="AX119" t="s">
        <v>550</v>
      </c>
      <c r="AY119" t="s">
        <v>1456</v>
      </c>
      <c r="AZ119">
        <v>33.28</v>
      </c>
      <c r="BA119">
        <v>34.75</v>
      </c>
      <c r="BB119" s="243">
        <v>6662805.2199999997</v>
      </c>
      <c r="BC119">
        <v>0</v>
      </c>
      <c r="BD119" t="s">
        <v>520</v>
      </c>
      <c r="BE119" t="s">
        <v>532</v>
      </c>
      <c r="BF119" t="s">
        <v>1288</v>
      </c>
      <c r="BG119">
        <v>13.66</v>
      </c>
      <c r="BH119" t="s">
        <v>520</v>
      </c>
    </row>
    <row r="120" spans="1:60">
      <c r="A120">
        <v>401</v>
      </c>
      <c r="B120" t="s">
        <v>36</v>
      </c>
      <c r="C120" t="s">
        <v>526</v>
      </c>
      <c r="D120" t="s">
        <v>33</v>
      </c>
      <c r="E120" s="243">
        <v>20989822.199999999</v>
      </c>
      <c r="F120">
        <v>16610000</v>
      </c>
      <c r="G120">
        <v>126.37</v>
      </c>
      <c r="H120" t="s">
        <v>542</v>
      </c>
      <c r="I120" t="s">
        <v>1401</v>
      </c>
      <c r="J120">
        <v>18.41</v>
      </c>
      <c r="K120">
        <v>23.26</v>
      </c>
      <c r="L120" s="243">
        <v>29826991</v>
      </c>
      <c r="M120">
        <v>30330000</v>
      </c>
      <c r="N120">
        <v>98.34</v>
      </c>
      <c r="O120" t="s">
        <v>528</v>
      </c>
      <c r="P120" t="s">
        <v>1384</v>
      </c>
      <c r="Q120">
        <v>47.35</v>
      </c>
      <c r="R120">
        <v>46.57</v>
      </c>
      <c r="S120" s="243">
        <v>340415</v>
      </c>
      <c r="T120">
        <v>4295000</v>
      </c>
      <c r="U120">
        <v>7.93</v>
      </c>
      <c r="V120" t="s">
        <v>558</v>
      </c>
      <c r="W120" t="s">
        <v>1334</v>
      </c>
      <c r="X120">
        <v>18.07</v>
      </c>
      <c r="Y120">
        <v>1.43</v>
      </c>
      <c r="Z120" s="243">
        <v>843697</v>
      </c>
      <c r="AA120">
        <v>2839000</v>
      </c>
      <c r="AB120">
        <v>29.72</v>
      </c>
      <c r="AC120" t="s">
        <v>538</v>
      </c>
      <c r="AD120" t="s">
        <v>1287</v>
      </c>
      <c r="AE120">
        <v>0.22</v>
      </c>
      <c r="AF120">
        <v>7.0000000000000007E-2</v>
      </c>
      <c r="AG120" s="243">
        <v>44050</v>
      </c>
      <c r="AH120">
        <v>0</v>
      </c>
      <c r="AI120" t="s">
        <v>520</v>
      </c>
      <c r="AJ120" t="s">
        <v>532</v>
      </c>
      <c r="AK120" t="s">
        <v>1288</v>
      </c>
      <c r="AL120">
        <v>7.01</v>
      </c>
      <c r="AM120" t="s">
        <v>520</v>
      </c>
      <c r="AN120" s="243">
        <v>819174.12</v>
      </c>
      <c r="AO120">
        <v>636000</v>
      </c>
      <c r="AP120">
        <v>128.80000000000001</v>
      </c>
      <c r="AQ120" t="s">
        <v>546</v>
      </c>
      <c r="AR120" t="s">
        <v>1395</v>
      </c>
      <c r="AS120">
        <v>93.11</v>
      </c>
      <c r="AT120">
        <v>119.93</v>
      </c>
      <c r="AU120" s="243">
        <v>52864149.32</v>
      </c>
      <c r="AV120">
        <v>54710000</v>
      </c>
      <c r="AW120">
        <v>96.63</v>
      </c>
      <c r="AX120" t="s">
        <v>544</v>
      </c>
      <c r="AY120" t="s">
        <v>1417</v>
      </c>
      <c r="AZ120">
        <v>35.590000000000003</v>
      </c>
      <c r="BA120">
        <v>34.39</v>
      </c>
      <c r="BB120" s="243">
        <v>5903307.2000000002</v>
      </c>
      <c r="BC120">
        <v>0</v>
      </c>
      <c r="BD120" t="s">
        <v>520</v>
      </c>
      <c r="BE120" t="s">
        <v>532</v>
      </c>
      <c r="BF120" t="s">
        <v>1288</v>
      </c>
      <c r="BG120">
        <v>8.81</v>
      </c>
      <c r="BH120" t="s">
        <v>520</v>
      </c>
    </row>
    <row r="121" spans="1:60">
      <c r="A121">
        <v>402</v>
      </c>
      <c r="B121" t="s">
        <v>37</v>
      </c>
      <c r="C121" t="s">
        <v>525</v>
      </c>
      <c r="D121" t="s">
        <v>33</v>
      </c>
      <c r="E121" s="243">
        <v>11860927.09</v>
      </c>
      <c r="F121">
        <v>18620000</v>
      </c>
      <c r="G121">
        <v>63.7</v>
      </c>
      <c r="H121" t="s">
        <v>536</v>
      </c>
      <c r="I121" t="s">
        <v>1439</v>
      </c>
      <c r="J121">
        <v>20.27</v>
      </c>
      <c r="K121">
        <v>12.91</v>
      </c>
      <c r="L121" s="243">
        <v>55479878</v>
      </c>
      <c r="M121">
        <v>33990000</v>
      </c>
      <c r="N121">
        <v>163.22</v>
      </c>
      <c r="O121" t="s">
        <v>553</v>
      </c>
      <c r="P121" t="s">
        <v>1349</v>
      </c>
      <c r="Q121">
        <v>51.64</v>
      </c>
      <c r="R121">
        <v>84.3</v>
      </c>
      <c r="S121" s="243">
        <v>429971</v>
      </c>
      <c r="T121">
        <v>4620000</v>
      </c>
      <c r="U121">
        <v>9.31</v>
      </c>
      <c r="V121" t="s">
        <v>534</v>
      </c>
      <c r="W121" t="s">
        <v>1461</v>
      </c>
      <c r="X121">
        <v>9.64</v>
      </c>
      <c r="Y121">
        <v>0.9</v>
      </c>
      <c r="Z121" s="243">
        <v>1728614</v>
      </c>
      <c r="AA121">
        <v>3367000</v>
      </c>
      <c r="AB121">
        <v>51.34</v>
      </c>
      <c r="AC121" t="s">
        <v>530</v>
      </c>
      <c r="AD121" t="s">
        <v>1375</v>
      </c>
      <c r="AE121">
        <v>0.37</v>
      </c>
      <c r="AF121">
        <v>0.19</v>
      </c>
      <c r="AG121" s="243">
        <v>63581</v>
      </c>
      <c r="AH121">
        <v>0</v>
      </c>
      <c r="AI121" t="s">
        <v>520</v>
      </c>
      <c r="AJ121" t="s">
        <v>532</v>
      </c>
      <c r="AK121" t="s">
        <v>1288</v>
      </c>
      <c r="AL121">
        <v>8.08</v>
      </c>
      <c r="AM121" t="s">
        <v>520</v>
      </c>
      <c r="AN121" s="243">
        <v>522330.01</v>
      </c>
      <c r="AO121">
        <v>713000</v>
      </c>
      <c r="AP121">
        <v>73.260000000000005</v>
      </c>
      <c r="AQ121" t="s">
        <v>537</v>
      </c>
      <c r="AR121" t="s">
        <v>1440</v>
      </c>
      <c r="AS121">
        <v>11.68</v>
      </c>
      <c r="AT121">
        <v>8.56</v>
      </c>
      <c r="AU121" s="243">
        <v>70085301.099999994</v>
      </c>
      <c r="AV121">
        <v>61310000</v>
      </c>
      <c r="AW121">
        <v>114.31</v>
      </c>
      <c r="AX121" t="s">
        <v>541</v>
      </c>
      <c r="AY121" t="s">
        <v>1375</v>
      </c>
      <c r="AZ121">
        <v>44.48</v>
      </c>
      <c r="BA121">
        <v>50.84</v>
      </c>
      <c r="BB121" s="243">
        <v>5116415.09</v>
      </c>
      <c r="BC121">
        <v>0</v>
      </c>
      <c r="BD121" t="s">
        <v>520</v>
      </c>
      <c r="BE121" t="s">
        <v>532</v>
      </c>
      <c r="BF121" t="s">
        <v>1288</v>
      </c>
      <c r="BG121">
        <v>9.14</v>
      </c>
      <c r="BH121" t="s">
        <v>520</v>
      </c>
    </row>
    <row r="122" spans="1:60">
      <c r="A122">
        <v>403</v>
      </c>
      <c r="B122" t="s">
        <v>186</v>
      </c>
      <c r="C122" t="s">
        <v>525</v>
      </c>
      <c r="D122" t="s">
        <v>33</v>
      </c>
      <c r="E122" s="243">
        <v>20987208.899999999</v>
      </c>
      <c r="F122">
        <v>18200000</v>
      </c>
      <c r="G122">
        <v>115.31</v>
      </c>
      <c r="H122" t="s">
        <v>551</v>
      </c>
      <c r="I122" t="s">
        <v>1327</v>
      </c>
      <c r="J122">
        <v>18.82</v>
      </c>
      <c r="K122">
        <v>21.7</v>
      </c>
      <c r="L122" s="243">
        <v>43935053</v>
      </c>
      <c r="M122">
        <v>33230000</v>
      </c>
      <c r="N122">
        <v>132.22</v>
      </c>
      <c r="O122" t="s">
        <v>535</v>
      </c>
      <c r="P122" t="s">
        <v>1370</v>
      </c>
      <c r="Q122">
        <v>51.91</v>
      </c>
      <c r="R122">
        <v>68.63</v>
      </c>
      <c r="S122" s="243">
        <v>2746373</v>
      </c>
      <c r="T122">
        <v>4039000</v>
      </c>
      <c r="U122">
        <v>68</v>
      </c>
      <c r="V122" t="s">
        <v>551</v>
      </c>
      <c r="W122" t="s">
        <v>1386</v>
      </c>
      <c r="X122">
        <v>17.41</v>
      </c>
      <c r="Y122">
        <v>11.84</v>
      </c>
      <c r="Z122" s="243">
        <v>413768</v>
      </c>
      <c r="AA122">
        <v>3774000</v>
      </c>
      <c r="AB122">
        <v>10.96</v>
      </c>
      <c r="AC122" t="s">
        <v>546</v>
      </c>
      <c r="AD122" t="s">
        <v>1428</v>
      </c>
      <c r="AE122">
        <v>3.91</v>
      </c>
      <c r="AF122">
        <v>0.43</v>
      </c>
      <c r="AG122" s="243">
        <v>79858</v>
      </c>
      <c r="AH122">
        <v>0</v>
      </c>
      <c r="AI122" t="s">
        <v>520</v>
      </c>
      <c r="AJ122" t="s">
        <v>532</v>
      </c>
      <c r="AK122" t="s">
        <v>1288</v>
      </c>
      <c r="AL122">
        <v>13.54</v>
      </c>
      <c r="AM122" t="s">
        <v>520</v>
      </c>
      <c r="AN122" s="243">
        <v>500826.66</v>
      </c>
      <c r="AO122">
        <v>697000</v>
      </c>
      <c r="AP122">
        <v>71.849999999999994</v>
      </c>
      <c r="AQ122" t="s">
        <v>543</v>
      </c>
      <c r="AR122" t="s">
        <v>1353</v>
      </c>
      <c r="AS122">
        <v>35.64</v>
      </c>
      <c r="AT122">
        <v>25.61</v>
      </c>
      <c r="AU122" s="243">
        <v>68663087.560000002</v>
      </c>
      <c r="AV122">
        <v>59940000</v>
      </c>
      <c r="AW122">
        <v>114.55</v>
      </c>
      <c r="AX122" t="s">
        <v>538</v>
      </c>
      <c r="AY122" t="s">
        <v>1341</v>
      </c>
      <c r="AZ122">
        <v>39.96</v>
      </c>
      <c r="BA122">
        <v>45.78</v>
      </c>
      <c r="BB122" s="243">
        <v>4864629.9000000004</v>
      </c>
      <c r="BC122">
        <v>0</v>
      </c>
      <c r="BD122" t="s">
        <v>520</v>
      </c>
      <c r="BE122" t="s">
        <v>532</v>
      </c>
      <c r="BF122" t="s">
        <v>1288</v>
      </c>
      <c r="BG122">
        <v>12.26</v>
      </c>
      <c r="BH122" t="s">
        <v>520</v>
      </c>
    </row>
    <row r="123" spans="1:60">
      <c r="A123">
        <v>420</v>
      </c>
      <c r="B123" t="s">
        <v>38</v>
      </c>
      <c r="C123" t="s">
        <v>519</v>
      </c>
      <c r="D123" t="s">
        <v>33</v>
      </c>
      <c r="E123" s="243">
        <v>33413448.539999999</v>
      </c>
      <c r="F123">
        <v>33110000</v>
      </c>
      <c r="G123">
        <v>100.92</v>
      </c>
      <c r="H123" t="s">
        <v>538</v>
      </c>
      <c r="I123" t="s">
        <v>1386</v>
      </c>
      <c r="J123">
        <v>13.37</v>
      </c>
      <c r="K123">
        <v>13.49</v>
      </c>
      <c r="L123" s="243">
        <v>50449563</v>
      </c>
      <c r="M123">
        <v>60450000</v>
      </c>
      <c r="N123">
        <v>83.46</v>
      </c>
      <c r="O123" t="s">
        <v>557</v>
      </c>
      <c r="P123" t="s">
        <v>1389</v>
      </c>
      <c r="Q123">
        <v>53.79</v>
      </c>
      <c r="R123">
        <v>44.89</v>
      </c>
      <c r="S123" s="243">
        <v>15554094</v>
      </c>
      <c r="T123">
        <v>9007000</v>
      </c>
      <c r="U123">
        <v>172.69</v>
      </c>
      <c r="V123" t="s">
        <v>532</v>
      </c>
      <c r="W123" t="s">
        <v>1421</v>
      </c>
      <c r="X123">
        <v>56.17</v>
      </c>
      <c r="Y123">
        <v>97</v>
      </c>
      <c r="Z123" s="243">
        <v>228244</v>
      </c>
      <c r="AA123">
        <v>5216000</v>
      </c>
      <c r="AB123">
        <v>4.38</v>
      </c>
      <c r="AC123" t="s">
        <v>558</v>
      </c>
      <c r="AD123" t="s">
        <v>1464</v>
      </c>
      <c r="AE123">
        <v>6.7</v>
      </c>
      <c r="AF123">
        <v>0.28999999999999998</v>
      </c>
      <c r="AG123" s="243">
        <v>54201</v>
      </c>
      <c r="AH123">
        <v>0</v>
      </c>
      <c r="AI123" t="s">
        <v>520</v>
      </c>
      <c r="AJ123" t="s">
        <v>532</v>
      </c>
      <c r="AK123" t="s">
        <v>1288</v>
      </c>
      <c r="AL123">
        <v>5.32</v>
      </c>
      <c r="AM123" t="s">
        <v>520</v>
      </c>
      <c r="AN123" s="243">
        <v>2240504.2599999998</v>
      </c>
      <c r="AO123">
        <v>1267000</v>
      </c>
      <c r="AP123">
        <v>176.84</v>
      </c>
      <c r="AQ123" t="s">
        <v>550</v>
      </c>
      <c r="AR123" t="s">
        <v>1453</v>
      </c>
      <c r="AS123">
        <v>19.329999999999998</v>
      </c>
      <c r="AT123">
        <v>34.19</v>
      </c>
      <c r="AU123" s="243">
        <v>101940054.8</v>
      </c>
      <c r="AV123">
        <v>109050000</v>
      </c>
      <c r="AW123">
        <v>93.48</v>
      </c>
      <c r="AX123" t="s">
        <v>543</v>
      </c>
      <c r="AY123" t="s">
        <v>1426</v>
      </c>
      <c r="AZ123">
        <v>40.020000000000003</v>
      </c>
      <c r="BA123">
        <v>37.409999999999997</v>
      </c>
      <c r="BB123" s="243">
        <v>9119253.5399999991</v>
      </c>
      <c r="BC123">
        <v>0</v>
      </c>
      <c r="BD123" t="s">
        <v>520</v>
      </c>
      <c r="BE123" t="s">
        <v>532</v>
      </c>
      <c r="BF123" t="s">
        <v>1288</v>
      </c>
      <c r="BG123">
        <v>8.7799999999999994</v>
      </c>
      <c r="BH123" t="s">
        <v>520</v>
      </c>
    </row>
    <row r="124" spans="1:60">
      <c r="A124">
        <v>422</v>
      </c>
      <c r="B124" t="s">
        <v>101</v>
      </c>
      <c r="C124" t="s">
        <v>524</v>
      </c>
      <c r="D124" t="s">
        <v>33</v>
      </c>
      <c r="E124" s="243">
        <v>26911477.75</v>
      </c>
      <c r="F124">
        <v>20060000</v>
      </c>
      <c r="G124">
        <v>134.15</v>
      </c>
      <c r="H124" t="s">
        <v>532</v>
      </c>
      <c r="I124" t="s">
        <v>1445</v>
      </c>
      <c r="J124">
        <v>11.31</v>
      </c>
      <c r="K124">
        <v>15.17</v>
      </c>
      <c r="L124" s="243">
        <v>53316292</v>
      </c>
      <c r="M124">
        <v>36610000</v>
      </c>
      <c r="N124">
        <v>145.63</v>
      </c>
      <c r="O124" t="s">
        <v>541</v>
      </c>
      <c r="P124" t="s">
        <v>1391</v>
      </c>
      <c r="Q124">
        <v>32.4</v>
      </c>
      <c r="R124">
        <v>47.18</v>
      </c>
      <c r="S124" s="243">
        <v>170016</v>
      </c>
      <c r="T124">
        <v>4869000</v>
      </c>
      <c r="U124">
        <v>3.49</v>
      </c>
      <c r="V124" t="s">
        <v>557</v>
      </c>
      <c r="W124" t="s">
        <v>1468</v>
      </c>
      <c r="X124">
        <v>23.71</v>
      </c>
      <c r="Y124">
        <v>0.83</v>
      </c>
      <c r="Z124" s="243">
        <v>58266</v>
      </c>
      <c r="AA124">
        <v>3743000</v>
      </c>
      <c r="AB124">
        <v>1.56</v>
      </c>
      <c r="AC124" t="s">
        <v>557</v>
      </c>
      <c r="AD124" t="s">
        <v>1442</v>
      </c>
      <c r="AE124">
        <v>2.92</v>
      </c>
      <c r="AF124">
        <v>0.05</v>
      </c>
      <c r="AG124" s="243">
        <v>187215</v>
      </c>
      <c r="AH124">
        <v>0</v>
      </c>
      <c r="AI124" t="s">
        <v>520</v>
      </c>
      <c r="AJ124" t="s">
        <v>532</v>
      </c>
      <c r="AK124" t="s">
        <v>1288</v>
      </c>
      <c r="AL124">
        <v>4.28</v>
      </c>
      <c r="AM124" t="s">
        <v>520</v>
      </c>
      <c r="AN124" s="243">
        <v>551135.44999999995</v>
      </c>
      <c r="AO124">
        <v>768000</v>
      </c>
      <c r="AP124">
        <v>71.760000000000005</v>
      </c>
      <c r="AQ124" t="s">
        <v>536</v>
      </c>
      <c r="AR124" t="s">
        <v>1462</v>
      </c>
      <c r="AS124">
        <v>19.68</v>
      </c>
      <c r="AT124">
        <v>14.12</v>
      </c>
      <c r="AU124" s="243">
        <v>81194402.200000003</v>
      </c>
      <c r="AV124">
        <v>66050000</v>
      </c>
      <c r="AW124">
        <v>122.93</v>
      </c>
      <c r="AX124" t="s">
        <v>530</v>
      </c>
      <c r="AY124" t="s">
        <v>1431</v>
      </c>
      <c r="AZ124">
        <v>25.22</v>
      </c>
      <c r="BA124">
        <v>31</v>
      </c>
      <c r="BB124" s="243">
        <v>11665561.75</v>
      </c>
      <c r="BC124">
        <v>0</v>
      </c>
      <c r="BD124" t="s">
        <v>520</v>
      </c>
      <c r="BE124" t="s">
        <v>532</v>
      </c>
      <c r="BF124" t="s">
        <v>1288</v>
      </c>
      <c r="BG124">
        <v>17.5</v>
      </c>
      <c r="BH124" t="s">
        <v>520</v>
      </c>
    </row>
    <row r="125" spans="1:60">
      <c r="A125">
        <v>423</v>
      </c>
      <c r="B125" t="s">
        <v>187</v>
      </c>
      <c r="C125" t="s">
        <v>524</v>
      </c>
      <c r="D125" t="s">
        <v>33</v>
      </c>
      <c r="E125" s="243">
        <v>17597896.559999999</v>
      </c>
      <c r="F125">
        <v>15210000</v>
      </c>
      <c r="G125">
        <v>115.7</v>
      </c>
      <c r="H125" t="s">
        <v>530</v>
      </c>
      <c r="I125" t="s">
        <v>1332</v>
      </c>
      <c r="J125">
        <v>17.07</v>
      </c>
      <c r="K125">
        <v>19.75</v>
      </c>
      <c r="L125" s="243">
        <v>33661996</v>
      </c>
      <c r="M125">
        <v>27760000</v>
      </c>
      <c r="N125">
        <v>121.26</v>
      </c>
      <c r="O125" t="s">
        <v>546</v>
      </c>
      <c r="P125" t="s">
        <v>1450</v>
      </c>
      <c r="Q125">
        <v>68.319999999999993</v>
      </c>
      <c r="R125">
        <v>82.84</v>
      </c>
      <c r="S125" s="243">
        <v>779177</v>
      </c>
      <c r="T125">
        <v>3726000</v>
      </c>
      <c r="U125">
        <v>20.91</v>
      </c>
      <c r="V125" t="s">
        <v>547</v>
      </c>
      <c r="W125" t="s">
        <v>1293</v>
      </c>
      <c r="X125">
        <v>5.24</v>
      </c>
      <c r="Y125">
        <v>1.1000000000000001</v>
      </c>
      <c r="Z125" s="243">
        <v>494101</v>
      </c>
      <c r="AA125">
        <v>2802000</v>
      </c>
      <c r="AB125">
        <v>17.63</v>
      </c>
      <c r="AC125" t="s">
        <v>556</v>
      </c>
      <c r="AD125" t="s">
        <v>1284</v>
      </c>
      <c r="AE125">
        <v>0.3</v>
      </c>
      <c r="AF125">
        <v>0.05</v>
      </c>
      <c r="AG125" s="243">
        <v>24727</v>
      </c>
      <c r="AH125">
        <v>0</v>
      </c>
      <c r="AI125" t="s">
        <v>520</v>
      </c>
      <c r="AJ125" t="s">
        <v>532</v>
      </c>
      <c r="AK125" t="s">
        <v>1288</v>
      </c>
      <c r="AL125">
        <v>4.5</v>
      </c>
      <c r="AM125" t="s">
        <v>520</v>
      </c>
      <c r="AN125" s="243">
        <v>298027.33</v>
      </c>
      <c r="AO125">
        <v>582000</v>
      </c>
      <c r="AP125">
        <v>51.21</v>
      </c>
      <c r="AQ125" t="s">
        <v>545</v>
      </c>
      <c r="AR125" t="s">
        <v>1374</v>
      </c>
      <c r="AS125">
        <v>12.68</v>
      </c>
      <c r="AT125">
        <v>6.49</v>
      </c>
      <c r="AU125" s="243">
        <v>52855924.890000001</v>
      </c>
      <c r="AV125">
        <v>50080000</v>
      </c>
      <c r="AW125">
        <v>105.54</v>
      </c>
      <c r="AX125" t="s">
        <v>556</v>
      </c>
      <c r="AY125" t="s">
        <v>1370</v>
      </c>
      <c r="AZ125">
        <v>49.35</v>
      </c>
      <c r="BA125">
        <v>52.08</v>
      </c>
      <c r="BB125" s="243">
        <v>4594540.5599999996</v>
      </c>
      <c r="BC125">
        <v>0</v>
      </c>
      <c r="BD125" t="s">
        <v>520</v>
      </c>
      <c r="BE125" t="s">
        <v>532</v>
      </c>
      <c r="BF125" t="s">
        <v>1288</v>
      </c>
      <c r="BG125">
        <v>3.77</v>
      </c>
      <c r="BH125" t="s">
        <v>520</v>
      </c>
    </row>
    <row r="126" spans="1:60">
      <c r="A126">
        <v>424</v>
      </c>
      <c r="B126" t="s">
        <v>188</v>
      </c>
      <c r="C126" t="s">
        <v>519</v>
      </c>
      <c r="D126" t="s">
        <v>33</v>
      </c>
      <c r="E126" s="243">
        <v>24817299.140000001</v>
      </c>
      <c r="F126">
        <v>24640000</v>
      </c>
      <c r="G126">
        <v>100.72</v>
      </c>
      <c r="H126" t="s">
        <v>541</v>
      </c>
      <c r="I126" t="s">
        <v>1385</v>
      </c>
      <c r="J126">
        <v>23.49</v>
      </c>
      <c r="K126">
        <v>23.66</v>
      </c>
      <c r="L126" s="243">
        <v>67429034</v>
      </c>
      <c r="M126">
        <v>44990000</v>
      </c>
      <c r="N126">
        <v>149.88</v>
      </c>
      <c r="O126" t="s">
        <v>533</v>
      </c>
      <c r="P126" t="s">
        <v>1332</v>
      </c>
      <c r="Q126">
        <v>49.19</v>
      </c>
      <c r="R126">
        <v>73.73</v>
      </c>
      <c r="S126" s="243">
        <v>5728761</v>
      </c>
      <c r="T126">
        <v>4217000</v>
      </c>
      <c r="U126">
        <v>135.85</v>
      </c>
      <c r="V126" t="s">
        <v>548</v>
      </c>
      <c r="W126" t="s">
        <v>1394</v>
      </c>
      <c r="X126">
        <v>42.06</v>
      </c>
      <c r="Y126">
        <v>57.14</v>
      </c>
      <c r="Z126" s="243">
        <v>7282200</v>
      </c>
      <c r="AA126">
        <v>6360000</v>
      </c>
      <c r="AB126">
        <v>114.5</v>
      </c>
      <c r="AC126" t="s">
        <v>532</v>
      </c>
      <c r="AD126" t="s">
        <v>1445</v>
      </c>
      <c r="AE126">
        <v>0.02</v>
      </c>
      <c r="AF126">
        <v>0.02</v>
      </c>
      <c r="AG126" s="243">
        <v>68318</v>
      </c>
      <c r="AH126">
        <v>0</v>
      </c>
      <c r="AI126" t="s">
        <v>520</v>
      </c>
      <c r="AJ126" t="s">
        <v>532</v>
      </c>
      <c r="AK126" t="s">
        <v>1288</v>
      </c>
      <c r="AL126">
        <v>11.43</v>
      </c>
      <c r="AM126" t="s">
        <v>520</v>
      </c>
      <c r="AN126" s="243">
        <v>1020594.32</v>
      </c>
      <c r="AO126">
        <v>943000</v>
      </c>
      <c r="AP126">
        <v>108.23</v>
      </c>
      <c r="AQ126" t="s">
        <v>547</v>
      </c>
      <c r="AR126" t="s">
        <v>1463</v>
      </c>
      <c r="AS126">
        <v>2.34</v>
      </c>
      <c r="AT126">
        <v>2.5299999999999998</v>
      </c>
      <c r="AU126" s="243">
        <v>106346206.45999999</v>
      </c>
      <c r="AV126">
        <v>81150000</v>
      </c>
      <c r="AW126">
        <v>131.05000000000001</v>
      </c>
      <c r="AX126" t="s">
        <v>532</v>
      </c>
      <c r="AY126" t="s">
        <v>1451</v>
      </c>
      <c r="AZ126">
        <v>38.97</v>
      </c>
      <c r="BA126">
        <v>51.07</v>
      </c>
      <c r="BB126" s="243">
        <v>8236884.1399999997</v>
      </c>
      <c r="BC126">
        <v>0</v>
      </c>
      <c r="BD126" t="s">
        <v>520</v>
      </c>
      <c r="BE126" t="s">
        <v>532</v>
      </c>
      <c r="BF126" t="s">
        <v>1288</v>
      </c>
      <c r="BG126">
        <v>7.33</v>
      </c>
      <c r="BH126" t="s">
        <v>520</v>
      </c>
    </row>
    <row r="127" spans="1:60">
      <c r="A127">
        <v>425</v>
      </c>
      <c r="B127" t="s">
        <v>39</v>
      </c>
      <c r="C127" t="s">
        <v>525</v>
      </c>
      <c r="D127" t="s">
        <v>33</v>
      </c>
      <c r="E127" s="243">
        <v>16205590.439999999</v>
      </c>
      <c r="F127">
        <v>21320000</v>
      </c>
      <c r="G127">
        <v>76.010000000000005</v>
      </c>
      <c r="H127" t="s">
        <v>546</v>
      </c>
      <c r="I127" t="s">
        <v>1337</v>
      </c>
      <c r="J127">
        <v>27.47</v>
      </c>
      <c r="K127">
        <v>20.88</v>
      </c>
      <c r="L127" s="243">
        <v>33554444</v>
      </c>
      <c r="M127">
        <v>38930000</v>
      </c>
      <c r="N127">
        <v>86.19</v>
      </c>
      <c r="O127" t="s">
        <v>552</v>
      </c>
      <c r="P127" t="s">
        <v>1464</v>
      </c>
      <c r="Q127">
        <v>68.77</v>
      </c>
      <c r="R127">
        <v>59.28</v>
      </c>
      <c r="S127" s="243">
        <v>2719391</v>
      </c>
      <c r="T127">
        <v>5668000</v>
      </c>
      <c r="U127">
        <v>47.98</v>
      </c>
      <c r="V127" t="s">
        <v>541</v>
      </c>
      <c r="W127" t="s">
        <v>1381</v>
      </c>
      <c r="X127">
        <v>74.52</v>
      </c>
      <c r="Y127">
        <v>35.75</v>
      </c>
      <c r="Z127" s="243">
        <v>412534</v>
      </c>
      <c r="AA127">
        <v>3496000</v>
      </c>
      <c r="AB127">
        <v>11.8</v>
      </c>
      <c r="AC127" t="s">
        <v>529</v>
      </c>
      <c r="AD127" t="s">
        <v>1361</v>
      </c>
      <c r="AE127">
        <v>0.01</v>
      </c>
      <c r="AF127">
        <v>0</v>
      </c>
      <c r="AG127" s="243">
        <v>50809</v>
      </c>
      <c r="AH127">
        <v>0</v>
      </c>
      <c r="AI127" t="s">
        <v>520</v>
      </c>
      <c r="AJ127" t="s">
        <v>532</v>
      </c>
      <c r="AK127" t="s">
        <v>1288</v>
      </c>
      <c r="AL127">
        <v>10</v>
      </c>
      <c r="AM127" t="s">
        <v>520</v>
      </c>
      <c r="AN127" s="243">
        <v>6023084.9400000004</v>
      </c>
      <c r="AO127">
        <v>816000</v>
      </c>
      <c r="AP127">
        <v>738.12</v>
      </c>
      <c r="AQ127" t="s">
        <v>548</v>
      </c>
      <c r="AR127" t="s">
        <v>1349</v>
      </c>
      <c r="AS127">
        <v>28.8</v>
      </c>
      <c r="AT127">
        <v>212.61</v>
      </c>
      <c r="AU127" s="243">
        <v>58965853.380000003</v>
      </c>
      <c r="AV127">
        <v>70230000</v>
      </c>
      <c r="AW127">
        <v>83.96</v>
      </c>
      <c r="AX127" t="s">
        <v>552</v>
      </c>
      <c r="AY127" t="s">
        <v>1306</v>
      </c>
      <c r="AZ127">
        <v>53.07</v>
      </c>
      <c r="BA127">
        <v>44.56</v>
      </c>
      <c r="BB127" s="243">
        <v>6168402.4400000004</v>
      </c>
      <c r="BC127">
        <v>0</v>
      </c>
      <c r="BD127" t="s">
        <v>520</v>
      </c>
      <c r="BE127" t="s">
        <v>532</v>
      </c>
      <c r="BF127" t="s">
        <v>1288</v>
      </c>
      <c r="BG127">
        <v>3.21</v>
      </c>
      <c r="BH127" t="s">
        <v>520</v>
      </c>
    </row>
    <row r="128" spans="1:60">
      <c r="A128">
        <v>426</v>
      </c>
      <c r="B128" t="s">
        <v>189</v>
      </c>
      <c r="C128" t="s">
        <v>524</v>
      </c>
      <c r="D128" t="s">
        <v>33</v>
      </c>
      <c r="E128" s="243">
        <v>14701743.039999999</v>
      </c>
      <c r="F128">
        <v>16500000</v>
      </c>
      <c r="G128">
        <v>89.1</v>
      </c>
      <c r="H128" t="s">
        <v>535</v>
      </c>
      <c r="I128" t="s">
        <v>1395</v>
      </c>
      <c r="J128">
        <v>8.5500000000000007</v>
      </c>
      <c r="K128">
        <v>7.62</v>
      </c>
      <c r="L128" s="243">
        <v>32563497</v>
      </c>
      <c r="M128">
        <v>30120000</v>
      </c>
      <c r="N128">
        <v>108.11</v>
      </c>
      <c r="O128" t="s">
        <v>543</v>
      </c>
      <c r="P128" t="s">
        <v>1438</v>
      </c>
      <c r="Q128">
        <v>24.6</v>
      </c>
      <c r="R128">
        <v>26.59</v>
      </c>
      <c r="S128" s="243">
        <v>3489570</v>
      </c>
      <c r="T128">
        <v>4235000</v>
      </c>
      <c r="U128">
        <v>82.4</v>
      </c>
      <c r="V128" t="s">
        <v>553</v>
      </c>
      <c r="W128" t="s">
        <v>1329</v>
      </c>
      <c r="X128">
        <v>9.64</v>
      </c>
      <c r="Y128">
        <v>7.94</v>
      </c>
      <c r="Z128" s="243">
        <v>50067</v>
      </c>
      <c r="AA128">
        <v>2844000</v>
      </c>
      <c r="AB128">
        <v>1.76</v>
      </c>
      <c r="AC128" t="s">
        <v>552</v>
      </c>
      <c r="AD128" t="s">
        <v>1446</v>
      </c>
      <c r="AE128">
        <v>0.11</v>
      </c>
      <c r="AF128">
        <v>0</v>
      </c>
      <c r="AG128" s="243">
        <v>102534</v>
      </c>
      <c r="AH128">
        <v>0</v>
      </c>
      <c r="AI128" t="s">
        <v>520</v>
      </c>
      <c r="AJ128" t="s">
        <v>532</v>
      </c>
      <c r="AK128" t="s">
        <v>1288</v>
      </c>
      <c r="AL128">
        <v>2.0499999999999998</v>
      </c>
      <c r="AM128" t="s">
        <v>520</v>
      </c>
      <c r="AN128" s="243">
        <v>795133.37</v>
      </c>
      <c r="AO128">
        <v>631000</v>
      </c>
      <c r="AP128">
        <v>126.01</v>
      </c>
      <c r="AQ128" t="s">
        <v>540</v>
      </c>
      <c r="AR128" t="s">
        <v>1319</v>
      </c>
      <c r="AS128">
        <v>15.27</v>
      </c>
      <c r="AT128">
        <v>19.25</v>
      </c>
      <c r="AU128" s="243">
        <v>51702544.409999996</v>
      </c>
      <c r="AV128">
        <v>54330000</v>
      </c>
      <c r="AW128">
        <v>95.16</v>
      </c>
      <c r="AX128" t="s">
        <v>537</v>
      </c>
      <c r="AY128" t="s">
        <v>1387</v>
      </c>
      <c r="AZ128">
        <v>18.809999999999999</v>
      </c>
      <c r="BA128">
        <v>17.899999999999999</v>
      </c>
      <c r="BB128" s="243">
        <v>4460319.04</v>
      </c>
      <c r="BC128">
        <v>0</v>
      </c>
      <c r="BD128" t="s">
        <v>520</v>
      </c>
      <c r="BE128" t="s">
        <v>532</v>
      </c>
      <c r="BF128" t="s">
        <v>1288</v>
      </c>
      <c r="BG128">
        <v>5.98</v>
      </c>
      <c r="BH128" t="s">
        <v>520</v>
      </c>
    </row>
    <row r="129" spans="1:60">
      <c r="A129">
        <v>427</v>
      </c>
      <c r="B129" t="s">
        <v>190</v>
      </c>
      <c r="C129" t="s">
        <v>524</v>
      </c>
      <c r="D129" t="s">
        <v>33</v>
      </c>
      <c r="E129" s="243">
        <v>16881842.559999999</v>
      </c>
      <c r="F129">
        <v>18550000</v>
      </c>
      <c r="G129">
        <v>91.01</v>
      </c>
      <c r="H129" t="s">
        <v>550</v>
      </c>
      <c r="I129" t="s">
        <v>1336</v>
      </c>
      <c r="J129">
        <v>18.8</v>
      </c>
      <c r="K129">
        <v>17.11</v>
      </c>
      <c r="L129" s="243">
        <v>34476277.960000001</v>
      </c>
      <c r="M129">
        <v>33860000</v>
      </c>
      <c r="N129">
        <v>101.82</v>
      </c>
      <c r="O129" t="s">
        <v>534</v>
      </c>
      <c r="P129" t="s">
        <v>1465</v>
      </c>
      <c r="Q129">
        <v>48.04</v>
      </c>
      <c r="R129">
        <v>48.91</v>
      </c>
      <c r="S129" s="243">
        <v>2296388</v>
      </c>
      <c r="T129">
        <v>4995000</v>
      </c>
      <c r="U129">
        <v>45.97</v>
      </c>
      <c r="V129" t="s">
        <v>556</v>
      </c>
      <c r="W129" t="s">
        <v>1345</v>
      </c>
      <c r="X129">
        <v>5.42</v>
      </c>
      <c r="Y129">
        <v>2.4900000000000002</v>
      </c>
      <c r="Z129" s="243">
        <v>172513</v>
      </c>
      <c r="AA129">
        <v>2975000</v>
      </c>
      <c r="AB129">
        <v>5.8</v>
      </c>
      <c r="AC129" t="s">
        <v>536</v>
      </c>
      <c r="AD129" t="s">
        <v>1320</v>
      </c>
      <c r="AE129">
        <v>31.89</v>
      </c>
      <c r="AF129">
        <v>1.85</v>
      </c>
      <c r="AG129" s="243">
        <v>88651</v>
      </c>
      <c r="AH129">
        <v>0</v>
      </c>
      <c r="AI129" t="s">
        <v>520</v>
      </c>
      <c r="AJ129" t="s">
        <v>532</v>
      </c>
      <c r="AK129" t="s">
        <v>1288</v>
      </c>
      <c r="AL129">
        <v>22.7</v>
      </c>
      <c r="AM129" t="s">
        <v>520</v>
      </c>
      <c r="AN129" s="243">
        <v>254010.79</v>
      </c>
      <c r="AO129">
        <v>710000</v>
      </c>
      <c r="AP129">
        <v>35.78</v>
      </c>
      <c r="AQ129" t="s">
        <v>534</v>
      </c>
      <c r="AR129" t="s">
        <v>1368</v>
      </c>
      <c r="AS129">
        <v>14.49</v>
      </c>
      <c r="AT129">
        <v>5.18</v>
      </c>
      <c r="AU129" s="243">
        <v>54169683.310000002</v>
      </c>
      <c r="AV129">
        <v>61090000</v>
      </c>
      <c r="AW129">
        <v>88.67</v>
      </c>
      <c r="AX129" t="s">
        <v>558</v>
      </c>
      <c r="AY129" t="s">
        <v>1350</v>
      </c>
      <c r="AZ129">
        <v>36.869999999999997</v>
      </c>
      <c r="BA129">
        <v>32.69</v>
      </c>
      <c r="BB129" s="243">
        <v>5598994.5599999996</v>
      </c>
      <c r="BC129">
        <v>0</v>
      </c>
      <c r="BD129" t="s">
        <v>520</v>
      </c>
      <c r="BE129" t="s">
        <v>532</v>
      </c>
      <c r="BF129" t="s">
        <v>1288</v>
      </c>
      <c r="BG129">
        <v>16.34</v>
      </c>
      <c r="BH129" t="s">
        <v>520</v>
      </c>
    </row>
    <row r="130" spans="1:60">
      <c r="A130">
        <v>429</v>
      </c>
      <c r="B130" t="s">
        <v>191</v>
      </c>
      <c r="C130" t="s">
        <v>526</v>
      </c>
      <c r="D130" t="s">
        <v>33</v>
      </c>
      <c r="E130" s="243">
        <v>9159457.1600000001</v>
      </c>
      <c r="F130">
        <v>13250000</v>
      </c>
      <c r="G130">
        <v>69.13</v>
      </c>
      <c r="H130" t="s">
        <v>537</v>
      </c>
      <c r="I130" t="s">
        <v>1368</v>
      </c>
      <c r="J130">
        <v>51.8</v>
      </c>
      <c r="K130">
        <v>35.81</v>
      </c>
      <c r="L130" s="243">
        <v>43415219</v>
      </c>
      <c r="M130">
        <v>24200000</v>
      </c>
      <c r="N130">
        <v>179.4</v>
      </c>
      <c r="O130" t="s">
        <v>548</v>
      </c>
      <c r="P130" t="s">
        <v>1451</v>
      </c>
      <c r="Q130">
        <v>84.46</v>
      </c>
      <c r="R130">
        <v>151.52000000000001</v>
      </c>
      <c r="S130" s="243">
        <v>1057865</v>
      </c>
      <c r="T130">
        <v>2220000</v>
      </c>
      <c r="U130">
        <v>47.65</v>
      </c>
      <c r="V130" t="s">
        <v>549</v>
      </c>
      <c r="W130" t="s">
        <v>1362</v>
      </c>
      <c r="X130">
        <v>42.53</v>
      </c>
      <c r="Y130">
        <v>20.27</v>
      </c>
      <c r="Z130" s="243">
        <v>2302409</v>
      </c>
      <c r="AA130">
        <v>3473000</v>
      </c>
      <c r="AB130">
        <v>66.290000000000006</v>
      </c>
      <c r="AC130" t="s">
        <v>553</v>
      </c>
      <c r="AD130" t="s">
        <v>1459</v>
      </c>
      <c r="AE130">
        <v>2.13</v>
      </c>
      <c r="AF130">
        <v>1.41</v>
      </c>
      <c r="AG130" s="243">
        <v>51289</v>
      </c>
      <c r="AH130">
        <v>0</v>
      </c>
      <c r="AI130" t="s">
        <v>520</v>
      </c>
      <c r="AJ130" t="s">
        <v>532</v>
      </c>
      <c r="AK130" t="s">
        <v>1288</v>
      </c>
      <c r="AL130">
        <v>9.91</v>
      </c>
      <c r="AM130" t="s">
        <v>520</v>
      </c>
      <c r="AN130" s="243">
        <v>1034550.98</v>
      </c>
      <c r="AO130">
        <v>507000</v>
      </c>
      <c r="AP130">
        <v>204.05</v>
      </c>
      <c r="AQ130" t="s">
        <v>549</v>
      </c>
      <c r="AR130" t="s">
        <v>1287</v>
      </c>
      <c r="AS130">
        <v>88.69</v>
      </c>
      <c r="AT130">
        <v>180.97</v>
      </c>
      <c r="AU130" s="243">
        <v>57020790.140000001</v>
      </c>
      <c r="AV130">
        <v>43650000</v>
      </c>
      <c r="AW130">
        <v>130.63</v>
      </c>
      <c r="AX130" t="s">
        <v>548</v>
      </c>
      <c r="AY130" t="s">
        <v>1298</v>
      </c>
      <c r="AZ130">
        <v>75.12</v>
      </c>
      <c r="BA130">
        <v>98.13</v>
      </c>
      <c r="BB130" s="243">
        <v>2906185.16</v>
      </c>
      <c r="BC130">
        <v>0</v>
      </c>
      <c r="BD130" t="s">
        <v>520</v>
      </c>
      <c r="BE130" t="s">
        <v>532</v>
      </c>
      <c r="BF130" t="s">
        <v>1288</v>
      </c>
      <c r="BG130">
        <v>11.59</v>
      </c>
      <c r="BH130" t="s">
        <v>520</v>
      </c>
    </row>
    <row r="131" spans="1:60">
      <c r="A131">
        <v>430</v>
      </c>
      <c r="B131" t="s">
        <v>40</v>
      </c>
      <c r="C131" t="s">
        <v>526</v>
      </c>
      <c r="D131" t="s">
        <v>33</v>
      </c>
      <c r="E131" s="243">
        <v>8606386.9000000004</v>
      </c>
      <c r="F131">
        <v>12320000</v>
      </c>
      <c r="G131">
        <v>69.86</v>
      </c>
      <c r="H131" t="s">
        <v>547</v>
      </c>
      <c r="I131" t="s">
        <v>1443</v>
      </c>
      <c r="J131">
        <v>23.37</v>
      </c>
      <c r="K131">
        <v>16.329999999999998</v>
      </c>
      <c r="L131" s="243">
        <v>24707844</v>
      </c>
      <c r="M131">
        <v>22500000</v>
      </c>
      <c r="N131">
        <v>109.81</v>
      </c>
      <c r="O131" t="s">
        <v>537</v>
      </c>
      <c r="P131" t="s">
        <v>1387</v>
      </c>
      <c r="Q131">
        <v>71.31</v>
      </c>
      <c r="R131">
        <v>78.3</v>
      </c>
      <c r="S131" s="243">
        <v>1117227</v>
      </c>
      <c r="T131">
        <v>2756000</v>
      </c>
      <c r="U131">
        <v>40.54</v>
      </c>
      <c r="V131" t="s">
        <v>550</v>
      </c>
      <c r="W131" t="s">
        <v>1319</v>
      </c>
      <c r="X131">
        <v>20.39</v>
      </c>
      <c r="Y131">
        <v>8.27</v>
      </c>
      <c r="Z131" s="243">
        <v>268584</v>
      </c>
      <c r="AA131">
        <v>2532000</v>
      </c>
      <c r="AB131">
        <v>10.61</v>
      </c>
      <c r="AC131" t="s">
        <v>540</v>
      </c>
      <c r="AD131" t="s">
        <v>1331</v>
      </c>
      <c r="AE131">
        <v>0.34</v>
      </c>
      <c r="AF131">
        <v>0.04</v>
      </c>
      <c r="AG131" s="243">
        <v>33464</v>
      </c>
      <c r="AH131">
        <v>0</v>
      </c>
      <c r="AI131" t="s">
        <v>520</v>
      </c>
      <c r="AJ131" t="s">
        <v>532</v>
      </c>
      <c r="AK131" t="s">
        <v>1288</v>
      </c>
      <c r="AL131">
        <v>1.38</v>
      </c>
      <c r="AM131" t="s">
        <v>520</v>
      </c>
      <c r="AN131" s="243">
        <v>1630299.26</v>
      </c>
      <c r="AO131">
        <v>472000</v>
      </c>
      <c r="AP131">
        <v>345.4</v>
      </c>
      <c r="AQ131" t="s">
        <v>530</v>
      </c>
      <c r="AR131" t="s">
        <v>1418</v>
      </c>
      <c r="AS131">
        <v>10.27</v>
      </c>
      <c r="AT131">
        <v>35.47</v>
      </c>
      <c r="AU131" s="243">
        <v>36363805.159999996</v>
      </c>
      <c r="AV131">
        <v>40580000</v>
      </c>
      <c r="AW131">
        <v>89.61</v>
      </c>
      <c r="AX131" t="s">
        <v>534</v>
      </c>
      <c r="AY131" t="s">
        <v>1440</v>
      </c>
      <c r="AZ131">
        <v>55.07</v>
      </c>
      <c r="BA131">
        <v>49.35</v>
      </c>
      <c r="BB131" s="243">
        <v>2805221.9</v>
      </c>
      <c r="BC131">
        <v>0</v>
      </c>
      <c r="BD131" t="s">
        <v>520</v>
      </c>
      <c r="BE131" t="s">
        <v>532</v>
      </c>
      <c r="BF131" t="s">
        <v>1288</v>
      </c>
      <c r="BG131">
        <v>6.96</v>
      </c>
      <c r="BH131" t="s">
        <v>520</v>
      </c>
    </row>
    <row r="132" spans="1:60">
      <c r="A132">
        <v>431</v>
      </c>
      <c r="B132" t="s">
        <v>102</v>
      </c>
      <c r="C132" t="s">
        <v>524</v>
      </c>
      <c r="D132" t="s">
        <v>33</v>
      </c>
      <c r="E132" s="243">
        <v>5513420.6299999999</v>
      </c>
      <c r="F132">
        <v>8960000</v>
      </c>
      <c r="G132">
        <v>61.53</v>
      </c>
      <c r="H132" t="s">
        <v>534</v>
      </c>
      <c r="I132" t="s">
        <v>1325</v>
      </c>
      <c r="J132">
        <v>12.64</v>
      </c>
      <c r="K132">
        <v>7.78</v>
      </c>
      <c r="L132" s="243">
        <v>29148075</v>
      </c>
      <c r="M132">
        <v>16360000</v>
      </c>
      <c r="N132">
        <v>178.17</v>
      </c>
      <c r="O132" t="s">
        <v>542</v>
      </c>
      <c r="P132" t="s">
        <v>1298</v>
      </c>
      <c r="Q132">
        <v>76.61</v>
      </c>
      <c r="R132">
        <v>136.49</v>
      </c>
      <c r="S132" s="243">
        <v>127367</v>
      </c>
      <c r="T132">
        <v>2002000</v>
      </c>
      <c r="U132">
        <v>6.36</v>
      </c>
      <c r="V132" t="s">
        <v>555</v>
      </c>
      <c r="W132" t="s">
        <v>1355</v>
      </c>
      <c r="X132">
        <v>7.6</v>
      </c>
      <c r="Y132">
        <v>0.48</v>
      </c>
      <c r="Z132" s="243">
        <v>14547</v>
      </c>
      <c r="AA132">
        <v>1855000</v>
      </c>
      <c r="AB132">
        <v>0.78</v>
      </c>
      <c r="AC132" t="s">
        <v>554</v>
      </c>
      <c r="AD132" t="s">
        <v>1352</v>
      </c>
      <c r="AE132">
        <v>32.729999999999997</v>
      </c>
      <c r="AF132">
        <v>0.26</v>
      </c>
      <c r="AG132" s="243">
        <v>15293</v>
      </c>
      <c r="AH132">
        <v>0</v>
      </c>
      <c r="AI132" t="s">
        <v>520</v>
      </c>
      <c r="AJ132" t="s">
        <v>532</v>
      </c>
      <c r="AK132" t="s">
        <v>1288</v>
      </c>
      <c r="AL132">
        <v>25.97</v>
      </c>
      <c r="AM132" t="s">
        <v>520</v>
      </c>
      <c r="AN132" s="243">
        <v>684155.52</v>
      </c>
      <c r="AO132">
        <v>343000</v>
      </c>
      <c r="AP132">
        <v>199.46</v>
      </c>
      <c r="AQ132" t="s">
        <v>556</v>
      </c>
      <c r="AR132" t="s">
        <v>1377</v>
      </c>
      <c r="AS132">
        <v>83.17</v>
      </c>
      <c r="AT132">
        <v>165.89</v>
      </c>
      <c r="AU132" s="243">
        <v>35502858.149999999</v>
      </c>
      <c r="AV132">
        <v>29520000</v>
      </c>
      <c r="AW132">
        <v>120.27</v>
      </c>
      <c r="AX132" t="s">
        <v>551</v>
      </c>
      <c r="AY132" t="s">
        <v>1398</v>
      </c>
      <c r="AZ132">
        <v>66.510000000000005</v>
      </c>
      <c r="BA132">
        <v>79.989999999999995</v>
      </c>
      <c r="BB132" s="243">
        <v>2215338.63</v>
      </c>
      <c r="BC132">
        <v>0</v>
      </c>
      <c r="BD132" t="s">
        <v>520</v>
      </c>
      <c r="BE132" t="s">
        <v>532</v>
      </c>
      <c r="BF132" t="s">
        <v>1288</v>
      </c>
      <c r="BG132">
        <v>7.38</v>
      </c>
      <c r="BH132" t="s">
        <v>520</v>
      </c>
    </row>
    <row r="133" spans="1:60">
      <c r="A133">
        <v>451</v>
      </c>
      <c r="B133" t="s">
        <v>103</v>
      </c>
      <c r="C133" t="s">
        <v>526</v>
      </c>
      <c r="D133" t="s">
        <v>33</v>
      </c>
      <c r="E133" s="243">
        <v>7131057.0700000003</v>
      </c>
      <c r="F133">
        <v>14740000</v>
      </c>
      <c r="G133">
        <v>48.38</v>
      </c>
      <c r="H133" t="s">
        <v>557</v>
      </c>
      <c r="I133" t="s">
        <v>1290</v>
      </c>
      <c r="J133">
        <v>20.93</v>
      </c>
      <c r="K133">
        <v>10.130000000000001</v>
      </c>
      <c r="L133" s="243">
        <v>29012928</v>
      </c>
      <c r="M133">
        <v>26900000</v>
      </c>
      <c r="N133">
        <v>107.85</v>
      </c>
      <c r="O133" t="s">
        <v>545</v>
      </c>
      <c r="P133" t="s">
        <v>1361</v>
      </c>
      <c r="Q133">
        <v>64.02</v>
      </c>
      <c r="R133">
        <v>69.040000000000006</v>
      </c>
      <c r="S133" s="243">
        <v>94915</v>
      </c>
      <c r="T133">
        <v>3731000</v>
      </c>
      <c r="U133">
        <v>2.54</v>
      </c>
      <c r="V133" t="s">
        <v>554</v>
      </c>
      <c r="W133" t="s">
        <v>1881</v>
      </c>
      <c r="X133">
        <v>1.9</v>
      </c>
      <c r="Y133">
        <v>0.05</v>
      </c>
      <c r="Z133" s="243">
        <v>235397</v>
      </c>
      <c r="AA133">
        <v>2595000</v>
      </c>
      <c r="AB133">
        <v>9.07</v>
      </c>
      <c r="AC133" t="s">
        <v>547</v>
      </c>
      <c r="AD133" t="s">
        <v>1440</v>
      </c>
      <c r="AE133">
        <v>0.91</v>
      </c>
      <c r="AF133">
        <v>0.08</v>
      </c>
      <c r="AG133" s="243">
        <v>52140</v>
      </c>
      <c r="AH133">
        <v>0</v>
      </c>
      <c r="AI133" t="s">
        <v>520</v>
      </c>
      <c r="AJ133" t="s">
        <v>532</v>
      </c>
      <c r="AK133" t="s">
        <v>1288</v>
      </c>
      <c r="AL133">
        <v>5.01</v>
      </c>
      <c r="AM133" t="s">
        <v>520</v>
      </c>
      <c r="AN133" s="243">
        <v>22905.09</v>
      </c>
      <c r="AO133">
        <v>564000</v>
      </c>
      <c r="AP133">
        <v>4.0599999999999996</v>
      </c>
      <c r="AQ133" t="s">
        <v>557</v>
      </c>
      <c r="AR133" t="s">
        <v>1355</v>
      </c>
      <c r="AS133">
        <v>78.010000000000005</v>
      </c>
      <c r="AT133">
        <v>3.17</v>
      </c>
      <c r="AU133" s="243">
        <v>36549342.159999996</v>
      </c>
      <c r="AV133">
        <v>48530000</v>
      </c>
      <c r="AW133">
        <v>75.31</v>
      </c>
      <c r="AX133" t="s">
        <v>531</v>
      </c>
      <c r="AY133" t="s">
        <v>1333</v>
      </c>
      <c r="AZ133">
        <v>54.97</v>
      </c>
      <c r="BA133">
        <v>41.4</v>
      </c>
      <c r="BB133" s="243">
        <v>3255957.07</v>
      </c>
      <c r="BC133">
        <v>0</v>
      </c>
      <c r="BD133" t="s">
        <v>520</v>
      </c>
      <c r="BE133" t="s">
        <v>532</v>
      </c>
      <c r="BF133" t="s">
        <v>1288</v>
      </c>
      <c r="BG133">
        <v>10.62</v>
      </c>
      <c r="BH133" t="s">
        <v>520</v>
      </c>
    </row>
    <row r="134" spans="1:60">
      <c r="A134">
        <v>500</v>
      </c>
      <c r="B134" t="s">
        <v>41</v>
      </c>
      <c r="C134" t="s">
        <v>526</v>
      </c>
      <c r="D134" t="s">
        <v>33</v>
      </c>
      <c r="E134" s="243">
        <v>19528378.09</v>
      </c>
      <c r="F134">
        <v>14910000</v>
      </c>
      <c r="G134">
        <v>130.97999999999999</v>
      </c>
      <c r="H134" t="s">
        <v>548</v>
      </c>
      <c r="I134" t="s">
        <v>1388</v>
      </c>
      <c r="J134">
        <v>27.24</v>
      </c>
      <c r="K134">
        <v>35.68</v>
      </c>
      <c r="L134" s="243">
        <v>42707152</v>
      </c>
      <c r="M134">
        <v>27220000</v>
      </c>
      <c r="N134">
        <v>156.9</v>
      </c>
      <c r="O134" t="s">
        <v>530</v>
      </c>
      <c r="P134" t="s">
        <v>1431</v>
      </c>
      <c r="Q134">
        <v>58.73</v>
      </c>
      <c r="R134">
        <v>92.15</v>
      </c>
      <c r="S134" s="243">
        <v>663965</v>
      </c>
      <c r="T134">
        <v>3424000</v>
      </c>
      <c r="U134">
        <v>19.39</v>
      </c>
      <c r="V134" t="s">
        <v>537</v>
      </c>
      <c r="W134" t="s">
        <v>1443</v>
      </c>
      <c r="X134">
        <v>29.33</v>
      </c>
      <c r="Y134">
        <v>5.69</v>
      </c>
      <c r="Z134" s="243">
        <v>295626</v>
      </c>
      <c r="AA134">
        <v>2975000</v>
      </c>
      <c r="AB134">
        <v>9.94</v>
      </c>
      <c r="AC134" t="s">
        <v>544</v>
      </c>
      <c r="AD134" t="s">
        <v>1292</v>
      </c>
      <c r="AE134">
        <v>0</v>
      </c>
      <c r="AF134">
        <v>0</v>
      </c>
      <c r="AG134" s="243">
        <v>30105</v>
      </c>
      <c r="AH134">
        <v>0</v>
      </c>
      <c r="AI134" t="s">
        <v>520</v>
      </c>
      <c r="AJ134" t="s">
        <v>532</v>
      </c>
      <c r="AK134" t="s">
        <v>1288</v>
      </c>
      <c r="AL134">
        <v>7.01</v>
      </c>
      <c r="AM134" t="s">
        <v>520</v>
      </c>
      <c r="AN134" s="243">
        <v>131228.99</v>
      </c>
      <c r="AO134">
        <v>571000</v>
      </c>
      <c r="AP134">
        <v>22.98</v>
      </c>
      <c r="AQ134" t="s">
        <v>555</v>
      </c>
      <c r="AR134" t="s">
        <v>1454</v>
      </c>
      <c r="AS134">
        <v>98.15</v>
      </c>
      <c r="AT134">
        <v>22.56</v>
      </c>
      <c r="AU134" s="243">
        <v>63356455.079999998</v>
      </c>
      <c r="AV134">
        <v>49100000</v>
      </c>
      <c r="AW134">
        <v>129.04</v>
      </c>
      <c r="AX134" t="s">
        <v>542</v>
      </c>
      <c r="AY134" t="s">
        <v>1445</v>
      </c>
      <c r="AZ134">
        <v>48.5</v>
      </c>
      <c r="BA134">
        <v>62.58</v>
      </c>
      <c r="BB134" s="243">
        <v>5593246.0899999999</v>
      </c>
      <c r="BC134">
        <v>0</v>
      </c>
      <c r="BD134" t="s">
        <v>520</v>
      </c>
      <c r="BE134" t="s">
        <v>532</v>
      </c>
      <c r="BF134" t="s">
        <v>1288</v>
      </c>
      <c r="BG134">
        <v>11.79</v>
      </c>
      <c r="BH134" t="s">
        <v>520</v>
      </c>
    </row>
    <row r="135" spans="1:60">
      <c r="A135">
        <v>501</v>
      </c>
      <c r="B135" t="s">
        <v>192</v>
      </c>
      <c r="C135" t="s">
        <v>524</v>
      </c>
      <c r="D135" t="s">
        <v>33</v>
      </c>
      <c r="E135" s="243">
        <v>9231805.0399999991</v>
      </c>
      <c r="F135">
        <v>14630000</v>
      </c>
      <c r="G135">
        <v>63.1</v>
      </c>
      <c r="H135" t="s">
        <v>545</v>
      </c>
      <c r="I135" t="s">
        <v>1422</v>
      </c>
      <c r="J135">
        <v>15.19</v>
      </c>
      <c r="K135">
        <v>9.59</v>
      </c>
      <c r="L135" s="243">
        <v>35830630</v>
      </c>
      <c r="M135">
        <v>26710000</v>
      </c>
      <c r="N135">
        <v>134.15</v>
      </c>
      <c r="O135" t="s">
        <v>550</v>
      </c>
      <c r="P135" t="s">
        <v>1404</v>
      </c>
      <c r="Q135">
        <v>47.54</v>
      </c>
      <c r="R135">
        <v>63.78</v>
      </c>
      <c r="S135" s="243">
        <v>221684</v>
      </c>
      <c r="T135">
        <v>3702000</v>
      </c>
      <c r="U135">
        <v>5.99</v>
      </c>
      <c r="V135" t="s">
        <v>531</v>
      </c>
      <c r="W135" t="s">
        <v>1315</v>
      </c>
      <c r="X135">
        <v>30.64</v>
      </c>
      <c r="Y135">
        <v>1.84</v>
      </c>
      <c r="Z135" s="243">
        <v>157248</v>
      </c>
      <c r="AA135">
        <v>2578000</v>
      </c>
      <c r="AB135">
        <v>6.1</v>
      </c>
      <c r="AC135" t="s">
        <v>543</v>
      </c>
      <c r="AD135" t="s">
        <v>1374</v>
      </c>
      <c r="AE135">
        <v>0.01</v>
      </c>
      <c r="AF135">
        <v>0</v>
      </c>
      <c r="AG135" s="243">
        <v>49505</v>
      </c>
      <c r="AH135">
        <v>0</v>
      </c>
      <c r="AI135" t="s">
        <v>520</v>
      </c>
      <c r="AJ135" t="s">
        <v>532</v>
      </c>
      <c r="AK135" t="s">
        <v>1288</v>
      </c>
      <c r="AL135">
        <v>3.45</v>
      </c>
      <c r="AM135" t="s">
        <v>520</v>
      </c>
      <c r="AN135" s="243">
        <v>2039117.45</v>
      </c>
      <c r="AO135">
        <v>560000</v>
      </c>
      <c r="AP135">
        <v>364.13</v>
      </c>
      <c r="AQ135" t="s">
        <v>553</v>
      </c>
      <c r="AR135" t="s">
        <v>1437</v>
      </c>
      <c r="AS135">
        <v>55.1</v>
      </c>
      <c r="AT135">
        <v>200.64</v>
      </c>
      <c r="AU135" s="243">
        <v>47529989.490000002</v>
      </c>
      <c r="AV135">
        <v>48180000</v>
      </c>
      <c r="AW135">
        <v>98.65</v>
      </c>
      <c r="AX135" t="s">
        <v>540</v>
      </c>
      <c r="AY135" t="s">
        <v>1342</v>
      </c>
      <c r="AZ135">
        <v>41.3</v>
      </c>
      <c r="BA135">
        <v>40.75</v>
      </c>
      <c r="BB135" s="243">
        <v>4088784.04</v>
      </c>
      <c r="BC135">
        <v>0</v>
      </c>
      <c r="BD135" t="s">
        <v>520</v>
      </c>
      <c r="BE135" t="s">
        <v>532</v>
      </c>
      <c r="BF135" t="s">
        <v>1288</v>
      </c>
      <c r="BG135">
        <v>4.78</v>
      </c>
      <c r="BH135" t="s">
        <v>520</v>
      </c>
    </row>
    <row r="136" spans="1:60">
      <c r="A136">
        <v>520</v>
      </c>
      <c r="B136" t="s">
        <v>193</v>
      </c>
      <c r="C136" t="s">
        <v>522</v>
      </c>
      <c r="D136" t="s">
        <v>33</v>
      </c>
      <c r="E136" s="243">
        <v>13400876.640000001</v>
      </c>
      <c r="F136">
        <v>23040000</v>
      </c>
      <c r="G136">
        <v>58.16</v>
      </c>
      <c r="H136" t="s">
        <v>528</v>
      </c>
      <c r="I136" t="s">
        <v>1411</v>
      </c>
      <c r="J136">
        <v>12.35</v>
      </c>
      <c r="K136">
        <v>7.18</v>
      </c>
      <c r="L136" s="243">
        <v>40164469</v>
      </c>
      <c r="M136">
        <v>42070000</v>
      </c>
      <c r="N136">
        <v>95.47</v>
      </c>
      <c r="O136" t="s">
        <v>555</v>
      </c>
      <c r="P136" t="s">
        <v>1340</v>
      </c>
      <c r="Q136">
        <v>67.16</v>
      </c>
      <c r="R136">
        <v>64.12</v>
      </c>
      <c r="S136" s="243">
        <v>671430</v>
      </c>
      <c r="T136">
        <v>2642000</v>
      </c>
      <c r="U136">
        <v>25.41</v>
      </c>
      <c r="V136" t="s">
        <v>546</v>
      </c>
      <c r="W136" t="s">
        <v>1311</v>
      </c>
      <c r="X136">
        <v>25.2</v>
      </c>
      <c r="Y136">
        <v>6.4</v>
      </c>
      <c r="Z136" s="243">
        <v>390059</v>
      </c>
      <c r="AA136">
        <v>7256000</v>
      </c>
      <c r="AB136">
        <v>5.38</v>
      </c>
      <c r="AC136" t="s">
        <v>545</v>
      </c>
      <c r="AD136" t="s">
        <v>1306</v>
      </c>
      <c r="AE136">
        <v>0.31</v>
      </c>
      <c r="AF136">
        <v>0.02</v>
      </c>
      <c r="AG136" s="243">
        <v>68149</v>
      </c>
      <c r="AH136">
        <v>0</v>
      </c>
      <c r="AI136" t="s">
        <v>520</v>
      </c>
      <c r="AJ136" t="s">
        <v>532</v>
      </c>
      <c r="AK136" t="s">
        <v>1288</v>
      </c>
      <c r="AL136">
        <v>5.18</v>
      </c>
      <c r="AM136" t="s">
        <v>520</v>
      </c>
      <c r="AN136" s="243">
        <v>1471214.62</v>
      </c>
      <c r="AO136">
        <v>882000</v>
      </c>
      <c r="AP136">
        <v>166.8</v>
      </c>
      <c r="AQ136" t="s">
        <v>535</v>
      </c>
      <c r="AR136" t="s">
        <v>1362</v>
      </c>
      <c r="AS136">
        <v>33.340000000000003</v>
      </c>
      <c r="AT136">
        <v>55.62</v>
      </c>
      <c r="AU136" s="243">
        <v>56166198.259999998</v>
      </c>
      <c r="AV136">
        <v>75890000</v>
      </c>
      <c r="AW136">
        <v>74.010000000000005</v>
      </c>
      <c r="AX136" t="s">
        <v>557</v>
      </c>
      <c r="AY136" t="s">
        <v>1317</v>
      </c>
      <c r="AZ136">
        <v>52.16</v>
      </c>
      <c r="BA136">
        <v>38.6</v>
      </c>
      <c r="BB136" s="243">
        <v>5295379.6399999997</v>
      </c>
      <c r="BC136">
        <v>0</v>
      </c>
      <c r="BD136" t="s">
        <v>520</v>
      </c>
      <c r="BE136" t="s">
        <v>532</v>
      </c>
      <c r="BF136" t="s">
        <v>1288</v>
      </c>
      <c r="BG136">
        <v>7.2</v>
      </c>
      <c r="BH136" t="s">
        <v>520</v>
      </c>
    </row>
    <row r="137" spans="1:60">
      <c r="A137">
        <v>521</v>
      </c>
      <c r="B137" t="s">
        <v>194</v>
      </c>
      <c r="C137" t="s">
        <v>522</v>
      </c>
      <c r="D137" t="s">
        <v>33</v>
      </c>
      <c r="E137" s="243">
        <v>28362499.359999999</v>
      </c>
      <c r="F137">
        <v>32870000</v>
      </c>
      <c r="G137">
        <v>86.29</v>
      </c>
      <c r="H137" t="s">
        <v>529</v>
      </c>
      <c r="I137" t="s">
        <v>1366</v>
      </c>
      <c r="J137">
        <v>6.4</v>
      </c>
      <c r="K137">
        <v>5.52</v>
      </c>
      <c r="L137" s="243">
        <v>60456188</v>
      </c>
      <c r="M137">
        <v>60000000</v>
      </c>
      <c r="N137">
        <v>100.76</v>
      </c>
      <c r="O137" t="s">
        <v>558</v>
      </c>
      <c r="P137" t="s">
        <v>1424</v>
      </c>
      <c r="Q137">
        <v>28.48</v>
      </c>
      <c r="R137">
        <v>28.7</v>
      </c>
      <c r="S137" s="243">
        <v>644324</v>
      </c>
      <c r="T137">
        <v>8964000</v>
      </c>
      <c r="U137">
        <v>7.19</v>
      </c>
      <c r="V137" t="s">
        <v>528</v>
      </c>
      <c r="W137" t="s">
        <v>1392</v>
      </c>
      <c r="X137">
        <v>29</v>
      </c>
      <c r="Y137">
        <v>2.08</v>
      </c>
      <c r="Z137" s="243">
        <v>696703</v>
      </c>
      <c r="AA137">
        <v>5148000</v>
      </c>
      <c r="AB137">
        <v>13.53</v>
      </c>
      <c r="AC137" t="s">
        <v>535</v>
      </c>
      <c r="AD137" t="s">
        <v>1366</v>
      </c>
      <c r="AE137">
        <v>0.03</v>
      </c>
      <c r="AF137">
        <v>0</v>
      </c>
      <c r="AG137" s="243">
        <v>186321</v>
      </c>
      <c r="AH137">
        <v>0</v>
      </c>
      <c r="AI137" t="s">
        <v>520</v>
      </c>
      <c r="AJ137" t="s">
        <v>532</v>
      </c>
      <c r="AK137" t="s">
        <v>1288</v>
      </c>
      <c r="AL137">
        <v>18.48</v>
      </c>
      <c r="AM137" t="s">
        <v>520</v>
      </c>
      <c r="AN137" s="243">
        <v>1449698.37</v>
      </c>
      <c r="AO137">
        <v>1258000</v>
      </c>
      <c r="AP137">
        <v>115.24</v>
      </c>
      <c r="AQ137" t="s">
        <v>544</v>
      </c>
      <c r="AR137" t="s">
        <v>1366</v>
      </c>
      <c r="AS137">
        <v>62.34</v>
      </c>
      <c r="AT137">
        <v>71.84</v>
      </c>
      <c r="AU137" s="243">
        <v>91795733.730000004</v>
      </c>
      <c r="AV137">
        <v>108240000</v>
      </c>
      <c r="AW137">
        <v>84.81</v>
      </c>
      <c r="AX137" t="s">
        <v>555</v>
      </c>
      <c r="AY137" t="s">
        <v>1338</v>
      </c>
      <c r="AZ137">
        <v>21.96</v>
      </c>
      <c r="BA137">
        <v>18.62</v>
      </c>
      <c r="BB137" s="243">
        <v>12180116.359999999</v>
      </c>
      <c r="BC137">
        <v>0</v>
      </c>
      <c r="BD137" t="s">
        <v>520</v>
      </c>
      <c r="BE137" t="s">
        <v>532</v>
      </c>
      <c r="BF137" t="s">
        <v>1288</v>
      </c>
      <c r="BG137">
        <v>6.23</v>
      </c>
      <c r="BH137" t="s">
        <v>520</v>
      </c>
    </row>
    <row r="138" spans="1:60">
      <c r="A138">
        <v>522</v>
      </c>
      <c r="B138" t="s">
        <v>42</v>
      </c>
      <c r="C138" t="s">
        <v>519</v>
      </c>
      <c r="D138" t="s">
        <v>33</v>
      </c>
      <c r="E138" s="243">
        <v>34731963.509999998</v>
      </c>
      <c r="F138">
        <v>31000000</v>
      </c>
      <c r="G138">
        <v>112.04</v>
      </c>
      <c r="H138" t="s">
        <v>533</v>
      </c>
      <c r="I138" t="s">
        <v>1466</v>
      </c>
      <c r="J138">
        <v>11.54</v>
      </c>
      <c r="K138">
        <v>12.93</v>
      </c>
      <c r="L138" s="243">
        <v>72044870</v>
      </c>
      <c r="M138">
        <v>56600000</v>
      </c>
      <c r="N138">
        <v>127.29</v>
      </c>
      <c r="O138" t="s">
        <v>529</v>
      </c>
      <c r="P138" t="s">
        <v>1287</v>
      </c>
      <c r="Q138">
        <v>53.05</v>
      </c>
      <c r="R138">
        <v>67.52</v>
      </c>
      <c r="S138" s="243">
        <v>2653123</v>
      </c>
      <c r="T138">
        <v>7130000</v>
      </c>
      <c r="U138">
        <v>37.21</v>
      </c>
      <c r="V138" t="s">
        <v>529</v>
      </c>
      <c r="W138" t="s">
        <v>1366</v>
      </c>
      <c r="X138">
        <v>0.09</v>
      </c>
      <c r="Y138">
        <v>0.03</v>
      </c>
      <c r="Z138" s="243">
        <v>5273902</v>
      </c>
      <c r="AA138">
        <v>6183000</v>
      </c>
      <c r="AB138">
        <v>85.3</v>
      </c>
      <c r="AC138" t="s">
        <v>542</v>
      </c>
      <c r="AD138" t="s">
        <v>1316</v>
      </c>
      <c r="AE138">
        <v>0.13</v>
      </c>
      <c r="AF138">
        <v>0.11</v>
      </c>
      <c r="AG138" s="243">
        <v>125419</v>
      </c>
      <c r="AH138">
        <v>0</v>
      </c>
      <c r="AI138" t="s">
        <v>520</v>
      </c>
      <c r="AJ138" t="s">
        <v>532</v>
      </c>
      <c r="AK138" t="s">
        <v>1288</v>
      </c>
      <c r="AL138">
        <v>4.5999999999999996</v>
      </c>
      <c r="AM138" t="s">
        <v>520</v>
      </c>
      <c r="AN138" s="243">
        <v>3596904.98</v>
      </c>
      <c r="AO138">
        <v>1187000</v>
      </c>
      <c r="AP138">
        <v>303.02</v>
      </c>
      <c r="AQ138" t="s">
        <v>551</v>
      </c>
      <c r="AR138" t="s">
        <v>1433</v>
      </c>
      <c r="AS138">
        <v>95.57</v>
      </c>
      <c r="AT138">
        <v>289.61</v>
      </c>
      <c r="AU138" s="243">
        <v>118426182.48999999</v>
      </c>
      <c r="AV138">
        <v>102100000</v>
      </c>
      <c r="AW138">
        <v>115.99</v>
      </c>
      <c r="AX138" t="s">
        <v>533</v>
      </c>
      <c r="AY138" t="s">
        <v>1459</v>
      </c>
      <c r="AZ138">
        <v>38.57</v>
      </c>
      <c r="BA138">
        <v>44.74</v>
      </c>
      <c r="BB138" s="243">
        <v>8831307.5099999998</v>
      </c>
      <c r="BC138">
        <v>0</v>
      </c>
      <c r="BD138" t="s">
        <v>520</v>
      </c>
      <c r="BE138" t="s">
        <v>532</v>
      </c>
      <c r="BF138" t="s">
        <v>1288</v>
      </c>
      <c r="BG138">
        <v>5.6</v>
      </c>
      <c r="BH138" t="s">
        <v>520</v>
      </c>
    </row>
    <row r="139" spans="1:60">
      <c r="A139">
        <v>523</v>
      </c>
      <c r="B139" t="s">
        <v>104</v>
      </c>
      <c r="C139" t="s">
        <v>524</v>
      </c>
      <c r="D139" t="s">
        <v>33</v>
      </c>
      <c r="E139" s="243">
        <v>10530009.060000001</v>
      </c>
      <c r="F139">
        <v>17850000</v>
      </c>
      <c r="G139">
        <v>58.99</v>
      </c>
      <c r="H139" t="s">
        <v>558</v>
      </c>
      <c r="I139" t="s">
        <v>1461</v>
      </c>
      <c r="J139">
        <v>26.64</v>
      </c>
      <c r="K139">
        <v>15.72</v>
      </c>
      <c r="L139" s="243">
        <v>45976669</v>
      </c>
      <c r="M139">
        <v>32600000</v>
      </c>
      <c r="N139">
        <v>141.03</v>
      </c>
      <c r="O139" t="s">
        <v>549</v>
      </c>
      <c r="P139" t="s">
        <v>1418</v>
      </c>
      <c r="Q139">
        <v>69.33</v>
      </c>
      <c r="R139">
        <v>97.77</v>
      </c>
      <c r="S139" s="243">
        <v>1714312</v>
      </c>
      <c r="T139">
        <v>4375000</v>
      </c>
      <c r="U139">
        <v>39.18</v>
      </c>
      <c r="V139" t="s">
        <v>535</v>
      </c>
      <c r="W139" t="s">
        <v>1417</v>
      </c>
      <c r="X139">
        <v>43.95</v>
      </c>
      <c r="Y139">
        <v>17.22</v>
      </c>
      <c r="Z139" s="243">
        <v>105190</v>
      </c>
      <c r="AA139">
        <v>3292000</v>
      </c>
      <c r="AB139">
        <v>3.2</v>
      </c>
      <c r="AC139" t="s">
        <v>555</v>
      </c>
      <c r="AD139" t="s">
        <v>1389</v>
      </c>
      <c r="AE139">
        <v>0.43</v>
      </c>
      <c r="AF139">
        <v>0.01</v>
      </c>
      <c r="AG139" s="243">
        <v>19922</v>
      </c>
      <c r="AH139">
        <v>0</v>
      </c>
      <c r="AI139" t="s">
        <v>520</v>
      </c>
      <c r="AJ139" t="s">
        <v>532</v>
      </c>
      <c r="AK139" t="s">
        <v>1288</v>
      </c>
      <c r="AL139">
        <v>24.06</v>
      </c>
      <c r="AM139" t="s">
        <v>520</v>
      </c>
      <c r="AN139" s="243">
        <v>1787859.77</v>
      </c>
      <c r="AO139">
        <v>683000</v>
      </c>
      <c r="AP139">
        <v>261.77</v>
      </c>
      <c r="AQ139" t="s">
        <v>533</v>
      </c>
      <c r="AR139" t="s">
        <v>1386</v>
      </c>
      <c r="AS139">
        <v>61.88</v>
      </c>
      <c r="AT139">
        <v>161.97</v>
      </c>
      <c r="AU139" s="243">
        <v>60133961.829999998</v>
      </c>
      <c r="AV139">
        <v>58800000</v>
      </c>
      <c r="AW139">
        <v>102.27</v>
      </c>
      <c r="AX139" t="s">
        <v>539</v>
      </c>
      <c r="AY139" t="s">
        <v>1436</v>
      </c>
      <c r="AZ139">
        <v>60.77</v>
      </c>
      <c r="BA139">
        <v>62.15</v>
      </c>
      <c r="BB139" s="243">
        <v>4180539.06</v>
      </c>
      <c r="BC139">
        <v>0</v>
      </c>
      <c r="BD139" t="s">
        <v>520</v>
      </c>
      <c r="BE139" t="s">
        <v>532</v>
      </c>
      <c r="BF139" t="s">
        <v>1288</v>
      </c>
      <c r="BG139">
        <v>11.02</v>
      </c>
      <c r="BH139" t="s">
        <v>520</v>
      </c>
    </row>
    <row r="140" spans="1:60">
      <c r="A140">
        <v>524</v>
      </c>
      <c r="B140" t="s">
        <v>43</v>
      </c>
      <c r="C140" t="s">
        <v>526</v>
      </c>
      <c r="D140" t="s">
        <v>33</v>
      </c>
      <c r="E140" s="243">
        <v>6799396.7599999998</v>
      </c>
      <c r="F140">
        <v>15100000</v>
      </c>
      <c r="G140">
        <v>45.03</v>
      </c>
      <c r="H140" t="s">
        <v>554</v>
      </c>
      <c r="I140" t="s">
        <v>1425</v>
      </c>
      <c r="J140">
        <v>20.21</v>
      </c>
      <c r="K140">
        <v>9.1</v>
      </c>
      <c r="L140" s="243">
        <v>29753020</v>
      </c>
      <c r="M140">
        <v>27570000</v>
      </c>
      <c r="N140">
        <v>107.92</v>
      </c>
      <c r="O140" t="s">
        <v>536</v>
      </c>
      <c r="P140" t="s">
        <v>1400</v>
      </c>
      <c r="Q140">
        <v>46.94</v>
      </c>
      <c r="R140">
        <v>50.65</v>
      </c>
      <c r="S140" s="243">
        <v>827204</v>
      </c>
      <c r="T140">
        <v>3717000</v>
      </c>
      <c r="U140">
        <v>22.25</v>
      </c>
      <c r="V140" t="s">
        <v>540</v>
      </c>
      <c r="W140" t="s">
        <v>1419</v>
      </c>
      <c r="X140">
        <v>10.8</v>
      </c>
      <c r="Y140">
        <v>2.4</v>
      </c>
      <c r="Z140" s="243">
        <v>138096</v>
      </c>
      <c r="AA140">
        <v>2765000</v>
      </c>
      <c r="AB140">
        <v>4.99</v>
      </c>
      <c r="AC140" t="s">
        <v>534</v>
      </c>
      <c r="AD140" t="s">
        <v>1448</v>
      </c>
      <c r="AE140">
        <v>0.72</v>
      </c>
      <c r="AF140">
        <v>0.04</v>
      </c>
      <c r="AG140" s="243">
        <v>30892</v>
      </c>
      <c r="AH140">
        <v>0</v>
      </c>
      <c r="AI140" t="s">
        <v>520</v>
      </c>
      <c r="AJ140" t="s">
        <v>532</v>
      </c>
      <c r="AK140" t="s">
        <v>1288</v>
      </c>
      <c r="AL140">
        <v>7.71</v>
      </c>
      <c r="AM140" t="s">
        <v>520</v>
      </c>
      <c r="AN140" s="243">
        <v>10472944.68</v>
      </c>
      <c r="AO140">
        <v>578000</v>
      </c>
      <c r="AP140">
        <v>1811.93</v>
      </c>
      <c r="AQ140" t="s">
        <v>532</v>
      </c>
      <c r="AR140" t="s">
        <v>1347</v>
      </c>
      <c r="AS140">
        <v>38.08</v>
      </c>
      <c r="AT140">
        <v>690.01</v>
      </c>
      <c r="AU140" s="243">
        <v>48021553.439999998</v>
      </c>
      <c r="AV140">
        <v>49730000</v>
      </c>
      <c r="AW140">
        <v>96.56</v>
      </c>
      <c r="AX140" t="s">
        <v>547</v>
      </c>
      <c r="AY140" t="s">
        <v>1449</v>
      </c>
      <c r="AZ140">
        <v>40.44</v>
      </c>
      <c r="BA140">
        <v>39.049999999999997</v>
      </c>
      <c r="BB140" s="243">
        <v>3498438.76</v>
      </c>
      <c r="BC140">
        <v>0</v>
      </c>
      <c r="BD140" t="s">
        <v>520</v>
      </c>
      <c r="BE140" t="s">
        <v>532</v>
      </c>
      <c r="BF140" t="s">
        <v>1288</v>
      </c>
      <c r="BG140">
        <v>6.72</v>
      </c>
      <c r="BH140" t="s">
        <v>520</v>
      </c>
    </row>
    <row r="141" spans="1:60">
      <c r="A141">
        <v>540</v>
      </c>
      <c r="B141" t="s">
        <v>44</v>
      </c>
      <c r="C141" t="s">
        <v>526</v>
      </c>
      <c r="D141" t="s">
        <v>33</v>
      </c>
      <c r="E141" s="243">
        <v>6029037.1399999997</v>
      </c>
      <c r="F141">
        <v>12160000</v>
      </c>
      <c r="G141">
        <v>49.58</v>
      </c>
      <c r="H141" t="s">
        <v>531</v>
      </c>
      <c r="I141" t="s">
        <v>1315</v>
      </c>
      <c r="J141">
        <v>16</v>
      </c>
      <c r="K141">
        <v>7.94</v>
      </c>
      <c r="L141" s="243">
        <v>27993644</v>
      </c>
      <c r="M141">
        <v>22210000</v>
      </c>
      <c r="N141">
        <v>126.04</v>
      </c>
      <c r="O141" t="s">
        <v>539</v>
      </c>
      <c r="P141" t="s">
        <v>1377</v>
      </c>
      <c r="Q141">
        <v>38.729999999999997</v>
      </c>
      <c r="R141">
        <v>48.82</v>
      </c>
      <c r="S141" s="243">
        <v>2063184</v>
      </c>
      <c r="T141">
        <v>2962000</v>
      </c>
      <c r="U141">
        <v>69.66</v>
      </c>
      <c r="V141" t="s">
        <v>530</v>
      </c>
      <c r="W141" t="s">
        <v>1447</v>
      </c>
      <c r="X141">
        <v>0.77</v>
      </c>
      <c r="Y141">
        <v>0.53</v>
      </c>
      <c r="Z141" s="243">
        <v>398233</v>
      </c>
      <c r="AA141">
        <v>2262000</v>
      </c>
      <c r="AB141">
        <v>17.61</v>
      </c>
      <c r="AC141" t="s">
        <v>550</v>
      </c>
      <c r="AD141" t="s">
        <v>1395</v>
      </c>
      <c r="AE141">
        <v>0</v>
      </c>
      <c r="AF141">
        <v>0</v>
      </c>
      <c r="AG141" s="243">
        <v>21683</v>
      </c>
      <c r="AH141">
        <v>0</v>
      </c>
      <c r="AI141" t="s">
        <v>520</v>
      </c>
      <c r="AJ141" t="s">
        <v>532</v>
      </c>
      <c r="AK141" t="s">
        <v>1288</v>
      </c>
      <c r="AL141">
        <v>1.83</v>
      </c>
      <c r="AM141" t="s">
        <v>520</v>
      </c>
      <c r="AN141" s="243">
        <v>153612.78</v>
      </c>
      <c r="AO141">
        <v>466000</v>
      </c>
      <c r="AP141">
        <v>32.96</v>
      </c>
      <c r="AQ141" t="s">
        <v>558</v>
      </c>
      <c r="AR141" t="s">
        <v>1359</v>
      </c>
      <c r="AS141">
        <v>8</v>
      </c>
      <c r="AT141">
        <v>2.64</v>
      </c>
      <c r="AU141" s="243">
        <v>36659393.920000002</v>
      </c>
      <c r="AV141">
        <v>40060000</v>
      </c>
      <c r="AW141">
        <v>91.51</v>
      </c>
      <c r="AX141" t="s">
        <v>536</v>
      </c>
      <c r="AY141" t="s">
        <v>1430</v>
      </c>
      <c r="AZ141">
        <v>32.29</v>
      </c>
      <c r="BA141">
        <v>29.54</v>
      </c>
      <c r="BB141" s="243">
        <v>2928248.14</v>
      </c>
      <c r="BC141">
        <v>0</v>
      </c>
      <c r="BD141" t="s">
        <v>520</v>
      </c>
      <c r="BE141" t="s">
        <v>532</v>
      </c>
      <c r="BF141" t="s">
        <v>1288</v>
      </c>
      <c r="BG141">
        <v>1.79</v>
      </c>
      <c r="BH141" t="s">
        <v>520</v>
      </c>
    </row>
    <row r="142" spans="1:60">
      <c r="A142">
        <v>541</v>
      </c>
      <c r="B142" t="s">
        <v>105</v>
      </c>
      <c r="C142" t="s">
        <v>524</v>
      </c>
      <c r="D142" t="s">
        <v>33</v>
      </c>
      <c r="E142" s="243">
        <v>9693046.9600000009</v>
      </c>
      <c r="F142">
        <v>17990000</v>
      </c>
      <c r="G142">
        <v>53.88</v>
      </c>
      <c r="H142" t="s">
        <v>555</v>
      </c>
      <c r="I142" t="s">
        <v>1392</v>
      </c>
      <c r="J142">
        <v>16.829999999999998</v>
      </c>
      <c r="K142">
        <v>9.07</v>
      </c>
      <c r="L142" s="243">
        <v>50593236</v>
      </c>
      <c r="M142">
        <v>32850000</v>
      </c>
      <c r="N142">
        <v>154.01</v>
      </c>
      <c r="O142" t="s">
        <v>551</v>
      </c>
      <c r="P142" t="s">
        <v>1365</v>
      </c>
      <c r="Q142">
        <v>45.46</v>
      </c>
      <c r="R142">
        <v>70.02</v>
      </c>
      <c r="S142" s="243">
        <v>293387</v>
      </c>
      <c r="T142">
        <v>4736000</v>
      </c>
      <c r="U142">
        <v>6.19</v>
      </c>
      <c r="V142" t="s">
        <v>552</v>
      </c>
      <c r="W142" t="s">
        <v>1352</v>
      </c>
      <c r="X142">
        <v>0.4</v>
      </c>
      <c r="Y142">
        <v>0.02</v>
      </c>
      <c r="Z142" s="243">
        <v>230960</v>
      </c>
      <c r="AA142">
        <v>2995000</v>
      </c>
      <c r="AB142">
        <v>7.71</v>
      </c>
      <c r="AC142" t="s">
        <v>537</v>
      </c>
      <c r="AD142" t="s">
        <v>1328</v>
      </c>
      <c r="AE142">
        <v>0.45</v>
      </c>
      <c r="AF142">
        <v>0.03</v>
      </c>
      <c r="AG142" s="243">
        <v>30868</v>
      </c>
      <c r="AH142">
        <v>0</v>
      </c>
      <c r="AI142" t="s">
        <v>520</v>
      </c>
      <c r="AJ142" t="s">
        <v>532</v>
      </c>
      <c r="AK142" t="s">
        <v>1288</v>
      </c>
      <c r="AL142">
        <v>14.42</v>
      </c>
      <c r="AM142" t="s">
        <v>520</v>
      </c>
      <c r="AN142" s="243">
        <v>9521.7099999999991</v>
      </c>
      <c r="AO142">
        <v>689000</v>
      </c>
      <c r="AP142">
        <v>1.38</v>
      </c>
      <c r="AQ142" t="s">
        <v>554</v>
      </c>
      <c r="AR142" t="s">
        <v>1285</v>
      </c>
      <c r="AS142">
        <v>59.43</v>
      </c>
      <c r="AT142">
        <v>0.82</v>
      </c>
      <c r="AU142" s="243">
        <v>60851019.670000002</v>
      </c>
      <c r="AV142">
        <v>59260000</v>
      </c>
      <c r="AW142">
        <v>102.68</v>
      </c>
      <c r="AX142" t="s">
        <v>529</v>
      </c>
      <c r="AY142" t="s">
        <v>1383</v>
      </c>
      <c r="AZ142">
        <v>40.5</v>
      </c>
      <c r="BA142">
        <v>41.59</v>
      </c>
      <c r="BB142" s="243">
        <v>4425797.96</v>
      </c>
      <c r="BC142">
        <v>0</v>
      </c>
      <c r="BD142" t="s">
        <v>520</v>
      </c>
      <c r="BE142" t="s">
        <v>532</v>
      </c>
      <c r="BF142" t="s">
        <v>1288</v>
      </c>
      <c r="BG142">
        <v>9.0299999999999994</v>
      </c>
      <c r="BH142" t="s">
        <v>520</v>
      </c>
    </row>
    <row r="143" spans="1:60">
      <c r="A143">
        <v>542</v>
      </c>
      <c r="B143" t="s">
        <v>45</v>
      </c>
      <c r="C143" t="s">
        <v>527</v>
      </c>
      <c r="D143" t="s">
        <v>33</v>
      </c>
      <c r="E143" s="243">
        <v>6307503.3600000003</v>
      </c>
      <c r="F143">
        <v>12280000</v>
      </c>
      <c r="G143">
        <v>51.36</v>
      </c>
      <c r="H143" t="s">
        <v>552</v>
      </c>
      <c r="I143" t="s">
        <v>1352</v>
      </c>
      <c r="J143">
        <v>25.02</v>
      </c>
      <c r="K143">
        <v>12.85</v>
      </c>
      <c r="L143" s="243">
        <v>26146161</v>
      </c>
      <c r="M143">
        <v>22420000</v>
      </c>
      <c r="N143">
        <v>116.62</v>
      </c>
      <c r="O143" t="s">
        <v>544</v>
      </c>
      <c r="P143" t="s">
        <v>1304</v>
      </c>
      <c r="Q143">
        <v>68.760000000000005</v>
      </c>
      <c r="R143">
        <v>80.180000000000007</v>
      </c>
      <c r="S143" s="243">
        <v>1527163</v>
      </c>
      <c r="T143">
        <v>2736000</v>
      </c>
      <c r="U143">
        <v>55.82</v>
      </c>
      <c r="V143" t="s">
        <v>533</v>
      </c>
      <c r="W143" t="s">
        <v>1460</v>
      </c>
      <c r="X143">
        <v>33.1</v>
      </c>
      <c r="Y143">
        <v>18.47</v>
      </c>
      <c r="Z143" s="243">
        <v>291714</v>
      </c>
      <c r="AA143">
        <v>2544000</v>
      </c>
      <c r="AB143">
        <v>11.47</v>
      </c>
      <c r="AC143" t="s">
        <v>539</v>
      </c>
      <c r="AD143" t="s">
        <v>1379</v>
      </c>
      <c r="AE143">
        <v>0</v>
      </c>
      <c r="AF143">
        <v>0</v>
      </c>
      <c r="AG143" s="243">
        <v>19661</v>
      </c>
      <c r="AH143">
        <v>0</v>
      </c>
      <c r="AI143" t="s">
        <v>520</v>
      </c>
      <c r="AJ143" t="s">
        <v>532</v>
      </c>
      <c r="AK143" t="s">
        <v>1288</v>
      </c>
      <c r="AL143">
        <v>19.739999999999998</v>
      </c>
      <c r="AM143" t="s">
        <v>520</v>
      </c>
      <c r="AN143" s="243">
        <v>1197713.1499999999</v>
      </c>
      <c r="AO143">
        <v>470000</v>
      </c>
      <c r="AP143">
        <v>254.83</v>
      </c>
      <c r="AQ143" t="s">
        <v>538</v>
      </c>
      <c r="AR143" t="s">
        <v>1385</v>
      </c>
      <c r="AS143">
        <v>25.41</v>
      </c>
      <c r="AT143">
        <v>64.739999999999995</v>
      </c>
      <c r="AU143" s="243">
        <v>35489915.509999998</v>
      </c>
      <c r="AV143">
        <v>40450000</v>
      </c>
      <c r="AW143">
        <v>87.74</v>
      </c>
      <c r="AX143" t="s">
        <v>528</v>
      </c>
      <c r="AY143" t="s">
        <v>1335</v>
      </c>
      <c r="AZ143">
        <v>57.39</v>
      </c>
      <c r="BA143">
        <v>50.36</v>
      </c>
      <c r="BB143" s="243">
        <v>2455164.36</v>
      </c>
      <c r="BC143">
        <v>0</v>
      </c>
      <c r="BD143" t="s">
        <v>520</v>
      </c>
      <c r="BE143" t="s">
        <v>532</v>
      </c>
      <c r="BF143" t="s">
        <v>1288</v>
      </c>
      <c r="BG143">
        <v>11.97</v>
      </c>
      <c r="BH143" t="s">
        <v>520</v>
      </c>
    </row>
    <row r="144" spans="1:60">
      <c r="A144">
        <v>600</v>
      </c>
      <c r="B144" t="s">
        <v>46</v>
      </c>
      <c r="C144" t="s">
        <v>525</v>
      </c>
      <c r="D144" t="s">
        <v>33</v>
      </c>
      <c r="E144" s="243">
        <v>13061606.34</v>
      </c>
      <c r="F144">
        <v>18100000</v>
      </c>
      <c r="G144">
        <v>72.16</v>
      </c>
      <c r="H144" t="s">
        <v>544</v>
      </c>
      <c r="I144" t="s">
        <v>1293</v>
      </c>
      <c r="J144">
        <v>16.510000000000002</v>
      </c>
      <c r="K144">
        <v>11.91</v>
      </c>
      <c r="L144" s="243">
        <v>48734823</v>
      </c>
      <c r="M144">
        <v>33040000</v>
      </c>
      <c r="N144">
        <v>147.5</v>
      </c>
      <c r="O144" t="s">
        <v>538</v>
      </c>
      <c r="P144" t="s">
        <v>1327</v>
      </c>
      <c r="Q144">
        <v>37.14</v>
      </c>
      <c r="R144">
        <v>54.78</v>
      </c>
      <c r="S144" s="243">
        <v>657150</v>
      </c>
      <c r="T144">
        <v>4575000</v>
      </c>
      <c r="U144">
        <v>14.36</v>
      </c>
      <c r="V144" t="s">
        <v>536</v>
      </c>
      <c r="W144" t="s">
        <v>1439</v>
      </c>
      <c r="X144">
        <v>12.88</v>
      </c>
      <c r="Y144">
        <v>1.85</v>
      </c>
      <c r="Z144" s="243">
        <v>123204</v>
      </c>
      <c r="AA144">
        <v>3192000</v>
      </c>
      <c r="AB144">
        <v>3.86</v>
      </c>
      <c r="AC144" t="s">
        <v>528</v>
      </c>
      <c r="AD144" t="s">
        <v>1455</v>
      </c>
      <c r="AE144">
        <v>26.26</v>
      </c>
      <c r="AF144">
        <v>1.01</v>
      </c>
      <c r="AG144" s="243">
        <v>58928</v>
      </c>
      <c r="AH144">
        <v>0</v>
      </c>
      <c r="AI144" t="s">
        <v>520</v>
      </c>
      <c r="AJ144" t="s">
        <v>532</v>
      </c>
      <c r="AK144" t="s">
        <v>1288</v>
      </c>
      <c r="AL144">
        <v>18.350000000000001</v>
      </c>
      <c r="AM144" t="s">
        <v>520</v>
      </c>
      <c r="AN144" s="243">
        <v>3987123.88</v>
      </c>
      <c r="AO144">
        <v>693000</v>
      </c>
      <c r="AP144">
        <v>575.34</v>
      </c>
      <c r="AQ144" t="s">
        <v>542</v>
      </c>
      <c r="AR144" t="s">
        <v>1416</v>
      </c>
      <c r="AS144">
        <v>0.13</v>
      </c>
      <c r="AT144">
        <v>0.72</v>
      </c>
      <c r="AU144" s="243">
        <v>66622835.219999999</v>
      </c>
      <c r="AV144">
        <v>59600000</v>
      </c>
      <c r="AW144">
        <v>111.78</v>
      </c>
      <c r="AX144" t="s">
        <v>549</v>
      </c>
      <c r="AY144" t="s">
        <v>1329</v>
      </c>
      <c r="AZ144">
        <v>30.61</v>
      </c>
      <c r="BA144">
        <v>34.21</v>
      </c>
      <c r="BB144" s="243">
        <v>5333864.34</v>
      </c>
      <c r="BC144">
        <v>0</v>
      </c>
      <c r="BD144" t="s">
        <v>520</v>
      </c>
      <c r="BE144" t="s">
        <v>532</v>
      </c>
      <c r="BF144" t="s">
        <v>1288</v>
      </c>
      <c r="BG144">
        <v>16.86</v>
      </c>
      <c r="BH144" t="s">
        <v>520</v>
      </c>
    </row>
    <row r="145" spans="1:60">
      <c r="A145">
        <v>601</v>
      </c>
      <c r="B145" t="s">
        <v>195</v>
      </c>
      <c r="C145" t="s">
        <v>525</v>
      </c>
      <c r="D145" t="s">
        <v>33</v>
      </c>
      <c r="E145" s="243">
        <v>21374203.359999999</v>
      </c>
      <c r="F145">
        <v>17930000</v>
      </c>
      <c r="G145">
        <v>119.21</v>
      </c>
      <c r="H145" t="s">
        <v>553</v>
      </c>
      <c r="I145" t="s">
        <v>1365</v>
      </c>
      <c r="J145">
        <v>15.5</v>
      </c>
      <c r="K145">
        <v>18.48</v>
      </c>
      <c r="L145" s="243">
        <v>36467481</v>
      </c>
      <c r="M145">
        <v>32740000</v>
      </c>
      <c r="N145">
        <v>111.39</v>
      </c>
      <c r="O145" t="s">
        <v>547</v>
      </c>
      <c r="P145" t="s">
        <v>1449</v>
      </c>
      <c r="Q145">
        <v>45.07</v>
      </c>
      <c r="R145">
        <v>50.2</v>
      </c>
      <c r="S145" s="243">
        <v>714403</v>
      </c>
      <c r="T145">
        <v>4150000</v>
      </c>
      <c r="U145">
        <v>17.21</v>
      </c>
      <c r="V145" t="s">
        <v>543</v>
      </c>
      <c r="W145" t="s">
        <v>1294</v>
      </c>
      <c r="X145">
        <v>30.74</v>
      </c>
      <c r="Y145">
        <v>5.29</v>
      </c>
      <c r="Z145" s="243">
        <v>975880</v>
      </c>
      <c r="AA145">
        <v>3554000</v>
      </c>
      <c r="AB145">
        <v>27.46</v>
      </c>
      <c r="AC145" t="s">
        <v>549</v>
      </c>
      <c r="AD145" t="s">
        <v>1378</v>
      </c>
      <c r="AE145">
        <v>1.28</v>
      </c>
      <c r="AF145">
        <v>0.35</v>
      </c>
      <c r="AG145" s="243">
        <v>77191</v>
      </c>
      <c r="AH145">
        <v>0</v>
      </c>
      <c r="AI145" t="s">
        <v>520</v>
      </c>
      <c r="AJ145" t="s">
        <v>532</v>
      </c>
      <c r="AK145" t="s">
        <v>1288</v>
      </c>
      <c r="AL145">
        <v>10.43</v>
      </c>
      <c r="AM145" t="s">
        <v>520</v>
      </c>
      <c r="AN145" s="243">
        <v>200869.18</v>
      </c>
      <c r="AO145">
        <v>686000</v>
      </c>
      <c r="AP145">
        <v>29.28</v>
      </c>
      <c r="AQ145" t="s">
        <v>528</v>
      </c>
      <c r="AR145" t="s">
        <v>1389</v>
      </c>
      <c r="AS145">
        <v>98.88</v>
      </c>
      <c r="AT145">
        <v>28.95</v>
      </c>
      <c r="AU145" s="243">
        <v>59810027.539999999</v>
      </c>
      <c r="AV145">
        <v>59060000</v>
      </c>
      <c r="AW145">
        <v>101.27</v>
      </c>
      <c r="AX145" t="s">
        <v>546</v>
      </c>
      <c r="AY145" t="s">
        <v>1441</v>
      </c>
      <c r="AZ145">
        <v>33.76</v>
      </c>
      <c r="BA145">
        <v>34.19</v>
      </c>
      <c r="BB145" s="243">
        <v>6439740.3600000003</v>
      </c>
      <c r="BC145">
        <v>0</v>
      </c>
      <c r="BD145" t="s">
        <v>520</v>
      </c>
      <c r="BE145" t="s">
        <v>532</v>
      </c>
      <c r="BF145" t="s">
        <v>1288</v>
      </c>
      <c r="BG145">
        <v>16.899999999999999</v>
      </c>
      <c r="BH145" t="s">
        <v>520</v>
      </c>
    </row>
    <row r="146" spans="1:60">
      <c r="A146">
        <v>602</v>
      </c>
      <c r="B146" t="s">
        <v>47</v>
      </c>
      <c r="C146" t="s">
        <v>527</v>
      </c>
      <c r="D146" t="s">
        <v>33</v>
      </c>
      <c r="E146" s="243">
        <v>7793604.0899999999</v>
      </c>
      <c r="F146">
        <v>11660000</v>
      </c>
      <c r="G146">
        <v>66.84</v>
      </c>
      <c r="H146" t="s">
        <v>543</v>
      </c>
      <c r="I146" t="s">
        <v>1389</v>
      </c>
      <c r="J146">
        <v>17.89</v>
      </c>
      <c r="K146">
        <v>11.96</v>
      </c>
      <c r="L146" s="243">
        <v>38710835</v>
      </c>
      <c r="M146">
        <v>21290000</v>
      </c>
      <c r="N146">
        <v>181.83</v>
      </c>
      <c r="O146" t="s">
        <v>532</v>
      </c>
      <c r="P146" t="s">
        <v>1357</v>
      </c>
      <c r="Q146">
        <v>52.9</v>
      </c>
      <c r="R146">
        <v>96.18</v>
      </c>
      <c r="S146" s="243">
        <v>873203</v>
      </c>
      <c r="T146">
        <v>2996000</v>
      </c>
      <c r="U146">
        <v>29.15</v>
      </c>
      <c r="V146" t="s">
        <v>539</v>
      </c>
      <c r="W146" t="s">
        <v>1380</v>
      </c>
      <c r="X146">
        <v>41.84</v>
      </c>
      <c r="Y146">
        <v>12.19</v>
      </c>
      <c r="Z146" s="243">
        <v>586088</v>
      </c>
      <c r="AA146">
        <v>2018000</v>
      </c>
      <c r="AB146">
        <v>29.04</v>
      </c>
      <c r="AC146" t="s">
        <v>541</v>
      </c>
      <c r="AD146" t="s">
        <v>1383</v>
      </c>
      <c r="AE146">
        <v>1.17</v>
      </c>
      <c r="AF146">
        <v>0.34</v>
      </c>
      <c r="AG146" s="243">
        <v>18569</v>
      </c>
      <c r="AH146">
        <v>0</v>
      </c>
      <c r="AI146" t="s">
        <v>520</v>
      </c>
      <c r="AJ146" t="s">
        <v>532</v>
      </c>
      <c r="AK146" t="s">
        <v>1288</v>
      </c>
      <c r="AL146">
        <v>24.72</v>
      </c>
      <c r="AM146" t="s">
        <v>520</v>
      </c>
      <c r="AN146" s="243">
        <v>724131.92</v>
      </c>
      <c r="AO146">
        <v>446000</v>
      </c>
      <c r="AP146">
        <v>162.36000000000001</v>
      </c>
      <c r="AQ146" t="s">
        <v>539</v>
      </c>
      <c r="AR146" t="s">
        <v>1435</v>
      </c>
      <c r="AS146">
        <v>2.04</v>
      </c>
      <c r="AT146">
        <v>3.31</v>
      </c>
      <c r="AU146" s="243">
        <v>48706431.009999998</v>
      </c>
      <c r="AV146">
        <v>38410000</v>
      </c>
      <c r="AW146">
        <v>126.81</v>
      </c>
      <c r="AX146" t="s">
        <v>553</v>
      </c>
      <c r="AY146" t="s">
        <v>1393</v>
      </c>
      <c r="AZ146">
        <v>45.71</v>
      </c>
      <c r="BA146">
        <v>57.96</v>
      </c>
      <c r="BB146" s="243">
        <v>3263661.09</v>
      </c>
      <c r="BC146">
        <v>0</v>
      </c>
      <c r="BD146" t="s">
        <v>520</v>
      </c>
      <c r="BE146" t="s">
        <v>532</v>
      </c>
      <c r="BF146" t="s">
        <v>1288</v>
      </c>
      <c r="BG146">
        <v>10.18</v>
      </c>
      <c r="BH146" t="s">
        <v>520</v>
      </c>
    </row>
    <row r="147" spans="1:60">
      <c r="A147">
        <v>620</v>
      </c>
      <c r="B147" t="s">
        <v>106</v>
      </c>
      <c r="C147" t="s">
        <v>525</v>
      </c>
      <c r="D147" t="s">
        <v>48</v>
      </c>
      <c r="E147" s="243">
        <v>15645508.1</v>
      </c>
      <c r="F147">
        <v>16910000</v>
      </c>
      <c r="G147">
        <v>92.52</v>
      </c>
      <c r="H147" t="s">
        <v>573</v>
      </c>
      <c r="I147" t="s">
        <v>1286</v>
      </c>
      <c r="J147">
        <v>20.56</v>
      </c>
      <c r="K147">
        <v>19.02</v>
      </c>
      <c r="L147" s="243">
        <v>30046400</v>
      </c>
      <c r="M147">
        <v>30870000</v>
      </c>
      <c r="N147">
        <v>97.33</v>
      </c>
      <c r="O147" t="s">
        <v>578</v>
      </c>
      <c r="P147" t="s">
        <v>1302</v>
      </c>
      <c r="Q147">
        <v>48.39</v>
      </c>
      <c r="R147">
        <v>47.1</v>
      </c>
      <c r="S147" s="243">
        <v>3004262</v>
      </c>
      <c r="T147">
        <v>4362000</v>
      </c>
      <c r="U147">
        <v>68.87</v>
      </c>
      <c r="V147" t="s">
        <v>580</v>
      </c>
      <c r="W147" t="s">
        <v>1404</v>
      </c>
      <c r="X147">
        <v>77.08</v>
      </c>
      <c r="Y147">
        <v>53.09</v>
      </c>
      <c r="Z147" s="243">
        <v>256515</v>
      </c>
      <c r="AA147">
        <v>2901000</v>
      </c>
      <c r="AB147">
        <v>8.84</v>
      </c>
      <c r="AC147" t="s">
        <v>584</v>
      </c>
      <c r="AD147" t="s">
        <v>1384</v>
      </c>
      <c r="AE147">
        <v>0.28000000000000003</v>
      </c>
      <c r="AF147">
        <v>0.02</v>
      </c>
      <c r="AG147" s="243">
        <v>253038</v>
      </c>
      <c r="AH147">
        <v>0</v>
      </c>
      <c r="AI147" t="s">
        <v>520</v>
      </c>
      <c r="AJ147" t="s">
        <v>563</v>
      </c>
      <c r="AK147" t="s">
        <v>1288</v>
      </c>
      <c r="AL147">
        <v>0.96</v>
      </c>
      <c r="AM147" t="s">
        <v>520</v>
      </c>
      <c r="AN147" s="243">
        <v>13875.62</v>
      </c>
      <c r="AO147">
        <v>647000</v>
      </c>
      <c r="AP147">
        <v>2.14</v>
      </c>
      <c r="AQ147" t="s">
        <v>585</v>
      </c>
      <c r="AR147" t="s">
        <v>1330</v>
      </c>
      <c r="AS147">
        <v>100</v>
      </c>
      <c r="AT147">
        <v>2.14</v>
      </c>
      <c r="AU147" s="243">
        <v>49219598.719999999</v>
      </c>
      <c r="AV147">
        <v>55690000</v>
      </c>
      <c r="AW147">
        <v>88.38</v>
      </c>
      <c r="AX147" t="s">
        <v>560</v>
      </c>
      <c r="AY147" t="s">
        <v>1380</v>
      </c>
      <c r="AZ147">
        <v>40.82</v>
      </c>
      <c r="BA147">
        <v>36.07</v>
      </c>
      <c r="BB147" s="243">
        <v>5110794.0999999996</v>
      </c>
      <c r="BC147">
        <v>0</v>
      </c>
      <c r="BD147" t="s">
        <v>520</v>
      </c>
      <c r="BE147" t="s">
        <v>563</v>
      </c>
      <c r="BF147" t="s">
        <v>1288</v>
      </c>
      <c r="BG147">
        <v>5.8</v>
      </c>
      <c r="BH147" t="s">
        <v>520</v>
      </c>
    </row>
    <row r="148" spans="1:60">
      <c r="A148">
        <v>621</v>
      </c>
      <c r="B148" t="s">
        <v>49</v>
      </c>
      <c r="C148" t="s">
        <v>521</v>
      </c>
      <c r="D148" t="s">
        <v>48</v>
      </c>
      <c r="E148" s="243">
        <v>13929460.199999999</v>
      </c>
      <c r="F148">
        <v>23270000</v>
      </c>
      <c r="G148">
        <v>59.86</v>
      </c>
      <c r="H148" t="s">
        <v>571</v>
      </c>
      <c r="I148" t="s">
        <v>1376</v>
      </c>
      <c r="J148">
        <v>11.71</v>
      </c>
      <c r="K148">
        <v>7.01</v>
      </c>
      <c r="L148" s="243">
        <v>56286513</v>
      </c>
      <c r="M148">
        <v>42490000</v>
      </c>
      <c r="N148">
        <v>132.47</v>
      </c>
      <c r="O148" t="s">
        <v>569</v>
      </c>
      <c r="P148" t="s">
        <v>1403</v>
      </c>
      <c r="Q148">
        <v>79.38</v>
      </c>
      <c r="R148">
        <v>105.15</v>
      </c>
      <c r="S148" s="243">
        <v>1273436</v>
      </c>
      <c r="T148">
        <v>6277000</v>
      </c>
      <c r="U148">
        <v>20.29</v>
      </c>
      <c r="V148" t="s">
        <v>591</v>
      </c>
      <c r="W148" t="s">
        <v>1427</v>
      </c>
      <c r="X148">
        <v>36.14</v>
      </c>
      <c r="Y148">
        <v>7.33</v>
      </c>
      <c r="Z148" s="243">
        <v>212969</v>
      </c>
      <c r="AA148">
        <v>3722000</v>
      </c>
      <c r="AB148">
        <v>5.72</v>
      </c>
      <c r="AC148" t="s">
        <v>572</v>
      </c>
      <c r="AD148" t="s">
        <v>1419</v>
      </c>
      <c r="AE148">
        <v>1.35</v>
      </c>
      <c r="AF148">
        <v>0.08</v>
      </c>
      <c r="AG148" s="243">
        <v>99308</v>
      </c>
      <c r="AH148">
        <v>0</v>
      </c>
      <c r="AI148" t="s">
        <v>520</v>
      </c>
      <c r="AJ148" t="s">
        <v>563</v>
      </c>
      <c r="AK148" t="s">
        <v>1288</v>
      </c>
      <c r="AL148">
        <v>0.73</v>
      </c>
      <c r="AM148" t="s">
        <v>520</v>
      </c>
      <c r="AN148" s="243">
        <v>574346.79</v>
      </c>
      <c r="AO148">
        <v>891000</v>
      </c>
      <c r="AP148">
        <v>64.459999999999994</v>
      </c>
      <c r="AQ148" t="s">
        <v>567</v>
      </c>
      <c r="AR148" t="s">
        <v>1384</v>
      </c>
      <c r="AS148">
        <v>13.42</v>
      </c>
      <c r="AT148">
        <v>8.65</v>
      </c>
      <c r="AU148" s="243">
        <v>72376032.989999995</v>
      </c>
      <c r="AV148">
        <v>76650000</v>
      </c>
      <c r="AW148">
        <v>94.42</v>
      </c>
      <c r="AX148" t="s">
        <v>568</v>
      </c>
      <c r="AY148" t="s">
        <v>1463</v>
      </c>
      <c r="AZ148">
        <v>64.73</v>
      </c>
      <c r="BA148">
        <v>61.12</v>
      </c>
      <c r="BB148" s="243">
        <v>6682612.2000000002</v>
      </c>
      <c r="BC148">
        <v>0</v>
      </c>
      <c r="BD148" t="s">
        <v>520</v>
      </c>
      <c r="BE148" t="s">
        <v>563</v>
      </c>
      <c r="BF148" t="s">
        <v>1288</v>
      </c>
      <c r="BG148">
        <v>4.34</v>
      </c>
      <c r="BH148" t="s">
        <v>520</v>
      </c>
    </row>
    <row r="149" spans="1:60">
      <c r="A149">
        <v>622</v>
      </c>
      <c r="B149" t="s">
        <v>107</v>
      </c>
      <c r="C149" t="s">
        <v>525</v>
      </c>
      <c r="D149" t="s">
        <v>48</v>
      </c>
      <c r="E149" s="243">
        <v>15026326.07</v>
      </c>
      <c r="F149">
        <v>19790000</v>
      </c>
      <c r="G149">
        <v>75.930000000000007</v>
      </c>
      <c r="H149" t="s">
        <v>597</v>
      </c>
      <c r="I149" t="s">
        <v>1340</v>
      </c>
      <c r="J149">
        <v>12.96</v>
      </c>
      <c r="K149">
        <v>9.84</v>
      </c>
      <c r="L149" s="243">
        <v>34283688</v>
      </c>
      <c r="M149">
        <v>36120000</v>
      </c>
      <c r="N149">
        <v>94.92</v>
      </c>
      <c r="O149" t="s">
        <v>571</v>
      </c>
      <c r="P149" t="s">
        <v>1311</v>
      </c>
      <c r="Q149">
        <v>46.03</v>
      </c>
      <c r="R149">
        <v>43.69</v>
      </c>
      <c r="S149" s="243">
        <v>887887</v>
      </c>
      <c r="T149">
        <v>5091000</v>
      </c>
      <c r="U149">
        <v>17.440000000000001</v>
      </c>
      <c r="V149" t="s">
        <v>595</v>
      </c>
      <c r="W149" t="s">
        <v>1467</v>
      </c>
      <c r="X149">
        <v>24.99</v>
      </c>
      <c r="Y149">
        <v>4.3600000000000003</v>
      </c>
      <c r="Z149" s="243">
        <v>177037</v>
      </c>
      <c r="AA149">
        <v>3402000</v>
      </c>
      <c r="AB149">
        <v>5.2</v>
      </c>
      <c r="AC149" t="s">
        <v>565</v>
      </c>
      <c r="AD149" t="s">
        <v>1369</v>
      </c>
      <c r="AE149">
        <v>1.1100000000000001</v>
      </c>
      <c r="AF149">
        <v>0.06</v>
      </c>
      <c r="AG149" s="243">
        <v>34298</v>
      </c>
      <c r="AH149">
        <v>0</v>
      </c>
      <c r="AI149" t="s">
        <v>520</v>
      </c>
      <c r="AJ149" t="s">
        <v>563</v>
      </c>
      <c r="AK149" t="s">
        <v>1288</v>
      </c>
      <c r="AL149">
        <v>9.16</v>
      </c>
      <c r="AM149" t="s">
        <v>520</v>
      </c>
      <c r="AN149" s="243">
        <v>46656.47</v>
      </c>
      <c r="AO149">
        <v>757000</v>
      </c>
      <c r="AP149">
        <v>6.16</v>
      </c>
      <c r="AQ149" t="s">
        <v>577</v>
      </c>
      <c r="AR149" t="s">
        <v>1406</v>
      </c>
      <c r="AS149">
        <v>38.57</v>
      </c>
      <c r="AT149">
        <v>2.38</v>
      </c>
      <c r="AU149" s="243">
        <v>50455892.539999999</v>
      </c>
      <c r="AV149">
        <v>65160000</v>
      </c>
      <c r="AW149">
        <v>77.430000000000007</v>
      </c>
      <c r="AX149" t="s">
        <v>594</v>
      </c>
      <c r="AY149" t="s">
        <v>1402</v>
      </c>
      <c r="AZ149">
        <v>35.619999999999997</v>
      </c>
      <c r="BA149">
        <v>27.58</v>
      </c>
      <c r="BB149" s="243">
        <v>4877765.07</v>
      </c>
      <c r="BC149">
        <v>0</v>
      </c>
      <c r="BD149" t="s">
        <v>520</v>
      </c>
      <c r="BE149" t="s">
        <v>563</v>
      </c>
      <c r="BF149" t="s">
        <v>1288</v>
      </c>
      <c r="BG149">
        <v>6.16</v>
      </c>
      <c r="BH149" t="s">
        <v>520</v>
      </c>
    </row>
    <row r="150" spans="1:60">
      <c r="A150">
        <v>640</v>
      </c>
      <c r="B150" t="s">
        <v>50</v>
      </c>
      <c r="C150" t="s">
        <v>519</v>
      </c>
      <c r="D150" t="s">
        <v>48</v>
      </c>
      <c r="E150" s="243">
        <v>28438316.809999999</v>
      </c>
      <c r="F150">
        <v>25980000</v>
      </c>
      <c r="G150">
        <v>109.46</v>
      </c>
      <c r="H150" t="s">
        <v>580</v>
      </c>
      <c r="I150" t="s">
        <v>1322</v>
      </c>
      <c r="J150">
        <v>35.93</v>
      </c>
      <c r="K150">
        <v>39.33</v>
      </c>
      <c r="L150" s="243">
        <v>76970350</v>
      </c>
      <c r="M150">
        <v>47440000</v>
      </c>
      <c r="N150">
        <v>162.25</v>
      </c>
      <c r="O150" t="s">
        <v>580</v>
      </c>
      <c r="P150" t="s">
        <v>1295</v>
      </c>
      <c r="Q150">
        <v>75.37</v>
      </c>
      <c r="R150">
        <v>122.29</v>
      </c>
      <c r="S150" s="243">
        <v>3085515</v>
      </c>
      <c r="T150">
        <v>6464000</v>
      </c>
      <c r="U150">
        <v>47.73</v>
      </c>
      <c r="V150" t="s">
        <v>576</v>
      </c>
      <c r="W150" t="s">
        <v>1436</v>
      </c>
      <c r="X150">
        <v>59.54</v>
      </c>
      <c r="Y150">
        <v>28.42</v>
      </c>
      <c r="Z150" s="243">
        <v>1126266</v>
      </c>
      <c r="AA150">
        <v>4691000</v>
      </c>
      <c r="AB150">
        <v>24.01</v>
      </c>
      <c r="AC150" t="s">
        <v>563</v>
      </c>
      <c r="AD150" t="s">
        <v>1362</v>
      </c>
      <c r="AE150">
        <v>8.31</v>
      </c>
      <c r="AF150">
        <v>2</v>
      </c>
      <c r="AG150" s="243">
        <v>116986</v>
      </c>
      <c r="AH150">
        <v>0</v>
      </c>
      <c r="AI150" t="s">
        <v>520</v>
      </c>
      <c r="AJ150" t="s">
        <v>563</v>
      </c>
      <c r="AK150" t="s">
        <v>1288</v>
      </c>
      <c r="AL150">
        <v>6.49</v>
      </c>
      <c r="AM150" t="s">
        <v>520</v>
      </c>
      <c r="AN150" s="243">
        <v>1620832.72</v>
      </c>
      <c r="AO150">
        <v>995000</v>
      </c>
      <c r="AP150">
        <v>162.9</v>
      </c>
      <c r="AQ150" t="s">
        <v>561</v>
      </c>
      <c r="AR150" t="s">
        <v>1441</v>
      </c>
      <c r="AS150">
        <v>81.09</v>
      </c>
      <c r="AT150">
        <v>132.09</v>
      </c>
      <c r="AU150" s="243">
        <v>111358266.53</v>
      </c>
      <c r="AV150">
        <v>85570000</v>
      </c>
      <c r="AW150">
        <v>130.13999999999999</v>
      </c>
      <c r="AX150" t="s">
        <v>574</v>
      </c>
      <c r="AY150" t="s">
        <v>1394</v>
      </c>
      <c r="AZ150">
        <v>64.19</v>
      </c>
      <c r="BA150">
        <v>83.54</v>
      </c>
      <c r="BB150" s="243">
        <v>7785877.8099999996</v>
      </c>
      <c r="BC150">
        <v>0</v>
      </c>
      <c r="BD150" t="s">
        <v>520</v>
      </c>
      <c r="BE150" t="s">
        <v>563</v>
      </c>
      <c r="BF150" t="s">
        <v>1288</v>
      </c>
      <c r="BG150">
        <v>10.62</v>
      </c>
      <c r="BH150" t="s">
        <v>520</v>
      </c>
    </row>
    <row r="151" spans="1:60">
      <c r="A151">
        <v>642</v>
      </c>
      <c r="B151" t="s">
        <v>196</v>
      </c>
      <c r="C151" t="s">
        <v>522</v>
      </c>
      <c r="D151" t="s">
        <v>48</v>
      </c>
      <c r="E151" s="243">
        <v>14967930.619999999</v>
      </c>
      <c r="F151">
        <v>24600000</v>
      </c>
      <c r="G151">
        <v>60.85</v>
      </c>
      <c r="H151" t="s">
        <v>578</v>
      </c>
      <c r="I151" t="s">
        <v>1317</v>
      </c>
      <c r="J151">
        <v>11.51</v>
      </c>
      <c r="K151">
        <v>7</v>
      </c>
      <c r="L151" s="243">
        <v>65567302</v>
      </c>
      <c r="M151">
        <v>44910000</v>
      </c>
      <c r="N151">
        <v>146</v>
      </c>
      <c r="O151" t="s">
        <v>573</v>
      </c>
      <c r="P151" t="s">
        <v>1341</v>
      </c>
      <c r="Q151">
        <v>21.81</v>
      </c>
      <c r="R151">
        <v>31.85</v>
      </c>
      <c r="S151" s="243">
        <v>1218895</v>
      </c>
      <c r="T151">
        <v>6536000</v>
      </c>
      <c r="U151">
        <v>18.649999999999999</v>
      </c>
      <c r="V151" t="s">
        <v>562</v>
      </c>
      <c r="W151" t="s">
        <v>1368</v>
      </c>
      <c r="X151">
        <v>43.02</v>
      </c>
      <c r="Y151">
        <v>8.02</v>
      </c>
      <c r="Z151" s="243">
        <v>124903</v>
      </c>
      <c r="AA151">
        <v>4032000</v>
      </c>
      <c r="AB151">
        <v>3.1</v>
      </c>
      <c r="AC151" t="s">
        <v>591</v>
      </c>
      <c r="AD151" t="s">
        <v>1291</v>
      </c>
      <c r="AE151">
        <v>0.2</v>
      </c>
      <c r="AF151">
        <v>0.01</v>
      </c>
      <c r="AG151" s="243">
        <v>57454</v>
      </c>
      <c r="AH151">
        <v>0</v>
      </c>
      <c r="AI151" t="s">
        <v>520</v>
      </c>
      <c r="AJ151" t="s">
        <v>563</v>
      </c>
      <c r="AK151" t="s">
        <v>1288</v>
      </c>
      <c r="AL151">
        <v>5.0199999999999996</v>
      </c>
      <c r="AM151" t="s">
        <v>520</v>
      </c>
      <c r="AN151" s="243">
        <v>507437.4</v>
      </c>
      <c r="AO151">
        <v>942000</v>
      </c>
      <c r="AP151">
        <v>53.87</v>
      </c>
      <c r="AQ151" t="s">
        <v>564</v>
      </c>
      <c r="AR151" t="s">
        <v>1301</v>
      </c>
      <c r="AS151">
        <v>0.35</v>
      </c>
      <c r="AT151">
        <v>0.19</v>
      </c>
      <c r="AU151" s="243">
        <v>82443922.019999996</v>
      </c>
      <c r="AV151">
        <v>81020000</v>
      </c>
      <c r="AW151">
        <v>101.76</v>
      </c>
      <c r="AX151" t="s">
        <v>566</v>
      </c>
      <c r="AY151" t="s">
        <v>1286</v>
      </c>
      <c r="AZ151">
        <v>20.079999999999998</v>
      </c>
      <c r="BA151">
        <v>20.43</v>
      </c>
      <c r="BB151" s="243">
        <v>6759293.6200000001</v>
      </c>
      <c r="BC151">
        <v>0</v>
      </c>
      <c r="BD151" t="s">
        <v>520</v>
      </c>
      <c r="BE151" t="s">
        <v>563</v>
      </c>
      <c r="BF151" t="s">
        <v>1288</v>
      </c>
      <c r="BG151">
        <v>3.83</v>
      </c>
      <c r="BH151" t="s">
        <v>520</v>
      </c>
    </row>
    <row r="152" spans="1:60">
      <c r="A152">
        <v>643</v>
      </c>
      <c r="B152" t="s">
        <v>197</v>
      </c>
      <c r="C152" t="s">
        <v>523</v>
      </c>
      <c r="D152" t="s">
        <v>48</v>
      </c>
      <c r="E152" s="243">
        <v>10009791.369999999</v>
      </c>
      <c r="F152">
        <v>13120000</v>
      </c>
      <c r="G152">
        <v>76.290000000000006</v>
      </c>
      <c r="H152" t="s">
        <v>562</v>
      </c>
      <c r="I152" t="s">
        <v>1382</v>
      </c>
      <c r="J152">
        <v>23.63</v>
      </c>
      <c r="K152">
        <v>18.03</v>
      </c>
      <c r="L152" s="243">
        <v>33851307</v>
      </c>
      <c r="M152">
        <v>23950000</v>
      </c>
      <c r="N152">
        <v>141.34</v>
      </c>
      <c r="O152" t="s">
        <v>584</v>
      </c>
      <c r="P152" t="s">
        <v>1457</v>
      </c>
      <c r="Q152">
        <v>67.83</v>
      </c>
      <c r="R152">
        <v>95.87</v>
      </c>
      <c r="S152" s="243">
        <v>1202266</v>
      </c>
      <c r="T152">
        <v>3188000</v>
      </c>
      <c r="U152">
        <v>37.71</v>
      </c>
      <c r="V152" t="s">
        <v>564</v>
      </c>
      <c r="W152" t="s">
        <v>1387</v>
      </c>
      <c r="X152">
        <v>5.1100000000000003</v>
      </c>
      <c r="Y152">
        <v>1.93</v>
      </c>
      <c r="Z152" s="243">
        <v>257686</v>
      </c>
      <c r="AA152">
        <v>2440000</v>
      </c>
      <c r="AB152">
        <v>10.56</v>
      </c>
      <c r="AC152" t="s">
        <v>573</v>
      </c>
      <c r="AD152" t="s">
        <v>1344</v>
      </c>
      <c r="AE152">
        <v>0.22</v>
      </c>
      <c r="AF152">
        <v>0.02</v>
      </c>
      <c r="AG152" s="243">
        <v>45273</v>
      </c>
      <c r="AH152">
        <v>0</v>
      </c>
      <c r="AI152" t="s">
        <v>520</v>
      </c>
      <c r="AJ152" t="s">
        <v>563</v>
      </c>
      <c r="AK152" t="s">
        <v>1288</v>
      </c>
      <c r="AL152">
        <v>17.11</v>
      </c>
      <c r="AM152" t="s">
        <v>520</v>
      </c>
      <c r="AN152" s="243">
        <v>996234.43</v>
      </c>
      <c r="AO152">
        <v>502000</v>
      </c>
      <c r="AP152">
        <v>198.45</v>
      </c>
      <c r="AQ152" t="s">
        <v>559</v>
      </c>
      <c r="AR152" t="s">
        <v>1423</v>
      </c>
      <c r="AS152">
        <v>38.450000000000003</v>
      </c>
      <c r="AT152">
        <v>76.31</v>
      </c>
      <c r="AU152" s="243">
        <v>46362557.799999997</v>
      </c>
      <c r="AV152">
        <v>43200000</v>
      </c>
      <c r="AW152">
        <v>107.32</v>
      </c>
      <c r="AX152" t="s">
        <v>593</v>
      </c>
      <c r="AY152" t="s">
        <v>1385</v>
      </c>
      <c r="AZ152">
        <v>55.6</v>
      </c>
      <c r="BA152">
        <v>59.67</v>
      </c>
      <c r="BB152" s="243">
        <v>3515693.37</v>
      </c>
      <c r="BC152">
        <v>0</v>
      </c>
      <c r="BD152" t="s">
        <v>520</v>
      </c>
      <c r="BE152" t="s">
        <v>563</v>
      </c>
      <c r="BF152" t="s">
        <v>1288</v>
      </c>
      <c r="BG152">
        <v>6.82</v>
      </c>
      <c r="BH152" t="s">
        <v>520</v>
      </c>
    </row>
    <row r="153" spans="1:60">
      <c r="A153">
        <v>644</v>
      </c>
      <c r="B153" t="s">
        <v>51</v>
      </c>
      <c r="C153" t="s">
        <v>523</v>
      </c>
      <c r="D153" t="s">
        <v>48</v>
      </c>
      <c r="E153" s="243">
        <v>17050050.170000002</v>
      </c>
      <c r="F153">
        <v>18830000</v>
      </c>
      <c r="G153">
        <v>90.55</v>
      </c>
      <c r="H153" t="s">
        <v>593</v>
      </c>
      <c r="I153" t="s">
        <v>1305</v>
      </c>
      <c r="J153">
        <v>9.89</v>
      </c>
      <c r="K153">
        <v>8.9600000000000009</v>
      </c>
      <c r="L153" s="243">
        <v>26397184</v>
      </c>
      <c r="M153">
        <v>34380000</v>
      </c>
      <c r="N153">
        <v>76.78</v>
      </c>
      <c r="O153" t="s">
        <v>581</v>
      </c>
      <c r="P153" t="s">
        <v>1299</v>
      </c>
      <c r="Q153">
        <v>47.52</v>
      </c>
      <c r="R153">
        <v>36.49</v>
      </c>
      <c r="S153" s="243">
        <v>1074710</v>
      </c>
      <c r="T153">
        <v>4662000</v>
      </c>
      <c r="U153">
        <v>23.05</v>
      </c>
      <c r="V153" t="s">
        <v>568</v>
      </c>
      <c r="W153" t="s">
        <v>1373</v>
      </c>
      <c r="X153">
        <v>7.52</v>
      </c>
      <c r="Y153">
        <v>1.73</v>
      </c>
      <c r="Z153" s="243">
        <v>459596</v>
      </c>
      <c r="AA153">
        <v>3427000</v>
      </c>
      <c r="AB153">
        <v>13.41</v>
      </c>
      <c r="AC153" t="s">
        <v>561</v>
      </c>
      <c r="AD153" t="s">
        <v>1463</v>
      </c>
      <c r="AE153">
        <v>2.4700000000000002</v>
      </c>
      <c r="AF153">
        <v>0.33</v>
      </c>
      <c r="AG153" s="243">
        <v>79971</v>
      </c>
      <c r="AH153">
        <v>0</v>
      </c>
      <c r="AI153" t="s">
        <v>520</v>
      </c>
      <c r="AJ153" t="s">
        <v>563</v>
      </c>
      <c r="AK153" t="s">
        <v>1288</v>
      </c>
      <c r="AL153">
        <v>6.97</v>
      </c>
      <c r="AM153" t="s">
        <v>520</v>
      </c>
      <c r="AN153" s="243">
        <v>649518.68000000005</v>
      </c>
      <c r="AO153">
        <v>721000</v>
      </c>
      <c r="AP153">
        <v>90.09</v>
      </c>
      <c r="AQ153" t="s">
        <v>576</v>
      </c>
      <c r="AR153" t="s">
        <v>1430</v>
      </c>
      <c r="AS153">
        <v>41.34</v>
      </c>
      <c r="AT153">
        <v>37.24</v>
      </c>
      <c r="AU153" s="243">
        <v>45711029.850000001</v>
      </c>
      <c r="AV153">
        <v>62020000</v>
      </c>
      <c r="AW153">
        <v>73.7</v>
      </c>
      <c r="AX153" t="s">
        <v>585</v>
      </c>
      <c r="AY153" t="s">
        <v>1376</v>
      </c>
      <c r="AZ153">
        <v>31.94</v>
      </c>
      <c r="BA153">
        <v>23.54</v>
      </c>
      <c r="BB153" s="243">
        <v>4851603.17</v>
      </c>
      <c r="BC153">
        <v>0</v>
      </c>
      <c r="BD153" t="s">
        <v>520</v>
      </c>
      <c r="BE153" t="s">
        <v>563</v>
      </c>
      <c r="BF153" t="s">
        <v>1288</v>
      </c>
      <c r="BG153">
        <v>13.65</v>
      </c>
      <c r="BH153" t="s">
        <v>520</v>
      </c>
    </row>
    <row r="154" spans="1:60">
      <c r="A154">
        <v>645</v>
      </c>
      <c r="B154" t="s">
        <v>198</v>
      </c>
      <c r="C154" t="s">
        <v>522</v>
      </c>
      <c r="D154" t="s">
        <v>48</v>
      </c>
      <c r="E154" s="243">
        <v>21621780.02</v>
      </c>
      <c r="F154">
        <v>18660000</v>
      </c>
      <c r="G154">
        <v>115.87</v>
      </c>
      <c r="H154" t="s">
        <v>559</v>
      </c>
      <c r="I154" t="s">
        <v>1459</v>
      </c>
      <c r="J154">
        <v>18.45</v>
      </c>
      <c r="K154">
        <v>21.37</v>
      </c>
      <c r="L154" s="243">
        <v>28392406</v>
      </c>
      <c r="M154">
        <v>34080000</v>
      </c>
      <c r="N154">
        <v>83.31</v>
      </c>
      <c r="O154" t="s">
        <v>590</v>
      </c>
      <c r="P154" t="s">
        <v>1294</v>
      </c>
      <c r="Q154">
        <v>58.52</v>
      </c>
      <c r="R154">
        <v>48.75</v>
      </c>
      <c r="S154" s="243">
        <v>801517</v>
      </c>
      <c r="T154">
        <v>4398000</v>
      </c>
      <c r="U154">
        <v>18.22</v>
      </c>
      <c r="V154" t="s">
        <v>597</v>
      </c>
      <c r="W154" t="s">
        <v>1359</v>
      </c>
      <c r="X154">
        <v>23.68</v>
      </c>
      <c r="Y154">
        <v>4.32</v>
      </c>
      <c r="Z154" s="243">
        <v>113504</v>
      </c>
      <c r="AA154">
        <v>3618000</v>
      </c>
      <c r="AB154">
        <v>3.14</v>
      </c>
      <c r="AC154" t="s">
        <v>579</v>
      </c>
      <c r="AD154" t="s">
        <v>1294</v>
      </c>
      <c r="AE154">
        <v>61.21</v>
      </c>
      <c r="AF154">
        <v>1.92</v>
      </c>
      <c r="AG154" s="243">
        <v>94639</v>
      </c>
      <c r="AH154">
        <v>0</v>
      </c>
      <c r="AI154" t="s">
        <v>520</v>
      </c>
      <c r="AJ154" t="s">
        <v>563</v>
      </c>
      <c r="AK154" t="s">
        <v>1288</v>
      </c>
      <c r="AL154">
        <v>4.0199999999999996</v>
      </c>
      <c r="AM154" t="s">
        <v>520</v>
      </c>
      <c r="AN154" s="243">
        <v>52008.26</v>
      </c>
      <c r="AO154">
        <v>714000</v>
      </c>
      <c r="AP154">
        <v>7.28</v>
      </c>
      <c r="AQ154" t="s">
        <v>560</v>
      </c>
      <c r="AR154" t="s">
        <v>1411</v>
      </c>
      <c r="AS154">
        <v>54.83</v>
      </c>
      <c r="AT154">
        <v>3.99</v>
      </c>
      <c r="AU154" s="243">
        <v>51075854.280000001</v>
      </c>
      <c r="AV154">
        <v>61470000</v>
      </c>
      <c r="AW154">
        <v>83.09</v>
      </c>
      <c r="AX154" t="s">
        <v>571</v>
      </c>
      <c r="AY154" t="s">
        <v>1368</v>
      </c>
      <c r="AZ154">
        <v>40.909999999999997</v>
      </c>
      <c r="BA154">
        <v>33.99</v>
      </c>
      <c r="BB154" s="243">
        <v>4880766.0199999996</v>
      </c>
      <c r="BC154">
        <v>0</v>
      </c>
      <c r="BD154" t="s">
        <v>520</v>
      </c>
      <c r="BE154" t="s">
        <v>563</v>
      </c>
      <c r="BF154" t="s">
        <v>1288</v>
      </c>
      <c r="BG154">
        <v>12.97</v>
      </c>
      <c r="BH154" t="s">
        <v>520</v>
      </c>
    </row>
    <row r="155" spans="1:60">
      <c r="A155">
        <v>646</v>
      </c>
      <c r="B155" t="s">
        <v>199</v>
      </c>
      <c r="C155" t="s">
        <v>524</v>
      </c>
      <c r="D155" t="s">
        <v>48</v>
      </c>
      <c r="E155" s="243">
        <v>11799830.970000001</v>
      </c>
      <c r="F155">
        <v>12570000</v>
      </c>
      <c r="G155">
        <v>93.87</v>
      </c>
      <c r="H155" t="s">
        <v>576</v>
      </c>
      <c r="I155" t="s">
        <v>1450</v>
      </c>
      <c r="J155">
        <v>8.85</v>
      </c>
      <c r="K155">
        <v>8.31</v>
      </c>
      <c r="L155" s="243">
        <v>22515176</v>
      </c>
      <c r="M155">
        <v>22950000</v>
      </c>
      <c r="N155">
        <v>98.11</v>
      </c>
      <c r="O155" t="s">
        <v>582</v>
      </c>
      <c r="P155" t="s">
        <v>1328</v>
      </c>
      <c r="Q155">
        <v>49.63</v>
      </c>
      <c r="R155">
        <v>48.69</v>
      </c>
      <c r="S155" s="243">
        <v>942089</v>
      </c>
      <c r="T155">
        <v>2996000</v>
      </c>
      <c r="U155">
        <v>31.44</v>
      </c>
      <c r="V155" t="s">
        <v>587</v>
      </c>
      <c r="W155" t="s">
        <v>1292</v>
      </c>
      <c r="X155">
        <v>64.25</v>
      </c>
      <c r="Y155">
        <v>20.2</v>
      </c>
      <c r="Z155" s="243">
        <v>42492</v>
      </c>
      <c r="AA155">
        <v>2403000</v>
      </c>
      <c r="AB155">
        <v>1.77</v>
      </c>
      <c r="AC155" t="s">
        <v>592</v>
      </c>
      <c r="AD155" t="s">
        <v>1317</v>
      </c>
      <c r="AE155">
        <v>0.11</v>
      </c>
      <c r="AF155">
        <v>0</v>
      </c>
      <c r="AG155" s="243">
        <v>11555</v>
      </c>
      <c r="AH155">
        <v>0</v>
      </c>
      <c r="AI155" t="s">
        <v>520</v>
      </c>
      <c r="AJ155" t="s">
        <v>563</v>
      </c>
      <c r="AK155" t="s">
        <v>1288</v>
      </c>
      <c r="AL155">
        <v>32.71</v>
      </c>
      <c r="AM155" t="s">
        <v>520</v>
      </c>
      <c r="AN155" s="243">
        <v>664095.64</v>
      </c>
      <c r="AO155">
        <v>481000</v>
      </c>
      <c r="AP155">
        <v>138.07</v>
      </c>
      <c r="AQ155" t="s">
        <v>580</v>
      </c>
      <c r="AR155" t="s">
        <v>1305</v>
      </c>
      <c r="AS155">
        <v>62.97</v>
      </c>
      <c r="AT155">
        <v>86.95</v>
      </c>
      <c r="AU155" s="243">
        <v>35975238.609999999</v>
      </c>
      <c r="AV155">
        <v>41400000</v>
      </c>
      <c r="AW155">
        <v>86.9</v>
      </c>
      <c r="AX155" t="s">
        <v>583</v>
      </c>
      <c r="AY155" t="s">
        <v>1382</v>
      </c>
      <c r="AZ155">
        <v>36.82</v>
      </c>
      <c r="BA155">
        <v>32</v>
      </c>
      <c r="BB155" s="243">
        <v>4039807.97</v>
      </c>
      <c r="BC155">
        <v>0</v>
      </c>
      <c r="BD155" t="s">
        <v>520</v>
      </c>
      <c r="BE155" t="s">
        <v>563</v>
      </c>
      <c r="BF155" t="s">
        <v>1288</v>
      </c>
      <c r="BG155">
        <v>10.01</v>
      </c>
      <c r="BH155" t="s">
        <v>520</v>
      </c>
    </row>
    <row r="156" spans="1:60">
      <c r="A156">
        <v>647</v>
      </c>
      <c r="B156" t="s">
        <v>108</v>
      </c>
      <c r="C156" t="s">
        <v>523</v>
      </c>
      <c r="D156" t="s">
        <v>48</v>
      </c>
      <c r="E156" s="243">
        <v>14232606.17</v>
      </c>
      <c r="F156">
        <v>17430000</v>
      </c>
      <c r="G156">
        <v>81.66</v>
      </c>
      <c r="H156" t="s">
        <v>565</v>
      </c>
      <c r="I156" t="s">
        <v>1465</v>
      </c>
      <c r="J156">
        <v>16.239999999999998</v>
      </c>
      <c r="K156">
        <v>13.26</v>
      </c>
      <c r="L156" s="243">
        <v>38109338</v>
      </c>
      <c r="M156">
        <v>31820000</v>
      </c>
      <c r="N156">
        <v>119.77</v>
      </c>
      <c r="O156" t="s">
        <v>570</v>
      </c>
      <c r="P156" t="s">
        <v>1286</v>
      </c>
      <c r="Q156">
        <v>57.43</v>
      </c>
      <c r="R156">
        <v>68.790000000000006</v>
      </c>
      <c r="S156" s="243">
        <v>623140</v>
      </c>
      <c r="T156">
        <v>4603000</v>
      </c>
      <c r="U156">
        <v>13.54</v>
      </c>
      <c r="V156" t="s">
        <v>571</v>
      </c>
      <c r="W156" t="s">
        <v>1339</v>
      </c>
      <c r="X156">
        <v>70.849999999999994</v>
      </c>
      <c r="Y156">
        <v>9.59</v>
      </c>
      <c r="Z156" s="243">
        <v>171641</v>
      </c>
      <c r="AA156">
        <v>2880000</v>
      </c>
      <c r="AB156">
        <v>5.96</v>
      </c>
      <c r="AC156" t="s">
        <v>587</v>
      </c>
      <c r="AD156" t="s">
        <v>1296</v>
      </c>
      <c r="AE156">
        <v>0.59</v>
      </c>
      <c r="AF156">
        <v>0.04</v>
      </c>
      <c r="AG156" s="243">
        <v>47446</v>
      </c>
      <c r="AH156">
        <v>0</v>
      </c>
      <c r="AI156" t="s">
        <v>520</v>
      </c>
      <c r="AJ156" t="s">
        <v>563</v>
      </c>
      <c r="AK156" t="s">
        <v>1288</v>
      </c>
      <c r="AL156">
        <v>8.8000000000000007</v>
      </c>
      <c r="AM156" t="s">
        <v>520</v>
      </c>
      <c r="AN156" s="243">
        <v>391225.47</v>
      </c>
      <c r="AO156">
        <v>667000</v>
      </c>
      <c r="AP156">
        <v>58.65</v>
      </c>
      <c r="AQ156" t="s">
        <v>593</v>
      </c>
      <c r="AR156" t="s">
        <v>1337</v>
      </c>
      <c r="AS156">
        <v>64.59</v>
      </c>
      <c r="AT156">
        <v>37.89</v>
      </c>
      <c r="AU156" s="243">
        <v>53575396.640000001</v>
      </c>
      <c r="AV156">
        <v>57400000</v>
      </c>
      <c r="AW156">
        <v>93.34</v>
      </c>
      <c r="AX156" t="s">
        <v>579</v>
      </c>
      <c r="AY156" t="s">
        <v>1438</v>
      </c>
      <c r="AZ156">
        <v>46.47</v>
      </c>
      <c r="BA156">
        <v>43.38</v>
      </c>
      <c r="BB156" s="243">
        <v>4596077.17</v>
      </c>
      <c r="BC156">
        <v>0</v>
      </c>
      <c r="BD156" t="s">
        <v>520</v>
      </c>
      <c r="BE156" t="s">
        <v>563</v>
      </c>
      <c r="BF156" t="s">
        <v>1288</v>
      </c>
      <c r="BG156">
        <v>5.39</v>
      </c>
      <c r="BH156" t="s">
        <v>520</v>
      </c>
    </row>
    <row r="157" spans="1:60">
      <c r="A157">
        <v>648</v>
      </c>
      <c r="B157" t="s">
        <v>200</v>
      </c>
      <c r="C157" t="s">
        <v>526</v>
      </c>
      <c r="D157" t="s">
        <v>48</v>
      </c>
      <c r="E157" s="243">
        <v>18162267.940000001</v>
      </c>
      <c r="F157">
        <v>13300000</v>
      </c>
      <c r="G157">
        <v>136.56</v>
      </c>
      <c r="H157" t="s">
        <v>575</v>
      </c>
      <c r="I157" t="s">
        <v>1408</v>
      </c>
      <c r="J157">
        <v>27.94</v>
      </c>
      <c r="K157">
        <v>38.15</v>
      </c>
      <c r="L157" s="243">
        <v>24627491</v>
      </c>
      <c r="M157">
        <v>24290000</v>
      </c>
      <c r="N157">
        <v>101.39</v>
      </c>
      <c r="O157" t="s">
        <v>583</v>
      </c>
      <c r="P157" t="s">
        <v>1405</v>
      </c>
      <c r="Q157">
        <v>58.69</v>
      </c>
      <c r="R157">
        <v>59.5</v>
      </c>
      <c r="S157" s="243">
        <v>175689</v>
      </c>
      <c r="T157">
        <v>3249000</v>
      </c>
      <c r="U157">
        <v>5.41</v>
      </c>
      <c r="V157" t="s">
        <v>586</v>
      </c>
      <c r="W157" t="s">
        <v>1360</v>
      </c>
      <c r="X157">
        <v>24.87</v>
      </c>
      <c r="Y157">
        <v>1.35</v>
      </c>
      <c r="Z157" s="243">
        <v>17196</v>
      </c>
      <c r="AA157">
        <v>2462000</v>
      </c>
      <c r="AB157">
        <v>0.7</v>
      </c>
      <c r="AC157" t="s">
        <v>588</v>
      </c>
      <c r="AD157" t="s">
        <v>1315</v>
      </c>
      <c r="AE157">
        <v>14.25</v>
      </c>
      <c r="AF157">
        <v>0.1</v>
      </c>
      <c r="AG157" s="243">
        <v>8845</v>
      </c>
      <c r="AH157">
        <v>0</v>
      </c>
      <c r="AI157" t="s">
        <v>520</v>
      </c>
      <c r="AJ157" t="s">
        <v>563</v>
      </c>
      <c r="AK157" t="s">
        <v>1288</v>
      </c>
      <c r="AL157">
        <v>27.26</v>
      </c>
      <c r="AM157" t="s">
        <v>520</v>
      </c>
      <c r="AN157" s="243">
        <v>109757.97</v>
      </c>
      <c r="AO157">
        <v>509000</v>
      </c>
      <c r="AP157">
        <v>21.56</v>
      </c>
      <c r="AQ157" t="s">
        <v>570</v>
      </c>
      <c r="AR157" t="s">
        <v>1313</v>
      </c>
      <c r="AS157">
        <v>84.99</v>
      </c>
      <c r="AT157">
        <v>18.329999999999998</v>
      </c>
      <c r="AU157" s="243">
        <v>43101246.909999996</v>
      </c>
      <c r="AV157">
        <v>43810000</v>
      </c>
      <c r="AW157">
        <v>98.38</v>
      </c>
      <c r="AX157" t="s">
        <v>572</v>
      </c>
      <c r="AY157" t="s">
        <v>1351</v>
      </c>
      <c r="AZ157">
        <v>45.64</v>
      </c>
      <c r="BA157">
        <v>44.9</v>
      </c>
      <c r="BB157" s="243">
        <v>4551510.9400000004</v>
      </c>
      <c r="BC157">
        <v>0</v>
      </c>
      <c r="BD157" t="s">
        <v>520</v>
      </c>
      <c r="BE157" t="s">
        <v>563</v>
      </c>
      <c r="BF157" t="s">
        <v>1288</v>
      </c>
      <c r="BG157">
        <v>14.11</v>
      </c>
      <c r="BH157" t="s">
        <v>520</v>
      </c>
    </row>
    <row r="158" spans="1:60">
      <c r="A158">
        <v>681</v>
      </c>
      <c r="B158" t="s">
        <v>52</v>
      </c>
      <c r="C158" t="s">
        <v>523</v>
      </c>
      <c r="D158" t="s">
        <v>48</v>
      </c>
      <c r="E158" s="243">
        <v>11438841.98</v>
      </c>
      <c r="F158">
        <v>14460000</v>
      </c>
      <c r="G158">
        <v>79.11</v>
      </c>
      <c r="H158" t="s">
        <v>570</v>
      </c>
      <c r="I158" t="s">
        <v>1350</v>
      </c>
      <c r="J158">
        <v>17.87</v>
      </c>
      <c r="K158">
        <v>14.13</v>
      </c>
      <c r="L158" s="243">
        <v>24583135</v>
      </c>
      <c r="M158">
        <v>26400000</v>
      </c>
      <c r="N158">
        <v>93.12</v>
      </c>
      <c r="O158" t="s">
        <v>594</v>
      </c>
      <c r="P158" t="s">
        <v>1373</v>
      </c>
      <c r="Q158">
        <v>76.19</v>
      </c>
      <c r="R158">
        <v>70.94</v>
      </c>
      <c r="S158" s="243">
        <v>394207</v>
      </c>
      <c r="T158">
        <v>3600000</v>
      </c>
      <c r="U158">
        <v>10.95</v>
      </c>
      <c r="V158" t="s">
        <v>594</v>
      </c>
      <c r="W158" t="s">
        <v>1376</v>
      </c>
      <c r="X158">
        <v>9.9700000000000006</v>
      </c>
      <c r="Y158">
        <v>1.0900000000000001</v>
      </c>
      <c r="Z158" s="243">
        <v>90886</v>
      </c>
      <c r="AA158">
        <v>2616000</v>
      </c>
      <c r="AB158">
        <v>3.47</v>
      </c>
      <c r="AC158" t="s">
        <v>568</v>
      </c>
      <c r="AD158" t="s">
        <v>1467</v>
      </c>
      <c r="AE158">
        <v>1.39</v>
      </c>
      <c r="AF158">
        <v>0.05</v>
      </c>
      <c r="AG158" s="243">
        <v>67619</v>
      </c>
      <c r="AH158">
        <v>0</v>
      </c>
      <c r="AI158" t="s">
        <v>520</v>
      </c>
      <c r="AJ158" t="s">
        <v>563</v>
      </c>
      <c r="AK158" t="s">
        <v>1288</v>
      </c>
      <c r="AL158">
        <v>5.53</v>
      </c>
      <c r="AM158" t="s">
        <v>520</v>
      </c>
      <c r="AN158" s="243">
        <v>31350.38</v>
      </c>
      <c r="AO158">
        <v>554000</v>
      </c>
      <c r="AP158">
        <v>5.66</v>
      </c>
      <c r="AQ158" t="s">
        <v>583</v>
      </c>
      <c r="AR158" t="s">
        <v>1334</v>
      </c>
      <c r="AS158">
        <v>83.21</v>
      </c>
      <c r="AT158">
        <v>4.71</v>
      </c>
      <c r="AU158" s="243">
        <v>36606039.359999999</v>
      </c>
      <c r="AV158">
        <v>47630000</v>
      </c>
      <c r="AW158">
        <v>76.86</v>
      </c>
      <c r="AX158" t="s">
        <v>588</v>
      </c>
      <c r="AY158" t="s">
        <v>1439</v>
      </c>
      <c r="AZ158">
        <v>56.94</v>
      </c>
      <c r="BA158">
        <v>43.76</v>
      </c>
      <c r="BB158" s="243">
        <v>3591592.98</v>
      </c>
      <c r="BC158">
        <v>0</v>
      </c>
      <c r="BD158" t="s">
        <v>520</v>
      </c>
      <c r="BE158" t="s">
        <v>563</v>
      </c>
      <c r="BF158" t="s">
        <v>1288</v>
      </c>
      <c r="BG158">
        <v>7.64</v>
      </c>
      <c r="BH158" t="s">
        <v>520</v>
      </c>
    </row>
    <row r="159" spans="1:60">
      <c r="A159">
        <v>700</v>
      </c>
      <c r="B159" t="s">
        <v>201</v>
      </c>
      <c r="C159" t="s">
        <v>519</v>
      </c>
      <c r="D159" t="s">
        <v>48</v>
      </c>
      <c r="E159" s="243">
        <v>25678958.940000001</v>
      </c>
      <c r="F159">
        <v>22400000</v>
      </c>
      <c r="G159">
        <v>114.64</v>
      </c>
      <c r="H159" t="s">
        <v>589</v>
      </c>
      <c r="I159" t="s">
        <v>1375</v>
      </c>
      <c r="J159">
        <v>6.44</v>
      </c>
      <c r="K159">
        <v>7.39</v>
      </c>
      <c r="L159" s="243">
        <v>46074275</v>
      </c>
      <c r="M159">
        <v>40900000</v>
      </c>
      <c r="N159">
        <v>112.65</v>
      </c>
      <c r="O159" t="s">
        <v>597</v>
      </c>
      <c r="P159" t="s">
        <v>1319</v>
      </c>
      <c r="Q159">
        <v>71.44</v>
      </c>
      <c r="R159">
        <v>80.48</v>
      </c>
      <c r="S159" s="243">
        <v>6594980</v>
      </c>
      <c r="T159">
        <v>5361000</v>
      </c>
      <c r="U159">
        <v>123.02</v>
      </c>
      <c r="V159" t="s">
        <v>559</v>
      </c>
      <c r="W159" t="s">
        <v>1349</v>
      </c>
      <c r="X159">
        <v>12.67</v>
      </c>
      <c r="Y159">
        <v>15.59</v>
      </c>
      <c r="Z159" s="243">
        <v>575799</v>
      </c>
      <c r="AA159">
        <v>4261000</v>
      </c>
      <c r="AB159">
        <v>13.51</v>
      </c>
      <c r="AC159" t="s">
        <v>574</v>
      </c>
      <c r="AD159" t="s">
        <v>1356</v>
      </c>
      <c r="AE159">
        <v>1.58</v>
      </c>
      <c r="AF159">
        <v>0.21</v>
      </c>
      <c r="AG159" s="243">
        <v>159011</v>
      </c>
      <c r="AH159">
        <v>0</v>
      </c>
      <c r="AI159" t="s">
        <v>520</v>
      </c>
      <c r="AJ159" t="s">
        <v>563</v>
      </c>
      <c r="AK159" t="s">
        <v>1288</v>
      </c>
      <c r="AL159">
        <v>6.88</v>
      </c>
      <c r="AM159" t="s">
        <v>520</v>
      </c>
      <c r="AN159" s="243">
        <v>1390253.62</v>
      </c>
      <c r="AO159">
        <v>858000</v>
      </c>
      <c r="AP159">
        <v>162.03</v>
      </c>
      <c r="AQ159" t="s">
        <v>589</v>
      </c>
      <c r="AR159" t="s">
        <v>1345</v>
      </c>
      <c r="AS159">
        <v>97.05</v>
      </c>
      <c r="AT159">
        <v>157.25</v>
      </c>
      <c r="AU159" s="243">
        <v>80473277.560000002</v>
      </c>
      <c r="AV159">
        <v>73780000</v>
      </c>
      <c r="AW159">
        <v>109.07</v>
      </c>
      <c r="AX159" t="s">
        <v>567</v>
      </c>
      <c r="AY159" t="s">
        <v>1444</v>
      </c>
      <c r="AZ159">
        <v>45.7</v>
      </c>
      <c r="BA159">
        <v>49.84</v>
      </c>
      <c r="BB159" s="243">
        <v>6270762.9400000004</v>
      </c>
      <c r="BC159">
        <v>0</v>
      </c>
      <c r="BD159" t="s">
        <v>520</v>
      </c>
      <c r="BE159" t="s">
        <v>563</v>
      </c>
      <c r="BF159" t="s">
        <v>1288</v>
      </c>
      <c r="BG159">
        <v>8.98</v>
      </c>
      <c r="BH159" t="s">
        <v>520</v>
      </c>
    </row>
    <row r="160" spans="1:60">
      <c r="A160">
        <v>701</v>
      </c>
      <c r="B160" t="s">
        <v>202</v>
      </c>
      <c r="C160" t="s">
        <v>521</v>
      </c>
      <c r="D160" t="s">
        <v>48</v>
      </c>
      <c r="E160" s="243">
        <v>9730543.6099999994</v>
      </c>
      <c r="F160">
        <v>12710000</v>
      </c>
      <c r="G160">
        <v>76.56</v>
      </c>
      <c r="H160" t="s">
        <v>579</v>
      </c>
      <c r="I160" t="s">
        <v>1415</v>
      </c>
      <c r="J160">
        <v>35.92</v>
      </c>
      <c r="K160">
        <v>27.5</v>
      </c>
      <c r="L160" s="243">
        <v>28147366</v>
      </c>
      <c r="M160">
        <v>23200000</v>
      </c>
      <c r="N160">
        <v>121.32</v>
      </c>
      <c r="O160" t="s">
        <v>565</v>
      </c>
      <c r="P160" t="s">
        <v>1436</v>
      </c>
      <c r="Q160">
        <v>80.19</v>
      </c>
      <c r="R160">
        <v>97.29</v>
      </c>
      <c r="S160" s="243">
        <v>538491</v>
      </c>
      <c r="T160">
        <v>3116000</v>
      </c>
      <c r="U160">
        <v>17.28</v>
      </c>
      <c r="V160" t="s">
        <v>577</v>
      </c>
      <c r="W160" t="s">
        <v>1389</v>
      </c>
      <c r="X160">
        <v>55.96</v>
      </c>
      <c r="Y160">
        <v>9.67</v>
      </c>
      <c r="Z160" s="243">
        <v>22589</v>
      </c>
      <c r="AA160">
        <v>2338000</v>
      </c>
      <c r="AB160">
        <v>0.97</v>
      </c>
      <c r="AC160" t="s">
        <v>571</v>
      </c>
      <c r="AD160" t="s">
        <v>1392</v>
      </c>
      <c r="AE160">
        <v>10.09</v>
      </c>
      <c r="AF160">
        <v>0.1</v>
      </c>
      <c r="AG160" s="243">
        <v>21569</v>
      </c>
      <c r="AH160">
        <v>0</v>
      </c>
      <c r="AI160" t="s">
        <v>520</v>
      </c>
      <c r="AJ160" t="s">
        <v>563</v>
      </c>
      <c r="AK160" t="s">
        <v>1288</v>
      </c>
      <c r="AL160">
        <v>34.909999999999997</v>
      </c>
      <c r="AM160" t="s">
        <v>520</v>
      </c>
      <c r="AN160" s="243">
        <v>30065.34</v>
      </c>
      <c r="AO160">
        <v>486000</v>
      </c>
      <c r="AP160">
        <v>6.19</v>
      </c>
      <c r="AQ160" t="s">
        <v>595</v>
      </c>
      <c r="AR160" t="s">
        <v>1312</v>
      </c>
      <c r="AS160">
        <v>6.32</v>
      </c>
      <c r="AT160">
        <v>0.39</v>
      </c>
      <c r="AU160" s="243">
        <v>38490623.950000003</v>
      </c>
      <c r="AV160">
        <v>41850000</v>
      </c>
      <c r="AW160">
        <v>91.97</v>
      </c>
      <c r="AX160" t="s">
        <v>591</v>
      </c>
      <c r="AY160" t="s">
        <v>1379</v>
      </c>
      <c r="AZ160">
        <v>68.53</v>
      </c>
      <c r="BA160">
        <v>63.03</v>
      </c>
      <c r="BB160" s="243">
        <v>3693241.61</v>
      </c>
      <c r="BC160">
        <v>0</v>
      </c>
      <c r="BD160" t="s">
        <v>520</v>
      </c>
      <c r="BE160" t="s">
        <v>563</v>
      </c>
      <c r="BF160" t="s">
        <v>1288</v>
      </c>
      <c r="BG160">
        <v>15.95</v>
      </c>
      <c r="BH160" t="s">
        <v>520</v>
      </c>
    </row>
    <row r="161" spans="1:60">
      <c r="A161">
        <v>702</v>
      </c>
      <c r="B161" t="s">
        <v>203</v>
      </c>
      <c r="C161" t="s">
        <v>525</v>
      </c>
      <c r="D161" t="s">
        <v>48</v>
      </c>
      <c r="E161" s="243">
        <v>8925019.3300000001</v>
      </c>
      <c r="F161">
        <v>11440000</v>
      </c>
      <c r="G161">
        <v>78.02</v>
      </c>
      <c r="H161" t="s">
        <v>568</v>
      </c>
      <c r="I161" t="s">
        <v>1335</v>
      </c>
      <c r="J161">
        <v>25.06</v>
      </c>
      <c r="K161">
        <v>19.55</v>
      </c>
      <c r="L161" s="243">
        <v>64553124</v>
      </c>
      <c r="M161">
        <v>20890000</v>
      </c>
      <c r="N161">
        <v>309.01</v>
      </c>
      <c r="O161" t="s">
        <v>563</v>
      </c>
      <c r="P161" t="s">
        <v>1326</v>
      </c>
      <c r="Q161">
        <v>33.74</v>
      </c>
      <c r="R161">
        <v>104.27</v>
      </c>
      <c r="S161" s="243">
        <v>2992116</v>
      </c>
      <c r="T161">
        <v>2665000</v>
      </c>
      <c r="U161">
        <v>112.27</v>
      </c>
      <c r="V161" t="s">
        <v>561</v>
      </c>
      <c r="W161" t="s">
        <v>1316</v>
      </c>
      <c r="X161">
        <v>27.47</v>
      </c>
      <c r="Y161">
        <v>30.84</v>
      </c>
      <c r="Z161" s="243">
        <v>49191</v>
      </c>
      <c r="AA161">
        <v>2247000</v>
      </c>
      <c r="AB161">
        <v>2.19</v>
      </c>
      <c r="AC161" t="s">
        <v>560</v>
      </c>
      <c r="AD161" t="s">
        <v>1439</v>
      </c>
      <c r="AE161">
        <v>0.08</v>
      </c>
      <c r="AF161">
        <v>0</v>
      </c>
      <c r="AG161" s="243">
        <v>18707</v>
      </c>
      <c r="AH161">
        <v>0</v>
      </c>
      <c r="AI161" t="s">
        <v>520</v>
      </c>
      <c r="AJ161" t="s">
        <v>563</v>
      </c>
      <c r="AK161" t="s">
        <v>1288</v>
      </c>
      <c r="AL161">
        <v>19.22</v>
      </c>
      <c r="AM161" t="s">
        <v>520</v>
      </c>
      <c r="AN161" s="243">
        <v>1403116.8</v>
      </c>
      <c r="AO161">
        <v>438000</v>
      </c>
      <c r="AP161">
        <v>320.35000000000002</v>
      </c>
      <c r="AQ161" t="s">
        <v>575</v>
      </c>
      <c r="AR161" t="s">
        <v>1322</v>
      </c>
      <c r="AS161">
        <v>13.14</v>
      </c>
      <c r="AT161">
        <v>42.09</v>
      </c>
      <c r="AU161" s="243">
        <v>77941274.129999995</v>
      </c>
      <c r="AV161">
        <v>37680000</v>
      </c>
      <c r="AW161">
        <v>206.85</v>
      </c>
      <c r="AX161" t="s">
        <v>563</v>
      </c>
      <c r="AY161" t="s">
        <v>1318</v>
      </c>
      <c r="AZ161">
        <v>32.11</v>
      </c>
      <c r="BA161">
        <v>66.430000000000007</v>
      </c>
      <c r="BB161" s="243">
        <v>2206279.33</v>
      </c>
      <c r="BC161">
        <v>0</v>
      </c>
      <c r="BD161" t="s">
        <v>520</v>
      </c>
      <c r="BE161" t="s">
        <v>563</v>
      </c>
      <c r="BF161" t="s">
        <v>1288</v>
      </c>
      <c r="BG161">
        <v>18.649999999999999</v>
      </c>
      <c r="BH161" t="s">
        <v>520</v>
      </c>
    </row>
    <row r="162" spans="1:60">
      <c r="A162">
        <v>703</v>
      </c>
      <c r="B162" t="s">
        <v>53</v>
      </c>
      <c r="C162" t="s">
        <v>523</v>
      </c>
      <c r="D162" t="s">
        <v>48</v>
      </c>
      <c r="E162" s="243">
        <v>7105279.3300000001</v>
      </c>
      <c r="F162">
        <v>12260000</v>
      </c>
      <c r="G162">
        <v>57.95</v>
      </c>
      <c r="H162" t="s">
        <v>588</v>
      </c>
      <c r="I162" t="s">
        <v>1442</v>
      </c>
      <c r="J162">
        <v>19.77</v>
      </c>
      <c r="K162">
        <v>11.46</v>
      </c>
      <c r="L162" s="243">
        <v>19424242</v>
      </c>
      <c r="M162">
        <v>22380000</v>
      </c>
      <c r="N162">
        <v>86.79</v>
      </c>
      <c r="O162" t="s">
        <v>588</v>
      </c>
      <c r="P162" t="s">
        <v>1303</v>
      </c>
      <c r="Q162">
        <v>64.38</v>
      </c>
      <c r="R162">
        <v>55.88</v>
      </c>
      <c r="S162" s="243">
        <v>805100</v>
      </c>
      <c r="T162">
        <v>2543000</v>
      </c>
      <c r="U162">
        <v>31.66</v>
      </c>
      <c r="V162" t="s">
        <v>566</v>
      </c>
      <c r="W162" t="s">
        <v>1405</v>
      </c>
      <c r="X162">
        <v>31.52</v>
      </c>
      <c r="Y162">
        <v>9.98</v>
      </c>
      <c r="Z162" s="243">
        <v>113639</v>
      </c>
      <c r="AA162">
        <v>2718000</v>
      </c>
      <c r="AB162">
        <v>4.18</v>
      </c>
      <c r="AC162" t="s">
        <v>570</v>
      </c>
      <c r="AD162" t="s">
        <v>1359</v>
      </c>
      <c r="AE162">
        <v>5.81</v>
      </c>
      <c r="AF162">
        <v>0.24</v>
      </c>
      <c r="AG162" s="243">
        <v>29547</v>
      </c>
      <c r="AH162">
        <v>0</v>
      </c>
      <c r="AI162" t="s">
        <v>520</v>
      </c>
      <c r="AJ162" t="s">
        <v>563</v>
      </c>
      <c r="AK162" t="s">
        <v>1288</v>
      </c>
      <c r="AL162">
        <v>25.07</v>
      </c>
      <c r="AM162" t="s">
        <v>520</v>
      </c>
      <c r="AN162" s="243">
        <v>200816.29</v>
      </c>
      <c r="AO162">
        <v>469000</v>
      </c>
      <c r="AP162">
        <v>42.82</v>
      </c>
      <c r="AQ162" t="s">
        <v>566</v>
      </c>
      <c r="AR162" t="s">
        <v>1320</v>
      </c>
      <c r="AS162">
        <v>0</v>
      </c>
      <c r="AT162">
        <v>0</v>
      </c>
      <c r="AU162" s="243">
        <v>27678623.620000001</v>
      </c>
      <c r="AV162">
        <v>40370000</v>
      </c>
      <c r="AW162">
        <v>68.56</v>
      </c>
      <c r="AX162" t="s">
        <v>581</v>
      </c>
      <c r="AY162" t="s">
        <v>1352</v>
      </c>
      <c r="AZ162">
        <v>51.22</v>
      </c>
      <c r="BA162">
        <v>35.119999999999997</v>
      </c>
      <c r="BB162" s="243">
        <v>3670594.33</v>
      </c>
      <c r="BC162">
        <v>0</v>
      </c>
      <c r="BD162" t="s">
        <v>520</v>
      </c>
      <c r="BE162" t="s">
        <v>563</v>
      </c>
      <c r="BF162" t="s">
        <v>1288</v>
      </c>
      <c r="BG162">
        <v>10.7</v>
      </c>
      <c r="BH162" t="s">
        <v>520</v>
      </c>
    </row>
    <row r="163" spans="1:60">
      <c r="A163">
        <v>704</v>
      </c>
      <c r="B163" t="s">
        <v>54</v>
      </c>
      <c r="C163" t="s">
        <v>526</v>
      </c>
      <c r="D163" t="s">
        <v>48</v>
      </c>
      <c r="E163" s="243">
        <v>9777072.2100000009</v>
      </c>
      <c r="F163">
        <v>11100000</v>
      </c>
      <c r="G163">
        <v>88.08</v>
      </c>
      <c r="H163" t="s">
        <v>569</v>
      </c>
      <c r="I163" t="s">
        <v>1297</v>
      </c>
      <c r="J163">
        <v>13.57</v>
      </c>
      <c r="K163">
        <v>11.95</v>
      </c>
      <c r="L163" s="243">
        <v>33345712</v>
      </c>
      <c r="M163">
        <v>20260000</v>
      </c>
      <c r="N163">
        <v>164.59</v>
      </c>
      <c r="O163" t="s">
        <v>561</v>
      </c>
      <c r="P163" t="s">
        <v>1445</v>
      </c>
      <c r="Q163">
        <v>49.24</v>
      </c>
      <c r="R163">
        <v>81.040000000000006</v>
      </c>
      <c r="S163" s="243">
        <v>1259691</v>
      </c>
      <c r="T163">
        <v>2643000</v>
      </c>
      <c r="U163">
        <v>47.66</v>
      </c>
      <c r="V163" t="s">
        <v>573</v>
      </c>
      <c r="W163" t="s">
        <v>1450</v>
      </c>
      <c r="X163">
        <v>28.21</v>
      </c>
      <c r="Y163">
        <v>13.45</v>
      </c>
      <c r="Z163" s="243">
        <v>135715</v>
      </c>
      <c r="AA163">
        <v>2122000</v>
      </c>
      <c r="AB163">
        <v>6.4</v>
      </c>
      <c r="AC163" t="s">
        <v>566</v>
      </c>
      <c r="AD163" t="s">
        <v>1338</v>
      </c>
      <c r="AE163">
        <v>0.03</v>
      </c>
      <c r="AF163">
        <v>0</v>
      </c>
      <c r="AG163" s="243">
        <v>111690</v>
      </c>
      <c r="AH163">
        <v>0</v>
      </c>
      <c r="AI163" t="s">
        <v>520</v>
      </c>
      <c r="AJ163" t="s">
        <v>563</v>
      </c>
      <c r="AK163" t="s">
        <v>1288</v>
      </c>
      <c r="AL163">
        <v>0.62</v>
      </c>
      <c r="AM163" t="s">
        <v>520</v>
      </c>
      <c r="AN163" s="243">
        <v>10664.69</v>
      </c>
      <c r="AO163">
        <v>425000</v>
      </c>
      <c r="AP163">
        <v>2.5099999999999998</v>
      </c>
      <c r="AQ163" t="s">
        <v>588</v>
      </c>
      <c r="AR163" t="s">
        <v>1290</v>
      </c>
      <c r="AS163">
        <v>81.040000000000006</v>
      </c>
      <c r="AT163">
        <v>2.0299999999999998</v>
      </c>
      <c r="AU163" s="243">
        <v>44640544.899999999</v>
      </c>
      <c r="AV163">
        <v>36550000</v>
      </c>
      <c r="AW163">
        <v>122.14</v>
      </c>
      <c r="AX163" t="s">
        <v>561</v>
      </c>
      <c r="AY163" t="s">
        <v>1365</v>
      </c>
      <c r="AZ163">
        <v>40.57</v>
      </c>
      <c r="BA163">
        <v>49.55</v>
      </c>
      <c r="BB163" s="243">
        <v>3204338.21</v>
      </c>
      <c r="BC163">
        <v>0</v>
      </c>
      <c r="BD163" t="s">
        <v>520</v>
      </c>
      <c r="BE163" t="s">
        <v>563</v>
      </c>
      <c r="BF163" t="s">
        <v>1288</v>
      </c>
      <c r="BG163">
        <v>8.26</v>
      </c>
      <c r="BH163" t="s">
        <v>520</v>
      </c>
    </row>
    <row r="164" spans="1:60">
      <c r="A164">
        <v>705</v>
      </c>
      <c r="B164" t="s">
        <v>109</v>
      </c>
      <c r="C164" t="s">
        <v>527</v>
      </c>
      <c r="D164" t="s">
        <v>48</v>
      </c>
      <c r="E164" s="243">
        <v>9050834.8499999996</v>
      </c>
      <c r="F164">
        <v>11030000</v>
      </c>
      <c r="G164">
        <v>82.06</v>
      </c>
      <c r="H164" t="s">
        <v>572</v>
      </c>
      <c r="I164" t="s">
        <v>1344</v>
      </c>
      <c r="J164">
        <v>16.07</v>
      </c>
      <c r="K164">
        <v>13.18</v>
      </c>
      <c r="L164" s="243">
        <v>20378719</v>
      </c>
      <c r="M164">
        <v>20140000</v>
      </c>
      <c r="N164">
        <v>101.19</v>
      </c>
      <c r="O164" t="s">
        <v>592</v>
      </c>
      <c r="P164" t="s">
        <v>1292</v>
      </c>
      <c r="Q164">
        <v>63.6</v>
      </c>
      <c r="R164">
        <v>64.36</v>
      </c>
      <c r="S164" s="243">
        <v>2837127</v>
      </c>
      <c r="T164">
        <v>2325000</v>
      </c>
      <c r="U164">
        <v>122.03</v>
      </c>
      <c r="V164" t="s">
        <v>574</v>
      </c>
      <c r="W164" t="s">
        <v>1295</v>
      </c>
      <c r="X164">
        <v>56.53</v>
      </c>
      <c r="Y164">
        <v>68.989999999999995</v>
      </c>
      <c r="Z164" s="243">
        <v>21036</v>
      </c>
      <c r="AA164">
        <v>2423000</v>
      </c>
      <c r="AB164">
        <v>0.87</v>
      </c>
      <c r="AC164" t="s">
        <v>594</v>
      </c>
      <c r="AD164" t="s">
        <v>1355</v>
      </c>
      <c r="AE164">
        <v>0.02</v>
      </c>
      <c r="AF164">
        <v>0</v>
      </c>
      <c r="AG164" s="243">
        <v>40087</v>
      </c>
      <c r="AH164">
        <v>0</v>
      </c>
      <c r="AI164" t="s">
        <v>520</v>
      </c>
      <c r="AJ164" t="s">
        <v>563</v>
      </c>
      <c r="AK164" t="s">
        <v>1288</v>
      </c>
      <c r="AL164">
        <v>2.0299999999999998</v>
      </c>
      <c r="AM164" t="s">
        <v>520</v>
      </c>
      <c r="AN164" s="243">
        <v>14491.08</v>
      </c>
      <c r="AO164">
        <v>422000</v>
      </c>
      <c r="AP164">
        <v>3.43</v>
      </c>
      <c r="AQ164" t="s">
        <v>594</v>
      </c>
      <c r="AR164" t="s">
        <v>1307</v>
      </c>
      <c r="AS164">
        <v>31.13</v>
      </c>
      <c r="AT164">
        <v>1.07</v>
      </c>
      <c r="AU164" s="243">
        <v>32342294.93</v>
      </c>
      <c r="AV164">
        <v>36340000</v>
      </c>
      <c r="AW164">
        <v>89</v>
      </c>
      <c r="AX164" t="s">
        <v>597</v>
      </c>
      <c r="AY164" t="s">
        <v>1353</v>
      </c>
      <c r="AZ164">
        <v>49.55</v>
      </c>
      <c r="BA164">
        <v>44.1</v>
      </c>
      <c r="BB164" s="243">
        <v>3575306.85</v>
      </c>
      <c r="BC164">
        <v>0</v>
      </c>
      <c r="BD164" t="s">
        <v>520</v>
      </c>
      <c r="BE164" t="s">
        <v>563</v>
      </c>
      <c r="BF164" t="s">
        <v>1288</v>
      </c>
      <c r="BG164">
        <v>4.28</v>
      </c>
      <c r="BH164" t="s">
        <v>520</v>
      </c>
    </row>
    <row r="165" spans="1:60">
      <c r="A165">
        <v>706</v>
      </c>
      <c r="B165" t="s">
        <v>55</v>
      </c>
      <c r="C165" t="s">
        <v>525</v>
      </c>
      <c r="D165" t="s">
        <v>48</v>
      </c>
      <c r="E165" s="243">
        <v>11908046.1</v>
      </c>
      <c r="F165">
        <v>16630000</v>
      </c>
      <c r="G165">
        <v>71.61</v>
      </c>
      <c r="H165" t="s">
        <v>595</v>
      </c>
      <c r="I165" t="s">
        <v>1369</v>
      </c>
      <c r="J165">
        <v>17.670000000000002</v>
      </c>
      <c r="K165">
        <v>12.65</v>
      </c>
      <c r="L165" s="243">
        <v>32733458</v>
      </c>
      <c r="M165">
        <v>30360000</v>
      </c>
      <c r="N165">
        <v>107.82</v>
      </c>
      <c r="O165" t="s">
        <v>595</v>
      </c>
      <c r="P165" t="s">
        <v>1321</v>
      </c>
      <c r="Q165">
        <v>55.68</v>
      </c>
      <c r="R165">
        <v>60.03</v>
      </c>
      <c r="S165" s="243">
        <v>573416</v>
      </c>
      <c r="T165">
        <v>3950000</v>
      </c>
      <c r="U165">
        <v>14.52</v>
      </c>
      <c r="V165" t="s">
        <v>582</v>
      </c>
      <c r="W165" t="s">
        <v>1313</v>
      </c>
      <c r="X165">
        <v>13.02</v>
      </c>
      <c r="Y165">
        <v>1.89</v>
      </c>
      <c r="Z165" s="243">
        <v>533947</v>
      </c>
      <c r="AA165">
        <v>3184000</v>
      </c>
      <c r="AB165">
        <v>16.77</v>
      </c>
      <c r="AC165" t="s">
        <v>559</v>
      </c>
      <c r="AD165" t="s">
        <v>1319</v>
      </c>
      <c r="AE165">
        <v>0</v>
      </c>
      <c r="AF165">
        <v>0</v>
      </c>
      <c r="AG165" s="243">
        <v>68835</v>
      </c>
      <c r="AH165">
        <v>0</v>
      </c>
      <c r="AI165" t="s">
        <v>520</v>
      </c>
      <c r="AJ165" t="s">
        <v>563</v>
      </c>
      <c r="AK165" t="s">
        <v>1288</v>
      </c>
      <c r="AL165">
        <v>2.34</v>
      </c>
      <c r="AM165" t="s">
        <v>520</v>
      </c>
      <c r="AN165" s="243">
        <v>3408.62</v>
      </c>
      <c r="AO165">
        <v>636000</v>
      </c>
      <c r="AP165">
        <v>0.54</v>
      </c>
      <c r="AQ165" t="s">
        <v>586</v>
      </c>
      <c r="AR165" t="s">
        <v>1346</v>
      </c>
      <c r="AS165">
        <v>0</v>
      </c>
      <c r="AT165">
        <v>0</v>
      </c>
      <c r="AU165" s="243">
        <v>45821110.719999999</v>
      </c>
      <c r="AV165">
        <v>54760000</v>
      </c>
      <c r="AW165">
        <v>83.68</v>
      </c>
      <c r="AX165" t="s">
        <v>592</v>
      </c>
      <c r="AY165" t="s">
        <v>1293</v>
      </c>
      <c r="AZ165">
        <v>44.53</v>
      </c>
      <c r="BA165">
        <v>37.26</v>
      </c>
      <c r="BB165" s="243">
        <v>4171461.1</v>
      </c>
      <c r="BC165">
        <v>0</v>
      </c>
      <c r="BD165" t="s">
        <v>520</v>
      </c>
      <c r="BE165" t="s">
        <v>563</v>
      </c>
      <c r="BF165" t="s">
        <v>1288</v>
      </c>
      <c r="BG165">
        <v>8.81</v>
      </c>
      <c r="BH165" t="s">
        <v>520</v>
      </c>
    </row>
    <row r="166" spans="1:60">
      <c r="A166">
        <v>707</v>
      </c>
      <c r="B166" t="s">
        <v>110</v>
      </c>
      <c r="C166" t="s">
        <v>527</v>
      </c>
      <c r="D166" t="s">
        <v>48</v>
      </c>
      <c r="E166" s="243">
        <v>5398001.0099999998</v>
      </c>
      <c r="F166">
        <v>9020000</v>
      </c>
      <c r="G166">
        <v>59.84</v>
      </c>
      <c r="H166" t="s">
        <v>594</v>
      </c>
      <c r="I166" t="s">
        <v>1420</v>
      </c>
      <c r="J166">
        <v>19.09</v>
      </c>
      <c r="K166">
        <v>11.43</v>
      </c>
      <c r="L166" s="243">
        <v>34562201</v>
      </c>
      <c r="M166">
        <v>16460000</v>
      </c>
      <c r="N166">
        <v>209.98</v>
      </c>
      <c r="O166" t="s">
        <v>559</v>
      </c>
      <c r="P166" t="s">
        <v>1347</v>
      </c>
      <c r="Q166">
        <v>90.06</v>
      </c>
      <c r="R166">
        <v>189.11</v>
      </c>
      <c r="S166" s="243">
        <v>3192446</v>
      </c>
      <c r="T166">
        <v>2108000</v>
      </c>
      <c r="U166">
        <v>151.44</v>
      </c>
      <c r="V166" t="s">
        <v>575</v>
      </c>
      <c r="W166" t="s">
        <v>1451</v>
      </c>
      <c r="X166">
        <v>90.65</v>
      </c>
      <c r="Y166">
        <v>137.29</v>
      </c>
      <c r="Z166" s="243">
        <v>2273</v>
      </c>
      <c r="AA166">
        <v>1757000</v>
      </c>
      <c r="AB166">
        <v>0.13</v>
      </c>
      <c r="AC166" t="s">
        <v>596</v>
      </c>
      <c r="AD166" t="s">
        <v>1468</v>
      </c>
      <c r="AE166">
        <v>0</v>
      </c>
      <c r="AF166">
        <v>0</v>
      </c>
      <c r="AG166" s="243">
        <v>48442</v>
      </c>
      <c r="AH166">
        <v>0</v>
      </c>
      <c r="AI166" t="s">
        <v>520</v>
      </c>
      <c r="AJ166" t="s">
        <v>563</v>
      </c>
      <c r="AK166" t="s">
        <v>1288</v>
      </c>
      <c r="AL166">
        <v>5.47</v>
      </c>
      <c r="AM166" t="s">
        <v>520</v>
      </c>
      <c r="AN166" s="243">
        <v>12710.95</v>
      </c>
      <c r="AO166">
        <v>345000</v>
      </c>
      <c r="AP166">
        <v>3.68</v>
      </c>
      <c r="AQ166" t="s">
        <v>571</v>
      </c>
      <c r="AR166" t="s">
        <v>1352</v>
      </c>
      <c r="AS166">
        <v>8.27</v>
      </c>
      <c r="AT166">
        <v>0.3</v>
      </c>
      <c r="AU166" s="243">
        <v>43216073.960000001</v>
      </c>
      <c r="AV166">
        <v>29690000</v>
      </c>
      <c r="AW166">
        <v>145.56</v>
      </c>
      <c r="AX166" t="s">
        <v>575</v>
      </c>
      <c r="AY166" t="s">
        <v>1310</v>
      </c>
      <c r="AZ166">
        <v>81.12</v>
      </c>
      <c r="BA166">
        <v>118.07</v>
      </c>
      <c r="BB166" s="243">
        <v>2348700.0099999998</v>
      </c>
      <c r="BC166">
        <v>0</v>
      </c>
      <c r="BD166" t="s">
        <v>520</v>
      </c>
      <c r="BE166" t="s">
        <v>563</v>
      </c>
      <c r="BF166" t="s">
        <v>1288</v>
      </c>
      <c r="BG166">
        <v>15.94</v>
      </c>
      <c r="BH166" t="s">
        <v>520</v>
      </c>
    </row>
    <row r="167" spans="1:60">
      <c r="A167">
        <v>708</v>
      </c>
      <c r="B167" t="s">
        <v>56</v>
      </c>
      <c r="C167" t="s">
        <v>523</v>
      </c>
      <c r="D167" t="s">
        <v>48</v>
      </c>
      <c r="E167" s="243">
        <v>9646695.2799999993</v>
      </c>
      <c r="F167">
        <v>13940000</v>
      </c>
      <c r="G167">
        <v>69.2</v>
      </c>
      <c r="H167" t="s">
        <v>577</v>
      </c>
      <c r="I167" t="s">
        <v>1303</v>
      </c>
      <c r="J167">
        <v>11.49</v>
      </c>
      <c r="K167">
        <v>7.95</v>
      </c>
      <c r="L167" s="243">
        <v>20510904</v>
      </c>
      <c r="M167">
        <v>25460000</v>
      </c>
      <c r="N167">
        <v>80.56</v>
      </c>
      <c r="O167" t="s">
        <v>586</v>
      </c>
      <c r="P167" t="s">
        <v>1372</v>
      </c>
      <c r="Q167">
        <v>39.020000000000003</v>
      </c>
      <c r="R167">
        <v>31.43</v>
      </c>
      <c r="S167" s="243">
        <v>330259</v>
      </c>
      <c r="T167">
        <v>3625000</v>
      </c>
      <c r="U167">
        <v>9.11</v>
      </c>
      <c r="V167" t="s">
        <v>588</v>
      </c>
      <c r="W167" t="s">
        <v>1411</v>
      </c>
      <c r="X167">
        <v>40.380000000000003</v>
      </c>
      <c r="Y167">
        <v>3.68</v>
      </c>
      <c r="Z167" s="243">
        <v>295346</v>
      </c>
      <c r="AA167">
        <v>2361000</v>
      </c>
      <c r="AB167">
        <v>12.51</v>
      </c>
      <c r="AC167" t="s">
        <v>580</v>
      </c>
      <c r="AD167" t="s">
        <v>1438</v>
      </c>
      <c r="AE167">
        <v>0.13</v>
      </c>
      <c r="AF167">
        <v>0.02</v>
      </c>
      <c r="AG167" s="243">
        <v>83106</v>
      </c>
      <c r="AH167">
        <v>0</v>
      </c>
      <c r="AI167" t="s">
        <v>520</v>
      </c>
      <c r="AJ167" t="s">
        <v>563</v>
      </c>
      <c r="AK167" t="s">
        <v>1288</v>
      </c>
      <c r="AL167">
        <v>15.28</v>
      </c>
      <c r="AM167" t="s">
        <v>520</v>
      </c>
      <c r="AN167" s="243">
        <v>1839650.63</v>
      </c>
      <c r="AO167">
        <v>534000</v>
      </c>
      <c r="AP167">
        <v>344.5</v>
      </c>
      <c r="AQ167" t="s">
        <v>563</v>
      </c>
      <c r="AR167" t="s">
        <v>1329</v>
      </c>
      <c r="AS167">
        <v>94.1</v>
      </c>
      <c r="AT167">
        <v>324.18</v>
      </c>
      <c r="AU167" s="243">
        <v>32705960.91</v>
      </c>
      <c r="AV167">
        <v>45920000</v>
      </c>
      <c r="AW167">
        <v>71.22</v>
      </c>
      <c r="AX167" t="s">
        <v>586</v>
      </c>
      <c r="AY167" t="s">
        <v>1399</v>
      </c>
      <c r="AZ167">
        <v>33.6</v>
      </c>
      <c r="BA167">
        <v>23.93</v>
      </c>
      <c r="BB167" s="243">
        <v>3748581.28</v>
      </c>
      <c r="BC167">
        <v>0</v>
      </c>
      <c r="BD167" t="s">
        <v>520</v>
      </c>
      <c r="BE167" t="s">
        <v>563</v>
      </c>
      <c r="BF167" t="s">
        <v>1288</v>
      </c>
      <c r="BG167">
        <v>8.01</v>
      </c>
      <c r="BH167" t="s">
        <v>520</v>
      </c>
    </row>
    <row r="168" spans="1:60">
      <c r="A168">
        <v>709</v>
      </c>
      <c r="B168" t="s">
        <v>204</v>
      </c>
      <c r="C168" t="s">
        <v>526</v>
      </c>
      <c r="D168" t="s">
        <v>48</v>
      </c>
      <c r="E168" s="243">
        <v>9166642.9399999995</v>
      </c>
      <c r="F168">
        <v>14120000</v>
      </c>
      <c r="G168">
        <v>64.92</v>
      </c>
      <c r="H168" t="s">
        <v>582</v>
      </c>
      <c r="I168" t="s">
        <v>1372</v>
      </c>
      <c r="J168">
        <v>12.81</v>
      </c>
      <c r="K168">
        <v>8.32</v>
      </c>
      <c r="L168" s="243">
        <v>56847698</v>
      </c>
      <c r="M168">
        <v>25770000</v>
      </c>
      <c r="N168">
        <v>220.6</v>
      </c>
      <c r="O168" t="s">
        <v>575</v>
      </c>
      <c r="P168" t="s">
        <v>1310</v>
      </c>
      <c r="Q168">
        <v>34.76</v>
      </c>
      <c r="R168">
        <v>76.680000000000007</v>
      </c>
      <c r="S168" s="243">
        <v>639983</v>
      </c>
      <c r="T168">
        <v>3536000</v>
      </c>
      <c r="U168">
        <v>18.100000000000001</v>
      </c>
      <c r="V168" t="s">
        <v>560</v>
      </c>
      <c r="W168" t="s">
        <v>1455</v>
      </c>
      <c r="X168">
        <v>21.08</v>
      </c>
      <c r="Y168">
        <v>3.82</v>
      </c>
      <c r="Z168" s="243">
        <v>43475</v>
      </c>
      <c r="AA168">
        <v>2524000</v>
      </c>
      <c r="AB168">
        <v>1.72</v>
      </c>
      <c r="AC168" t="s">
        <v>582</v>
      </c>
      <c r="AD168" t="s">
        <v>1420</v>
      </c>
      <c r="AE168">
        <v>0.1</v>
      </c>
      <c r="AF168">
        <v>0</v>
      </c>
      <c r="AG168" s="243">
        <v>13051</v>
      </c>
      <c r="AH168">
        <v>0</v>
      </c>
      <c r="AI168" t="s">
        <v>520</v>
      </c>
      <c r="AJ168" t="s">
        <v>563</v>
      </c>
      <c r="AK168" t="s">
        <v>1288</v>
      </c>
      <c r="AL168">
        <v>9.18</v>
      </c>
      <c r="AM168" t="s">
        <v>520</v>
      </c>
      <c r="AN168" s="243">
        <v>155805.93</v>
      </c>
      <c r="AO168">
        <v>540000</v>
      </c>
      <c r="AP168">
        <v>28.85</v>
      </c>
      <c r="AQ168" t="s">
        <v>572</v>
      </c>
      <c r="AR168" t="s">
        <v>1291</v>
      </c>
      <c r="AS168">
        <v>53.33</v>
      </c>
      <c r="AT168">
        <v>15.39</v>
      </c>
      <c r="AU168" s="243">
        <v>66866655.869999997</v>
      </c>
      <c r="AV168">
        <v>46490000</v>
      </c>
      <c r="AW168">
        <v>143.83000000000001</v>
      </c>
      <c r="AX168" t="s">
        <v>559</v>
      </c>
      <c r="AY168" t="s">
        <v>1347</v>
      </c>
      <c r="AZ168">
        <v>31.64</v>
      </c>
      <c r="BA168">
        <v>45.5</v>
      </c>
      <c r="BB168" s="243">
        <v>3783021.94</v>
      </c>
      <c r="BC168">
        <v>0</v>
      </c>
      <c r="BD168" t="s">
        <v>520</v>
      </c>
      <c r="BE168" t="s">
        <v>563</v>
      </c>
      <c r="BF168" t="s">
        <v>1288</v>
      </c>
      <c r="BG168">
        <v>5.25</v>
      </c>
      <c r="BH168" t="s">
        <v>520</v>
      </c>
    </row>
    <row r="169" spans="1:60">
      <c r="A169">
        <v>710</v>
      </c>
      <c r="B169" t="s">
        <v>111</v>
      </c>
      <c r="C169" t="s">
        <v>521</v>
      </c>
      <c r="D169" t="s">
        <v>48</v>
      </c>
      <c r="E169" s="243">
        <v>12330259.289999999</v>
      </c>
      <c r="F169">
        <v>18650000</v>
      </c>
      <c r="G169">
        <v>66.11</v>
      </c>
      <c r="H169" t="s">
        <v>583</v>
      </c>
      <c r="I169" t="s">
        <v>1294</v>
      </c>
      <c r="J169">
        <v>12.71</v>
      </c>
      <c r="K169">
        <v>8.4</v>
      </c>
      <c r="L169" s="243">
        <v>39240969</v>
      </c>
      <c r="M169">
        <v>34050000</v>
      </c>
      <c r="N169">
        <v>115.25</v>
      </c>
      <c r="O169" t="s">
        <v>579</v>
      </c>
      <c r="P169" t="s">
        <v>1314</v>
      </c>
      <c r="Q169">
        <v>71.12</v>
      </c>
      <c r="R169">
        <v>81.96</v>
      </c>
      <c r="S169" s="243">
        <v>1794356</v>
      </c>
      <c r="T169">
        <v>4227000</v>
      </c>
      <c r="U169">
        <v>42.45</v>
      </c>
      <c r="V169" t="s">
        <v>584</v>
      </c>
      <c r="W169" t="s">
        <v>1351</v>
      </c>
      <c r="X169">
        <v>66.25</v>
      </c>
      <c r="Y169">
        <v>28.12</v>
      </c>
      <c r="Z169" s="243">
        <v>382964</v>
      </c>
      <c r="AA169">
        <v>3779000</v>
      </c>
      <c r="AB169">
        <v>10.130000000000001</v>
      </c>
      <c r="AC169" t="s">
        <v>567</v>
      </c>
      <c r="AD169" t="s">
        <v>1465</v>
      </c>
      <c r="AE169">
        <v>0.01</v>
      </c>
      <c r="AF169">
        <v>0</v>
      </c>
      <c r="AG169" s="243">
        <v>62848</v>
      </c>
      <c r="AH169">
        <v>0</v>
      </c>
      <c r="AI169" t="s">
        <v>520</v>
      </c>
      <c r="AJ169" t="s">
        <v>563</v>
      </c>
      <c r="AK169" t="s">
        <v>1288</v>
      </c>
      <c r="AL169">
        <v>16.03</v>
      </c>
      <c r="AM169" t="s">
        <v>520</v>
      </c>
      <c r="AN169" s="243">
        <v>7137.26</v>
      </c>
      <c r="AO169">
        <v>714000</v>
      </c>
      <c r="AP169">
        <v>1</v>
      </c>
      <c r="AQ169" t="s">
        <v>590</v>
      </c>
      <c r="AR169" t="s">
        <v>1425</v>
      </c>
      <c r="AS169">
        <v>0</v>
      </c>
      <c r="AT169">
        <v>0</v>
      </c>
      <c r="AU169" s="243">
        <v>53818533.549999997</v>
      </c>
      <c r="AV169">
        <v>61420000</v>
      </c>
      <c r="AW169">
        <v>87.62</v>
      </c>
      <c r="AX169" t="s">
        <v>577</v>
      </c>
      <c r="AY169" t="s">
        <v>1328</v>
      </c>
      <c r="AZ169">
        <v>56.99</v>
      </c>
      <c r="BA169">
        <v>49.94</v>
      </c>
      <c r="BB169" s="243">
        <v>3664418.29</v>
      </c>
      <c r="BC169">
        <v>0</v>
      </c>
      <c r="BD169" t="s">
        <v>520</v>
      </c>
      <c r="BE169" t="s">
        <v>563</v>
      </c>
      <c r="BF169" t="s">
        <v>1288</v>
      </c>
      <c r="BG169">
        <v>6.29</v>
      </c>
      <c r="BH169" t="s">
        <v>520</v>
      </c>
    </row>
    <row r="170" spans="1:60">
      <c r="A170">
        <v>711</v>
      </c>
      <c r="B170" t="s">
        <v>205</v>
      </c>
      <c r="C170" t="s">
        <v>525</v>
      </c>
      <c r="D170" t="s">
        <v>48</v>
      </c>
      <c r="E170" s="243">
        <v>12931661.83</v>
      </c>
      <c r="F170">
        <v>14150000</v>
      </c>
      <c r="G170">
        <v>91.39</v>
      </c>
      <c r="H170" t="s">
        <v>584</v>
      </c>
      <c r="I170" t="s">
        <v>1358</v>
      </c>
      <c r="J170">
        <v>25.88</v>
      </c>
      <c r="K170">
        <v>23.65</v>
      </c>
      <c r="L170" s="243">
        <v>31825702</v>
      </c>
      <c r="M170">
        <v>25840000</v>
      </c>
      <c r="N170">
        <v>123.16</v>
      </c>
      <c r="O170" t="s">
        <v>587</v>
      </c>
      <c r="P170" t="s">
        <v>1423</v>
      </c>
      <c r="Q170">
        <v>71.3</v>
      </c>
      <c r="R170">
        <v>87.82</v>
      </c>
      <c r="S170" s="243">
        <v>480282</v>
      </c>
      <c r="T170">
        <v>3418000</v>
      </c>
      <c r="U170">
        <v>14.05</v>
      </c>
      <c r="V170" t="s">
        <v>578</v>
      </c>
      <c r="W170" t="s">
        <v>1432</v>
      </c>
      <c r="X170">
        <v>45.84</v>
      </c>
      <c r="Y170">
        <v>6.44</v>
      </c>
      <c r="Z170" s="243">
        <v>51350</v>
      </c>
      <c r="AA170">
        <v>2660000</v>
      </c>
      <c r="AB170">
        <v>1.93</v>
      </c>
      <c r="AC170" t="s">
        <v>583</v>
      </c>
      <c r="AD170" t="s">
        <v>1339</v>
      </c>
      <c r="AE170">
        <v>2.3199999999999998</v>
      </c>
      <c r="AF170">
        <v>0.04</v>
      </c>
      <c r="AG170" s="243">
        <v>39137</v>
      </c>
      <c r="AH170">
        <v>0</v>
      </c>
      <c r="AI170" t="s">
        <v>520</v>
      </c>
      <c r="AJ170" t="s">
        <v>563</v>
      </c>
      <c r="AK170" t="s">
        <v>1288</v>
      </c>
      <c r="AL170">
        <v>17.88</v>
      </c>
      <c r="AM170" t="s">
        <v>520</v>
      </c>
      <c r="AN170" s="243">
        <v>165798.1</v>
      </c>
      <c r="AO170">
        <v>542000</v>
      </c>
      <c r="AP170">
        <v>30.59</v>
      </c>
      <c r="AQ170" t="s">
        <v>587</v>
      </c>
      <c r="AR170" t="s">
        <v>1467</v>
      </c>
      <c r="AS170">
        <v>80.13</v>
      </c>
      <c r="AT170">
        <v>24.51</v>
      </c>
      <c r="AU170" s="243">
        <v>45493930.93</v>
      </c>
      <c r="AV170">
        <v>46610000</v>
      </c>
      <c r="AW170">
        <v>97.61</v>
      </c>
      <c r="AX170" t="s">
        <v>565</v>
      </c>
      <c r="AY170" t="s">
        <v>1395</v>
      </c>
      <c r="AZ170">
        <v>58.03</v>
      </c>
      <c r="BA170">
        <v>56.64</v>
      </c>
      <c r="BB170" s="243">
        <v>4564390.83</v>
      </c>
      <c r="BC170">
        <v>0</v>
      </c>
      <c r="BD170" t="s">
        <v>520</v>
      </c>
      <c r="BE170" t="s">
        <v>563</v>
      </c>
      <c r="BF170" t="s">
        <v>1288</v>
      </c>
      <c r="BG170">
        <v>12.06</v>
      </c>
      <c r="BH170" t="s">
        <v>520</v>
      </c>
    </row>
    <row r="171" spans="1:60">
      <c r="A171">
        <v>712</v>
      </c>
      <c r="B171" t="s">
        <v>206</v>
      </c>
      <c r="C171" t="s">
        <v>527</v>
      </c>
      <c r="D171" t="s">
        <v>48</v>
      </c>
      <c r="E171" s="243">
        <v>2292642.77</v>
      </c>
      <c r="F171">
        <v>5700000</v>
      </c>
      <c r="G171">
        <v>40.22</v>
      </c>
      <c r="H171" t="s">
        <v>596</v>
      </c>
      <c r="I171" t="s">
        <v>1881</v>
      </c>
      <c r="J171">
        <v>30.97</v>
      </c>
      <c r="K171">
        <v>12.46</v>
      </c>
      <c r="L171" s="243">
        <v>17667245</v>
      </c>
      <c r="M171">
        <v>10410000</v>
      </c>
      <c r="N171">
        <v>169.71</v>
      </c>
      <c r="O171" t="s">
        <v>574</v>
      </c>
      <c r="P171" t="s">
        <v>1394</v>
      </c>
      <c r="Q171">
        <v>84.51</v>
      </c>
      <c r="R171">
        <v>143.43</v>
      </c>
      <c r="S171" s="243">
        <v>399543</v>
      </c>
      <c r="T171">
        <v>964000</v>
      </c>
      <c r="U171">
        <v>41.45</v>
      </c>
      <c r="V171" t="s">
        <v>593</v>
      </c>
      <c r="W171" t="s">
        <v>1284</v>
      </c>
      <c r="X171">
        <v>73.099999999999994</v>
      </c>
      <c r="Y171">
        <v>30.3</v>
      </c>
      <c r="Z171" s="243">
        <v>174999</v>
      </c>
      <c r="AA171">
        <v>1478000</v>
      </c>
      <c r="AB171">
        <v>11.84</v>
      </c>
      <c r="AC171" t="s">
        <v>576</v>
      </c>
      <c r="AD171" t="s">
        <v>1400</v>
      </c>
      <c r="AE171">
        <v>11.25</v>
      </c>
      <c r="AF171">
        <v>1.33</v>
      </c>
      <c r="AG171" s="243">
        <v>13227</v>
      </c>
      <c r="AH171">
        <v>0</v>
      </c>
      <c r="AI171" t="s">
        <v>520</v>
      </c>
      <c r="AJ171" t="s">
        <v>563</v>
      </c>
      <c r="AK171" t="s">
        <v>1288</v>
      </c>
      <c r="AL171">
        <v>16.75</v>
      </c>
      <c r="AM171" t="s">
        <v>520</v>
      </c>
      <c r="AN171" s="243">
        <v>0</v>
      </c>
      <c r="AO171">
        <v>218000</v>
      </c>
      <c r="AP171">
        <v>0</v>
      </c>
      <c r="AQ171" t="s">
        <v>581</v>
      </c>
      <c r="AR171" t="s">
        <v>1468</v>
      </c>
      <c r="AS171">
        <v>0</v>
      </c>
      <c r="AT171">
        <v>0</v>
      </c>
      <c r="AU171" s="243">
        <v>20547656.77</v>
      </c>
      <c r="AV171">
        <v>18770000</v>
      </c>
      <c r="AW171">
        <v>109.47</v>
      </c>
      <c r="AX171" t="s">
        <v>573</v>
      </c>
      <c r="AY171" t="s">
        <v>1300</v>
      </c>
      <c r="AZ171">
        <v>77.650000000000006</v>
      </c>
      <c r="BA171">
        <v>85</v>
      </c>
      <c r="BB171" s="243">
        <v>935992.77</v>
      </c>
      <c r="BC171">
        <v>0</v>
      </c>
      <c r="BD171" t="s">
        <v>520</v>
      </c>
      <c r="BE171" t="s">
        <v>563</v>
      </c>
      <c r="BF171" t="s">
        <v>1288</v>
      </c>
      <c r="BG171">
        <v>12.66</v>
      </c>
      <c r="BH171" t="s">
        <v>520</v>
      </c>
    </row>
    <row r="172" spans="1:60">
      <c r="A172">
        <v>719</v>
      </c>
      <c r="B172" t="s">
        <v>59</v>
      </c>
      <c r="C172" t="s">
        <v>522</v>
      </c>
      <c r="D172" t="s">
        <v>48</v>
      </c>
      <c r="E172" s="243">
        <v>12520267.98</v>
      </c>
      <c r="F172">
        <v>19060000</v>
      </c>
      <c r="G172">
        <v>65.69</v>
      </c>
      <c r="H172" t="s">
        <v>592</v>
      </c>
      <c r="I172" t="s">
        <v>1291</v>
      </c>
      <c r="J172">
        <v>19.7</v>
      </c>
      <c r="K172">
        <v>12.94</v>
      </c>
      <c r="L172" s="243">
        <v>54589529</v>
      </c>
      <c r="M172">
        <v>34790000</v>
      </c>
      <c r="N172">
        <v>156.91</v>
      </c>
      <c r="O172" t="s">
        <v>576</v>
      </c>
      <c r="P172" t="s">
        <v>1316</v>
      </c>
      <c r="Q172">
        <v>64.73</v>
      </c>
      <c r="R172">
        <v>101.58</v>
      </c>
      <c r="S172" s="243">
        <v>212834</v>
      </c>
      <c r="T172">
        <v>4944000</v>
      </c>
      <c r="U172">
        <v>4.3</v>
      </c>
      <c r="V172" t="s">
        <v>596</v>
      </c>
      <c r="W172" t="s">
        <v>1343</v>
      </c>
      <c r="X172">
        <v>17.88</v>
      </c>
      <c r="Y172">
        <v>0.77</v>
      </c>
      <c r="Z172" s="243">
        <v>10062</v>
      </c>
      <c r="AA172">
        <v>3237000</v>
      </c>
      <c r="AB172">
        <v>0.31</v>
      </c>
      <c r="AC172" t="s">
        <v>586</v>
      </c>
      <c r="AD172" t="s">
        <v>1360</v>
      </c>
      <c r="AE172">
        <v>6.92</v>
      </c>
      <c r="AF172">
        <v>0.02</v>
      </c>
      <c r="AG172" s="243">
        <v>133556</v>
      </c>
      <c r="AH172">
        <v>0</v>
      </c>
      <c r="AI172" t="s">
        <v>520</v>
      </c>
      <c r="AJ172" t="s">
        <v>563</v>
      </c>
      <c r="AK172" t="s">
        <v>1288</v>
      </c>
      <c r="AL172">
        <v>3.73</v>
      </c>
      <c r="AM172" t="s">
        <v>520</v>
      </c>
      <c r="AN172" s="243">
        <v>1267691.26</v>
      </c>
      <c r="AO172">
        <v>729000</v>
      </c>
      <c r="AP172">
        <v>173.89</v>
      </c>
      <c r="AQ172" t="s">
        <v>574</v>
      </c>
      <c r="AR172" t="s">
        <v>1436</v>
      </c>
      <c r="AS172">
        <v>100</v>
      </c>
      <c r="AT172">
        <v>173.89</v>
      </c>
      <c r="AU172" s="243">
        <v>68733940.239999995</v>
      </c>
      <c r="AV172">
        <v>62760000</v>
      </c>
      <c r="AW172">
        <v>109.52</v>
      </c>
      <c r="AX172" t="s">
        <v>576</v>
      </c>
      <c r="AY172" t="s">
        <v>1433</v>
      </c>
      <c r="AZ172">
        <v>56.91</v>
      </c>
      <c r="BA172">
        <v>62.33</v>
      </c>
      <c r="BB172" s="243">
        <v>5514177.9800000004</v>
      </c>
      <c r="BC172">
        <v>0</v>
      </c>
      <c r="BD172" t="s">
        <v>520</v>
      </c>
      <c r="BE172" t="s">
        <v>563</v>
      </c>
      <c r="BF172" t="s">
        <v>1288</v>
      </c>
      <c r="BG172">
        <v>4.17</v>
      </c>
      <c r="BH172" t="s">
        <v>520</v>
      </c>
    </row>
    <row r="173" spans="1:60">
      <c r="A173">
        <v>720</v>
      </c>
      <c r="B173" t="s">
        <v>112</v>
      </c>
      <c r="C173" t="s">
        <v>524</v>
      </c>
      <c r="D173" t="s">
        <v>48</v>
      </c>
      <c r="E173" s="243">
        <v>18649468.07</v>
      </c>
      <c r="F173">
        <v>16250000</v>
      </c>
      <c r="G173">
        <v>114.77</v>
      </c>
      <c r="H173" t="s">
        <v>561</v>
      </c>
      <c r="I173" t="s">
        <v>1391</v>
      </c>
      <c r="J173">
        <v>15.31</v>
      </c>
      <c r="K173">
        <v>17.57</v>
      </c>
      <c r="L173" s="243">
        <v>41692190</v>
      </c>
      <c r="M173">
        <v>29670000</v>
      </c>
      <c r="N173">
        <v>140.52000000000001</v>
      </c>
      <c r="O173" t="s">
        <v>593</v>
      </c>
      <c r="P173" t="s">
        <v>1466</v>
      </c>
      <c r="Q173">
        <v>56.05</v>
      </c>
      <c r="R173">
        <v>78.77</v>
      </c>
      <c r="S173" s="243">
        <v>729893</v>
      </c>
      <c r="T173">
        <v>4360000</v>
      </c>
      <c r="U173">
        <v>16.739999999999998</v>
      </c>
      <c r="V173" t="s">
        <v>583</v>
      </c>
      <c r="W173" t="s">
        <v>1458</v>
      </c>
      <c r="X173">
        <v>1.58</v>
      </c>
      <c r="Y173">
        <v>0.26</v>
      </c>
      <c r="Z173" s="243">
        <v>62557</v>
      </c>
      <c r="AA173">
        <v>2628000</v>
      </c>
      <c r="AB173">
        <v>2.38</v>
      </c>
      <c r="AC173" t="s">
        <v>562</v>
      </c>
      <c r="AD173" t="s">
        <v>1402</v>
      </c>
      <c r="AE173">
        <v>4.0599999999999996</v>
      </c>
      <c r="AF173">
        <v>0.1</v>
      </c>
      <c r="AG173" s="243">
        <v>19793</v>
      </c>
      <c r="AH173">
        <v>0</v>
      </c>
      <c r="AI173" t="s">
        <v>520</v>
      </c>
      <c r="AJ173" t="s">
        <v>563</v>
      </c>
      <c r="AK173" t="s">
        <v>1288</v>
      </c>
      <c r="AL173">
        <v>14.97</v>
      </c>
      <c r="AM173" t="s">
        <v>520</v>
      </c>
      <c r="AN173" s="243">
        <v>49143.01</v>
      </c>
      <c r="AO173">
        <v>622000</v>
      </c>
      <c r="AP173">
        <v>7.9</v>
      </c>
      <c r="AQ173" t="s">
        <v>597</v>
      </c>
      <c r="AR173" t="s">
        <v>1461</v>
      </c>
      <c r="AS173">
        <v>0</v>
      </c>
      <c r="AT173">
        <v>0</v>
      </c>
      <c r="AU173" s="243">
        <v>61203044.079999998</v>
      </c>
      <c r="AV173">
        <v>53530000</v>
      </c>
      <c r="AW173">
        <v>114.33</v>
      </c>
      <c r="AX173" t="s">
        <v>580</v>
      </c>
      <c r="AY173" t="s">
        <v>1391</v>
      </c>
      <c r="AZ173">
        <v>42.88</v>
      </c>
      <c r="BA173">
        <v>49.02</v>
      </c>
      <c r="BB173" s="243">
        <v>7196433.0700000003</v>
      </c>
      <c r="BC173">
        <v>0</v>
      </c>
      <c r="BD173" t="s">
        <v>520</v>
      </c>
      <c r="BE173" t="s">
        <v>563</v>
      </c>
      <c r="BF173" t="s">
        <v>1288</v>
      </c>
      <c r="BG173">
        <v>9.56</v>
      </c>
      <c r="BH173" t="s">
        <v>520</v>
      </c>
    </row>
    <row r="174" spans="1:60">
      <c r="A174">
        <v>721</v>
      </c>
      <c r="B174" t="s">
        <v>60</v>
      </c>
      <c r="C174" t="s">
        <v>524</v>
      </c>
      <c r="D174" t="s">
        <v>48</v>
      </c>
      <c r="E174" s="243">
        <v>15709140.380000001</v>
      </c>
      <c r="F174">
        <v>13670000</v>
      </c>
      <c r="G174">
        <v>114.92</v>
      </c>
      <c r="H174" t="s">
        <v>574</v>
      </c>
      <c r="I174" t="s">
        <v>1341</v>
      </c>
      <c r="J174">
        <v>26.55</v>
      </c>
      <c r="K174">
        <v>30.51</v>
      </c>
      <c r="L174" s="243">
        <v>29707562</v>
      </c>
      <c r="M174">
        <v>24960000</v>
      </c>
      <c r="N174">
        <v>119.02</v>
      </c>
      <c r="O174" t="s">
        <v>568</v>
      </c>
      <c r="P174" t="s">
        <v>1435</v>
      </c>
      <c r="Q174">
        <v>60.56</v>
      </c>
      <c r="R174">
        <v>72.069999999999993</v>
      </c>
      <c r="S174" s="243">
        <v>728618</v>
      </c>
      <c r="T174">
        <v>3106000</v>
      </c>
      <c r="U174">
        <v>23.46</v>
      </c>
      <c r="V174" t="s">
        <v>570</v>
      </c>
      <c r="W174" t="s">
        <v>1374</v>
      </c>
      <c r="X174">
        <v>0.56999999999999995</v>
      </c>
      <c r="Y174">
        <v>0.13</v>
      </c>
      <c r="Z174" s="243">
        <v>209275</v>
      </c>
      <c r="AA174">
        <v>2771000</v>
      </c>
      <c r="AB174">
        <v>7.55</v>
      </c>
      <c r="AC174" t="s">
        <v>564</v>
      </c>
      <c r="AD174" t="s">
        <v>1302</v>
      </c>
      <c r="AE174">
        <v>2.5</v>
      </c>
      <c r="AF174">
        <v>0.19</v>
      </c>
      <c r="AG174" s="243">
        <v>28223</v>
      </c>
      <c r="AH174">
        <v>0</v>
      </c>
      <c r="AI174" t="s">
        <v>520</v>
      </c>
      <c r="AJ174" t="s">
        <v>563</v>
      </c>
      <c r="AK174" t="s">
        <v>1288</v>
      </c>
      <c r="AL174">
        <v>14.62</v>
      </c>
      <c r="AM174" t="s">
        <v>520</v>
      </c>
      <c r="AN174" s="243">
        <v>335647.08</v>
      </c>
      <c r="AO174">
        <v>523000</v>
      </c>
      <c r="AP174">
        <v>64.180000000000007</v>
      </c>
      <c r="AQ174" t="s">
        <v>584</v>
      </c>
      <c r="AR174" t="s">
        <v>1335</v>
      </c>
      <c r="AS174">
        <v>82.25</v>
      </c>
      <c r="AT174">
        <v>52.79</v>
      </c>
      <c r="AU174" s="243">
        <v>46718465.460000001</v>
      </c>
      <c r="AV174">
        <v>45030000</v>
      </c>
      <c r="AW174">
        <v>103.75</v>
      </c>
      <c r="AX174" t="s">
        <v>564</v>
      </c>
      <c r="AY174" t="s">
        <v>1460</v>
      </c>
      <c r="AZ174">
        <v>48.05</v>
      </c>
      <c r="BA174">
        <v>49.86</v>
      </c>
      <c r="BB174" s="243">
        <v>5131944.38</v>
      </c>
      <c r="BC174">
        <v>0</v>
      </c>
      <c r="BD174" t="s">
        <v>520</v>
      </c>
      <c r="BE174" t="s">
        <v>563</v>
      </c>
      <c r="BF174" t="s">
        <v>1288</v>
      </c>
      <c r="BG174">
        <v>11.36</v>
      </c>
      <c r="BH174" t="s">
        <v>520</v>
      </c>
    </row>
    <row r="175" spans="1:60">
      <c r="A175">
        <v>722</v>
      </c>
      <c r="B175" t="s">
        <v>61</v>
      </c>
      <c r="C175" t="s">
        <v>527</v>
      </c>
      <c r="D175" t="s">
        <v>48</v>
      </c>
      <c r="E175" s="243">
        <v>4330941.51</v>
      </c>
      <c r="F175">
        <v>8700000</v>
      </c>
      <c r="G175">
        <v>49.78</v>
      </c>
      <c r="H175" t="s">
        <v>585</v>
      </c>
      <c r="I175" t="s">
        <v>1307</v>
      </c>
      <c r="J175">
        <v>17.45</v>
      </c>
      <c r="K175">
        <v>8.69</v>
      </c>
      <c r="L175" s="243">
        <v>18153209</v>
      </c>
      <c r="M175">
        <v>15880000</v>
      </c>
      <c r="N175">
        <v>114.31</v>
      </c>
      <c r="O175" t="s">
        <v>591</v>
      </c>
      <c r="P175" t="s">
        <v>1351</v>
      </c>
      <c r="Q175">
        <v>58.36</v>
      </c>
      <c r="R175">
        <v>66.709999999999994</v>
      </c>
      <c r="S175" s="243">
        <v>1127574</v>
      </c>
      <c r="T175">
        <v>1610000</v>
      </c>
      <c r="U175">
        <v>70.040000000000006</v>
      </c>
      <c r="V175" t="s">
        <v>589</v>
      </c>
      <c r="W175" t="s">
        <v>1367</v>
      </c>
      <c r="X175">
        <v>5.85</v>
      </c>
      <c r="Y175">
        <v>4.0999999999999996</v>
      </c>
      <c r="Z175" s="243">
        <v>162067</v>
      </c>
      <c r="AA175">
        <v>2117000</v>
      </c>
      <c r="AB175">
        <v>7.66</v>
      </c>
      <c r="AC175" t="s">
        <v>593</v>
      </c>
      <c r="AD175" t="s">
        <v>1412</v>
      </c>
      <c r="AE175">
        <v>0</v>
      </c>
      <c r="AF175">
        <v>0</v>
      </c>
      <c r="AG175" s="243">
        <v>21312</v>
      </c>
      <c r="AH175">
        <v>0</v>
      </c>
      <c r="AI175" t="s">
        <v>520</v>
      </c>
      <c r="AJ175" t="s">
        <v>563</v>
      </c>
      <c r="AK175" t="s">
        <v>1288</v>
      </c>
      <c r="AL175">
        <v>12.97</v>
      </c>
      <c r="AM175" t="s">
        <v>520</v>
      </c>
      <c r="AN175" s="243">
        <v>32350.19</v>
      </c>
      <c r="AO175">
        <v>333000</v>
      </c>
      <c r="AP175">
        <v>9.7100000000000009</v>
      </c>
      <c r="AQ175" t="s">
        <v>579</v>
      </c>
      <c r="AR175" t="s">
        <v>1317</v>
      </c>
      <c r="AS175">
        <v>0</v>
      </c>
      <c r="AT175">
        <v>0</v>
      </c>
      <c r="AU175" s="243">
        <v>23827453.699999999</v>
      </c>
      <c r="AV175">
        <v>28640000</v>
      </c>
      <c r="AW175">
        <v>83.2</v>
      </c>
      <c r="AX175" t="s">
        <v>578</v>
      </c>
      <c r="AY175" t="s">
        <v>1443</v>
      </c>
      <c r="AZ175">
        <v>47.92</v>
      </c>
      <c r="BA175">
        <v>39.869999999999997</v>
      </c>
      <c r="BB175" s="243">
        <v>1826694.51</v>
      </c>
      <c r="BC175">
        <v>0</v>
      </c>
      <c r="BD175" t="s">
        <v>520</v>
      </c>
      <c r="BE175" t="s">
        <v>563</v>
      </c>
      <c r="BF175" t="s">
        <v>1288</v>
      </c>
      <c r="BG175">
        <v>11.5</v>
      </c>
      <c r="BH175" t="s">
        <v>520</v>
      </c>
    </row>
    <row r="176" spans="1:60">
      <c r="A176">
        <v>751</v>
      </c>
      <c r="B176" t="s">
        <v>62</v>
      </c>
      <c r="C176" t="s">
        <v>526</v>
      </c>
      <c r="D176" t="s">
        <v>48</v>
      </c>
      <c r="E176" s="243">
        <v>5276416.29</v>
      </c>
      <c r="F176">
        <v>11250000</v>
      </c>
      <c r="G176">
        <v>46.9</v>
      </c>
      <c r="H176" t="s">
        <v>590</v>
      </c>
      <c r="I176" t="s">
        <v>1308</v>
      </c>
      <c r="J176">
        <v>27.75</v>
      </c>
      <c r="K176">
        <v>13.02</v>
      </c>
      <c r="L176" s="243">
        <v>25110451</v>
      </c>
      <c r="M176">
        <v>20530000</v>
      </c>
      <c r="N176">
        <v>122.31</v>
      </c>
      <c r="O176" t="s">
        <v>572</v>
      </c>
      <c r="P176" t="s">
        <v>1453</v>
      </c>
      <c r="Q176">
        <v>77.73</v>
      </c>
      <c r="R176">
        <v>95.08</v>
      </c>
      <c r="S176" s="243">
        <v>376613</v>
      </c>
      <c r="T176">
        <v>2575000</v>
      </c>
      <c r="U176">
        <v>14.63</v>
      </c>
      <c r="V176" t="s">
        <v>592</v>
      </c>
      <c r="W176" t="s">
        <v>1371</v>
      </c>
      <c r="X176">
        <v>16.48</v>
      </c>
      <c r="Y176">
        <v>2.41</v>
      </c>
      <c r="Z176" s="243">
        <v>14253</v>
      </c>
      <c r="AA176">
        <v>2254000</v>
      </c>
      <c r="AB176">
        <v>0.63</v>
      </c>
      <c r="AC176" t="s">
        <v>585</v>
      </c>
      <c r="AD176" t="s">
        <v>1290</v>
      </c>
      <c r="AE176">
        <v>3.26</v>
      </c>
      <c r="AF176">
        <v>0.02</v>
      </c>
      <c r="AG176" s="243">
        <v>30207</v>
      </c>
      <c r="AH176">
        <v>0</v>
      </c>
      <c r="AI176" t="s">
        <v>520</v>
      </c>
      <c r="AJ176" t="s">
        <v>563</v>
      </c>
      <c r="AK176" t="s">
        <v>1288</v>
      </c>
      <c r="AL176">
        <v>5.16</v>
      </c>
      <c r="AM176" t="s">
        <v>520</v>
      </c>
      <c r="AN176" s="243">
        <v>40367.85</v>
      </c>
      <c r="AO176">
        <v>431000</v>
      </c>
      <c r="AP176">
        <v>9.3699999999999992</v>
      </c>
      <c r="AQ176" t="s">
        <v>591</v>
      </c>
      <c r="AR176" t="s">
        <v>1376</v>
      </c>
      <c r="AS176">
        <v>11.99</v>
      </c>
      <c r="AT176">
        <v>1.1200000000000001</v>
      </c>
      <c r="AU176" s="243">
        <v>30848308.140000001</v>
      </c>
      <c r="AV176">
        <v>37040000</v>
      </c>
      <c r="AW176">
        <v>83.28</v>
      </c>
      <c r="AX176" t="s">
        <v>582</v>
      </c>
      <c r="AY176" t="s">
        <v>1369</v>
      </c>
      <c r="AZ176">
        <v>68.239999999999995</v>
      </c>
      <c r="BA176">
        <v>56.84</v>
      </c>
      <c r="BB176" s="243">
        <v>2232337.29</v>
      </c>
      <c r="BC176">
        <v>0</v>
      </c>
      <c r="BD176" t="s">
        <v>520</v>
      </c>
      <c r="BE176" t="s">
        <v>563</v>
      </c>
      <c r="BF176" t="s">
        <v>1288</v>
      </c>
      <c r="BG176">
        <v>10.77</v>
      </c>
      <c r="BH176" t="s">
        <v>520</v>
      </c>
    </row>
    <row r="177" spans="1:60">
      <c r="A177">
        <v>752</v>
      </c>
      <c r="B177" t="s">
        <v>63</v>
      </c>
      <c r="C177" t="s">
        <v>524</v>
      </c>
      <c r="D177" t="s">
        <v>48</v>
      </c>
      <c r="E177" s="243">
        <v>13628534</v>
      </c>
      <c r="F177">
        <v>15240000</v>
      </c>
      <c r="G177">
        <v>89.43</v>
      </c>
      <c r="H177" t="s">
        <v>564</v>
      </c>
      <c r="I177" t="s">
        <v>1314</v>
      </c>
      <c r="J177">
        <v>13.98</v>
      </c>
      <c r="K177">
        <v>12.51</v>
      </c>
      <c r="L177" s="243">
        <v>37209489</v>
      </c>
      <c r="M177">
        <v>27820000</v>
      </c>
      <c r="N177">
        <v>133.75</v>
      </c>
      <c r="O177" t="s">
        <v>564</v>
      </c>
      <c r="P177" t="s">
        <v>1386</v>
      </c>
      <c r="Q177">
        <v>38.76</v>
      </c>
      <c r="R177">
        <v>51.84</v>
      </c>
      <c r="S177" s="243">
        <v>1034503</v>
      </c>
      <c r="T177">
        <v>3649000</v>
      </c>
      <c r="U177">
        <v>28.35</v>
      </c>
      <c r="V177" t="s">
        <v>572</v>
      </c>
      <c r="W177" t="s">
        <v>1328</v>
      </c>
      <c r="X177">
        <v>15.98</v>
      </c>
      <c r="Y177">
        <v>4.53</v>
      </c>
      <c r="Z177" s="243">
        <v>33680</v>
      </c>
      <c r="AA177">
        <v>2888000</v>
      </c>
      <c r="AB177">
        <v>1.17</v>
      </c>
      <c r="AC177" t="s">
        <v>578</v>
      </c>
      <c r="AD177" t="s">
        <v>1334</v>
      </c>
      <c r="AE177">
        <v>0.56999999999999995</v>
      </c>
      <c r="AF177">
        <v>0.01</v>
      </c>
      <c r="AG177" s="243">
        <v>38102</v>
      </c>
      <c r="AH177">
        <v>0</v>
      </c>
      <c r="AI177" t="s">
        <v>520</v>
      </c>
      <c r="AJ177" t="s">
        <v>563</v>
      </c>
      <c r="AK177" t="s">
        <v>1288</v>
      </c>
      <c r="AL177">
        <v>1.57</v>
      </c>
      <c r="AM177" t="s">
        <v>520</v>
      </c>
      <c r="AN177" s="243">
        <v>27984.99</v>
      </c>
      <c r="AO177">
        <v>583000</v>
      </c>
      <c r="AP177">
        <v>4.8</v>
      </c>
      <c r="AQ177" t="s">
        <v>592</v>
      </c>
      <c r="AR177" t="s">
        <v>1399</v>
      </c>
      <c r="AS177">
        <v>72.11</v>
      </c>
      <c r="AT177">
        <v>3.46</v>
      </c>
      <c r="AU177" s="243">
        <v>51972292.990000002</v>
      </c>
      <c r="AV177">
        <v>50180000</v>
      </c>
      <c r="AW177">
        <v>103.57</v>
      </c>
      <c r="AX177" t="s">
        <v>569</v>
      </c>
      <c r="AY177" t="s">
        <v>1324</v>
      </c>
      <c r="AZ177">
        <v>31.77</v>
      </c>
      <c r="BA177">
        <v>32.909999999999997</v>
      </c>
      <c r="BB177" s="243">
        <v>4570582</v>
      </c>
      <c r="BC177">
        <v>0</v>
      </c>
      <c r="BD177" t="s">
        <v>520</v>
      </c>
      <c r="BE177" t="s">
        <v>563</v>
      </c>
      <c r="BF177" t="s">
        <v>1288</v>
      </c>
      <c r="BG177">
        <v>4.32</v>
      </c>
      <c r="BH177" t="s">
        <v>520</v>
      </c>
    </row>
    <row r="178" spans="1:60">
      <c r="A178">
        <v>753</v>
      </c>
      <c r="B178" t="s">
        <v>207</v>
      </c>
      <c r="C178" t="s">
        <v>526</v>
      </c>
      <c r="D178" t="s">
        <v>48</v>
      </c>
      <c r="E178" s="243">
        <v>19180630.77</v>
      </c>
      <c r="F178">
        <v>11620000</v>
      </c>
      <c r="G178">
        <v>165.07</v>
      </c>
      <c r="H178" t="s">
        <v>563</v>
      </c>
      <c r="I178" t="s">
        <v>1318</v>
      </c>
      <c r="J178">
        <v>9.86</v>
      </c>
      <c r="K178">
        <v>16.27</v>
      </c>
      <c r="L178" s="243">
        <v>18012720</v>
      </c>
      <c r="M178">
        <v>21210000</v>
      </c>
      <c r="N178">
        <v>84.93</v>
      </c>
      <c r="O178" t="s">
        <v>585</v>
      </c>
      <c r="P178" t="s">
        <v>1364</v>
      </c>
      <c r="Q178">
        <v>56.83</v>
      </c>
      <c r="R178">
        <v>48.26</v>
      </c>
      <c r="S178" s="243">
        <v>659392</v>
      </c>
      <c r="T178">
        <v>2590000</v>
      </c>
      <c r="U178">
        <v>25.46</v>
      </c>
      <c r="V178" t="s">
        <v>565</v>
      </c>
      <c r="W178" t="s">
        <v>1340</v>
      </c>
      <c r="X178">
        <v>1.37</v>
      </c>
      <c r="Y178">
        <v>0.35</v>
      </c>
      <c r="Z178" s="243">
        <v>49511</v>
      </c>
      <c r="AA178">
        <v>2405000</v>
      </c>
      <c r="AB178">
        <v>2.06</v>
      </c>
      <c r="AC178" t="s">
        <v>595</v>
      </c>
      <c r="AD178" t="s">
        <v>1432</v>
      </c>
      <c r="AE178">
        <v>2.02</v>
      </c>
      <c r="AF178">
        <v>0.04</v>
      </c>
      <c r="AG178" s="243">
        <v>49119</v>
      </c>
      <c r="AH178">
        <v>0</v>
      </c>
      <c r="AI178" t="s">
        <v>520</v>
      </c>
      <c r="AJ178" t="s">
        <v>563</v>
      </c>
      <c r="AK178" t="s">
        <v>1288</v>
      </c>
      <c r="AL178">
        <v>2.5</v>
      </c>
      <c r="AM178" t="s">
        <v>520</v>
      </c>
      <c r="AN178" s="243">
        <v>355892.54</v>
      </c>
      <c r="AO178">
        <v>445000</v>
      </c>
      <c r="AP178">
        <v>79.98</v>
      </c>
      <c r="AQ178" t="s">
        <v>573</v>
      </c>
      <c r="AR178" t="s">
        <v>1292</v>
      </c>
      <c r="AS178">
        <v>100</v>
      </c>
      <c r="AT178">
        <v>79.98</v>
      </c>
      <c r="AU178" s="243">
        <v>38307265.310000002</v>
      </c>
      <c r="AV178">
        <v>38270000</v>
      </c>
      <c r="AW178">
        <v>100.1</v>
      </c>
      <c r="AX178" t="s">
        <v>587</v>
      </c>
      <c r="AY178" t="s">
        <v>1304</v>
      </c>
      <c r="AZ178">
        <v>32.619999999999997</v>
      </c>
      <c r="BA178">
        <v>32.65</v>
      </c>
      <c r="BB178" s="243">
        <v>3377272.77</v>
      </c>
      <c r="BC178">
        <v>0</v>
      </c>
      <c r="BD178" t="s">
        <v>520</v>
      </c>
      <c r="BE178" t="s">
        <v>563</v>
      </c>
      <c r="BF178" t="s">
        <v>1288</v>
      </c>
      <c r="BG178">
        <v>6.91</v>
      </c>
      <c r="BH178" t="s">
        <v>520</v>
      </c>
    </row>
    <row r="179" spans="1:60" s="446" customFormat="1">
      <c r="A179" s="93">
        <v>760</v>
      </c>
      <c r="B179" s="93" t="s">
        <v>64</v>
      </c>
      <c r="C179" s="93" t="s">
        <v>524</v>
      </c>
      <c r="D179" s="93" t="s">
        <v>48</v>
      </c>
      <c r="E179" s="93">
        <f>E188+E189</f>
        <v>14417984.91</v>
      </c>
      <c r="F179" s="93">
        <v>12440000</v>
      </c>
      <c r="G179" s="93">
        <v>45.32</v>
      </c>
      <c r="H179" s="93" t="s">
        <v>586</v>
      </c>
      <c r="I179" s="93" t="s">
        <v>1285</v>
      </c>
      <c r="J179" s="93">
        <v>32.19</v>
      </c>
      <c r="K179" s="93">
        <v>14.59</v>
      </c>
      <c r="L179" s="93">
        <f>L188+L189</f>
        <v>48448470</v>
      </c>
      <c r="M179" s="93">
        <v>22710000</v>
      </c>
      <c r="N179" s="93">
        <v>104.36</v>
      </c>
      <c r="O179" s="93" t="s">
        <v>577</v>
      </c>
      <c r="P179" s="93" t="s">
        <v>1430</v>
      </c>
      <c r="Q179" s="93">
        <v>60.31</v>
      </c>
      <c r="R179" s="93">
        <v>62.93</v>
      </c>
      <c r="S179" s="93">
        <f>S188+S189</f>
        <v>305826</v>
      </c>
      <c r="T179" s="93">
        <v>2937000</v>
      </c>
      <c r="U179" s="93">
        <v>7.21</v>
      </c>
      <c r="V179" s="93" t="s">
        <v>585</v>
      </c>
      <c r="W179" s="93" t="s">
        <v>1399</v>
      </c>
      <c r="X179" s="93">
        <v>12.4</v>
      </c>
      <c r="Y179" s="93">
        <v>0.89</v>
      </c>
      <c r="Z179" s="93">
        <f>Z188+Z189</f>
        <v>15318</v>
      </c>
      <c r="AA179" s="93">
        <v>2397000</v>
      </c>
      <c r="AB179" s="93">
        <v>0.3</v>
      </c>
      <c r="AC179" s="93" t="s">
        <v>581</v>
      </c>
      <c r="AD179" s="93" t="s">
        <v>1346</v>
      </c>
      <c r="AE179" s="93">
        <v>1.01</v>
      </c>
      <c r="AF179" s="93">
        <v>0</v>
      </c>
      <c r="AG179" s="93">
        <f>AG188+AG189</f>
        <v>309269</v>
      </c>
      <c r="AH179" s="93">
        <v>0</v>
      </c>
      <c r="AI179" s="93" t="s">
        <v>520</v>
      </c>
      <c r="AJ179" s="93" t="s">
        <v>563</v>
      </c>
      <c r="AK179" s="93" t="s">
        <v>1288</v>
      </c>
      <c r="AL179" s="93">
        <v>0.76</v>
      </c>
      <c r="AM179" s="93" t="s">
        <v>520</v>
      </c>
      <c r="AN179" s="93">
        <f>AN188+AN189</f>
        <v>19936.53</v>
      </c>
      <c r="AO179" s="93">
        <v>476000</v>
      </c>
      <c r="AP179" s="93">
        <v>4.1900000000000004</v>
      </c>
      <c r="AQ179" s="93" t="s">
        <v>578</v>
      </c>
      <c r="AR179" s="93" t="s">
        <v>1392</v>
      </c>
      <c r="AS179" s="93">
        <v>79.05</v>
      </c>
      <c r="AT179" s="93">
        <v>3.31</v>
      </c>
      <c r="AU179" s="93">
        <f>AU188+AU189</f>
        <v>63516804.439999998</v>
      </c>
      <c r="AV179" s="93">
        <v>40960000</v>
      </c>
      <c r="AW179" s="93">
        <v>72.91</v>
      </c>
      <c r="AX179" s="93" t="s">
        <v>590</v>
      </c>
      <c r="AY179" s="93" t="s">
        <v>1411</v>
      </c>
      <c r="AZ179" s="93">
        <v>54.08</v>
      </c>
      <c r="BA179" s="93">
        <v>39.43</v>
      </c>
      <c r="BB179" s="93">
        <f>BB188+BB189</f>
        <v>4464752.91</v>
      </c>
      <c r="BC179" s="93">
        <v>0</v>
      </c>
      <c r="BD179" s="93" t="s">
        <v>520</v>
      </c>
      <c r="BE179" s="93" t="s">
        <v>563</v>
      </c>
      <c r="BF179" s="93" t="s">
        <v>1288</v>
      </c>
      <c r="BG179" s="93">
        <v>18.809999999999999</v>
      </c>
      <c r="BH179" s="93" t="s">
        <v>520</v>
      </c>
    </row>
    <row r="180" spans="1:60">
      <c r="A180">
        <v>800</v>
      </c>
      <c r="B180" t="s">
        <v>66</v>
      </c>
      <c r="C180" t="s">
        <v>526</v>
      </c>
      <c r="D180" t="s">
        <v>48</v>
      </c>
      <c r="E180" s="243">
        <v>14137600.26</v>
      </c>
      <c r="F180">
        <v>16840000</v>
      </c>
      <c r="G180">
        <v>83.95</v>
      </c>
      <c r="H180" t="s">
        <v>587</v>
      </c>
      <c r="I180" t="s">
        <v>1321</v>
      </c>
      <c r="J180">
        <v>12.15</v>
      </c>
      <c r="K180">
        <v>10.199999999999999</v>
      </c>
      <c r="L180" s="243">
        <v>34814592</v>
      </c>
      <c r="M180">
        <v>30740000</v>
      </c>
      <c r="N180">
        <v>113.26</v>
      </c>
      <c r="O180" t="s">
        <v>562</v>
      </c>
      <c r="P180" t="s">
        <v>1395</v>
      </c>
      <c r="Q180">
        <v>68.099999999999994</v>
      </c>
      <c r="R180">
        <v>77.13</v>
      </c>
      <c r="S180" s="243">
        <v>876312</v>
      </c>
      <c r="T180">
        <v>4238000</v>
      </c>
      <c r="U180">
        <v>20.68</v>
      </c>
      <c r="V180" t="s">
        <v>579</v>
      </c>
      <c r="W180" t="s">
        <v>1369</v>
      </c>
      <c r="X180">
        <v>0.69</v>
      </c>
      <c r="Y180">
        <v>0.14000000000000001</v>
      </c>
      <c r="Z180" s="243">
        <v>57925</v>
      </c>
      <c r="AA180">
        <v>2988000</v>
      </c>
      <c r="AB180">
        <v>1.94</v>
      </c>
      <c r="AC180" t="s">
        <v>577</v>
      </c>
      <c r="AD180" t="s">
        <v>1325</v>
      </c>
      <c r="AE180">
        <v>24.52</v>
      </c>
      <c r="AF180">
        <v>0.48</v>
      </c>
      <c r="AG180" s="243">
        <v>73799</v>
      </c>
      <c r="AH180">
        <v>0</v>
      </c>
      <c r="AI180" t="s">
        <v>520</v>
      </c>
      <c r="AJ180" t="s">
        <v>563</v>
      </c>
      <c r="AK180" t="s">
        <v>1288</v>
      </c>
      <c r="AL180">
        <v>5.07</v>
      </c>
      <c r="AM180" t="s">
        <v>520</v>
      </c>
      <c r="AN180" s="243">
        <v>30262.05</v>
      </c>
      <c r="AO180">
        <v>644000</v>
      </c>
      <c r="AP180">
        <v>4.7</v>
      </c>
      <c r="AQ180" t="s">
        <v>582</v>
      </c>
      <c r="AR180" t="s">
        <v>1407</v>
      </c>
      <c r="AS180">
        <v>0</v>
      </c>
      <c r="AT180">
        <v>0</v>
      </c>
      <c r="AU180" s="243">
        <v>49990490.310000002</v>
      </c>
      <c r="AV180">
        <v>55450000</v>
      </c>
      <c r="AW180">
        <v>90.15</v>
      </c>
      <c r="AX180" t="s">
        <v>562</v>
      </c>
      <c r="AY180" t="s">
        <v>1292</v>
      </c>
      <c r="AZ180">
        <v>50.91</v>
      </c>
      <c r="BA180">
        <v>45.9</v>
      </c>
      <c r="BB180" s="243">
        <v>5624951.2599999998</v>
      </c>
      <c r="BC180">
        <v>0</v>
      </c>
      <c r="BD180" t="s">
        <v>520</v>
      </c>
      <c r="BE180" t="s">
        <v>563</v>
      </c>
      <c r="BF180" t="s">
        <v>1288</v>
      </c>
      <c r="BG180">
        <v>10.69</v>
      </c>
      <c r="BH180" t="s">
        <v>520</v>
      </c>
    </row>
    <row r="181" spans="1:60">
      <c r="A181">
        <v>801</v>
      </c>
      <c r="B181" t="s">
        <v>67</v>
      </c>
      <c r="C181" t="s">
        <v>525</v>
      </c>
      <c r="D181" t="s">
        <v>48</v>
      </c>
      <c r="E181" s="243">
        <v>17020032.780000001</v>
      </c>
      <c r="F181">
        <v>22240000</v>
      </c>
      <c r="G181">
        <v>76.53</v>
      </c>
      <c r="H181" t="s">
        <v>591</v>
      </c>
      <c r="I181" t="s">
        <v>1302</v>
      </c>
      <c r="J181">
        <v>17.72</v>
      </c>
      <c r="K181">
        <v>13.56</v>
      </c>
      <c r="L181" s="243">
        <v>66685009</v>
      </c>
      <c r="M181">
        <v>40590000</v>
      </c>
      <c r="N181">
        <v>164.29</v>
      </c>
      <c r="O181" t="s">
        <v>589</v>
      </c>
      <c r="P181" t="s">
        <v>1388</v>
      </c>
      <c r="Q181">
        <v>45.83</v>
      </c>
      <c r="R181">
        <v>75.290000000000006</v>
      </c>
      <c r="S181" s="243">
        <v>309781</v>
      </c>
      <c r="T181">
        <v>5564000</v>
      </c>
      <c r="U181">
        <v>5.57</v>
      </c>
      <c r="V181" t="s">
        <v>590</v>
      </c>
      <c r="W181" t="s">
        <v>1285</v>
      </c>
      <c r="X181">
        <v>6.86</v>
      </c>
      <c r="Y181">
        <v>0.38</v>
      </c>
      <c r="Z181" s="243">
        <v>532227</v>
      </c>
      <c r="AA181">
        <v>3985000</v>
      </c>
      <c r="AB181">
        <v>13.36</v>
      </c>
      <c r="AC181" t="s">
        <v>589</v>
      </c>
      <c r="AD181" t="s">
        <v>1426</v>
      </c>
      <c r="AE181">
        <v>0.01</v>
      </c>
      <c r="AF181">
        <v>0</v>
      </c>
      <c r="AG181" s="243">
        <v>68903</v>
      </c>
      <c r="AH181">
        <v>0</v>
      </c>
      <c r="AI181" t="s">
        <v>520</v>
      </c>
      <c r="AJ181" t="s">
        <v>563</v>
      </c>
      <c r="AK181" t="s">
        <v>1288</v>
      </c>
      <c r="AL181">
        <v>5.3</v>
      </c>
      <c r="AM181" t="s">
        <v>520</v>
      </c>
      <c r="AN181" s="243">
        <v>234623.12</v>
      </c>
      <c r="AO181">
        <v>851000</v>
      </c>
      <c r="AP181">
        <v>27.57</v>
      </c>
      <c r="AQ181" t="s">
        <v>565</v>
      </c>
      <c r="AR181" t="s">
        <v>1458</v>
      </c>
      <c r="AS181">
        <v>44.13</v>
      </c>
      <c r="AT181">
        <v>12.17</v>
      </c>
      <c r="AU181" s="243">
        <v>84850575.900000006</v>
      </c>
      <c r="AV181">
        <v>73230000</v>
      </c>
      <c r="AW181">
        <v>115.87</v>
      </c>
      <c r="AX181" t="s">
        <v>589</v>
      </c>
      <c r="AY181" t="s">
        <v>1332</v>
      </c>
      <c r="AZ181">
        <v>39.72</v>
      </c>
      <c r="BA181">
        <v>46.03</v>
      </c>
      <c r="BB181" s="243">
        <v>6922171.7800000003</v>
      </c>
      <c r="BC181">
        <v>0</v>
      </c>
      <c r="BD181" t="s">
        <v>520</v>
      </c>
      <c r="BE181" t="s">
        <v>563</v>
      </c>
      <c r="BF181" t="s">
        <v>1288</v>
      </c>
      <c r="BG181">
        <v>18.100000000000001</v>
      </c>
      <c r="BH181" t="s">
        <v>520</v>
      </c>
    </row>
    <row r="182" spans="1:60" s="446" customFormat="1">
      <c r="A182" s="93">
        <v>802</v>
      </c>
      <c r="B182" s="93" t="s">
        <v>68</v>
      </c>
      <c r="C182" s="93" t="s">
        <v>527</v>
      </c>
      <c r="D182" s="93" t="s">
        <v>48</v>
      </c>
      <c r="E182" s="93">
        <f>E192+E193</f>
        <v>15655144.440000001</v>
      </c>
      <c r="F182" s="93">
        <v>15200000</v>
      </c>
      <c r="G182" s="93">
        <v>72.41</v>
      </c>
      <c r="H182" s="93" t="s">
        <v>560</v>
      </c>
      <c r="I182" s="93" t="s">
        <v>1306</v>
      </c>
      <c r="J182" s="93">
        <v>24.33</v>
      </c>
      <c r="K182" s="93">
        <v>17.62</v>
      </c>
      <c r="L182" s="93">
        <f>L192+L193</f>
        <v>57961191</v>
      </c>
      <c r="M182" s="93">
        <v>27740000</v>
      </c>
      <c r="N182" s="93">
        <v>129.37</v>
      </c>
      <c r="O182" s="93" t="s">
        <v>566</v>
      </c>
      <c r="P182" s="93" t="s">
        <v>1324</v>
      </c>
      <c r="Q182" s="93">
        <v>49.77</v>
      </c>
      <c r="R182" s="93">
        <v>64.38</v>
      </c>
      <c r="S182" s="93">
        <f>S192+S193</f>
        <v>6724943</v>
      </c>
      <c r="T182" s="93">
        <v>4004000</v>
      </c>
      <c r="U182" s="93">
        <v>34.03</v>
      </c>
      <c r="V182" s="93" t="s">
        <v>569</v>
      </c>
      <c r="W182" s="93" t="s">
        <v>1430</v>
      </c>
      <c r="X182" s="93">
        <v>28.4</v>
      </c>
      <c r="Y182" s="93">
        <v>9.66</v>
      </c>
      <c r="Z182" s="93">
        <f>Z192+Z193</f>
        <v>202009</v>
      </c>
      <c r="AA182" s="93">
        <v>2524000</v>
      </c>
      <c r="AB182" s="93">
        <v>2.2200000000000002</v>
      </c>
      <c r="AC182" s="93" t="s">
        <v>597</v>
      </c>
      <c r="AD182" s="93" t="s">
        <v>1371</v>
      </c>
      <c r="AE182" s="93">
        <v>7.69</v>
      </c>
      <c r="AF182" s="93">
        <v>0.17</v>
      </c>
      <c r="AG182" s="93">
        <f>AG192+AG193</f>
        <v>35573</v>
      </c>
      <c r="AH182" s="93">
        <v>0</v>
      </c>
      <c r="AI182" s="93" t="s">
        <v>520</v>
      </c>
      <c r="AJ182" s="93" t="s">
        <v>563</v>
      </c>
      <c r="AK182" s="93" t="s">
        <v>1288</v>
      </c>
      <c r="AL182" s="93">
        <v>42.05</v>
      </c>
      <c r="AM182" s="93" t="s">
        <v>520</v>
      </c>
      <c r="AN182" s="93">
        <f>AN192+AN193</f>
        <v>95938.16</v>
      </c>
      <c r="AO182" s="93">
        <v>582000</v>
      </c>
      <c r="AP182" s="93">
        <v>8.91</v>
      </c>
      <c r="AQ182" s="93" t="s">
        <v>562</v>
      </c>
      <c r="AR182" s="93" t="s">
        <v>1420</v>
      </c>
      <c r="AS182" s="93">
        <v>98.1</v>
      </c>
      <c r="AT182" s="93">
        <v>8.74</v>
      </c>
      <c r="AU182" s="93">
        <f>AU192+AU193</f>
        <v>80674798.599999994</v>
      </c>
      <c r="AV182" s="93">
        <v>50050000</v>
      </c>
      <c r="AW182" s="93">
        <v>96.66</v>
      </c>
      <c r="AX182" s="93" t="s">
        <v>570</v>
      </c>
      <c r="AY182" s="93" t="s">
        <v>1297</v>
      </c>
      <c r="AZ182" s="93">
        <v>43.38</v>
      </c>
      <c r="BA182" s="93">
        <v>41.93</v>
      </c>
      <c r="BB182" s="93">
        <f>BB192+BB193</f>
        <v>5268524.4400000004</v>
      </c>
      <c r="BC182" s="93">
        <v>0</v>
      </c>
      <c r="BD182" s="93" t="s">
        <v>520</v>
      </c>
      <c r="BE182" s="93" t="s">
        <v>563</v>
      </c>
      <c r="BF182" s="93" t="s">
        <v>1288</v>
      </c>
      <c r="BG182" s="93">
        <v>13.05</v>
      </c>
      <c r="BH182" s="93" t="s">
        <v>520</v>
      </c>
    </row>
    <row r="183" spans="1:60">
      <c r="A183">
        <v>820</v>
      </c>
      <c r="B183" t="s">
        <v>70</v>
      </c>
      <c r="C183" t="s">
        <v>526</v>
      </c>
      <c r="D183" t="s">
        <v>7</v>
      </c>
      <c r="E183" s="243">
        <v>16235985.050000001</v>
      </c>
      <c r="F183">
        <v>14260000</v>
      </c>
      <c r="G183">
        <v>113.86</v>
      </c>
      <c r="H183" t="s">
        <v>1639</v>
      </c>
      <c r="I183" t="s">
        <v>1457</v>
      </c>
      <c r="J183">
        <v>16.79</v>
      </c>
      <c r="K183">
        <v>19.12</v>
      </c>
      <c r="L183" s="243">
        <v>35068675</v>
      </c>
      <c r="M183">
        <v>26030000</v>
      </c>
      <c r="N183">
        <v>134.72</v>
      </c>
      <c r="O183" t="s">
        <v>1634</v>
      </c>
      <c r="P183" t="s">
        <v>1367</v>
      </c>
      <c r="Q183">
        <v>58.18</v>
      </c>
      <c r="R183">
        <v>78.39</v>
      </c>
      <c r="S183" s="243">
        <v>523753</v>
      </c>
      <c r="T183">
        <v>3380000</v>
      </c>
      <c r="U183">
        <v>15.5</v>
      </c>
      <c r="V183" t="s">
        <v>1657</v>
      </c>
      <c r="W183" t="s">
        <v>1454</v>
      </c>
      <c r="X183">
        <v>29.2</v>
      </c>
      <c r="Y183">
        <v>4.5199999999999996</v>
      </c>
      <c r="Z183" s="243">
        <v>172583</v>
      </c>
      <c r="AA183">
        <v>2734000</v>
      </c>
      <c r="AB183">
        <v>6.31</v>
      </c>
      <c r="AC183" t="s">
        <v>1647</v>
      </c>
      <c r="AD183" t="s">
        <v>1301</v>
      </c>
      <c r="AE183">
        <v>13.57</v>
      </c>
      <c r="AF183">
        <v>0.86</v>
      </c>
      <c r="AG183" s="243">
        <v>38611</v>
      </c>
      <c r="AH183">
        <v>0</v>
      </c>
      <c r="AI183" t="s">
        <v>520</v>
      </c>
      <c r="AJ183" t="s">
        <v>1626</v>
      </c>
      <c r="AK183" t="s">
        <v>1288</v>
      </c>
      <c r="AL183">
        <v>20.56</v>
      </c>
      <c r="AM183" t="s">
        <v>520</v>
      </c>
      <c r="AN183" s="243">
        <v>349120.36</v>
      </c>
      <c r="AO183">
        <v>546000</v>
      </c>
      <c r="AP183">
        <v>63.94</v>
      </c>
      <c r="AQ183" t="s">
        <v>1644</v>
      </c>
      <c r="AR183" t="s">
        <v>1328</v>
      </c>
      <c r="AS183">
        <v>78.14</v>
      </c>
      <c r="AT183">
        <v>49.96</v>
      </c>
      <c r="AU183" s="243">
        <v>52388727.409999996</v>
      </c>
      <c r="AV183">
        <v>46950000</v>
      </c>
      <c r="AW183">
        <v>111.58</v>
      </c>
      <c r="AX183" t="s">
        <v>1635</v>
      </c>
      <c r="AY183" t="s">
        <v>1466</v>
      </c>
      <c r="AZ183">
        <v>45.02</v>
      </c>
      <c r="BA183">
        <v>50.24</v>
      </c>
      <c r="BB183" s="243">
        <v>4929060.05</v>
      </c>
      <c r="BC183">
        <v>0</v>
      </c>
      <c r="BD183" t="s">
        <v>520</v>
      </c>
      <c r="BE183" t="s">
        <v>1626</v>
      </c>
      <c r="BF183" t="s">
        <v>1288</v>
      </c>
      <c r="BG183">
        <v>9.7899999999999991</v>
      </c>
      <c r="BH183" t="s">
        <v>520</v>
      </c>
    </row>
    <row r="184" spans="1:60">
      <c r="A184">
        <v>830</v>
      </c>
      <c r="B184" t="s">
        <v>71</v>
      </c>
      <c r="C184" t="s">
        <v>526</v>
      </c>
      <c r="D184" t="s">
        <v>48</v>
      </c>
      <c r="E184" s="243">
        <v>8061803.8499999996</v>
      </c>
      <c r="F184">
        <v>9390000</v>
      </c>
      <c r="G184">
        <v>85.86</v>
      </c>
      <c r="H184" t="s">
        <v>566</v>
      </c>
      <c r="I184" t="s">
        <v>1356</v>
      </c>
      <c r="J184">
        <v>11.08</v>
      </c>
      <c r="K184">
        <v>9.51</v>
      </c>
      <c r="L184" s="243">
        <v>11280767</v>
      </c>
      <c r="M184">
        <v>17140000</v>
      </c>
      <c r="N184">
        <v>65.819999999999993</v>
      </c>
      <c r="O184" t="s">
        <v>596</v>
      </c>
      <c r="P184" t="s">
        <v>1406</v>
      </c>
      <c r="Q184">
        <v>52.07</v>
      </c>
      <c r="R184">
        <v>34.270000000000003</v>
      </c>
      <c r="S184" s="243">
        <v>1065240</v>
      </c>
      <c r="T184">
        <v>2372000</v>
      </c>
      <c r="U184">
        <v>44.91</v>
      </c>
      <c r="V184" t="s">
        <v>567</v>
      </c>
      <c r="W184" t="s">
        <v>1358</v>
      </c>
      <c r="X184">
        <v>12.44</v>
      </c>
      <c r="Y184">
        <v>5.58</v>
      </c>
      <c r="Z184" s="243">
        <v>316403</v>
      </c>
      <c r="AA184">
        <v>1659000</v>
      </c>
      <c r="AB184">
        <v>19.07</v>
      </c>
      <c r="AC184" t="s">
        <v>575</v>
      </c>
      <c r="AD184" t="s">
        <v>1345</v>
      </c>
      <c r="AE184">
        <v>0.01</v>
      </c>
      <c r="AF184">
        <v>0</v>
      </c>
      <c r="AG184" s="243">
        <v>45623</v>
      </c>
      <c r="AH184">
        <v>0</v>
      </c>
      <c r="AI184" t="s">
        <v>520</v>
      </c>
      <c r="AJ184" t="s">
        <v>563</v>
      </c>
      <c r="AK184" t="s">
        <v>1288</v>
      </c>
      <c r="AL184">
        <v>5.79</v>
      </c>
      <c r="AM184" t="s">
        <v>520</v>
      </c>
      <c r="AN184" s="243">
        <v>172892.23</v>
      </c>
      <c r="AO184">
        <v>359000</v>
      </c>
      <c r="AP184">
        <v>48.16</v>
      </c>
      <c r="AQ184" t="s">
        <v>569</v>
      </c>
      <c r="AR184" t="s">
        <v>1296</v>
      </c>
      <c r="AS184">
        <v>0</v>
      </c>
      <c r="AT184">
        <v>0</v>
      </c>
      <c r="AU184" s="243">
        <v>20942729.079999998</v>
      </c>
      <c r="AV184">
        <v>30920000</v>
      </c>
      <c r="AW184">
        <v>67.73</v>
      </c>
      <c r="AX184" t="s">
        <v>596</v>
      </c>
      <c r="AY184" t="s">
        <v>1315</v>
      </c>
      <c r="AZ184">
        <v>32.950000000000003</v>
      </c>
      <c r="BA184">
        <v>22.32</v>
      </c>
      <c r="BB184" s="243">
        <v>3418507.85</v>
      </c>
      <c r="BC184">
        <v>0</v>
      </c>
      <c r="BD184" t="s">
        <v>520</v>
      </c>
      <c r="BE184" t="s">
        <v>563</v>
      </c>
      <c r="BF184" t="s">
        <v>1288</v>
      </c>
      <c r="BG184">
        <v>4.5</v>
      </c>
      <c r="BH184" t="s">
        <v>520</v>
      </c>
    </row>
    <row r="185" spans="1:60">
      <c r="A185">
        <v>888</v>
      </c>
      <c r="B185" t="s">
        <v>209</v>
      </c>
      <c r="C185" t="s">
        <v>526</v>
      </c>
      <c r="D185" t="s">
        <v>0</v>
      </c>
      <c r="E185" s="243">
        <v>4430286.04</v>
      </c>
      <c r="F185">
        <v>4340000</v>
      </c>
      <c r="G185">
        <v>102.08</v>
      </c>
      <c r="H185" t="s">
        <v>771</v>
      </c>
      <c r="I185" t="s">
        <v>1404</v>
      </c>
      <c r="J185">
        <v>28.43</v>
      </c>
      <c r="K185">
        <v>29.02</v>
      </c>
      <c r="L185" s="243">
        <v>5048465</v>
      </c>
      <c r="M185">
        <v>7920000</v>
      </c>
      <c r="N185">
        <v>63.74</v>
      </c>
      <c r="O185" t="s">
        <v>757</v>
      </c>
      <c r="P185" t="s">
        <v>1407</v>
      </c>
      <c r="Q185">
        <v>62.48</v>
      </c>
      <c r="R185">
        <v>39.82</v>
      </c>
      <c r="S185" s="243">
        <v>641303</v>
      </c>
      <c r="T185">
        <v>882000</v>
      </c>
      <c r="U185">
        <v>72.709999999999994</v>
      </c>
      <c r="V185" t="s">
        <v>764</v>
      </c>
      <c r="W185" t="s">
        <v>1433</v>
      </c>
      <c r="X185">
        <v>8.31</v>
      </c>
      <c r="Y185">
        <v>6.04</v>
      </c>
      <c r="Z185" s="243">
        <v>502885</v>
      </c>
      <c r="AA185">
        <v>982000</v>
      </c>
      <c r="AB185">
        <v>51.21</v>
      </c>
      <c r="AC185" t="s">
        <v>701</v>
      </c>
      <c r="AD185" t="s">
        <v>1414</v>
      </c>
      <c r="AE185">
        <v>0.02</v>
      </c>
      <c r="AF185">
        <v>0.01</v>
      </c>
      <c r="AG185" s="243">
        <v>28696</v>
      </c>
      <c r="AH185">
        <v>0</v>
      </c>
      <c r="AI185" t="s">
        <v>520</v>
      </c>
      <c r="AJ185" t="s">
        <v>668</v>
      </c>
      <c r="AK185" t="s">
        <v>1288</v>
      </c>
      <c r="AL185">
        <v>27.88</v>
      </c>
      <c r="AM185" t="s">
        <v>520</v>
      </c>
      <c r="AN185" s="243">
        <v>565701.53</v>
      </c>
      <c r="AO185">
        <v>166000</v>
      </c>
      <c r="AP185">
        <v>340.78</v>
      </c>
      <c r="AQ185" t="s">
        <v>712</v>
      </c>
      <c r="AR185" t="s">
        <v>1323</v>
      </c>
      <c r="AS185">
        <v>29.02</v>
      </c>
      <c r="AT185">
        <v>98.9</v>
      </c>
      <c r="AU185" s="243">
        <v>11217336.57</v>
      </c>
      <c r="AV185">
        <v>14290000</v>
      </c>
      <c r="AW185">
        <v>78.5</v>
      </c>
      <c r="AX185" t="s">
        <v>745</v>
      </c>
      <c r="AY185" t="s">
        <v>1372</v>
      </c>
      <c r="AZ185">
        <v>41.36</v>
      </c>
      <c r="BA185">
        <v>32.47</v>
      </c>
      <c r="BB185" s="243">
        <v>2331581.04</v>
      </c>
      <c r="BC185">
        <v>0</v>
      </c>
      <c r="BD185" t="s">
        <v>520</v>
      </c>
      <c r="BE185" t="s">
        <v>668</v>
      </c>
      <c r="BF185" t="s">
        <v>1288</v>
      </c>
      <c r="BG185">
        <v>22.81</v>
      </c>
      <c r="BH185" t="s">
        <v>520</v>
      </c>
    </row>
    <row r="188" spans="1:60">
      <c r="A188">
        <v>760</v>
      </c>
      <c r="B188" t="s">
        <v>64</v>
      </c>
      <c r="C188" t="s">
        <v>524</v>
      </c>
      <c r="D188" t="s">
        <v>48</v>
      </c>
      <c r="E188" s="243">
        <v>5637606.4900000002</v>
      </c>
      <c r="F188">
        <v>12440000</v>
      </c>
      <c r="G188">
        <v>45.32</v>
      </c>
      <c r="H188" t="s">
        <v>586</v>
      </c>
      <c r="I188" t="s">
        <v>1285</v>
      </c>
      <c r="J188">
        <v>32.19</v>
      </c>
      <c r="K188">
        <v>14.59</v>
      </c>
      <c r="L188" s="243">
        <v>23699642</v>
      </c>
      <c r="M188">
        <v>22710000</v>
      </c>
      <c r="N188">
        <v>104.36</v>
      </c>
      <c r="O188" t="s">
        <v>577</v>
      </c>
      <c r="P188" t="s">
        <v>1430</v>
      </c>
      <c r="Q188">
        <v>60.31</v>
      </c>
      <c r="R188">
        <v>62.93</v>
      </c>
      <c r="S188" s="243">
        <v>211781</v>
      </c>
      <c r="T188">
        <v>2937000</v>
      </c>
      <c r="U188">
        <v>7.21</v>
      </c>
      <c r="V188" t="s">
        <v>585</v>
      </c>
      <c r="W188" t="s">
        <v>1399</v>
      </c>
      <c r="X188">
        <v>12.4</v>
      </c>
      <c r="Y188">
        <v>0.89</v>
      </c>
      <c r="Z188" s="243">
        <v>7161</v>
      </c>
      <c r="AA188">
        <v>2397000</v>
      </c>
      <c r="AB188">
        <v>0.3</v>
      </c>
      <c r="AC188" t="s">
        <v>581</v>
      </c>
      <c r="AD188" t="s">
        <v>1346</v>
      </c>
      <c r="AE188">
        <v>1.01</v>
      </c>
      <c r="AF188">
        <v>0</v>
      </c>
      <c r="AG188" s="243">
        <v>288923</v>
      </c>
      <c r="AH188">
        <v>0</v>
      </c>
      <c r="AI188" t="s">
        <v>520</v>
      </c>
      <c r="AJ188" t="s">
        <v>563</v>
      </c>
      <c r="AK188" t="s">
        <v>1288</v>
      </c>
      <c r="AL188">
        <v>0.76</v>
      </c>
      <c r="AM188" t="s">
        <v>520</v>
      </c>
      <c r="AN188" s="243">
        <v>19936.53</v>
      </c>
      <c r="AO188">
        <v>476000</v>
      </c>
      <c r="AP188">
        <v>4.1900000000000004</v>
      </c>
      <c r="AQ188" t="s">
        <v>578</v>
      </c>
      <c r="AR188" t="s">
        <v>1392</v>
      </c>
      <c r="AS188">
        <v>79.05</v>
      </c>
      <c r="AT188">
        <v>3.31</v>
      </c>
      <c r="AU188" s="243">
        <v>29865050.02</v>
      </c>
      <c r="AV188">
        <v>40960000</v>
      </c>
      <c r="AW188">
        <v>72.91</v>
      </c>
      <c r="AX188" t="s">
        <v>590</v>
      </c>
      <c r="AY188" t="s">
        <v>1411</v>
      </c>
      <c r="AZ188">
        <v>54.08</v>
      </c>
      <c r="BA188">
        <v>39.43</v>
      </c>
      <c r="BB188" s="243">
        <v>2150137.4900000002</v>
      </c>
      <c r="BC188">
        <v>0</v>
      </c>
      <c r="BD188" t="s">
        <v>520</v>
      </c>
      <c r="BE188" t="s">
        <v>563</v>
      </c>
      <c r="BF188" t="s">
        <v>1288</v>
      </c>
      <c r="BG188">
        <v>18.809999999999999</v>
      </c>
      <c r="BH188" t="s">
        <v>520</v>
      </c>
    </row>
    <row r="189" spans="1:60">
      <c r="A189">
        <v>765</v>
      </c>
      <c r="B189" t="s">
        <v>65</v>
      </c>
      <c r="C189" t="s">
        <v>527</v>
      </c>
      <c r="D189" t="s">
        <v>48</v>
      </c>
      <c r="E189" s="243">
        <v>8780378.4199999999</v>
      </c>
      <c r="F189">
        <v>9490000</v>
      </c>
      <c r="G189">
        <v>92.52</v>
      </c>
      <c r="H189" t="s">
        <v>573</v>
      </c>
      <c r="I189" t="s">
        <v>1286</v>
      </c>
      <c r="J189">
        <v>42.35</v>
      </c>
      <c r="K189">
        <v>39.18</v>
      </c>
      <c r="L189" s="243">
        <v>24748828</v>
      </c>
      <c r="M189">
        <v>17330000</v>
      </c>
      <c r="N189">
        <v>142.81</v>
      </c>
      <c r="O189" t="s">
        <v>567</v>
      </c>
      <c r="P189" t="s">
        <v>1375</v>
      </c>
      <c r="Q189">
        <v>63.41</v>
      </c>
      <c r="R189">
        <v>90.55</v>
      </c>
      <c r="S189" s="243">
        <v>94045</v>
      </c>
      <c r="T189">
        <v>2061000</v>
      </c>
      <c r="U189">
        <v>4.5599999999999996</v>
      </c>
      <c r="V189" t="s">
        <v>581</v>
      </c>
      <c r="W189" t="s">
        <v>1346</v>
      </c>
      <c r="X189">
        <v>0.55000000000000004</v>
      </c>
      <c r="Y189">
        <v>0.02</v>
      </c>
      <c r="Z189" s="243">
        <v>8157</v>
      </c>
      <c r="AA189">
        <v>2016000</v>
      </c>
      <c r="AB189">
        <v>0.4</v>
      </c>
      <c r="AC189" t="s">
        <v>590</v>
      </c>
      <c r="AD189" t="s">
        <v>1285</v>
      </c>
      <c r="AE189">
        <v>0.11</v>
      </c>
      <c r="AF189">
        <v>0</v>
      </c>
      <c r="AG189" s="243">
        <v>20346</v>
      </c>
      <c r="AH189">
        <v>0</v>
      </c>
      <c r="AI189" t="s">
        <v>520</v>
      </c>
      <c r="AJ189" t="s">
        <v>563</v>
      </c>
      <c r="AK189" t="s">
        <v>1288</v>
      </c>
      <c r="AL189">
        <v>35.659999999999997</v>
      </c>
      <c r="AM189" t="s">
        <v>520</v>
      </c>
      <c r="AN189" s="243">
        <v>0</v>
      </c>
      <c r="AO189">
        <v>363000</v>
      </c>
      <c r="AP189">
        <v>0</v>
      </c>
      <c r="AQ189" t="s">
        <v>581</v>
      </c>
      <c r="AR189" t="s">
        <v>1468</v>
      </c>
      <c r="AS189">
        <v>0</v>
      </c>
      <c r="AT189">
        <v>0</v>
      </c>
      <c r="AU189" s="243">
        <v>33651754.420000002</v>
      </c>
      <c r="AV189">
        <v>31260000</v>
      </c>
      <c r="AW189">
        <v>107.65</v>
      </c>
      <c r="AX189" t="s">
        <v>584</v>
      </c>
      <c r="AY189" t="s">
        <v>1386</v>
      </c>
      <c r="AZ189">
        <v>57.71</v>
      </c>
      <c r="BA189">
        <v>62.12</v>
      </c>
      <c r="BB189" s="243">
        <v>2314615.42</v>
      </c>
      <c r="BC189">
        <v>0</v>
      </c>
      <c r="BD189" t="s">
        <v>520</v>
      </c>
      <c r="BE189" t="s">
        <v>563</v>
      </c>
      <c r="BF189" t="s">
        <v>1288</v>
      </c>
      <c r="BG189">
        <v>20.86</v>
      </c>
      <c r="BH189" t="s">
        <v>520</v>
      </c>
    </row>
    <row r="192" spans="1:60">
      <c r="A192">
        <v>802</v>
      </c>
      <c r="B192" t="s">
        <v>68</v>
      </c>
      <c r="C192" t="s">
        <v>527</v>
      </c>
      <c r="D192" t="s">
        <v>48</v>
      </c>
      <c r="E192" s="243">
        <v>11006400.16</v>
      </c>
      <c r="F192">
        <v>15200000</v>
      </c>
      <c r="G192">
        <v>72.41</v>
      </c>
      <c r="H192" t="s">
        <v>560</v>
      </c>
      <c r="I192" t="s">
        <v>1306</v>
      </c>
      <c r="J192">
        <v>24.33</v>
      </c>
      <c r="K192">
        <v>17.62</v>
      </c>
      <c r="L192" s="243">
        <v>35886608</v>
      </c>
      <c r="M192">
        <v>27740000</v>
      </c>
      <c r="N192">
        <v>129.37</v>
      </c>
      <c r="O192" t="s">
        <v>566</v>
      </c>
      <c r="P192" t="s">
        <v>1324</v>
      </c>
      <c r="Q192">
        <v>49.77</v>
      </c>
      <c r="R192">
        <v>64.38</v>
      </c>
      <c r="S192" s="243">
        <v>1362476</v>
      </c>
      <c r="T192">
        <v>4004000</v>
      </c>
      <c r="U192">
        <v>34.03</v>
      </c>
      <c r="V192" t="s">
        <v>569</v>
      </c>
      <c r="W192" t="s">
        <v>1430</v>
      </c>
      <c r="X192">
        <v>28.4</v>
      </c>
      <c r="Y192">
        <v>9.66</v>
      </c>
      <c r="Z192" s="243">
        <v>55961</v>
      </c>
      <c r="AA192">
        <v>2524000</v>
      </c>
      <c r="AB192">
        <v>2.2200000000000002</v>
      </c>
      <c r="AC192" t="s">
        <v>597</v>
      </c>
      <c r="AD192" t="s">
        <v>1371</v>
      </c>
      <c r="AE192">
        <v>7.69</v>
      </c>
      <c r="AF192">
        <v>0.17</v>
      </c>
      <c r="AG192" s="243">
        <v>17469</v>
      </c>
      <c r="AH192">
        <v>0</v>
      </c>
      <c r="AI192" t="s">
        <v>520</v>
      </c>
      <c r="AJ192" t="s">
        <v>563</v>
      </c>
      <c r="AK192" t="s">
        <v>1288</v>
      </c>
      <c r="AL192">
        <v>42.05</v>
      </c>
      <c r="AM192" t="s">
        <v>520</v>
      </c>
      <c r="AN192" s="243">
        <v>51866.84</v>
      </c>
      <c r="AO192">
        <v>582000</v>
      </c>
      <c r="AP192">
        <v>8.91</v>
      </c>
      <c r="AQ192" t="s">
        <v>562</v>
      </c>
      <c r="AR192" t="s">
        <v>1420</v>
      </c>
      <c r="AS192">
        <v>98.1</v>
      </c>
      <c r="AT192">
        <v>8.74</v>
      </c>
      <c r="AU192" s="243">
        <v>48380781</v>
      </c>
      <c r="AV192">
        <v>50050000</v>
      </c>
      <c r="AW192">
        <v>96.66</v>
      </c>
      <c r="AX192" t="s">
        <v>570</v>
      </c>
      <c r="AY192" t="s">
        <v>1297</v>
      </c>
      <c r="AZ192">
        <v>43.38</v>
      </c>
      <c r="BA192">
        <v>41.93</v>
      </c>
      <c r="BB192" s="243">
        <v>3549415.16</v>
      </c>
      <c r="BC192">
        <v>0</v>
      </c>
      <c r="BD192" t="s">
        <v>520</v>
      </c>
      <c r="BE192" t="s">
        <v>563</v>
      </c>
      <c r="BF192" t="s">
        <v>1288</v>
      </c>
      <c r="BG192">
        <v>13.05</v>
      </c>
      <c r="BH192" t="s">
        <v>520</v>
      </c>
    </row>
    <row r="193" spans="1:60">
      <c r="A193">
        <v>813</v>
      </c>
      <c r="B193" t="s">
        <v>69</v>
      </c>
      <c r="C193" t="s">
        <v>527</v>
      </c>
      <c r="D193" t="s">
        <v>48</v>
      </c>
      <c r="E193" s="243">
        <v>4648744.28</v>
      </c>
      <c r="F193">
        <v>11160000</v>
      </c>
      <c r="G193">
        <v>41.66</v>
      </c>
      <c r="H193" t="s">
        <v>581</v>
      </c>
      <c r="I193" t="s">
        <v>1346</v>
      </c>
      <c r="J193">
        <v>20.260000000000002</v>
      </c>
      <c r="K193">
        <v>8.44</v>
      </c>
      <c r="L193" s="243">
        <v>22074583</v>
      </c>
      <c r="M193">
        <v>20370000</v>
      </c>
      <c r="N193">
        <v>108.37</v>
      </c>
      <c r="O193" t="s">
        <v>560</v>
      </c>
      <c r="P193" t="s">
        <v>1426</v>
      </c>
      <c r="Q193">
        <v>98.25</v>
      </c>
      <c r="R193">
        <v>106.48</v>
      </c>
      <c r="S193" s="243">
        <v>5362467</v>
      </c>
      <c r="T193">
        <v>2831000</v>
      </c>
      <c r="U193">
        <v>189.42</v>
      </c>
      <c r="V193" t="s">
        <v>563</v>
      </c>
      <c r="W193" t="s">
        <v>1310</v>
      </c>
      <c r="X193">
        <v>87.57</v>
      </c>
      <c r="Y193">
        <v>165.88</v>
      </c>
      <c r="Z193" s="243">
        <v>146048</v>
      </c>
      <c r="AA193">
        <v>1952000</v>
      </c>
      <c r="AB193">
        <v>7.48</v>
      </c>
      <c r="AC193" t="s">
        <v>569</v>
      </c>
      <c r="AD193" t="s">
        <v>1382</v>
      </c>
      <c r="AE193">
        <v>0.04</v>
      </c>
      <c r="AF193">
        <v>0</v>
      </c>
      <c r="AG193" s="243">
        <v>18104</v>
      </c>
      <c r="AH193">
        <v>0</v>
      </c>
      <c r="AI193" t="s">
        <v>520</v>
      </c>
      <c r="AJ193" t="s">
        <v>563</v>
      </c>
      <c r="AK193" t="s">
        <v>1288</v>
      </c>
      <c r="AL193">
        <v>9.85</v>
      </c>
      <c r="AM193" t="s">
        <v>520</v>
      </c>
      <c r="AN193" s="243">
        <v>44071.32</v>
      </c>
      <c r="AO193">
        <v>427000</v>
      </c>
      <c r="AP193">
        <v>10.32</v>
      </c>
      <c r="AQ193" t="s">
        <v>568</v>
      </c>
      <c r="AR193" t="s">
        <v>1333</v>
      </c>
      <c r="AS193">
        <v>10.69</v>
      </c>
      <c r="AT193">
        <v>1.1000000000000001</v>
      </c>
      <c r="AU193" s="243">
        <v>32294017.600000001</v>
      </c>
      <c r="AV193">
        <v>36740000</v>
      </c>
      <c r="AW193">
        <v>87.9</v>
      </c>
      <c r="AX193" t="s">
        <v>595</v>
      </c>
      <c r="AY193" t="s">
        <v>1384</v>
      </c>
      <c r="AZ193">
        <v>84.64</v>
      </c>
      <c r="BA193">
        <v>74.400000000000006</v>
      </c>
      <c r="BB193" s="243">
        <v>1719109.28</v>
      </c>
      <c r="BC193">
        <v>0</v>
      </c>
      <c r="BD193" t="s">
        <v>520</v>
      </c>
      <c r="BE193" t="s">
        <v>563</v>
      </c>
      <c r="BF193" t="s">
        <v>1288</v>
      </c>
      <c r="BG193">
        <v>5.44</v>
      </c>
      <c r="BH193" t="s">
        <v>520</v>
      </c>
    </row>
  </sheetData>
  <phoneticPr fontId="1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568B-234A-4047-AC54-8C348CF95BF1}">
  <sheetPr>
    <pageSetUpPr fitToPage="1"/>
  </sheetPr>
  <dimension ref="A1:AF192"/>
  <sheetViews>
    <sheetView view="pageBreakPreview" zoomScale="85" zoomScaleNormal="85" zoomScaleSheetLayoutView="85" workbookViewId="0">
      <pane ySplit="2" topLeftCell="A108" activePane="bottomLeft" state="frozen"/>
      <selection activeCell="F9" sqref="F9"/>
      <selection pane="bottomLeft" activeCell="F122" sqref="F122"/>
    </sheetView>
  </sheetViews>
  <sheetFormatPr defaultRowHeight="16.5"/>
  <cols>
    <col min="1" max="1" width="9.25" style="399" bestFit="1" customWidth="1"/>
    <col min="2" max="2" width="14.5" style="399" bestFit="1" customWidth="1"/>
    <col min="3" max="4" width="9" style="399"/>
    <col min="5" max="6" width="17.5" style="423" customWidth="1"/>
    <col min="7" max="7" width="12.625" style="426" customWidth="1"/>
    <col min="8" max="9" width="18.75" style="400" bestFit="1" customWidth="1"/>
    <col min="10" max="10" width="13.375" style="404" customWidth="1"/>
    <col min="11" max="11" width="11.125" style="404" customWidth="1"/>
    <col min="12" max="13" width="12.75" style="404" customWidth="1"/>
    <col min="14" max="19" width="18.25" style="404" customWidth="1"/>
    <col min="20" max="20" width="17.375" style="404" customWidth="1"/>
    <col min="21" max="23" width="18.25" style="404" customWidth="1"/>
    <col min="24" max="24" width="19.375" style="404" customWidth="1"/>
    <col min="25" max="25" width="18.25" style="404" customWidth="1"/>
    <col min="26" max="26" width="16.5" style="404" customWidth="1"/>
    <col min="27" max="27" width="17.125" style="404" customWidth="1"/>
    <col min="28" max="28" width="19.625" style="404" customWidth="1"/>
    <col min="29" max="29" width="19.625" style="413" customWidth="1"/>
    <col min="30" max="30" width="19.625" style="401" customWidth="1"/>
    <col min="31" max="31" width="19.625" style="413" customWidth="1"/>
    <col min="32" max="32" width="19.625" style="401" customWidth="1"/>
    <col min="33" max="33" width="9" style="404" customWidth="1"/>
    <col min="34" max="16384" width="9" style="404"/>
  </cols>
  <sheetData>
    <row r="1" spans="1:32">
      <c r="A1" s="398" t="s">
        <v>1897</v>
      </c>
      <c r="E1" s="423">
        <f>SUM(E3:E185)</f>
        <v>9842349930.8499947</v>
      </c>
      <c r="F1" s="423">
        <f>SUM(F3:F185)</f>
        <v>9291037000</v>
      </c>
      <c r="G1" s="424">
        <f>E1/F1</f>
        <v>1.0593381482443773</v>
      </c>
      <c r="H1" s="400">
        <f>SUM(H3:H185)</f>
        <v>12485599369</v>
      </c>
      <c r="I1" s="400">
        <f>SUM(I3:I185)</f>
        <v>11785380000</v>
      </c>
      <c r="J1" s="401">
        <f>H1/I1</f>
        <v>1.0594142377250457</v>
      </c>
      <c r="K1" s="401"/>
      <c r="L1" s="401"/>
      <c r="M1" s="401"/>
      <c r="N1" s="402">
        <f>SUM(N3:N185)</f>
        <v>13610270000</v>
      </c>
      <c r="O1" s="403">
        <f>SUM(O3:O185)</f>
        <v>1.0000040000000003</v>
      </c>
      <c r="P1" s="402"/>
      <c r="Q1" s="402">
        <f t="shared" ref="Q1:W1" si="0">SUM(Q3:Q185)</f>
        <v>13418960000</v>
      </c>
      <c r="R1" s="402">
        <f t="shared" si="0"/>
        <v>-191310000</v>
      </c>
      <c r="S1" s="402">
        <f t="shared" si="0"/>
        <v>9789570000</v>
      </c>
      <c r="T1" s="403">
        <f t="shared" si="0"/>
        <v>1.0000090000000001</v>
      </c>
      <c r="U1" s="402">
        <f t="shared" si="0"/>
        <v>191340000</v>
      </c>
      <c r="V1" s="402">
        <f t="shared" si="0"/>
        <v>30000</v>
      </c>
      <c r="W1" s="402">
        <f t="shared" si="0"/>
        <v>13610300000</v>
      </c>
      <c r="X1" s="401">
        <f>H1/W1</f>
        <v>0.91736400880215718</v>
      </c>
      <c r="Y1" s="402"/>
      <c r="AB1" s="402">
        <f>SUM(AB3:AB185)</f>
        <v>13593150000</v>
      </c>
      <c r="AC1" s="402"/>
      <c r="AD1" s="405"/>
      <c r="AE1" s="402"/>
      <c r="AF1" s="405"/>
    </row>
    <row r="2" spans="1:32" s="406" customFormat="1" ht="63" customHeight="1">
      <c r="A2" s="406" t="s">
        <v>427</v>
      </c>
      <c r="B2" s="406" t="s">
        <v>428</v>
      </c>
      <c r="C2" s="406" t="s">
        <v>473</v>
      </c>
      <c r="D2" s="406" t="s">
        <v>474</v>
      </c>
      <c r="E2" s="425" t="s">
        <v>1898</v>
      </c>
      <c r="F2" s="425" t="s">
        <v>1899</v>
      </c>
      <c r="G2" s="425" t="s">
        <v>1900</v>
      </c>
      <c r="H2" s="407" t="s">
        <v>1901</v>
      </c>
      <c r="I2" s="407" t="s">
        <v>1902</v>
      </c>
      <c r="J2" s="407" t="s">
        <v>1903</v>
      </c>
      <c r="K2" s="407" t="s">
        <v>1904</v>
      </c>
      <c r="L2" s="408" t="s">
        <v>1905</v>
      </c>
      <c r="M2" s="408" t="s">
        <v>1906</v>
      </c>
      <c r="N2" s="409" t="s">
        <v>1907</v>
      </c>
      <c r="O2" s="409" t="s">
        <v>1908</v>
      </c>
      <c r="P2" s="410" t="s">
        <v>1909</v>
      </c>
      <c r="Q2" s="409" t="s">
        <v>1910</v>
      </c>
      <c r="R2" s="409" t="s">
        <v>1911</v>
      </c>
      <c r="S2" s="409" t="s">
        <v>1912</v>
      </c>
      <c r="T2" s="409" t="s">
        <v>1913</v>
      </c>
      <c r="U2" s="409" t="s">
        <v>1914</v>
      </c>
      <c r="V2" s="409" t="s">
        <v>1915</v>
      </c>
      <c r="W2" s="409" t="s">
        <v>1916</v>
      </c>
      <c r="X2" s="409" t="s">
        <v>1917</v>
      </c>
      <c r="Y2" s="406" t="s">
        <v>1918</v>
      </c>
      <c r="Z2" s="408" t="s">
        <v>1919</v>
      </c>
      <c r="AA2" s="408" t="s">
        <v>1920</v>
      </c>
      <c r="AB2" s="408" t="s">
        <v>1921</v>
      </c>
      <c r="AC2" s="410" t="s">
        <v>1922</v>
      </c>
      <c r="AD2" s="411" t="s">
        <v>1923</v>
      </c>
      <c r="AE2" s="410" t="s">
        <v>1924</v>
      </c>
      <c r="AF2" s="411" t="s">
        <v>1925</v>
      </c>
    </row>
    <row r="3" spans="1:32">
      <c r="A3" s="399">
        <v>100</v>
      </c>
      <c r="B3" s="399" t="s">
        <v>131</v>
      </c>
      <c r="C3" s="399" t="s">
        <v>519</v>
      </c>
      <c r="D3" s="399" t="s">
        <v>0</v>
      </c>
      <c r="E3" s="423">
        <v>119635333.92</v>
      </c>
      <c r="F3" s="423">
        <v>81845000</v>
      </c>
      <c r="G3" s="424">
        <f>E3/F3</f>
        <v>1.4617305140204044</v>
      </c>
      <c r="H3" s="400">
        <f>ROUND(G3*I3, 0)</f>
        <v>151815331</v>
      </c>
      <c r="I3" s="400">
        <v>103860000</v>
      </c>
      <c r="J3" s="401">
        <f>H3/I3</f>
        <v>1.4617305122279993</v>
      </c>
      <c r="K3" s="412" t="str">
        <f>IF(J3&gt;=2, "TYPE_1", IF(J3&gt;=1.5, "TYPE_2", IF(J3&gt;=1.3, "TYPE_3", IF(J3&gt;=1.2, "TYPE_4", IF(J3 &gt;=1.1, "TYPE_5", IF(J3 &gt;=1, "TYPE_6", IF(J3&gt;=0.9, "TYPE_7", IF(J3&gt;= 0.75, "TYPE_8", "TYPE_9"))))))))</f>
        <v>TYPE_3</v>
      </c>
      <c r="L3" s="401">
        <f>VLOOKUP(J3,[11]原始參數_115!E:F,2,1)</f>
        <v>0.9</v>
      </c>
      <c r="M3" s="401">
        <f>VLOOKUP(J3,[11]原始參數_115!E:G,3,1)</f>
        <v>1</v>
      </c>
      <c r="N3" s="413">
        <f>IF(L3&lt;&gt;1,ROUND(H3*L3,-4),ROUND(I3*M3,-4))</f>
        <v>136630000</v>
      </c>
      <c r="O3" s="403">
        <f>ROUND(N3/$N$1, 6)</f>
        <v>1.0038999999999999E-2</v>
      </c>
      <c r="P3" s="401">
        <f>IF(J3&gt;=1.2, 1.2,1)</f>
        <v>1.2</v>
      </c>
      <c r="Q3" s="413">
        <f>IF(J3&gt;=1.2, ROUND(I3*P3, -4), N3)</f>
        <v>124630000</v>
      </c>
      <c r="R3" s="413">
        <f>Q3-N3</f>
        <v>-12000000</v>
      </c>
      <c r="S3" s="413">
        <f>IF(P3 = 1.2, 0, Q3)</f>
        <v>0</v>
      </c>
      <c r="T3" s="403">
        <f>ROUND(S3/$S$1, 6)</f>
        <v>0</v>
      </c>
      <c r="U3" s="413">
        <f>ROUND($R$1*T3, -4)*(-1)</f>
        <v>0</v>
      </c>
      <c r="V3" s="413">
        <f>R3+U3</f>
        <v>-12000000</v>
      </c>
      <c r="W3" s="413">
        <f>Q3+U3</f>
        <v>124630000</v>
      </c>
      <c r="X3" s="401">
        <f>H3/W3</f>
        <v>1.2181283077910616</v>
      </c>
      <c r="Y3" s="412" t="str">
        <f>IF(X3&gt;=2, "TYPE_1", IF(X3&gt;=1.5, "TYPE_2", IF(X3&gt;=1.3, "TYPE_3", IF(X3&gt;=1.2, "TYPE_4", IF(X3 &gt;=1.1, "TYPE_5", IF(X3 &gt;=1, "TYPE_6", IF(X3&gt;=0.9, "TYPE_7", IF(X3&gt;= 0.75, "TYPE_8", "TYPE_9"))))))))</f>
        <v>TYPE_4</v>
      </c>
      <c r="Z3" s="399" t="str">
        <f>IF(J3&gt;=1.35, "TYPE_1", IF(J3&gt;= 1, "TYPE_2", IF(J3&gt;=0.75, "TYPE_3", "TYPE_4")))</f>
        <v>TYPE_1</v>
      </c>
      <c r="AA3" s="414">
        <f>VLOOKUP(Z3,[11]調整參數1_116!A:J,10,0)</f>
        <v>0.9</v>
      </c>
      <c r="AB3" s="415">
        <f>ROUND(H3*AA3, -4)</f>
        <v>136630000</v>
      </c>
      <c r="AC3" s="413">
        <f>AB3-I3</f>
        <v>32770000</v>
      </c>
      <c r="AD3" s="401">
        <f>AC3/I3</f>
        <v>0.31552089351049489</v>
      </c>
      <c r="AE3" s="413">
        <f>AB3-H3</f>
        <v>-15185331</v>
      </c>
      <c r="AF3" s="401">
        <f>AE3/H3</f>
        <v>-0.10002501657754183</v>
      </c>
    </row>
    <row r="4" spans="1:32">
      <c r="A4" s="399">
        <v>101</v>
      </c>
      <c r="B4" s="399" t="s">
        <v>132</v>
      </c>
      <c r="C4" s="399" t="s">
        <v>521</v>
      </c>
      <c r="D4" s="399" t="s">
        <v>0</v>
      </c>
      <c r="E4" s="423">
        <v>19504885.66</v>
      </c>
      <c r="F4" s="423">
        <v>28368000</v>
      </c>
      <c r="G4" s="424">
        <f t="shared" ref="G4:G67" si="1">E4/F4</f>
        <v>0.68756647137619853</v>
      </c>
      <c r="H4" s="400">
        <f t="shared" ref="H4:H67" si="2">ROUND(G4*I4, 0)</f>
        <v>24773020</v>
      </c>
      <c r="I4" s="400">
        <v>36030000</v>
      </c>
      <c r="J4" s="401">
        <f t="shared" ref="J4:J67" si="3">H4/I4</f>
        <v>0.68756647238412438</v>
      </c>
      <c r="K4" s="412" t="str">
        <f t="shared" ref="K4:K67" si="4">IF(J4&gt;=2, "TYPE_1", IF(J4&gt;=1.5, "TYPE_2", IF(J4&gt;=1.3, "TYPE_3", IF(J4&gt;=1.2, "TYPE_4", IF(J4 &gt;=1.1, "TYPE_5", IF(J4 &gt;=1, "TYPE_6", IF(J4&gt;=0.9, "TYPE_7", IF(J4&gt;= 0.75, "TYPE_8", "TYPE_9"))))))))</f>
        <v>TYPE_9</v>
      </c>
      <c r="L4" s="401">
        <f>VLOOKUP(J4,[11]原始參數_115!E:F,2,1)</f>
        <v>1</v>
      </c>
      <c r="M4" s="401">
        <f>VLOOKUP(J4,[11]原始參數_115!E:G,3,1)</f>
        <v>1.1499999999999999</v>
      </c>
      <c r="N4" s="413">
        <f t="shared" ref="N4:N67" si="5">IF(L4&lt;&gt;1,ROUND(H4*L4,-4),ROUND(I4*M4,-4))</f>
        <v>41430000</v>
      </c>
      <c r="O4" s="403">
        <f t="shared" ref="O4:O67" si="6">ROUND(N4/$N$1, 6)</f>
        <v>3.0439999999999998E-3</v>
      </c>
      <c r="P4" s="401">
        <f t="shared" ref="P4:P67" si="7">IF(J4&gt;=1.2, 1.2,1)</f>
        <v>1</v>
      </c>
      <c r="Q4" s="413">
        <f t="shared" ref="Q4:Q67" si="8">IF(J4&gt;=1.2, ROUND(I4*P4, -4), N4)</f>
        <v>41430000</v>
      </c>
      <c r="R4" s="413">
        <f t="shared" ref="R4:R67" si="9">Q4-N4</f>
        <v>0</v>
      </c>
      <c r="S4" s="413">
        <f t="shared" ref="S4:S67" si="10">IF(P4 = 1.2, 0, Q4)</f>
        <v>41430000</v>
      </c>
      <c r="T4" s="403">
        <f t="shared" ref="T4:T67" si="11">ROUND(S4/$S$1, 6)</f>
        <v>4.2319999999999997E-3</v>
      </c>
      <c r="U4" s="413">
        <f t="shared" ref="U4:U67" si="12">ROUND($R$1*T4, -4)*(-1)</f>
        <v>810000</v>
      </c>
      <c r="V4" s="413">
        <f t="shared" ref="V4:V67" si="13">R4+U4</f>
        <v>810000</v>
      </c>
      <c r="W4" s="413">
        <f t="shared" ref="W4:W67" si="14">Q4+U4</f>
        <v>42240000</v>
      </c>
      <c r="X4" s="401">
        <f t="shared" ref="X4:X67" si="15">H4/W4</f>
        <v>0.58648248106060608</v>
      </c>
      <c r="Y4" s="412" t="str">
        <f t="shared" ref="Y4:Y67" si="16">IF(X4&gt;=2, "TYPE_1", IF(X4&gt;=1.5, "TYPE_2", IF(X4&gt;=1.3, "TYPE_3", IF(X4&gt;=1.2, "TYPE_4", IF(X4 &gt;=1.1, "TYPE_5", IF(X4 &gt;=1, "TYPE_6", IF(X4&gt;=0.9, "TYPE_7", IF(X4&gt;= 0.75, "TYPE_8", "TYPE_9"))))))))</f>
        <v>TYPE_9</v>
      </c>
      <c r="Z4" s="399" t="str">
        <f t="shared" ref="Z4:Z67" si="17">IF(J4&gt;=1.35, "TYPE_1", IF(J4&gt;= 1, "TYPE_2", IF(J4&gt;=0.75, "TYPE_3", "TYPE_4")))</f>
        <v>TYPE_4</v>
      </c>
      <c r="AA4" s="414">
        <f>VLOOKUP(Z4,[11]調整參數1_116!A:J,10,0)</f>
        <v>1.2</v>
      </c>
      <c r="AB4" s="415">
        <f t="shared" ref="AB4:AB67" si="18">ROUND(H4*AA4, -4)</f>
        <v>29730000</v>
      </c>
      <c r="AC4" s="413">
        <f t="shared" ref="AC4:AC67" si="19">AB4-I4</f>
        <v>-6300000</v>
      </c>
      <c r="AD4" s="401">
        <f t="shared" ref="AD4:AD67" si="20">AC4/I4</f>
        <v>-0.17485428809325562</v>
      </c>
      <c r="AE4" s="413">
        <f t="shared" ref="AE4:AE67" si="21">AB4-H4</f>
        <v>4956980</v>
      </c>
      <c r="AF4" s="401">
        <f t="shared" ref="AF4:AF67" si="22">AE4/H4</f>
        <v>0.2000959107932743</v>
      </c>
    </row>
    <row r="5" spans="1:32">
      <c r="A5" s="399">
        <v>103</v>
      </c>
      <c r="B5" s="399" t="s">
        <v>133</v>
      </c>
      <c r="C5" s="399" t="s">
        <v>521</v>
      </c>
      <c r="D5" s="399" t="s">
        <v>0</v>
      </c>
      <c r="E5" s="423">
        <v>33910629.829999998</v>
      </c>
      <c r="F5" s="423">
        <v>34848000</v>
      </c>
      <c r="G5" s="424">
        <f t="shared" si="1"/>
        <v>0.97310117739898983</v>
      </c>
      <c r="H5" s="400">
        <f t="shared" si="2"/>
        <v>43030534</v>
      </c>
      <c r="I5" s="400">
        <v>44220000</v>
      </c>
      <c r="J5" s="401">
        <f t="shared" si="3"/>
        <v>0.97310117593848933</v>
      </c>
      <c r="K5" s="412" t="str">
        <f t="shared" si="4"/>
        <v>TYPE_7</v>
      </c>
      <c r="L5" s="401">
        <f>VLOOKUP(J5,[11]原始參數_115!E:F,2,1)</f>
        <v>1</v>
      </c>
      <c r="M5" s="401">
        <f>VLOOKUP(J5,[11]原始參數_115!E:G,3,1)</f>
        <v>1.05</v>
      </c>
      <c r="N5" s="413">
        <f t="shared" si="5"/>
        <v>46430000</v>
      </c>
      <c r="O5" s="403">
        <f t="shared" si="6"/>
        <v>3.411E-3</v>
      </c>
      <c r="P5" s="401">
        <f t="shared" si="7"/>
        <v>1</v>
      </c>
      <c r="Q5" s="413">
        <f t="shared" si="8"/>
        <v>46430000</v>
      </c>
      <c r="R5" s="413">
        <f t="shared" si="9"/>
        <v>0</v>
      </c>
      <c r="S5" s="413">
        <f t="shared" si="10"/>
        <v>46430000</v>
      </c>
      <c r="T5" s="403">
        <f t="shared" si="11"/>
        <v>4.7429999999999998E-3</v>
      </c>
      <c r="U5" s="413">
        <f t="shared" si="12"/>
        <v>910000</v>
      </c>
      <c r="V5" s="413">
        <f t="shared" si="13"/>
        <v>910000</v>
      </c>
      <c r="W5" s="413">
        <f t="shared" si="14"/>
        <v>47340000</v>
      </c>
      <c r="X5" s="401">
        <f t="shared" si="15"/>
        <v>0.90896776510350652</v>
      </c>
      <c r="Y5" s="412" t="str">
        <f t="shared" si="16"/>
        <v>TYPE_7</v>
      </c>
      <c r="Z5" s="399" t="str">
        <f t="shared" si="17"/>
        <v>TYPE_3</v>
      </c>
      <c r="AA5" s="414">
        <f>VLOOKUP(Z5,[11]調整參數1_116!A:J,10,0)</f>
        <v>1.1499999999999999</v>
      </c>
      <c r="AB5" s="415">
        <f t="shared" si="18"/>
        <v>49490000</v>
      </c>
      <c r="AC5" s="413">
        <f t="shared" si="19"/>
        <v>5270000</v>
      </c>
      <c r="AD5" s="401">
        <f t="shared" si="20"/>
        <v>0.11917684305744007</v>
      </c>
      <c r="AE5" s="413">
        <f t="shared" si="21"/>
        <v>6459466</v>
      </c>
      <c r="AF5" s="401">
        <f t="shared" si="22"/>
        <v>0.15011354495391574</v>
      </c>
    </row>
    <row r="6" spans="1:32">
      <c r="A6" s="399">
        <v>104</v>
      </c>
      <c r="B6" s="399" t="s">
        <v>134</v>
      </c>
      <c r="C6" s="399" t="s">
        <v>522</v>
      </c>
      <c r="D6" s="399" t="s">
        <v>0</v>
      </c>
      <c r="E6" s="423">
        <v>79211139.870000005</v>
      </c>
      <c r="F6" s="423">
        <v>59599000</v>
      </c>
      <c r="G6" s="424">
        <f t="shared" si="1"/>
        <v>1.3290682707763555</v>
      </c>
      <c r="H6" s="400">
        <f t="shared" si="2"/>
        <v>100530724</v>
      </c>
      <c r="I6" s="400">
        <v>75640000</v>
      </c>
      <c r="J6" s="401">
        <f t="shared" si="3"/>
        <v>1.3290682707562136</v>
      </c>
      <c r="K6" s="412" t="str">
        <f t="shared" si="4"/>
        <v>TYPE_3</v>
      </c>
      <c r="L6" s="401">
        <f>VLOOKUP(J6,[11]原始參數_115!E:F,2,1)</f>
        <v>0.9</v>
      </c>
      <c r="M6" s="401">
        <f>VLOOKUP(J6,[11]原始參數_115!E:G,3,1)</f>
        <v>1</v>
      </c>
      <c r="N6" s="413">
        <f t="shared" si="5"/>
        <v>90480000</v>
      </c>
      <c r="O6" s="403">
        <f t="shared" si="6"/>
        <v>6.6480000000000003E-3</v>
      </c>
      <c r="P6" s="401">
        <f t="shared" si="7"/>
        <v>1.2</v>
      </c>
      <c r="Q6" s="413">
        <f t="shared" si="8"/>
        <v>90770000</v>
      </c>
      <c r="R6" s="413">
        <f t="shared" si="9"/>
        <v>290000</v>
      </c>
      <c r="S6" s="413">
        <f t="shared" si="10"/>
        <v>0</v>
      </c>
      <c r="T6" s="403">
        <f t="shared" si="11"/>
        <v>0</v>
      </c>
      <c r="U6" s="413">
        <f t="shared" si="12"/>
        <v>0</v>
      </c>
      <c r="V6" s="413">
        <f t="shared" si="13"/>
        <v>290000</v>
      </c>
      <c r="W6" s="413">
        <f t="shared" si="14"/>
        <v>90770000</v>
      </c>
      <c r="X6" s="401">
        <f t="shared" si="15"/>
        <v>1.1075324887077229</v>
      </c>
      <c r="Y6" s="412" t="str">
        <f t="shared" si="16"/>
        <v>TYPE_5</v>
      </c>
      <c r="Z6" s="399" t="str">
        <f t="shared" si="17"/>
        <v>TYPE_2</v>
      </c>
      <c r="AA6" s="414">
        <f>VLOOKUP(Z6,[11]調整參數1_116!A:J,10,0)</f>
        <v>1.1000000000000001</v>
      </c>
      <c r="AB6" s="415">
        <f t="shared" si="18"/>
        <v>110580000</v>
      </c>
      <c r="AC6" s="413">
        <f t="shared" si="19"/>
        <v>34940000</v>
      </c>
      <c r="AD6" s="401">
        <f t="shared" si="20"/>
        <v>0.46192490745637227</v>
      </c>
      <c r="AE6" s="413">
        <f t="shared" si="21"/>
        <v>10049276</v>
      </c>
      <c r="AF6" s="401">
        <f t="shared" si="22"/>
        <v>9.9962236420380296E-2</v>
      </c>
    </row>
    <row r="7" spans="1:32">
      <c r="A7" s="399">
        <v>105</v>
      </c>
      <c r="B7" s="399" t="s">
        <v>135</v>
      </c>
      <c r="C7" s="399" t="s">
        <v>519</v>
      </c>
      <c r="D7" s="399" t="s">
        <v>0</v>
      </c>
      <c r="E7" s="423">
        <v>23471454.039999999</v>
      </c>
      <c r="F7" s="423">
        <v>44955000</v>
      </c>
      <c r="G7" s="424">
        <f t="shared" si="1"/>
        <v>0.52210997753308863</v>
      </c>
      <c r="H7" s="400">
        <f t="shared" si="2"/>
        <v>29760269</v>
      </c>
      <c r="I7" s="400">
        <v>57000000</v>
      </c>
      <c r="J7" s="401">
        <f t="shared" si="3"/>
        <v>0.52210998245614038</v>
      </c>
      <c r="K7" s="412" t="str">
        <f t="shared" si="4"/>
        <v>TYPE_9</v>
      </c>
      <c r="L7" s="401">
        <f>VLOOKUP(J7,[11]原始參數_115!E:F,2,1)</f>
        <v>1</v>
      </c>
      <c r="M7" s="401">
        <f>VLOOKUP(J7,[11]原始參數_115!E:G,3,1)</f>
        <v>1.1499999999999999</v>
      </c>
      <c r="N7" s="413">
        <f t="shared" si="5"/>
        <v>65550000</v>
      </c>
      <c r="O7" s="403">
        <f t="shared" si="6"/>
        <v>4.816E-3</v>
      </c>
      <c r="P7" s="401">
        <f t="shared" si="7"/>
        <v>1</v>
      </c>
      <c r="Q7" s="413">
        <f t="shared" si="8"/>
        <v>65550000</v>
      </c>
      <c r="R7" s="413">
        <f t="shared" si="9"/>
        <v>0</v>
      </c>
      <c r="S7" s="413">
        <f t="shared" si="10"/>
        <v>65550000</v>
      </c>
      <c r="T7" s="403">
        <f t="shared" si="11"/>
        <v>6.6959999999999997E-3</v>
      </c>
      <c r="U7" s="413">
        <f t="shared" si="12"/>
        <v>1280000</v>
      </c>
      <c r="V7" s="413">
        <f t="shared" si="13"/>
        <v>1280000</v>
      </c>
      <c r="W7" s="413">
        <f t="shared" si="14"/>
        <v>66830000</v>
      </c>
      <c r="X7" s="401">
        <f t="shared" si="15"/>
        <v>0.44531301810564117</v>
      </c>
      <c r="Y7" s="412" t="str">
        <f t="shared" si="16"/>
        <v>TYPE_9</v>
      </c>
      <c r="Z7" s="399" t="str">
        <f t="shared" si="17"/>
        <v>TYPE_4</v>
      </c>
      <c r="AA7" s="414">
        <f>VLOOKUP(Z7,[11]調整參數1_116!A:J,10,0)</f>
        <v>1.2</v>
      </c>
      <c r="AB7" s="415">
        <f t="shared" si="18"/>
        <v>35710000</v>
      </c>
      <c r="AC7" s="413">
        <f t="shared" si="19"/>
        <v>-21290000</v>
      </c>
      <c r="AD7" s="401">
        <f t="shared" si="20"/>
        <v>-0.37350877192982457</v>
      </c>
      <c r="AE7" s="413">
        <f t="shared" si="21"/>
        <v>5949731</v>
      </c>
      <c r="AF7" s="401">
        <f t="shared" si="22"/>
        <v>0.1999219496302268</v>
      </c>
    </row>
    <row r="8" spans="1:32">
      <c r="A8" s="399">
        <v>106</v>
      </c>
      <c r="B8" s="399" t="s">
        <v>136</v>
      </c>
      <c r="C8" s="399" t="s">
        <v>519</v>
      </c>
      <c r="D8" s="399" t="s">
        <v>0</v>
      </c>
      <c r="E8" s="423">
        <v>72023862.120000005</v>
      </c>
      <c r="F8" s="423">
        <v>78272000</v>
      </c>
      <c r="G8" s="424">
        <f t="shared" si="1"/>
        <v>0.9201740356704825</v>
      </c>
      <c r="H8" s="400">
        <f t="shared" si="2"/>
        <v>91410089</v>
      </c>
      <c r="I8" s="400">
        <v>99340000</v>
      </c>
      <c r="J8" s="401">
        <f t="shared" si="3"/>
        <v>0.92017403865512382</v>
      </c>
      <c r="K8" s="412" t="str">
        <f t="shared" si="4"/>
        <v>TYPE_7</v>
      </c>
      <c r="L8" s="401">
        <f>VLOOKUP(J8,[11]原始參數_115!E:F,2,1)</f>
        <v>1</v>
      </c>
      <c r="M8" s="401">
        <f>VLOOKUP(J8,[11]原始參數_115!E:G,3,1)</f>
        <v>1.05</v>
      </c>
      <c r="N8" s="413">
        <f t="shared" si="5"/>
        <v>104310000</v>
      </c>
      <c r="O8" s="403">
        <f t="shared" si="6"/>
        <v>7.6639999999999998E-3</v>
      </c>
      <c r="P8" s="401">
        <f t="shared" si="7"/>
        <v>1</v>
      </c>
      <c r="Q8" s="413">
        <f t="shared" si="8"/>
        <v>104310000</v>
      </c>
      <c r="R8" s="413">
        <f t="shared" si="9"/>
        <v>0</v>
      </c>
      <c r="S8" s="413">
        <f t="shared" si="10"/>
        <v>104310000</v>
      </c>
      <c r="T8" s="403">
        <f t="shared" si="11"/>
        <v>1.0655E-2</v>
      </c>
      <c r="U8" s="413">
        <f t="shared" si="12"/>
        <v>2040000</v>
      </c>
      <c r="V8" s="413">
        <f t="shared" si="13"/>
        <v>2040000</v>
      </c>
      <c r="W8" s="413">
        <f t="shared" si="14"/>
        <v>106350000</v>
      </c>
      <c r="X8" s="401">
        <f t="shared" si="15"/>
        <v>0.85952128819934182</v>
      </c>
      <c r="Y8" s="412" t="str">
        <f t="shared" si="16"/>
        <v>TYPE_8</v>
      </c>
      <c r="Z8" s="399" t="str">
        <f t="shared" si="17"/>
        <v>TYPE_3</v>
      </c>
      <c r="AA8" s="414">
        <f>VLOOKUP(Z8,[11]調整參數1_116!A:J,10,0)</f>
        <v>1.1499999999999999</v>
      </c>
      <c r="AB8" s="415">
        <f t="shared" si="18"/>
        <v>105120000</v>
      </c>
      <c r="AC8" s="413">
        <f t="shared" si="19"/>
        <v>5780000</v>
      </c>
      <c r="AD8" s="401">
        <f t="shared" si="20"/>
        <v>5.8184014495671434E-2</v>
      </c>
      <c r="AE8" s="413">
        <f t="shared" si="21"/>
        <v>13709911</v>
      </c>
      <c r="AF8" s="401">
        <f t="shared" si="22"/>
        <v>0.14998247075331039</v>
      </c>
    </row>
    <row r="9" spans="1:32">
      <c r="A9" s="399">
        <v>107</v>
      </c>
      <c r="B9" s="399" t="s">
        <v>73</v>
      </c>
      <c r="C9" s="399" t="s">
        <v>519</v>
      </c>
      <c r="D9" s="399" t="s">
        <v>0</v>
      </c>
      <c r="E9" s="423">
        <v>112376629.11</v>
      </c>
      <c r="F9" s="423">
        <v>93065000</v>
      </c>
      <c r="G9" s="424">
        <f t="shared" si="1"/>
        <v>1.2075068942137215</v>
      </c>
      <c r="H9" s="400">
        <f t="shared" si="2"/>
        <v>142594489</v>
      </c>
      <c r="I9" s="400">
        <v>118090000</v>
      </c>
      <c r="J9" s="401">
        <f t="shared" si="3"/>
        <v>1.2075068930476756</v>
      </c>
      <c r="K9" s="412" t="str">
        <f t="shared" si="4"/>
        <v>TYPE_4</v>
      </c>
      <c r="L9" s="401">
        <f>VLOOKUP(J9,[11]原始參數_115!E:F,2,1)</f>
        <v>1.01</v>
      </c>
      <c r="M9" s="401">
        <f>VLOOKUP(J9,[11]原始參數_115!E:G,3,1)</f>
        <v>1</v>
      </c>
      <c r="N9" s="413">
        <f t="shared" si="5"/>
        <v>144020000</v>
      </c>
      <c r="O9" s="403">
        <f t="shared" si="6"/>
        <v>1.0581999999999999E-2</v>
      </c>
      <c r="P9" s="401">
        <f t="shared" si="7"/>
        <v>1.2</v>
      </c>
      <c r="Q9" s="413">
        <f t="shared" si="8"/>
        <v>141710000</v>
      </c>
      <c r="R9" s="413">
        <f t="shared" si="9"/>
        <v>-2310000</v>
      </c>
      <c r="S9" s="413">
        <f t="shared" si="10"/>
        <v>0</v>
      </c>
      <c r="T9" s="403">
        <f t="shared" si="11"/>
        <v>0</v>
      </c>
      <c r="U9" s="413">
        <f t="shared" si="12"/>
        <v>0</v>
      </c>
      <c r="V9" s="413">
        <f t="shared" si="13"/>
        <v>-2310000</v>
      </c>
      <c r="W9" s="413">
        <f t="shared" si="14"/>
        <v>141710000</v>
      </c>
      <c r="X9" s="401">
        <f t="shared" si="15"/>
        <v>1.0062415425869733</v>
      </c>
      <c r="Y9" s="412" t="str">
        <f t="shared" si="16"/>
        <v>TYPE_6</v>
      </c>
      <c r="Z9" s="399" t="str">
        <f t="shared" si="17"/>
        <v>TYPE_2</v>
      </c>
      <c r="AA9" s="414">
        <f>VLOOKUP(Z9,[11]調整參數1_116!A:J,10,0)</f>
        <v>1.1000000000000001</v>
      </c>
      <c r="AB9" s="415">
        <f t="shared" si="18"/>
        <v>156850000</v>
      </c>
      <c r="AC9" s="413">
        <f t="shared" si="19"/>
        <v>38760000</v>
      </c>
      <c r="AD9" s="401">
        <f t="shared" si="20"/>
        <v>0.32822423575239223</v>
      </c>
      <c r="AE9" s="413">
        <f t="shared" si="21"/>
        <v>14255511</v>
      </c>
      <c r="AF9" s="401">
        <f t="shared" si="22"/>
        <v>9.9972383925720998E-2</v>
      </c>
    </row>
    <row r="10" spans="1:32">
      <c r="A10" s="399">
        <v>108</v>
      </c>
      <c r="B10" s="399" t="s">
        <v>1</v>
      </c>
      <c r="C10" s="399" t="s">
        <v>519</v>
      </c>
      <c r="D10" s="399" t="s">
        <v>0</v>
      </c>
      <c r="E10" s="423">
        <v>142384839.84</v>
      </c>
      <c r="F10" s="423">
        <v>101495000</v>
      </c>
      <c r="G10" s="424">
        <f t="shared" si="1"/>
        <v>1.4028754110054682</v>
      </c>
      <c r="H10" s="400">
        <f t="shared" si="2"/>
        <v>181181359</v>
      </c>
      <c r="I10" s="400">
        <v>129150000</v>
      </c>
      <c r="J10" s="401">
        <f t="shared" si="3"/>
        <v>1.4028754084397987</v>
      </c>
      <c r="K10" s="412" t="str">
        <f t="shared" si="4"/>
        <v>TYPE_3</v>
      </c>
      <c r="L10" s="401">
        <f>VLOOKUP(J10,[11]原始參數_115!E:F,2,1)</f>
        <v>0.9</v>
      </c>
      <c r="M10" s="401">
        <f>VLOOKUP(J10,[11]原始參數_115!E:G,3,1)</f>
        <v>1</v>
      </c>
      <c r="N10" s="413">
        <f t="shared" si="5"/>
        <v>163060000</v>
      </c>
      <c r="O10" s="403">
        <f t="shared" si="6"/>
        <v>1.1981E-2</v>
      </c>
      <c r="P10" s="401">
        <f t="shared" si="7"/>
        <v>1.2</v>
      </c>
      <c r="Q10" s="413">
        <f t="shared" si="8"/>
        <v>154980000</v>
      </c>
      <c r="R10" s="413">
        <f t="shared" si="9"/>
        <v>-8080000</v>
      </c>
      <c r="S10" s="413">
        <f t="shared" si="10"/>
        <v>0</v>
      </c>
      <c r="T10" s="403">
        <f t="shared" si="11"/>
        <v>0</v>
      </c>
      <c r="U10" s="413">
        <f t="shared" si="12"/>
        <v>0</v>
      </c>
      <c r="V10" s="413">
        <f t="shared" si="13"/>
        <v>-8080000</v>
      </c>
      <c r="W10" s="413">
        <f t="shared" si="14"/>
        <v>154980000</v>
      </c>
      <c r="X10" s="401">
        <f t="shared" si="15"/>
        <v>1.1690628403664989</v>
      </c>
      <c r="Y10" s="412" t="str">
        <f t="shared" si="16"/>
        <v>TYPE_5</v>
      </c>
      <c r="Z10" s="399" t="str">
        <f t="shared" si="17"/>
        <v>TYPE_1</v>
      </c>
      <c r="AA10" s="414">
        <f>VLOOKUP(Z10,[11]調整參數1_116!A:J,10,0)</f>
        <v>0.9</v>
      </c>
      <c r="AB10" s="415">
        <f t="shared" si="18"/>
        <v>163060000</v>
      </c>
      <c r="AC10" s="413">
        <f t="shared" si="19"/>
        <v>33910000</v>
      </c>
      <c r="AD10" s="401">
        <f t="shared" si="20"/>
        <v>0.26256291134339915</v>
      </c>
      <c r="AE10" s="413">
        <f t="shared" si="21"/>
        <v>-18121359</v>
      </c>
      <c r="AF10" s="401">
        <f t="shared" si="22"/>
        <v>-0.1000177893576789</v>
      </c>
    </row>
    <row r="11" spans="1:32">
      <c r="A11" s="399">
        <v>109</v>
      </c>
      <c r="B11" s="399" t="s">
        <v>2</v>
      </c>
      <c r="C11" s="399" t="s">
        <v>525</v>
      </c>
      <c r="D11" s="399" t="s">
        <v>0</v>
      </c>
      <c r="E11" s="423">
        <v>23207746.59</v>
      </c>
      <c r="F11" s="423">
        <v>29930000</v>
      </c>
      <c r="G11" s="424">
        <f t="shared" si="1"/>
        <v>0.77540082158369528</v>
      </c>
      <c r="H11" s="400">
        <f t="shared" si="2"/>
        <v>29449723</v>
      </c>
      <c r="I11" s="400">
        <v>37980000</v>
      </c>
      <c r="J11" s="401">
        <f t="shared" si="3"/>
        <v>0.77540081621906265</v>
      </c>
      <c r="K11" s="412" t="str">
        <f t="shared" si="4"/>
        <v>TYPE_8</v>
      </c>
      <c r="L11" s="401">
        <f>VLOOKUP(J11,[11]原始參數_115!E:F,2,1)</f>
        <v>1</v>
      </c>
      <c r="M11" s="401">
        <f>VLOOKUP(J11,[11]原始參數_115!E:G,3,1)</f>
        <v>1.1000000000000001</v>
      </c>
      <c r="N11" s="413">
        <f t="shared" si="5"/>
        <v>41780000</v>
      </c>
      <c r="O11" s="403">
        <f t="shared" si="6"/>
        <v>3.0699999999999998E-3</v>
      </c>
      <c r="P11" s="401">
        <f t="shared" si="7"/>
        <v>1</v>
      </c>
      <c r="Q11" s="413">
        <f t="shared" si="8"/>
        <v>41780000</v>
      </c>
      <c r="R11" s="413">
        <f t="shared" si="9"/>
        <v>0</v>
      </c>
      <c r="S11" s="413">
        <f t="shared" si="10"/>
        <v>41780000</v>
      </c>
      <c r="T11" s="403">
        <f t="shared" si="11"/>
        <v>4.2680000000000001E-3</v>
      </c>
      <c r="U11" s="413">
        <f t="shared" si="12"/>
        <v>820000</v>
      </c>
      <c r="V11" s="413">
        <f t="shared" si="13"/>
        <v>820000</v>
      </c>
      <c r="W11" s="413">
        <f t="shared" si="14"/>
        <v>42600000</v>
      </c>
      <c r="X11" s="401">
        <f t="shared" si="15"/>
        <v>0.69130805164319253</v>
      </c>
      <c r="Y11" s="412" t="str">
        <f t="shared" si="16"/>
        <v>TYPE_9</v>
      </c>
      <c r="Z11" s="399" t="str">
        <f t="shared" si="17"/>
        <v>TYPE_3</v>
      </c>
      <c r="AA11" s="414">
        <f>VLOOKUP(Z11,[11]調整參數1_116!A:J,10,0)</f>
        <v>1.1499999999999999</v>
      </c>
      <c r="AB11" s="415">
        <f t="shared" si="18"/>
        <v>33870000</v>
      </c>
      <c r="AC11" s="413">
        <f t="shared" si="19"/>
        <v>-4110000</v>
      </c>
      <c r="AD11" s="401">
        <f t="shared" si="20"/>
        <v>-0.10821484992101106</v>
      </c>
      <c r="AE11" s="413">
        <f t="shared" si="21"/>
        <v>4420277</v>
      </c>
      <c r="AF11" s="401">
        <f t="shared" si="22"/>
        <v>0.15009570718203361</v>
      </c>
    </row>
    <row r="12" spans="1:32">
      <c r="A12" s="399">
        <v>110</v>
      </c>
      <c r="B12" s="399" t="s">
        <v>74</v>
      </c>
      <c r="C12" s="399" t="s">
        <v>523</v>
      </c>
      <c r="D12" s="399" t="s">
        <v>0</v>
      </c>
      <c r="E12" s="423">
        <v>34708217.32</v>
      </c>
      <c r="F12" s="423">
        <v>46867000</v>
      </c>
      <c r="G12" s="424">
        <f t="shared" si="1"/>
        <v>0.74056835982674374</v>
      </c>
      <c r="H12" s="400">
        <f t="shared" si="2"/>
        <v>44041600</v>
      </c>
      <c r="I12" s="400">
        <v>59470000</v>
      </c>
      <c r="J12" s="401">
        <f t="shared" si="3"/>
        <v>0.74056835379182784</v>
      </c>
      <c r="K12" s="412" t="str">
        <f t="shared" si="4"/>
        <v>TYPE_9</v>
      </c>
      <c r="L12" s="401">
        <f>VLOOKUP(J12,[11]原始參數_115!E:F,2,1)</f>
        <v>1</v>
      </c>
      <c r="M12" s="401">
        <f>VLOOKUP(J12,[11]原始參數_115!E:G,3,1)</f>
        <v>1.1499999999999999</v>
      </c>
      <c r="N12" s="413">
        <f t="shared" si="5"/>
        <v>68390000</v>
      </c>
      <c r="O12" s="403">
        <f t="shared" si="6"/>
        <v>5.025E-3</v>
      </c>
      <c r="P12" s="401">
        <f t="shared" si="7"/>
        <v>1</v>
      </c>
      <c r="Q12" s="413">
        <f t="shared" si="8"/>
        <v>68390000</v>
      </c>
      <c r="R12" s="413">
        <f t="shared" si="9"/>
        <v>0</v>
      </c>
      <c r="S12" s="413">
        <f t="shared" si="10"/>
        <v>68390000</v>
      </c>
      <c r="T12" s="403">
        <f t="shared" si="11"/>
        <v>6.986E-3</v>
      </c>
      <c r="U12" s="413">
        <f t="shared" si="12"/>
        <v>1340000</v>
      </c>
      <c r="V12" s="413">
        <f t="shared" si="13"/>
        <v>1340000</v>
      </c>
      <c r="W12" s="413">
        <f t="shared" si="14"/>
        <v>69730000</v>
      </c>
      <c r="X12" s="401">
        <f t="shared" si="15"/>
        <v>0.63160189301591851</v>
      </c>
      <c r="Y12" s="412" t="str">
        <f t="shared" si="16"/>
        <v>TYPE_9</v>
      </c>
      <c r="Z12" s="399" t="str">
        <f t="shared" si="17"/>
        <v>TYPE_4</v>
      </c>
      <c r="AA12" s="414">
        <f>VLOOKUP(Z12,[11]調整參數1_116!A:J,10,0)</f>
        <v>1.2</v>
      </c>
      <c r="AB12" s="415">
        <f t="shared" si="18"/>
        <v>52850000</v>
      </c>
      <c r="AC12" s="413">
        <f t="shared" si="19"/>
        <v>-6620000</v>
      </c>
      <c r="AD12" s="401">
        <f t="shared" si="20"/>
        <v>-0.1113166302337313</v>
      </c>
      <c r="AE12" s="413">
        <f t="shared" si="21"/>
        <v>8808400</v>
      </c>
      <c r="AF12" s="401">
        <f t="shared" si="22"/>
        <v>0.20000181646443363</v>
      </c>
    </row>
    <row r="13" spans="1:32">
      <c r="A13" s="399">
        <v>111</v>
      </c>
      <c r="B13" s="399" t="s">
        <v>75</v>
      </c>
      <c r="C13" s="399" t="s">
        <v>519</v>
      </c>
      <c r="D13" s="399" t="s">
        <v>0</v>
      </c>
      <c r="E13" s="423">
        <v>123021416.03</v>
      </c>
      <c r="F13" s="423">
        <v>80215000</v>
      </c>
      <c r="G13" s="424">
        <f t="shared" si="1"/>
        <v>1.5336460266783021</v>
      </c>
      <c r="H13" s="400">
        <f t="shared" si="2"/>
        <v>156079156</v>
      </c>
      <c r="I13" s="400">
        <v>101770000</v>
      </c>
      <c r="J13" s="401">
        <f t="shared" si="3"/>
        <v>1.5336460253512822</v>
      </c>
      <c r="K13" s="412" t="str">
        <f t="shared" si="4"/>
        <v>TYPE_2</v>
      </c>
      <c r="L13" s="401">
        <f>VLOOKUP(J13,[11]原始參數_115!E:F,2,1)</f>
        <v>0.8</v>
      </c>
      <c r="M13" s="401">
        <f>VLOOKUP(J13,[11]原始參數_115!E:G,3,1)</f>
        <v>1</v>
      </c>
      <c r="N13" s="413">
        <f t="shared" si="5"/>
        <v>124860000</v>
      </c>
      <c r="O13" s="403">
        <f t="shared" si="6"/>
        <v>9.1739999999999999E-3</v>
      </c>
      <c r="P13" s="401">
        <f t="shared" si="7"/>
        <v>1.2</v>
      </c>
      <c r="Q13" s="413">
        <f t="shared" si="8"/>
        <v>122120000</v>
      </c>
      <c r="R13" s="413">
        <f t="shared" si="9"/>
        <v>-2740000</v>
      </c>
      <c r="S13" s="413">
        <f t="shared" si="10"/>
        <v>0</v>
      </c>
      <c r="T13" s="403">
        <f t="shared" si="11"/>
        <v>0</v>
      </c>
      <c r="U13" s="413">
        <f t="shared" si="12"/>
        <v>0</v>
      </c>
      <c r="V13" s="413">
        <f t="shared" si="13"/>
        <v>-2740000</v>
      </c>
      <c r="W13" s="413">
        <f t="shared" si="14"/>
        <v>122120000</v>
      </c>
      <c r="X13" s="401">
        <f t="shared" si="15"/>
        <v>1.2780802161808058</v>
      </c>
      <c r="Y13" s="412" t="str">
        <f t="shared" si="16"/>
        <v>TYPE_4</v>
      </c>
      <c r="Z13" s="399" t="str">
        <f t="shared" si="17"/>
        <v>TYPE_1</v>
      </c>
      <c r="AA13" s="414">
        <f>VLOOKUP(Z13,[11]調整參數1_116!A:J,10,0)</f>
        <v>0.9</v>
      </c>
      <c r="AB13" s="415">
        <f t="shared" si="18"/>
        <v>140470000</v>
      </c>
      <c r="AC13" s="413">
        <f t="shared" si="19"/>
        <v>38700000</v>
      </c>
      <c r="AD13" s="401">
        <f t="shared" si="20"/>
        <v>0.38026923454849171</v>
      </c>
      <c r="AE13" s="413">
        <f t="shared" si="21"/>
        <v>-15609156</v>
      </c>
      <c r="AF13" s="401">
        <f t="shared" si="22"/>
        <v>-0.10000794724953536</v>
      </c>
    </row>
    <row r="14" spans="1:32">
      <c r="A14" s="399">
        <v>112</v>
      </c>
      <c r="B14" s="399" t="s">
        <v>137</v>
      </c>
      <c r="C14" s="399" t="s">
        <v>519</v>
      </c>
      <c r="D14" s="399" t="s">
        <v>0</v>
      </c>
      <c r="E14" s="423">
        <v>63935873.75</v>
      </c>
      <c r="F14" s="423">
        <v>53594000</v>
      </c>
      <c r="G14" s="424">
        <f t="shared" si="1"/>
        <v>1.1929670065678994</v>
      </c>
      <c r="H14" s="400">
        <f t="shared" si="2"/>
        <v>81157545</v>
      </c>
      <c r="I14" s="400">
        <v>68030000</v>
      </c>
      <c r="J14" s="401">
        <f t="shared" si="3"/>
        <v>1.1929669998530059</v>
      </c>
      <c r="K14" s="412" t="str">
        <f t="shared" si="4"/>
        <v>TYPE_5</v>
      </c>
      <c r="L14" s="401">
        <f>VLOOKUP(J14,[11]原始參數_115!E:F,2,1)</f>
        <v>1.03</v>
      </c>
      <c r="M14" s="401">
        <f>VLOOKUP(J14,[11]原始參數_115!E:G,3,1)</f>
        <v>1</v>
      </c>
      <c r="N14" s="413">
        <f t="shared" si="5"/>
        <v>83590000</v>
      </c>
      <c r="O14" s="403">
        <f t="shared" si="6"/>
        <v>6.1419999999999999E-3</v>
      </c>
      <c r="P14" s="401">
        <f t="shared" si="7"/>
        <v>1</v>
      </c>
      <c r="Q14" s="413">
        <f t="shared" si="8"/>
        <v>83590000</v>
      </c>
      <c r="R14" s="413">
        <f t="shared" si="9"/>
        <v>0</v>
      </c>
      <c r="S14" s="413">
        <f t="shared" si="10"/>
        <v>83590000</v>
      </c>
      <c r="T14" s="403">
        <f t="shared" si="11"/>
        <v>8.5389999999999997E-3</v>
      </c>
      <c r="U14" s="413">
        <f t="shared" si="12"/>
        <v>1630000</v>
      </c>
      <c r="V14" s="413">
        <f t="shared" si="13"/>
        <v>1630000</v>
      </c>
      <c r="W14" s="413">
        <f t="shared" si="14"/>
        <v>85220000</v>
      </c>
      <c r="X14" s="401">
        <f t="shared" si="15"/>
        <v>0.9523297934757099</v>
      </c>
      <c r="Y14" s="412" t="str">
        <f t="shared" si="16"/>
        <v>TYPE_7</v>
      </c>
      <c r="Z14" s="399" t="str">
        <f t="shared" si="17"/>
        <v>TYPE_2</v>
      </c>
      <c r="AA14" s="414">
        <f>VLOOKUP(Z14,[11]調整參數1_116!A:J,10,0)</f>
        <v>1.1000000000000001</v>
      </c>
      <c r="AB14" s="415">
        <f t="shared" si="18"/>
        <v>89270000</v>
      </c>
      <c r="AC14" s="413">
        <f t="shared" si="19"/>
        <v>21240000</v>
      </c>
      <c r="AD14" s="401">
        <f t="shared" si="20"/>
        <v>0.31221519917683377</v>
      </c>
      <c r="AE14" s="413">
        <f t="shared" si="21"/>
        <v>8112455</v>
      </c>
      <c r="AF14" s="401">
        <f t="shared" si="22"/>
        <v>9.9959344507032588E-2</v>
      </c>
    </row>
    <row r="15" spans="1:32">
      <c r="A15" s="399">
        <v>113</v>
      </c>
      <c r="B15" s="399" t="s">
        <v>3</v>
      </c>
      <c r="C15" s="399" t="s">
        <v>522</v>
      </c>
      <c r="D15" s="399" t="s">
        <v>0</v>
      </c>
      <c r="E15" s="423">
        <v>77659607.5</v>
      </c>
      <c r="F15" s="423">
        <v>71923000</v>
      </c>
      <c r="G15" s="424">
        <f t="shared" si="1"/>
        <v>1.0797604034870625</v>
      </c>
      <c r="H15" s="400">
        <f t="shared" si="2"/>
        <v>98528137</v>
      </c>
      <c r="I15" s="400">
        <v>91250000</v>
      </c>
      <c r="J15" s="401">
        <f t="shared" si="3"/>
        <v>1.0797604054794521</v>
      </c>
      <c r="K15" s="412" t="str">
        <f t="shared" si="4"/>
        <v>TYPE_6</v>
      </c>
      <c r="L15" s="401">
        <f>VLOOKUP(J15,[11]原始參數_115!E:F,2,1)</f>
        <v>1.05</v>
      </c>
      <c r="M15" s="401">
        <f>VLOOKUP(J15,[11]原始參數_115!E:G,3,1)</f>
        <v>1</v>
      </c>
      <c r="N15" s="413">
        <f t="shared" si="5"/>
        <v>103450000</v>
      </c>
      <c r="O15" s="403">
        <f t="shared" si="6"/>
        <v>7.6010000000000001E-3</v>
      </c>
      <c r="P15" s="401">
        <f t="shared" si="7"/>
        <v>1</v>
      </c>
      <c r="Q15" s="413">
        <f t="shared" si="8"/>
        <v>103450000</v>
      </c>
      <c r="R15" s="413">
        <f t="shared" si="9"/>
        <v>0</v>
      </c>
      <c r="S15" s="413">
        <f t="shared" si="10"/>
        <v>103450000</v>
      </c>
      <c r="T15" s="403">
        <f t="shared" si="11"/>
        <v>1.0567E-2</v>
      </c>
      <c r="U15" s="413">
        <f t="shared" si="12"/>
        <v>2020000</v>
      </c>
      <c r="V15" s="413">
        <f t="shared" si="13"/>
        <v>2020000</v>
      </c>
      <c r="W15" s="413">
        <f t="shared" si="14"/>
        <v>105470000</v>
      </c>
      <c r="X15" s="401">
        <f t="shared" si="15"/>
        <v>0.93418163458803449</v>
      </c>
      <c r="Y15" s="412" t="str">
        <f t="shared" si="16"/>
        <v>TYPE_7</v>
      </c>
      <c r="Z15" s="399" t="str">
        <f t="shared" si="17"/>
        <v>TYPE_2</v>
      </c>
      <c r="AA15" s="414">
        <f>VLOOKUP(Z15,[11]調整參數1_116!A:J,10,0)</f>
        <v>1.1000000000000001</v>
      </c>
      <c r="AB15" s="415">
        <f t="shared" si="18"/>
        <v>108380000</v>
      </c>
      <c r="AC15" s="413">
        <f t="shared" si="19"/>
        <v>17130000</v>
      </c>
      <c r="AD15" s="401">
        <f t="shared" si="20"/>
        <v>0.18772602739726027</v>
      </c>
      <c r="AE15" s="413">
        <f t="shared" si="21"/>
        <v>9851863</v>
      </c>
      <c r="AF15" s="401">
        <f t="shared" si="22"/>
        <v>9.9990350979639445E-2</v>
      </c>
    </row>
    <row r="16" spans="1:32">
      <c r="A16" s="399">
        <v>114</v>
      </c>
      <c r="B16" s="399" t="s">
        <v>138</v>
      </c>
      <c r="C16" s="399" t="s">
        <v>521</v>
      </c>
      <c r="D16" s="399" t="s">
        <v>0</v>
      </c>
      <c r="E16" s="423">
        <v>48488644.229999997</v>
      </c>
      <c r="F16" s="423">
        <v>65741000</v>
      </c>
      <c r="G16" s="424">
        <f t="shared" si="1"/>
        <v>0.7375708344868499</v>
      </c>
      <c r="H16" s="400">
        <f t="shared" si="2"/>
        <v>61542910</v>
      </c>
      <c r="I16" s="400">
        <v>83440000</v>
      </c>
      <c r="J16" s="401">
        <f t="shared" si="3"/>
        <v>0.73757082933844675</v>
      </c>
      <c r="K16" s="412" t="str">
        <f t="shared" si="4"/>
        <v>TYPE_9</v>
      </c>
      <c r="L16" s="401">
        <f>VLOOKUP(J16,[11]原始參數_115!E:F,2,1)</f>
        <v>1</v>
      </c>
      <c r="M16" s="401">
        <f>VLOOKUP(J16,[11]原始參數_115!E:G,3,1)</f>
        <v>1.1499999999999999</v>
      </c>
      <c r="N16" s="413">
        <f t="shared" si="5"/>
        <v>95960000</v>
      </c>
      <c r="O16" s="403">
        <f t="shared" si="6"/>
        <v>7.051E-3</v>
      </c>
      <c r="P16" s="401">
        <f t="shared" si="7"/>
        <v>1</v>
      </c>
      <c r="Q16" s="413">
        <f t="shared" si="8"/>
        <v>95960000</v>
      </c>
      <c r="R16" s="413">
        <f t="shared" si="9"/>
        <v>0</v>
      </c>
      <c r="S16" s="413">
        <f t="shared" si="10"/>
        <v>95960000</v>
      </c>
      <c r="T16" s="403">
        <f t="shared" si="11"/>
        <v>9.8019999999999999E-3</v>
      </c>
      <c r="U16" s="413">
        <f t="shared" si="12"/>
        <v>1880000</v>
      </c>
      <c r="V16" s="413">
        <f t="shared" si="13"/>
        <v>1880000</v>
      </c>
      <c r="W16" s="413">
        <f t="shared" si="14"/>
        <v>97840000</v>
      </c>
      <c r="X16" s="401">
        <f t="shared" si="15"/>
        <v>0.62901584219133277</v>
      </c>
      <c r="Y16" s="412" t="str">
        <f t="shared" si="16"/>
        <v>TYPE_9</v>
      </c>
      <c r="Z16" s="399" t="str">
        <f t="shared" si="17"/>
        <v>TYPE_4</v>
      </c>
      <c r="AA16" s="414">
        <f>VLOOKUP(Z16,[11]調整參數1_116!A:J,10,0)</f>
        <v>1.2</v>
      </c>
      <c r="AB16" s="415">
        <f t="shared" si="18"/>
        <v>73850000</v>
      </c>
      <c r="AC16" s="413">
        <f t="shared" si="19"/>
        <v>-9590000</v>
      </c>
      <c r="AD16" s="401">
        <f t="shared" si="20"/>
        <v>-0.11493288590604027</v>
      </c>
      <c r="AE16" s="413">
        <f t="shared" si="21"/>
        <v>12307090</v>
      </c>
      <c r="AF16" s="401">
        <f t="shared" si="22"/>
        <v>0.19997575675248375</v>
      </c>
    </row>
    <row r="17" spans="1:32">
      <c r="A17" s="399">
        <v>115</v>
      </c>
      <c r="B17" s="399" t="s">
        <v>139</v>
      </c>
      <c r="C17" s="399" t="s">
        <v>521</v>
      </c>
      <c r="D17" s="399" t="s">
        <v>0</v>
      </c>
      <c r="E17" s="423">
        <v>42847238.600000001</v>
      </c>
      <c r="F17" s="423">
        <v>50146000</v>
      </c>
      <c r="G17" s="424">
        <f t="shared" si="1"/>
        <v>0.85444977864635263</v>
      </c>
      <c r="H17" s="400">
        <f t="shared" si="2"/>
        <v>51207175</v>
      </c>
      <c r="I17" s="400">
        <v>59930000</v>
      </c>
      <c r="J17" s="401">
        <f t="shared" si="3"/>
        <v>0.85444977473719341</v>
      </c>
      <c r="K17" s="412" t="str">
        <f t="shared" si="4"/>
        <v>TYPE_8</v>
      </c>
      <c r="L17" s="401">
        <f>VLOOKUP(J17,[11]原始參數_115!E:F,2,1)</f>
        <v>1</v>
      </c>
      <c r="M17" s="401">
        <f>VLOOKUP(J17,[11]原始參數_115!E:G,3,1)</f>
        <v>1.1000000000000001</v>
      </c>
      <c r="N17" s="413">
        <f t="shared" si="5"/>
        <v>65920000</v>
      </c>
      <c r="O17" s="403">
        <f t="shared" si="6"/>
        <v>4.8430000000000001E-3</v>
      </c>
      <c r="P17" s="401">
        <f t="shared" si="7"/>
        <v>1</v>
      </c>
      <c r="Q17" s="413">
        <f t="shared" si="8"/>
        <v>65920000</v>
      </c>
      <c r="R17" s="413">
        <f t="shared" si="9"/>
        <v>0</v>
      </c>
      <c r="S17" s="413">
        <f t="shared" si="10"/>
        <v>65920000</v>
      </c>
      <c r="T17" s="403">
        <f t="shared" si="11"/>
        <v>6.7340000000000004E-3</v>
      </c>
      <c r="U17" s="413">
        <f t="shared" si="12"/>
        <v>1290000</v>
      </c>
      <c r="V17" s="413">
        <f t="shared" si="13"/>
        <v>1290000</v>
      </c>
      <c r="W17" s="413">
        <f t="shared" si="14"/>
        <v>67210000</v>
      </c>
      <c r="X17" s="401">
        <f t="shared" si="15"/>
        <v>0.76189815503645286</v>
      </c>
      <c r="Y17" s="412" t="str">
        <f t="shared" si="16"/>
        <v>TYPE_8</v>
      </c>
      <c r="Z17" s="399" t="str">
        <f t="shared" si="17"/>
        <v>TYPE_3</v>
      </c>
      <c r="AA17" s="414">
        <f>VLOOKUP(Z17,[11]調整參數1_116!A:J,10,0)</f>
        <v>1.1499999999999999</v>
      </c>
      <c r="AB17" s="415">
        <f t="shared" si="18"/>
        <v>58890000</v>
      </c>
      <c r="AC17" s="413">
        <f t="shared" si="19"/>
        <v>-1040000</v>
      </c>
      <c r="AD17" s="401">
        <f t="shared" si="20"/>
        <v>-1.735357917570499E-2</v>
      </c>
      <c r="AE17" s="413">
        <f t="shared" si="21"/>
        <v>7682825</v>
      </c>
      <c r="AF17" s="401">
        <f t="shared" si="22"/>
        <v>0.15003415048770022</v>
      </c>
    </row>
    <row r="18" spans="1:32">
      <c r="A18" s="399">
        <v>116</v>
      </c>
      <c r="B18" s="399" t="s">
        <v>140</v>
      </c>
      <c r="C18" s="399" t="s">
        <v>522</v>
      </c>
      <c r="D18" s="399" t="s">
        <v>0</v>
      </c>
      <c r="E18" s="423">
        <v>30715589.23</v>
      </c>
      <c r="F18" s="423">
        <v>39464000</v>
      </c>
      <c r="G18" s="424">
        <f t="shared" si="1"/>
        <v>0.77831920813906341</v>
      </c>
      <c r="H18" s="400">
        <f t="shared" si="2"/>
        <v>38986009</v>
      </c>
      <c r="I18" s="400">
        <v>50090000</v>
      </c>
      <c r="J18" s="401">
        <f t="shared" si="3"/>
        <v>0.77831920543022559</v>
      </c>
      <c r="K18" s="412" t="str">
        <f t="shared" si="4"/>
        <v>TYPE_8</v>
      </c>
      <c r="L18" s="401">
        <f>VLOOKUP(J18,[11]原始參數_115!E:F,2,1)</f>
        <v>1</v>
      </c>
      <c r="M18" s="401">
        <f>VLOOKUP(J18,[11]原始參數_115!E:G,3,1)</f>
        <v>1.1000000000000001</v>
      </c>
      <c r="N18" s="413">
        <f t="shared" si="5"/>
        <v>55100000</v>
      </c>
      <c r="O18" s="403">
        <f t="shared" si="6"/>
        <v>4.0480000000000004E-3</v>
      </c>
      <c r="P18" s="401">
        <f t="shared" si="7"/>
        <v>1</v>
      </c>
      <c r="Q18" s="413">
        <f t="shared" si="8"/>
        <v>55100000</v>
      </c>
      <c r="R18" s="413">
        <f t="shared" si="9"/>
        <v>0</v>
      </c>
      <c r="S18" s="413">
        <f t="shared" si="10"/>
        <v>55100000</v>
      </c>
      <c r="T18" s="403">
        <f t="shared" si="11"/>
        <v>5.6280000000000002E-3</v>
      </c>
      <c r="U18" s="413">
        <f t="shared" si="12"/>
        <v>1080000</v>
      </c>
      <c r="V18" s="413">
        <f t="shared" si="13"/>
        <v>1080000</v>
      </c>
      <c r="W18" s="413">
        <f t="shared" si="14"/>
        <v>56180000</v>
      </c>
      <c r="X18" s="401">
        <f t="shared" si="15"/>
        <v>0.69394818440726236</v>
      </c>
      <c r="Y18" s="412" t="str">
        <f t="shared" si="16"/>
        <v>TYPE_9</v>
      </c>
      <c r="Z18" s="399" t="str">
        <f t="shared" si="17"/>
        <v>TYPE_3</v>
      </c>
      <c r="AA18" s="414">
        <f>VLOOKUP(Z18,[11]調整參數1_116!A:J,10,0)</f>
        <v>1.1499999999999999</v>
      </c>
      <c r="AB18" s="415">
        <f t="shared" si="18"/>
        <v>44830000</v>
      </c>
      <c r="AC18" s="413">
        <f t="shared" si="19"/>
        <v>-5260000</v>
      </c>
      <c r="AD18" s="401">
        <f t="shared" si="20"/>
        <v>-0.10501098023557597</v>
      </c>
      <c r="AE18" s="413">
        <f t="shared" si="21"/>
        <v>5843991</v>
      </c>
      <c r="AF18" s="401">
        <f t="shared" si="22"/>
        <v>0.14989969863291214</v>
      </c>
    </row>
    <row r="19" spans="1:32">
      <c r="A19" s="399">
        <v>117</v>
      </c>
      <c r="B19" s="399" t="s">
        <v>399</v>
      </c>
      <c r="C19" s="399" t="s">
        <v>519</v>
      </c>
      <c r="D19" s="399" t="s">
        <v>0</v>
      </c>
      <c r="E19" s="423">
        <v>66487035.770000003</v>
      </c>
      <c r="F19" s="423">
        <v>59916000</v>
      </c>
      <c r="G19" s="424">
        <f t="shared" si="1"/>
        <v>1.1096708019560719</v>
      </c>
      <c r="H19" s="400">
        <f t="shared" si="2"/>
        <v>84357174</v>
      </c>
      <c r="I19" s="400">
        <v>76020000</v>
      </c>
      <c r="J19" s="401">
        <f t="shared" si="3"/>
        <v>1.1096707971586424</v>
      </c>
      <c r="K19" s="412" t="str">
        <f t="shared" si="4"/>
        <v>TYPE_5</v>
      </c>
      <c r="L19" s="401">
        <f>VLOOKUP(J19,[11]原始參數_115!E:F,2,1)</f>
        <v>1.03</v>
      </c>
      <c r="M19" s="401">
        <f>VLOOKUP(J19,[11]原始參數_115!E:G,3,1)</f>
        <v>1</v>
      </c>
      <c r="N19" s="413">
        <f t="shared" si="5"/>
        <v>86890000</v>
      </c>
      <c r="O19" s="403">
        <f t="shared" si="6"/>
        <v>6.3839999999999999E-3</v>
      </c>
      <c r="P19" s="401">
        <f t="shared" si="7"/>
        <v>1</v>
      </c>
      <c r="Q19" s="413">
        <f t="shared" si="8"/>
        <v>86890000</v>
      </c>
      <c r="R19" s="413">
        <f t="shared" si="9"/>
        <v>0</v>
      </c>
      <c r="S19" s="413">
        <f t="shared" si="10"/>
        <v>86890000</v>
      </c>
      <c r="T19" s="403">
        <f t="shared" si="11"/>
        <v>8.8760000000000002E-3</v>
      </c>
      <c r="U19" s="413">
        <f t="shared" si="12"/>
        <v>1700000</v>
      </c>
      <c r="V19" s="413">
        <f t="shared" si="13"/>
        <v>1700000</v>
      </c>
      <c r="W19" s="413">
        <f t="shared" si="14"/>
        <v>88590000</v>
      </c>
      <c r="X19" s="401">
        <f t="shared" si="15"/>
        <v>0.95222004740941413</v>
      </c>
      <c r="Y19" s="412" t="str">
        <f t="shared" si="16"/>
        <v>TYPE_7</v>
      </c>
      <c r="Z19" s="399" t="str">
        <f t="shared" si="17"/>
        <v>TYPE_2</v>
      </c>
      <c r="AA19" s="414">
        <f>VLOOKUP(Z19,[11]調整參數1_116!A:J,10,0)</f>
        <v>1.1000000000000001</v>
      </c>
      <c r="AB19" s="415">
        <f t="shared" si="18"/>
        <v>92790000</v>
      </c>
      <c r="AC19" s="413">
        <f t="shared" si="19"/>
        <v>16770000</v>
      </c>
      <c r="AD19" s="401">
        <f t="shared" si="20"/>
        <v>0.22059984214680348</v>
      </c>
      <c r="AE19" s="413">
        <f t="shared" si="21"/>
        <v>8432826</v>
      </c>
      <c r="AF19" s="401">
        <f t="shared" si="22"/>
        <v>9.9965724314093313E-2</v>
      </c>
    </row>
    <row r="20" spans="1:32">
      <c r="A20" s="399">
        <v>118</v>
      </c>
      <c r="B20" s="399" t="s">
        <v>141</v>
      </c>
      <c r="C20" s="399" t="s">
        <v>522</v>
      </c>
      <c r="D20" s="399" t="s">
        <v>0</v>
      </c>
      <c r="E20" s="423">
        <v>52808666.210000001</v>
      </c>
      <c r="F20" s="423">
        <v>58049000</v>
      </c>
      <c r="G20" s="424">
        <f t="shared" si="1"/>
        <v>0.90972568364657447</v>
      </c>
      <c r="H20" s="400">
        <f t="shared" si="2"/>
        <v>67010394</v>
      </c>
      <c r="I20" s="400">
        <v>73660000</v>
      </c>
      <c r="J20" s="401">
        <f t="shared" si="3"/>
        <v>0.90972568558240563</v>
      </c>
      <c r="K20" s="412" t="str">
        <f t="shared" si="4"/>
        <v>TYPE_7</v>
      </c>
      <c r="L20" s="401">
        <f>VLOOKUP(J20,[11]原始參數_115!E:F,2,1)</f>
        <v>1</v>
      </c>
      <c r="M20" s="401">
        <f>VLOOKUP(J20,[11]原始參數_115!E:G,3,1)</f>
        <v>1.05</v>
      </c>
      <c r="N20" s="413">
        <f t="shared" si="5"/>
        <v>77340000</v>
      </c>
      <c r="O20" s="403">
        <f t="shared" si="6"/>
        <v>5.6820000000000004E-3</v>
      </c>
      <c r="P20" s="401">
        <f t="shared" si="7"/>
        <v>1</v>
      </c>
      <c r="Q20" s="413">
        <f t="shared" si="8"/>
        <v>77340000</v>
      </c>
      <c r="R20" s="413">
        <f t="shared" si="9"/>
        <v>0</v>
      </c>
      <c r="S20" s="413">
        <f t="shared" si="10"/>
        <v>77340000</v>
      </c>
      <c r="T20" s="403">
        <f t="shared" si="11"/>
        <v>7.9000000000000008E-3</v>
      </c>
      <c r="U20" s="413">
        <f t="shared" si="12"/>
        <v>1510000</v>
      </c>
      <c r="V20" s="413">
        <f t="shared" si="13"/>
        <v>1510000</v>
      </c>
      <c r="W20" s="413">
        <f t="shared" si="14"/>
        <v>78850000</v>
      </c>
      <c r="X20" s="401">
        <f t="shared" si="15"/>
        <v>0.84984646797717189</v>
      </c>
      <c r="Y20" s="412" t="str">
        <f t="shared" si="16"/>
        <v>TYPE_8</v>
      </c>
      <c r="Z20" s="399" t="str">
        <f t="shared" si="17"/>
        <v>TYPE_3</v>
      </c>
      <c r="AA20" s="414">
        <f>VLOOKUP(Z20,[11]調整參數1_116!A:J,10,0)</f>
        <v>1.1499999999999999</v>
      </c>
      <c r="AB20" s="415">
        <f t="shared" si="18"/>
        <v>77060000</v>
      </c>
      <c r="AC20" s="413">
        <f t="shared" si="19"/>
        <v>3400000</v>
      </c>
      <c r="AD20" s="401">
        <f t="shared" si="20"/>
        <v>4.6158023350529459E-2</v>
      </c>
      <c r="AE20" s="413">
        <f t="shared" si="21"/>
        <v>10049606</v>
      </c>
      <c r="AF20" s="401">
        <f t="shared" si="22"/>
        <v>0.14997085377531133</v>
      </c>
    </row>
    <row r="21" spans="1:32">
      <c r="A21" s="399">
        <v>119</v>
      </c>
      <c r="B21" s="399" t="s">
        <v>76</v>
      </c>
      <c r="C21" s="399" t="s">
        <v>523</v>
      </c>
      <c r="D21" s="399" t="s">
        <v>0</v>
      </c>
      <c r="E21" s="423">
        <v>39226123.229999997</v>
      </c>
      <c r="F21" s="423">
        <v>39707000</v>
      </c>
      <c r="G21" s="424">
        <f t="shared" si="1"/>
        <v>0.98788937038809266</v>
      </c>
      <c r="H21" s="400">
        <f t="shared" si="2"/>
        <v>49779745</v>
      </c>
      <c r="I21" s="400">
        <v>50390000</v>
      </c>
      <c r="J21" s="401">
        <f t="shared" si="3"/>
        <v>0.987889362968843</v>
      </c>
      <c r="K21" s="412" t="str">
        <f t="shared" si="4"/>
        <v>TYPE_7</v>
      </c>
      <c r="L21" s="401">
        <f>VLOOKUP(J21,[11]原始參數_115!E:F,2,1)</f>
        <v>1</v>
      </c>
      <c r="M21" s="401">
        <f>VLOOKUP(J21,[11]原始參數_115!E:G,3,1)</f>
        <v>1.05</v>
      </c>
      <c r="N21" s="413">
        <f t="shared" si="5"/>
        <v>52910000</v>
      </c>
      <c r="O21" s="403">
        <f t="shared" si="6"/>
        <v>3.888E-3</v>
      </c>
      <c r="P21" s="401">
        <f t="shared" si="7"/>
        <v>1</v>
      </c>
      <c r="Q21" s="413">
        <f t="shared" si="8"/>
        <v>52910000</v>
      </c>
      <c r="R21" s="413">
        <f t="shared" si="9"/>
        <v>0</v>
      </c>
      <c r="S21" s="413">
        <f t="shared" si="10"/>
        <v>52910000</v>
      </c>
      <c r="T21" s="403">
        <f t="shared" si="11"/>
        <v>5.4050000000000001E-3</v>
      </c>
      <c r="U21" s="413">
        <f t="shared" si="12"/>
        <v>1030000</v>
      </c>
      <c r="V21" s="413">
        <f t="shared" si="13"/>
        <v>1030000</v>
      </c>
      <c r="W21" s="413">
        <f t="shared" si="14"/>
        <v>53940000</v>
      </c>
      <c r="X21" s="401">
        <f t="shared" si="15"/>
        <v>0.92287254356692616</v>
      </c>
      <c r="Y21" s="412" t="str">
        <f t="shared" si="16"/>
        <v>TYPE_7</v>
      </c>
      <c r="Z21" s="399" t="str">
        <f t="shared" si="17"/>
        <v>TYPE_3</v>
      </c>
      <c r="AA21" s="414">
        <f>VLOOKUP(Z21,[11]調整參數1_116!A:J,10,0)</f>
        <v>1.1499999999999999</v>
      </c>
      <c r="AB21" s="415">
        <f t="shared" si="18"/>
        <v>57250000</v>
      </c>
      <c r="AC21" s="413">
        <f t="shared" si="19"/>
        <v>6860000</v>
      </c>
      <c r="AD21" s="401">
        <f t="shared" si="20"/>
        <v>0.13613812264338163</v>
      </c>
      <c r="AE21" s="413">
        <f t="shared" si="21"/>
        <v>7470255</v>
      </c>
      <c r="AF21" s="401">
        <f t="shared" si="22"/>
        <v>0.15006615642567073</v>
      </c>
    </row>
    <row r="22" spans="1:32">
      <c r="A22" s="399">
        <v>120</v>
      </c>
      <c r="B22" s="399" t="s">
        <v>142</v>
      </c>
      <c r="C22" s="399" t="s">
        <v>519</v>
      </c>
      <c r="D22" s="399" t="s">
        <v>0</v>
      </c>
      <c r="E22" s="423">
        <v>79371572.989999995</v>
      </c>
      <c r="F22" s="423">
        <v>70806000</v>
      </c>
      <c r="G22" s="424">
        <f t="shared" si="1"/>
        <v>1.1209724174504985</v>
      </c>
      <c r="H22" s="400">
        <f t="shared" si="2"/>
        <v>100696952</v>
      </c>
      <c r="I22" s="400">
        <v>89830000</v>
      </c>
      <c r="J22" s="401">
        <f t="shared" si="3"/>
        <v>1.1209724145608371</v>
      </c>
      <c r="K22" s="412" t="str">
        <f t="shared" si="4"/>
        <v>TYPE_5</v>
      </c>
      <c r="L22" s="401">
        <f>VLOOKUP(J22,[11]原始參數_115!E:F,2,1)</f>
        <v>1.03</v>
      </c>
      <c r="M22" s="401">
        <f>VLOOKUP(J22,[11]原始參數_115!E:G,3,1)</f>
        <v>1</v>
      </c>
      <c r="N22" s="413">
        <f t="shared" si="5"/>
        <v>103720000</v>
      </c>
      <c r="O22" s="403">
        <f t="shared" si="6"/>
        <v>7.6210000000000002E-3</v>
      </c>
      <c r="P22" s="401">
        <f t="shared" si="7"/>
        <v>1</v>
      </c>
      <c r="Q22" s="413">
        <f t="shared" si="8"/>
        <v>103720000</v>
      </c>
      <c r="R22" s="413">
        <f t="shared" si="9"/>
        <v>0</v>
      </c>
      <c r="S22" s="413">
        <f t="shared" si="10"/>
        <v>103720000</v>
      </c>
      <c r="T22" s="403">
        <f t="shared" si="11"/>
        <v>1.0595E-2</v>
      </c>
      <c r="U22" s="413">
        <f t="shared" si="12"/>
        <v>2030000</v>
      </c>
      <c r="V22" s="413">
        <f t="shared" si="13"/>
        <v>2030000</v>
      </c>
      <c r="W22" s="413">
        <f t="shared" si="14"/>
        <v>105750000</v>
      </c>
      <c r="X22" s="401">
        <f t="shared" si="15"/>
        <v>0.95221704018912534</v>
      </c>
      <c r="Y22" s="412" t="str">
        <f t="shared" si="16"/>
        <v>TYPE_7</v>
      </c>
      <c r="Z22" s="399" t="str">
        <f t="shared" si="17"/>
        <v>TYPE_2</v>
      </c>
      <c r="AA22" s="414">
        <f>VLOOKUP(Z22,[11]調整參數1_116!A:J,10,0)</f>
        <v>1.1000000000000001</v>
      </c>
      <c r="AB22" s="415">
        <f t="shared" si="18"/>
        <v>110770000</v>
      </c>
      <c r="AC22" s="413">
        <f t="shared" si="19"/>
        <v>20940000</v>
      </c>
      <c r="AD22" s="401">
        <f t="shared" si="20"/>
        <v>0.23310697985082934</v>
      </c>
      <c r="AE22" s="413">
        <f t="shared" si="21"/>
        <v>10073048</v>
      </c>
      <c r="AF22" s="401">
        <f t="shared" si="22"/>
        <v>0.10003329594325755</v>
      </c>
    </row>
    <row r="23" spans="1:32">
      <c r="A23" s="399">
        <v>121</v>
      </c>
      <c r="B23" s="399" t="s">
        <v>4</v>
      </c>
      <c r="C23" s="399" t="s">
        <v>521</v>
      </c>
      <c r="D23" s="399" t="s">
        <v>0</v>
      </c>
      <c r="E23" s="423">
        <v>54819130.210000001</v>
      </c>
      <c r="F23" s="423">
        <v>57231000</v>
      </c>
      <c r="G23" s="424">
        <f t="shared" si="1"/>
        <v>0.9578572838147158</v>
      </c>
      <c r="H23" s="400">
        <f t="shared" si="2"/>
        <v>69530860</v>
      </c>
      <c r="I23" s="400">
        <v>72590000</v>
      </c>
      <c r="J23" s="401">
        <f t="shared" si="3"/>
        <v>0.95785728061716491</v>
      </c>
      <c r="K23" s="412" t="str">
        <f t="shared" si="4"/>
        <v>TYPE_7</v>
      </c>
      <c r="L23" s="401">
        <f>VLOOKUP(J23,[11]原始參數_115!E:F,2,1)</f>
        <v>1</v>
      </c>
      <c r="M23" s="401">
        <f>VLOOKUP(J23,[11]原始參數_115!E:G,3,1)</f>
        <v>1.05</v>
      </c>
      <c r="N23" s="413">
        <f t="shared" si="5"/>
        <v>76220000</v>
      </c>
      <c r="O23" s="403">
        <f t="shared" si="6"/>
        <v>5.5999999999999999E-3</v>
      </c>
      <c r="P23" s="401">
        <f t="shared" si="7"/>
        <v>1</v>
      </c>
      <c r="Q23" s="413">
        <f t="shared" si="8"/>
        <v>76220000</v>
      </c>
      <c r="R23" s="413">
        <f t="shared" si="9"/>
        <v>0</v>
      </c>
      <c r="S23" s="413">
        <f t="shared" si="10"/>
        <v>76220000</v>
      </c>
      <c r="T23" s="403">
        <f t="shared" si="11"/>
        <v>7.7860000000000004E-3</v>
      </c>
      <c r="U23" s="413">
        <f t="shared" si="12"/>
        <v>1490000</v>
      </c>
      <c r="V23" s="413">
        <f t="shared" si="13"/>
        <v>1490000</v>
      </c>
      <c r="W23" s="413">
        <f t="shared" si="14"/>
        <v>77710000</v>
      </c>
      <c r="X23" s="401">
        <f t="shared" si="15"/>
        <v>0.89474790889203448</v>
      </c>
      <c r="Y23" s="412" t="str">
        <f t="shared" si="16"/>
        <v>TYPE_8</v>
      </c>
      <c r="Z23" s="399" t="str">
        <f t="shared" si="17"/>
        <v>TYPE_3</v>
      </c>
      <c r="AA23" s="414">
        <f>VLOOKUP(Z23,[11]調整參數1_116!A:J,10,0)</f>
        <v>1.1499999999999999</v>
      </c>
      <c r="AB23" s="415">
        <f t="shared" si="18"/>
        <v>79960000</v>
      </c>
      <c r="AC23" s="413">
        <f t="shared" si="19"/>
        <v>7370000</v>
      </c>
      <c r="AD23" s="401">
        <f t="shared" si="20"/>
        <v>0.1015291362446618</v>
      </c>
      <c r="AE23" s="413">
        <f t="shared" si="21"/>
        <v>10429140</v>
      </c>
      <c r="AF23" s="401">
        <f t="shared" si="22"/>
        <v>0.14999296715156407</v>
      </c>
    </row>
    <row r="24" spans="1:32">
      <c r="A24" s="399">
        <v>122</v>
      </c>
      <c r="B24" s="399" t="s">
        <v>77</v>
      </c>
      <c r="C24" s="399" t="s">
        <v>521</v>
      </c>
      <c r="D24" s="399" t="s">
        <v>0</v>
      </c>
      <c r="E24" s="423">
        <v>66575644.149999999</v>
      </c>
      <c r="F24" s="423">
        <v>63599000</v>
      </c>
      <c r="G24" s="424">
        <f t="shared" si="1"/>
        <v>1.0468033168760515</v>
      </c>
      <c r="H24" s="400">
        <f t="shared" si="2"/>
        <v>84497964</v>
      </c>
      <c r="I24" s="400">
        <v>80720000</v>
      </c>
      <c r="J24" s="401">
        <f t="shared" si="3"/>
        <v>1.0468033201189297</v>
      </c>
      <c r="K24" s="412" t="str">
        <f t="shared" si="4"/>
        <v>TYPE_6</v>
      </c>
      <c r="L24" s="401">
        <f>VLOOKUP(J24,[11]原始參數_115!E:F,2,1)</f>
        <v>1.05</v>
      </c>
      <c r="M24" s="401">
        <f>VLOOKUP(J24,[11]原始參數_115!E:G,3,1)</f>
        <v>1</v>
      </c>
      <c r="N24" s="413">
        <f t="shared" si="5"/>
        <v>88720000</v>
      </c>
      <c r="O24" s="403">
        <f t="shared" si="6"/>
        <v>6.5189999999999996E-3</v>
      </c>
      <c r="P24" s="401">
        <f t="shared" si="7"/>
        <v>1</v>
      </c>
      <c r="Q24" s="413">
        <f t="shared" si="8"/>
        <v>88720000</v>
      </c>
      <c r="R24" s="413">
        <f t="shared" si="9"/>
        <v>0</v>
      </c>
      <c r="S24" s="413">
        <f t="shared" si="10"/>
        <v>88720000</v>
      </c>
      <c r="T24" s="403">
        <f t="shared" si="11"/>
        <v>9.0629999999999999E-3</v>
      </c>
      <c r="U24" s="413">
        <f t="shared" si="12"/>
        <v>1730000</v>
      </c>
      <c r="V24" s="413">
        <f t="shared" si="13"/>
        <v>1730000</v>
      </c>
      <c r="W24" s="413">
        <f t="shared" si="14"/>
        <v>90450000</v>
      </c>
      <c r="X24" s="401">
        <f t="shared" si="15"/>
        <v>0.93419529021558867</v>
      </c>
      <c r="Y24" s="412" t="str">
        <f t="shared" si="16"/>
        <v>TYPE_7</v>
      </c>
      <c r="Z24" s="399" t="str">
        <f t="shared" si="17"/>
        <v>TYPE_2</v>
      </c>
      <c r="AA24" s="414">
        <f>VLOOKUP(Z24,[11]調整參數1_116!A:J,10,0)</f>
        <v>1.1000000000000001</v>
      </c>
      <c r="AB24" s="415">
        <f t="shared" si="18"/>
        <v>92950000</v>
      </c>
      <c r="AC24" s="413">
        <f t="shared" si="19"/>
        <v>12230000</v>
      </c>
      <c r="AD24" s="401">
        <f t="shared" si="20"/>
        <v>0.15151139742319128</v>
      </c>
      <c r="AE24" s="413">
        <f t="shared" si="21"/>
        <v>8452036</v>
      </c>
      <c r="AF24" s="401">
        <f t="shared" si="22"/>
        <v>0.10002650478063589</v>
      </c>
    </row>
    <row r="25" spans="1:32">
      <c r="A25" s="399">
        <v>123</v>
      </c>
      <c r="B25" s="399" t="s">
        <v>5</v>
      </c>
      <c r="C25" s="399" t="s">
        <v>519</v>
      </c>
      <c r="D25" s="399" t="s">
        <v>0</v>
      </c>
      <c r="E25" s="423">
        <v>77828439.329999998</v>
      </c>
      <c r="F25" s="423">
        <v>74028000</v>
      </c>
      <c r="G25" s="424">
        <f t="shared" si="1"/>
        <v>1.0513378631058519</v>
      </c>
      <c r="H25" s="400">
        <f t="shared" si="2"/>
        <v>98773192</v>
      </c>
      <c r="I25" s="400">
        <v>93950000</v>
      </c>
      <c r="J25" s="401">
        <f t="shared" si="3"/>
        <v>1.0513378605641299</v>
      </c>
      <c r="K25" s="412" t="str">
        <f t="shared" si="4"/>
        <v>TYPE_6</v>
      </c>
      <c r="L25" s="401">
        <f>VLOOKUP(J25,[11]原始參數_115!E:F,2,1)</f>
        <v>1.05</v>
      </c>
      <c r="M25" s="401">
        <f>VLOOKUP(J25,[11]原始參數_115!E:G,3,1)</f>
        <v>1</v>
      </c>
      <c r="N25" s="413">
        <f t="shared" si="5"/>
        <v>103710000</v>
      </c>
      <c r="O25" s="403">
        <f t="shared" si="6"/>
        <v>7.62E-3</v>
      </c>
      <c r="P25" s="401">
        <f t="shared" si="7"/>
        <v>1</v>
      </c>
      <c r="Q25" s="413">
        <f t="shared" si="8"/>
        <v>103710000</v>
      </c>
      <c r="R25" s="413">
        <f t="shared" si="9"/>
        <v>0</v>
      </c>
      <c r="S25" s="413">
        <f t="shared" si="10"/>
        <v>103710000</v>
      </c>
      <c r="T25" s="403">
        <f t="shared" si="11"/>
        <v>1.0593999999999999E-2</v>
      </c>
      <c r="U25" s="413">
        <f t="shared" si="12"/>
        <v>2030000</v>
      </c>
      <c r="V25" s="413">
        <f t="shared" si="13"/>
        <v>2030000</v>
      </c>
      <c r="W25" s="413">
        <f t="shared" si="14"/>
        <v>105740000</v>
      </c>
      <c r="X25" s="401">
        <f t="shared" si="15"/>
        <v>0.93411378853792326</v>
      </c>
      <c r="Y25" s="412" t="str">
        <f t="shared" si="16"/>
        <v>TYPE_7</v>
      </c>
      <c r="Z25" s="399" t="str">
        <f t="shared" si="17"/>
        <v>TYPE_2</v>
      </c>
      <c r="AA25" s="414">
        <f>VLOOKUP(Z25,[11]調整參數1_116!A:J,10,0)</f>
        <v>1.1000000000000001</v>
      </c>
      <c r="AB25" s="415">
        <f t="shared" si="18"/>
        <v>108650000</v>
      </c>
      <c r="AC25" s="413">
        <f t="shared" si="19"/>
        <v>14700000</v>
      </c>
      <c r="AD25" s="401">
        <f t="shared" si="20"/>
        <v>0.15646620542841938</v>
      </c>
      <c r="AE25" s="413">
        <f t="shared" si="21"/>
        <v>9876808</v>
      </c>
      <c r="AF25" s="401">
        <f t="shared" si="22"/>
        <v>9.9994824506633342E-2</v>
      </c>
    </row>
    <row r="26" spans="1:32">
      <c r="A26" s="399">
        <v>124</v>
      </c>
      <c r="B26" s="399" t="s">
        <v>143</v>
      </c>
      <c r="C26" s="399" t="s">
        <v>525</v>
      </c>
      <c r="D26" s="399" t="s">
        <v>0</v>
      </c>
      <c r="E26" s="423">
        <v>33965682.149999999</v>
      </c>
      <c r="F26" s="423">
        <v>33494000</v>
      </c>
      <c r="G26" s="424">
        <f t="shared" si="1"/>
        <v>1.0140825864333911</v>
      </c>
      <c r="H26" s="400">
        <f t="shared" si="2"/>
        <v>43108651</v>
      </c>
      <c r="I26" s="400">
        <v>42510000</v>
      </c>
      <c r="J26" s="401">
        <f t="shared" si="3"/>
        <v>1.0140825923312162</v>
      </c>
      <c r="K26" s="412" t="str">
        <f t="shared" si="4"/>
        <v>TYPE_6</v>
      </c>
      <c r="L26" s="401">
        <f>VLOOKUP(J26,[11]原始參數_115!E:F,2,1)</f>
        <v>1.05</v>
      </c>
      <c r="M26" s="401">
        <f>VLOOKUP(J26,[11]原始參數_115!E:G,3,1)</f>
        <v>1</v>
      </c>
      <c r="N26" s="413">
        <f t="shared" si="5"/>
        <v>45260000</v>
      </c>
      <c r="O26" s="403">
        <f t="shared" si="6"/>
        <v>3.3249999999999998E-3</v>
      </c>
      <c r="P26" s="401">
        <f t="shared" si="7"/>
        <v>1</v>
      </c>
      <c r="Q26" s="413">
        <f t="shared" si="8"/>
        <v>45260000</v>
      </c>
      <c r="R26" s="413">
        <f t="shared" si="9"/>
        <v>0</v>
      </c>
      <c r="S26" s="413">
        <f t="shared" si="10"/>
        <v>45260000</v>
      </c>
      <c r="T26" s="403">
        <f t="shared" si="11"/>
        <v>4.6230000000000004E-3</v>
      </c>
      <c r="U26" s="413">
        <f t="shared" si="12"/>
        <v>880000</v>
      </c>
      <c r="V26" s="413">
        <f t="shared" si="13"/>
        <v>880000</v>
      </c>
      <c r="W26" s="413">
        <f t="shared" si="14"/>
        <v>46140000</v>
      </c>
      <c r="X26" s="401">
        <f t="shared" si="15"/>
        <v>0.93430106198526219</v>
      </c>
      <c r="Y26" s="412" t="str">
        <f t="shared" si="16"/>
        <v>TYPE_7</v>
      </c>
      <c r="Z26" s="399" t="str">
        <f t="shared" si="17"/>
        <v>TYPE_2</v>
      </c>
      <c r="AA26" s="414">
        <f>VLOOKUP(Z26,[11]調整參數1_116!A:J,10,0)</f>
        <v>1.1000000000000001</v>
      </c>
      <c r="AB26" s="415">
        <f t="shared" si="18"/>
        <v>47420000</v>
      </c>
      <c r="AC26" s="413">
        <f t="shared" si="19"/>
        <v>4910000</v>
      </c>
      <c r="AD26" s="401">
        <f t="shared" si="20"/>
        <v>0.11550223476828982</v>
      </c>
      <c r="AE26" s="413">
        <f t="shared" si="21"/>
        <v>4311349</v>
      </c>
      <c r="AF26" s="401">
        <f t="shared" si="22"/>
        <v>0.10001122512509149</v>
      </c>
    </row>
    <row r="27" spans="1:32">
      <c r="A27" s="399">
        <v>125</v>
      </c>
      <c r="B27" s="399" t="s">
        <v>144</v>
      </c>
      <c r="C27" s="399" t="s">
        <v>522</v>
      </c>
      <c r="D27" s="399" t="s">
        <v>0</v>
      </c>
      <c r="E27" s="423">
        <v>49840109.789999999</v>
      </c>
      <c r="F27" s="423">
        <v>66586000</v>
      </c>
      <c r="G27" s="424">
        <f t="shared" si="1"/>
        <v>0.74850734073228609</v>
      </c>
      <c r="H27" s="400">
        <f t="shared" si="2"/>
        <v>63203960</v>
      </c>
      <c r="I27" s="400">
        <v>84440000</v>
      </c>
      <c r="J27" s="401">
        <f t="shared" si="3"/>
        <v>0.74850734249171014</v>
      </c>
      <c r="K27" s="412" t="str">
        <f t="shared" si="4"/>
        <v>TYPE_9</v>
      </c>
      <c r="L27" s="401">
        <f>VLOOKUP(J27,[11]原始參數_115!E:F,2,1)</f>
        <v>1</v>
      </c>
      <c r="M27" s="401">
        <f>VLOOKUP(J27,[11]原始參數_115!E:G,3,1)</f>
        <v>1.1499999999999999</v>
      </c>
      <c r="N27" s="413">
        <f t="shared" si="5"/>
        <v>97110000</v>
      </c>
      <c r="O27" s="403">
        <f t="shared" si="6"/>
        <v>7.1349999999999998E-3</v>
      </c>
      <c r="P27" s="401">
        <f t="shared" si="7"/>
        <v>1</v>
      </c>
      <c r="Q27" s="413">
        <f t="shared" si="8"/>
        <v>97110000</v>
      </c>
      <c r="R27" s="413">
        <f t="shared" si="9"/>
        <v>0</v>
      </c>
      <c r="S27" s="413">
        <f t="shared" si="10"/>
        <v>97110000</v>
      </c>
      <c r="T27" s="403">
        <f t="shared" si="11"/>
        <v>9.92E-3</v>
      </c>
      <c r="U27" s="413">
        <f t="shared" si="12"/>
        <v>1900000</v>
      </c>
      <c r="V27" s="413">
        <f t="shared" si="13"/>
        <v>1900000</v>
      </c>
      <c r="W27" s="413">
        <f t="shared" si="14"/>
        <v>99010000</v>
      </c>
      <c r="X27" s="401">
        <f t="shared" si="15"/>
        <v>0.63835935764064233</v>
      </c>
      <c r="Y27" s="412" t="str">
        <f t="shared" si="16"/>
        <v>TYPE_9</v>
      </c>
      <c r="Z27" s="399" t="str">
        <f t="shared" si="17"/>
        <v>TYPE_4</v>
      </c>
      <c r="AA27" s="414">
        <f>VLOOKUP(Z27,[11]調整參數1_116!A:J,10,0)</f>
        <v>1.2</v>
      </c>
      <c r="AB27" s="415">
        <f t="shared" si="18"/>
        <v>75840000</v>
      </c>
      <c r="AC27" s="413">
        <f t="shared" si="19"/>
        <v>-8600000</v>
      </c>
      <c r="AD27" s="401">
        <f t="shared" si="20"/>
        <v>-0.10184746565608717</v>
      </c>
      <c r="AE27" s="413">
        <f t="shared" si="21"/>
        <v>12636040</v>
      </c>
      <c r="AF27" s="401">
        <f t="shared" si="22"/>
        <v>0.19992481483755131</v>
      </c>
    </row>
    <row r="28" spans="1:32">
      <c r="A28" s="399">
        <v>126</v>
      </c>
      <c r="B28" s="399" t="s">
        <v>145</v>
      </c>
      <c r="C28" s="399" t="s">
        <v>519</v>
      </c>
      <c r="D28" s="399" t="s">
        <v>0</v>
      </c>
      <c r="E28" s="423">
        <v>86678339.75</v>
      </c>
      <c r="F28" s="423">
        <v>70457000</v>
      </c>
      <c r="G28" s="424">
        <f t="shared" si="1"/>
        <v>1.2302303497168485</v>
      </c>
      <c r="H28" s="400">
        <f t="shared" si="2"/>
        <v>109982593</v>
      </c>
      <c r="I28" s="400">
        <v>89400000</v>
      </c>
      <c r="J28" s="401">
        <f t="shared" si="3"/>
        <v>1.2302303467561522</v>
      </c>
      <c r="K28" s="412" t="str">
        <f t="shared" si="4"/>
        <v>TYPE_4</v>
      </c>
      <c r="L28" s="401">
        <f>VLOOKUP(J28,[11]原始參數_115!E:F,2,1)</f>
        <v>1.01</v>
      </c>
      <c r="M28" s="401">
        <f>VLOOKUP(J28,[11]原始參數_115!E:G,3,1)</f>
        <v>1</v>
      </c>
      <c r="N28" s="413">
        <f t="shared" si="5"/>
        <v>111080000</v>
      </c>
      <c r="O28" s="403">
        <f t="shared" si="6"/>
        <v>8.1609999999999999E-3</v>
      </c>
      <c r="P28" s="401">
        <f t="shared" si="7"/>
        <v>1.2</v>
      </c>
      <c r="Q28" s="413">
        <f t="shared" si="8"/>
        <v>107280000</v>
      </c>
      <c r="R28" s="413">
        <f t="shared" si="9"/>
        <v>-3800000</v>
      </c>
      <c r="S28" s="413">
        <f t="shared" si="10"/>
        <v>0</v>
      </c>
      <c r="T28" s="403">
        <f t="shared" si="11"/>
        <v>0</v>
      </c>
      <c r="U28" s="413">
        <f t="shared" si="12"/>
        <v>0</v>
      </c>
      <c r="V28" s="413">
        <f t="shared" si="13"/>
        <v>-3800000</v>
      </c>
      <c r="W28" s="413">
        <f t="shared" si="14"/>
        <v>107280000</v>
      </c>
      <c r="X28" s="401">
        <f t="shared" si="15"/>
        <v>1.0251919556301268</v>
      </c>
      <c r="Y28" s="412" t="str">
        <f t="shared" si="16"/>
        <v>TYPE_6</v>
      </c>
      <c r="Z28" s="399" t="str">
        <f t="shared" si="17"/>
        <v>TYPE_2</v>
      </c>
      <c r="AA28" s="414">
        <f>VLOOKUP(Z28,[11]調整參數1_116!A:J,10,0)</f>
        <v>1.1000000000000001</v>
      </c>
      <c r="AB28" s="415">
        <f t="shared" si="18"/>
        <v>120980000</v>
      </c>
      <c r="AC28" s="413">
        <f t="shared" si="19"/>
        <v>31580000</v>
      </c>
      <c r="AD28" s="401">
        <f t="shared" si="20"/>
        <v>0.35324384787472035</v>
      </c>
      <c r="AE28" s="413">
        <f t="shared" si="21"/>
        <v>10997407</v>
      </c>
      <c r="AF28" s="401">
        <f t="shared" si="22"/>
        <v>9.9992250591873208E-2</v>
      </c>
    </row>
    <row r="29" spans="1:32">
      <c r="A29" s="399">
        <v>127</v>
      </c>
      <c r="B29" s="399" t="s">
        <v>146</v>
      </c>
      <c r="C29" s="399" t="s">
        <v>519</v>
      </c>
      <c r="D29" s="399" t="s">
        <v>0</v>
      </c>
      <c r="E29" s="423">
        <v>52908029.560000002</v>
      </c>
      <c r="F29" s="423">
        <v>54230000</v>
      </c>
      <c r="G29" s="424">
        <f t="shared" si="1"/>
        <v>0.97562289433892679</v>
      </c>
      <c r="H29" s="400">
        <f t="shared" si="2"/>
        <v>67142368</v>
      </c>
      <c r="I29" s="400">
        <v>68820000</v>
      </c>
      <c r="J29" s="401">
        <f t="shared" si="3"/>
        <v>0.97562290031967447</v>
      </c>
      <c r="K29" s="412" t="str">
        <f t="shared" si="4"/>
        <v>TYPE_7</v>
      </c>
      <c r="L29" s="401">
        <f>VLOOKUP(J29,[11]原始參數_115!E:F,2,1)</f>
        <v>1</v>
      </c>
      <c r="M29" s="401">
        <f>VLOOKUP(J29,[11]原始參數_115!E:G,3,1)</f>
        <v>1.05</v>
      </c>
      <c r="N29" s="413">
        <f t="shared" si="5"/>
        <v>72260000</v>
      </c>
      <c r="O29" s="403">
        <f t="shared" si="6"/>
        <v>5.3090000000000004E-3</v>
      </c>
      <c r="P29" s="401">
        <f t="shared" si="7"/>
        <v>1</v>
      </c>
      <c r="Q29" s="413">
        <f t="shared" si="8"/>
        <v>72260000</v>
      </c>
      <c r="R29" s="413">
        <f t="shared" si="9"/>
        <v>0</v>
      </c>
      <c r="S29" s="413">
        <f t="shared" si="10"/>
        <v>72260000</v>
      </c>
      <c r="T29" s="403">
        <f t="shared" si="11"/>
        <v>7.3810000000000004E-3</v>
      </c>
      <c r="U29" s="413">
        <f t="shared" si="12"/>
        <v>1410000</v>
      </c>
      <c r="V29" s="413">
        <f t="shared" si="13"/>
        <v>1410000</v>
      </c>
      <c r="W29" s="413">
        <f t="shared" si="14"/>
        <v>73670000</v>
      </c>
      <c r="X29" s="401">
        <f t="shared" si="15"/>
        <v>0.91139362019818104</v>
      </c>
      <c r="Y29" s="412" t="str">
        <f t="shared" si="16"/>
        <v>TYPE_7</v>
      </c>
      <c r="Z29" s="399" t="str">
        <f t="shared" si="17"/>
        <v>TYPE_3</v>
      </c>
      <c r="AA29" s="414">
        <f>VLOOKUP(Z29,[11]調整參數1_116!A:J,10,0)</f>
        <v>1.1499999999999999</v>
      </c>
      <c r="AB29" s="415">
        <f t="shared" si="18"/>
        <v>77210000</v>
      </c>
      <c r="AC29" s="413">
        <f t="shared" si="19"/>
        <v>8390000</v>
      </c>
      <c r="AD29" s="401">
        <f t="shared" si="20"/>
        <v>0.12191223481546062</v>
      </c>
      <c r="AE29" s="413">
        <f t="shared" si="21"/>
        <v>10067632</v>
      </c>
      <c r="AF29" s="401">
        <f t="shared" si="22"/>
        <v>0.14994454768113033</v>
      </c>
    </row>
    <row r="30" spans="1:32">
      <c r="A30" s="399">
        <v>128</v>
      </c>
      <c r="B30" s="399" t="s">
        <v>78</v>
      </c>
      <c r="C30" s="399" t="s">
        <v>523</v>
      </c>
      <c r="D30" s="399" t="s">
        <v>0</v>
      </c>
      <c r="E30" s="423">
        <v>31608425.93</v>
      </c>
      <c r="F30" s="423">
        <v>37224000</v>
      </c>
      <c r="G30" s="424">
        <f t="shared" si="1"/>
        <v>0.84914103615946701</v>
      </c>
      <c r="H30" s="400">
        <f t="shared" si="2"/>
        <v>40121914</v>
      </c>
      <c r="I30" s="400">
        <v>47250000</v>
      </c>
      <c r="J30" s="401">
        <f t="shared" si="3"/>
        <v>0.84914103703703703</v>
      </c>
      <c r="K30" s="412" t="str">
        <f t="shared" si="4"/>
        <v>TYPE_8</v>
      </c>
      <c r="L30" s="401">
        <f>VLOOKUP(J30,[11]原始參數_115!E:F,2,1)</f>
        <v>1</v>
      </c>
      <c r="M30" s="401">
        <f>VLOOKUP(J30,[11]原始參數_115!E:G,3,1)</f>
        <v>1.1000000000000001</v>
      </c>
      <c r="N30" s="413">
        <f t="shared" si="5"/>
        <v>51980000</v>
      </c>
      <c r="O30" s="403">
        <f t="shared" si="6"/>
        <v>3.8189999999999999E-3</v>
      </c>
      <c r="P30" s="401">
        <f t="shared" si="7"/>
        <v>1</v>
      </c>
      <c r="Q30" s="413">
        <f t="shared" si="8"/>
        <v>51980000</v>
      </c>
      <c r="R30" s="413">
        <f t="shared" si="9"/>
        <v>0</v>
      </c>
      <c r="S30" s="413">
        <f t="shared" si="10"/>
        <v>51980000</v>
      </c>
      <c r="T30" s="403">
        <f t="shared" si="11"/>
        <v>5.3099999999999996E-3</v>
      </c>
      <c r="U30" s="413">
        <f t="shared" si="12"/>
        <v>1020000</v>
      </c>
      <c r="V30" s="413">
        <f t="shared" si="13"/>
        <v>1020000</v>
      </c>
      <c r="W30" s="413">
        <f t="shared" si="14"/>
        <v>53000000</v>
      </c>
      <c r="X30" s="401">
        <f t="shared" si="15"/>
        <v>0.75701724528301884</v>
      </c>
      <c r="Y30" s="412" t="str">
        <f t="shared" si="16"/>
        <v>TYPE_8</v>
      </c>
      <c r="Z30" s="399" t="str">
        <f t="shared" si="17"/>
        <v>TYPE_3</v>
      </c>
      <c r="AA30" s="414">
        <f>VLOOKUP(Z30,[11]調整參數1_116!A:J,10,0)</f>
        <v>1.1499999999999999</v>
      </c>
      <c r="AB30" s="415">
        <f t="shared" si="18"/>
        <v>46140000</v>
      </c>
      <c r="AC30" s="413">
        <f t="shared" si="19"/>
        <v>-1110000</v>
      </c>
      <c r="AD30" s="401">
        <f t="shared" si="20"/>
        <v>-2.3492063492063491E-2</v>
      </c>
      <c r="AE30" s="413">
        <f t="shared" si="21"/>
        <v>6018086</v>
      </c>
      <c r="AF30" s="401">
        <f t="shared" si="22"/>
        <v>0.14999498777650538</v>
      </c>
    </row>
    <row r="31" spans="1:32">
      <c r="A31" s="399">
        <v>129</v>
      </c>
      <c r="B31" s="399" t="s">
        <v>79</v>
      </c>
      <c r="C31" s="399" t="s">
        <v>524</v>
      </c>
      <c r="D31" s="399" t="s">
        <v>0</v>
      </c>
      <c r="E31" s="423">
        <v>41178468.689999998</v>
      </c>
      <c r="F31" s="423">
        <v>47252000</v>
      </c>
      <c r="G31" s="424">
        <f t="shared" si="1"/>
        <v>0.87146509544569539</v>
      </c>
      <c r="H31" s="400">
        <f t="shared" si="2"/>
        <v>52270476</v>
      </c>
      <c r="I31" s="400">
        <v>59980000</v>
      </c>
      <c r="J31" s="401">
        <f t="shared" si="3"/>
        <v>0.87146508836278758</v>
      </c>
      <c r="K31" s="412" t="str">
        <f t="shared" si="4"/>
        <v>TYPE_8</v>
      </c>
      <c r="L31" s="401">
        <f>VLOOKUP(J31,[11]原始參數_115!E:F,2,1)</f>
        <v>1</v>
      </c>
      <c r="M31" s="401">
        <f>VLOOKUP(J31,[11]原始參數_115!E:G,3,1)</f>
        <v>1.1000000000000001</v>
      </c>
      <c r="N31" s="413">
        <f t="shared" si="5"/>
        <v>65980000</v>
      </c>
      <c r="O31" s="403">
        <f t="shared" si="6"/>
        <v>4.8479999999999999E-3</v>
      </c>
      <c r="P31" s="401">
        <f t="shared" si="7"/>
        <v>1</v>
      </c>
      <c r="Q31" s="413">
        <f t="shared" si="8"/>
        <v>65980000</v>
      </c>
      <c r="R31" s="413">
        <f t="shared" si="9"/>
        <v>0</v>
      </c>
      <c r="S31" s="413">
        <f t="shared" si="10"/>
        <v>65980000</v>
      </c>
      <c r="T31" s="403">
        <f t="shared" si="11"/>
        <v>6.7400000000000003E-3</v>
      </c>
      <c r="U31" s="413">
        <f t="shared" si="12"/>
        <v>1290000</v>
      </c>
      <c r="V31" s="413">
        <f t="shared" si="13"/>
        <v>1290000</v>
      </c>
      <c r="W31" s="413">
        <f t="shared" si="14"/>
        <v>67270000</v>
      </c>
      <c r="X31" s="401">
        <f t="shared" si="15"/>
        <v>0.77702506317823694</v>
      </c>
      <c r="Y31" s="412" t="str">
        <f t="shared" si="16"/>
        <v>TYPE_8</v>
      </c>
      <c r="Z31" s="399" t="str">
        <f t="shared" si="17"/>
        <v>TYPE_3</v>
      </c>
      <c r="AA31" s="414">
        <f>VLOOKUP(Z31,[11]調整參數1_116!A:J,10,0)</f>
        <v>1.1499999999999999</v>
      </c>
      <c r="AB31" s="415">
        <f t="shared" si="18"/>
        <v>60110000</v>
      </c>
      <c r="AC31" s="413">
        <f t="shared" si="19"/>
        <v>130000</v>
      </c>
      <c r="AD31" s="401">
        <f t="shared" si="20"/>
        <v>2.1673891297099034E-3</v>
      </c>
      <c r="AE31" s="413">
        <f t="shared" si="21"/>
        <v>7839524</v>
      </c>
      <c r="AF31" s="401">
        <f t="shared" si="22"/>
        <v>0.14997996191961213</v>
      </c>
    </row>
    <row r="32" spans="1:32">
      <c r="A32" s="399">
        <v>130</v>
      </c>
      <c r="B32" s="399" t="s">
        <v>147</v>
      </c>
      <c r="C32" s="399" t="s">
        <v>519</v>
      </c>
      <c r="D32" s="399" t="s">
        <v>0</v>
      </c>
      <c r="E32" s="423">
        <v>27796922.260000002</v>
      </c>
      <c r="F32" s="423">
        <v>37349000</v>
      </c>
      <c r="G32" s="424">
        <f t="shared" si="1"/>
        <v>0.74424809927976654</v>
      </c>
      <c r="H32" s="400">
        <f t="shared" si="2"/>
        <v>35284802</v>
      </c>
      <c r="I32" s="400">
        <v>47410000</v>
      </c>
      <c r="J32" s="401">
        <f t="shared" si="3"/>
        <v>0.74424809112001689</v>
      </c>
      <c r="K32" s="412" t="str">
        <f t="shared" si="4"/>
        <v>TYPE_9</v>
      </c>
      <c r="L32" s="401">
        <f>VLOOKUP(J32,[11]原始參數_115!E:F,2,1)</f>
        <v>1</v>
      </c>
      <c r="M32" s="401">
        <f>VLOOKUP(J32,[11]原始參數_115!E:G,3,1)</f>
        <v>1.1499999999999999</v>
      </c>
      <c r="N32" s="413">
        <f t="shared" si="5"/>
        <v>54520000</v>
      </c>
      <c r="O32" s="403">
        <f t="shared" si="6"/>
        <v>4.006E-3</v>
      </c>
      <c r="P32" s="401">
        <f t="shared" si="7"/>
        <v>1</v>
      </c>
      <c r="Q32" s="413">
        <f t="shared" si="8"/>
        <v>54520000</v>
      </c>
      <c r="R32" s="413">
        <f t="shared" si="9"/>
        <v>0</v>
      </c>
      <c r="S32" s="413">
        <f t="shared" si="10"/>
        <v>54520000</v>
      </c>
      <c r="T32" s="403">
        <f t="shared" si="11"/>
        <v>5.5690000000000002E-3</v>
      </c>
      <c r="U32" s="413">
        <f t="shared" si="12"/>
        <v>1070000</v>
      </c>
      <c r="V32" s="413">
        <f t="shared" si="13"/>
        <v>1070000</v>
      </c>
      <c r="W32" s="413">
        <f t="shared" si="14"/>
        <v>55590000</v>
      </c>
      <c r="X32" s="401">
        <f t="shared" si="15"/>
        <v>0.63473290160100737</v>
      </c>
      <c r="Y32" s="412" t="str">
        <f t="shared" si="16"/>
        <v>TYPE_9</v>
      </c>
      <c r="Z32" s="399" t="str">
        <f t="shared" si="17"/>
        <v>TYPE_4</v>
      </c>
      <c r="AA32" s="414">
        <f>VLOOKUP(Z32,[11]調整參數1_116!A:J,10,0)</f>
        <v>1.2</v>
      </c>
      <c r="AB32" s="415">
        <f t="shared" si="18"/>
        <v>42340000</v>
      </c>
      <c r="AC32" s="413">
        <f t="shared" si="19"/>
        <v>-5070000</v>
      </c>
      <c r="AD32" s="401">
        <f t="shared" si="20"/>
        <v>-0.10693946424804894</v>
      </c>
      <c r="AE32" s="413">
        <f t="shared" si="21"/>
        <v>7055198</v>
      </c>
      <c r="AF32" s="401">
        <f t="shared" si="22"/>
        <v>0.19995005214993131</v>
      </c>
    </row>
    <row r="33" spans="1:32">
      <c r="A33" s="399">
        <v>132</v>
      </c>
      <c r="B33" s="399" t="s">
        <v>6</v>
      </c>
      <c r="C33" s="399" t="s">
        <v>527</v>
      </c>
      <c r="D33" s="399" t="s">
        <v>0</v>
      </c>
      <c r="E33" s="423">
        <v>19207790.16</v>
      </c>
      <c r="F33" s="423">
        <v>19415000</v>
      </c>
      <c r="G33" s="424">
        <f t="shared" si="1"/>
        <v>0.98932733247489058</v>
      </c>
      <c r="H33" s="400">
        <f t="shared" si="2"/>
        <v>24377025</v>
      </c>
      <c r="I33" s="400">
        <v>24640000</v>
      </c>
      <c r="J33" s="401">
        <f t="shared" si="3"/>
        <v>0.98932731331168833</v>
      </c>
      <c r="K33" s="412" t="str">
        <f t="shared" si="4"/>
        <v>TYPE_7</v>
      </c>
      <c r="L33" s="401">
        <f>VLOOKUP(J33,[11]原始參數_115!E:F,2,1)</f>
        <v>1</v>
      </c>
      <c r="M33" s="401">
        <f>VLOOKUP(J33,[11]原始參數_115!E:G,3,1)</f>
        <v>1.05</v>
      </c>
      <c r="N33" s="413">
        <f t="shared" si="5"/>
        <v>25870000</v>
      </c>
      <c r="O33" s="403">
        <f t="shared" si="6"/>
        <v>1.9009999999999999E-3</v>
      </c>
      <c r="P33" s="401">
        <f t="shared" si="7"/>
        <v>1</v>
      </c>
      <c r="Q33" s="413">
        <f t="shared" si="8"/>
        <v>25870000</v>
      </c>
      <c r="R33" s="413">
        <f t="shared" si="9"/>
        <v>0</v>
      </c>
      <c r="S33" s="413">
        <f t="shared" si="10"/>
        <v>25870000</v>
      </c>
      <c r="T33" s="403">
        <f t="shared" si="11"/>
        <v>2.643E-3</v>
      </c>
      <c r="U33" s="413">
        <f t="shared" si="12"/>
        <v>510000</v>
      </c>
      <c r="V33" s="413">
        <f t="shared" si="13"/>
        <v>510000</v>
      </c>
      <c r="W33" s="413">
        <f t="shared" si="14"/>
        <v>26380000</v>
      </c>
      <c r="X33" s="401">
        <f t="shared" si="15"/>
        <v>0.92407221379833204</v>
      </c>
      <c r="Y33" s="412" t="str">
        <f t="shared" si="16"/>
        <v>TYPE_7</v>
      </c>
      <c r="Z33" s="399" t="str">
        <f t="shared" si="17"/>
        <v>TYPE_3</v>
      </c>
      <c r="AA33" s="414">
        <f>VLOOKUP(Z33,[11]調整參數1_116!A:J,10,0)</f>
        <v>1.1499999999999999</v>
      </c>
      <c r="AB33" s="415">
        <f t="shared" si="18"/>
        <v>28030000</v>
      </c>
      <c r="AC33" s="413">
        <f t="shared" si="19"/>
        <v>3390000</v>
      </c>
      <c r="AD33" s="401">
        <f t="shared" si="20"/>
        <v>0.13758116883116883</v>
      </c>
      <c r="AE33" s="413">
        <f t="shared" si="21"/>
        <v>3652975</v>
      </c>
      <c r="AF33" s="401">
        <f t="shared" si="22"/>
        <v>0.1498531916835627</v>
      </c>
    </row>
    <row r="34" spans="1:32">
      <c r="A34" s="399">
        <v>133</v>
      </c>
      <c r="B34" s="399" t="s">
        <v>148</v>
      </c>
      <c r="C34" s="399" t="s">
        <v>519</v>
      </c>
      <c r="D34" s="399" t="s">
        <v>0</v>
      </c>
      <c r="E34" s="423">
        <v>28492793.859999999</v>
      </c>
      <c r="F34" s="423">
        <v>40060000</v>
      </c>
      <c r="G34" s="424">
        <f t="shared" si="1"/>
        <v>0.71125296704942587</v>
      </c>
      <c r="H34" s="400">
        <f t="shared" si="2"/>
        <v>36160101</v>
      </c>
      <c r="I34" s="400">
        <v>50840000</v>
      </c>
      <c r="J34" s="401">
        <f t="shared" si="3"/>
        <v>0.71125297010228172</v>
      </c>
      <c r="K34" s="412" t="str">
        <f t="shared" si="4"/>
        <v>TYPE_9</v>
      </c>
      <c r="L34" s="401">
        <f>VLOOKUP(J34,[11]原始參數_115!E:F,2,1)</f>
        <v>1</v>
      </c>
      <c r="M34" s="401">
        <f>VLOOKUP(J34,[11]原始參數_115!E:G,3,1)</f>
        <v>1.1499999999999999</v>
      </c>
      <c r="N34" s="413">
        <f t="shared" si="5"/>
        <v>58470000</v>
      </c>
      <c r="O34" s="403">
        <f t="shared" si="6"/>
        <v>4.2960000000000003E-3</v>
      </c>
      <c r="P34" s="401">
        <f t="shared" si="7"/>
        <v>1</v>
      </c>
      <c r="Q34" s="413">
        <f t="shared" si="8"/>
        <v>58470000</v>
      </c>
      <c r="R34" s="413">
        <f t="shared" si="9"/>
        <v>0</v>
      </c>
      <c r="S34" s="413">
        <f t="shared" si="10"/>
        <v>58470000</v>
      </c>
      <c r="T34" s="403">
        <f t="shared" si="11"/>
        <v>5.973E-3</v>
      </c>
      <c r="U34" s="413">
        <f t="shared" si="12"/>
        <v>1140000</v>
      </c>
      <c r="V34" s="413">
        <f t="shared" si="13"/>
        <v>1140000</v>
      </c>
      <c r="W34" s="413">
        <f t="shared" si="14"/>
        <v>59610000</v>
      </c>
      <c r="X34" s="401">
        <f t="shared" si="15"/>
        <v>0.60661132360342229</v>
      </c>
      <c r="Y34" s="412" t="str">
        <f t="shared" si="16"/>
        <v>TYPE_9</v>
      </c>
      <c r="Z34" s="399" t="str">
        <f t="shared" si="17"/>
        <v>TYPE_4</v>
      </c>
      <c r="AA34" s="414">
        <f>VLOOKUP(Z34,[11]調整參數1_116!A:J,10,0)</f>
        <v>1.2</v>
      </c>
      <c r="AB34" s="415">
        <f t="shared" si="18"/>
        <v>43390000</v>
      </c>
      <c r="AC34" s="413">
        <f t="shared" si="19"/>
        <v>-7450000</v>
      </c>
      <c r="AD34" s="401">
        <f t="shared" si="20"/>
        <v>-0.1465381589299764</v>
      </c>
      <c r="AE34" s="413">
        <f t="shared" si="21"/>
        <v>7229899</v>
      </c>
      <c r="AF34" s="401">
        <f t="shared" si="22"/>
        <v>0.19994133865942465</v>
      </c>
    </row>
    <row r="35" spans="1:32">
      <c r="A35" s="399">
        <v>134</v>
      </c>
      <c r="B35" s="399" t="s">
        <v>149</v>
      </c>
      <c r="C35" s="399" t="s">
        <v>525</v>
      </c>
      <c r="D35" s="399" t="s">
        <v>7</v>
      </c>
      <c r="E35" s="423">
        <v>48686776.899999999</v>
      </c>
      <c r="F35" s="423">
        <v>59755000</v>
      </c>
      <c r="G35" s="424">
        <f t="shared" si="1"/>
        <v>0.81477327252949538</v>
      </c>
      <c r="H35" s="400">
        <f t="shared" si="2"/>
        <v>61784257</v>
      </c>
      <c r="I35" s="400">
        <v>75830000</v>
      </c>
      <c r="J35" s="401">
        <f t="shared" si="3"/>
        <v>0.81477326915468817</v>
      </c>
      <c r="K35" s="412" t="str">
        <f t="shared" si="4"/>
        <v>TYPE_8</v>
      </c>
      <c r="L35" s="401">
        <f>VLOOKUP(J35,[11]原始參數_115!E:F,2,1)</f>
        <v>1</v>
      </c>
      <c r="M35" s="401">
        <f>VLOOKUP(J35,[11]原始參數_115!E:G,3,1)</f>
        <v>1.1000000000000001</v>
      </c>
      <c r="N35" s="413">
        <f t="shared" si="5"/>
        <v>83410000</v>
      </c>
      <c r="O35" s="403">
        <f t="shared" si="6"/>
        <v>6.1279999999999998E-3</v>
      </c>
      <c r="P35" s="401">
        <f t="shared" si="7"/>
        <v>1</v>
      </c>
      <c r="Q35" s="413">
        <f t="shared" si="8"/>
        <v>83410000</v>
      </c>
      <c r="R35" s="413">
        <f t="shared" si="9"/>
        <v>0</v>
      </c>
      <c r="S35" s="413">
        <f t="shared" si="10"/>
        <v>83410000</v>
      </c>
      <c r="T35" s="403">
        <f t="shared" si="11"/>
        <v>8.5199999999999998E-3</v>
      </c>
      <c r="U35" s="413">
        <f t="shared" si="12"/>
        <v>1630000</v>
      </c>
      <c r="V35" s="413">
        <f t="shared" si="13"/>
        <v>1630000</v>
      </c>
      <c r="W35" s="413">
        <f t="shared" si="14"/>
        <v>85040000</v>
      </c>
      <c r="X35" s="401">
        <f t="shared" si="15"/>
        <v>0.72653171448730014</v>
      </c>
      <c r="Y35" s="412" t="str">
        <f t="shared" si="16"/>
        <v>TYPE_9</v>
      </c>
      <c r="Z35" s="399" t="str">
        <f t="shared" si="17"/>
        <v>TYPE_3</v>
      </c>
      <c r="AA35" s="414">
        <f>VLOOKUP(Z35,[11]調整參數1_116!A:J,10,0)</f>
        <v>1.1499999999999999</v>
      </c>
      <c r="AB35" s="415">
        <f t="shared" si="18"/>
        <v>71050000</v>
      </c>
      <c r="AC35" s="413">
        <f t="shared" si="19"/>
        <v>-4780000</v>
      </c>
      <c r="AD35" s="401">
        <f t="shared" si="20"/>
        <v>-6.3035737834630096E-2</v>
      </c>
      <c r="AE35" s="413">
        <f t="shared" si="21"/>
        <v>9265743</v>
      </c>
      <c r="AF35" s="401">
        <f t="shared" si="22"/>
        <v>0.14996931985440887</v>
      </c>
    </row>
    <row r="36" spans="1:32">
      <c r="A36" s="399">
        <v>136</v>
      </c>
      <c r="B36" s="399" t="s">
        <v>150</v>
      </c>
      <c r="C36" s="399" t="s">
        <v>526</v>
      </c>
      <c r="D36" s="399" t="s">
        <v>0</v>
      </c>
      <c r="E36" s="423">
        <v>39132017.229999997</v>
      </c>
      <c r="F36" s="423">
        <v>27370000</v>
      </c>
      <c r="G36" s="424">
        <f t="shared" si="1"/>
        <v>1.4297412214103031</v>
      </c>
      <c r="H36" s="400">
        <f t="shared" si="2"/>
        <v>49654913</v>
      </c>
      <c r="I36" s="400">
        <v>34730000</v>
      </c>
      <c r="J36" s="401">
        <f t="shared" si="3"/>
        <v>1.4297412323639505</v>
      </c>
      <c r="K36" s="412" t="str">
        <f t="shared" si="4"/>
        <v>TYPE_3</v>
      </c>
      <c r="L36" s="401">
        <f>VLOOKUP(J36,[11]原始參數_115!E:F,2,1)</f>
        <v>0.9</v>
      </c>
      <c r="M36" s="401">
        <f>VLOOKUP(J36,[11]原始參數_115!E:G,3,1)</f>
        <v>1</v>
      </c>
      <c r="N36" s="413">
        <f t="shared" si="5"/>
        <v>44690000</v>
      </c>
      <c r="O36" s="403">
        <f t="shared" si="6"/>
        <v>3.284E-3</v>
      </c>
      <c r="P36" s="401">
        <f t="shared" si="7"/>
        <v>1.2</v>
      </c>
      <c r="Q36" s="413">
        <f t="shared" si="8"/>
        <v>41680000</v>
      </c>
      <c r="R36" s="413">
        <f t="shared" si="9"/>
        <v>-3010000</v>
      </c>
      <c r="S36" s="413">
        <f t="shared" si="10"/>
        <v>0</v>
      </c>
      <c r="T36" s="403">
        <f t="shared" si="11"/>
        <v>0</v>
      </c>
      <c r="U36" s="413">
        <f t="shared" si="12"/>
        <v>0</v>
      </c>
      <c r="V36" s="413">
        <f t="shared" si="13"/>
        <v>-3010000</v>
      </c>
      <c r="W36" s="413">
        <f t="shared" si="14"/>
        <v>41680000</v>
      </c>
      <c r="X36" s="401">
        <f t="shared" si="15"/>
        <v>1.1913366842610364</v>
      </c>
      <c r="Y36" s="412" t="str">
        <f t="shared" si="16"/>
        <v>TYPE_5</v>
      </c>
      <c r="Z36" s="399" t="str">
        <f t="shared" si="17"/>
        <v>TYPE_1</v>
      </c>
      <c r="AA36" s="414">
        <f>VLOOKUP(Z36,[11]調整參數1_116!A:J,10,0)</f>
        <v>0.9</v>
      </c>
      <c r="AB36" s="415">
        <f t="shared" si="18"/>
        <v>44690000</v>
      </c>
      <c r="AC36" s="413">
        <f t="shared" si="19"/>
        <v>9960000</v>
      </c>
      <c r="AD36" s="401">
        <f t="shared" si="20"/>
        <v>0.28678376043766196</v>
      </c>
      <c r="AE36" s="413">
        <f t="shared" si="21"/>
        <v>-4964913</v>
      </c>
      <c r="AF36" s="401">
        <f t="shared" si="22"/>
        <v>-9.9988353619711312E-2</v>
      </c>
    </row>
    <row r="37" spans="1:32">
      <c r="A37" s="399">
        <v>137</v>
      </c>
      <c r="B37" s="399" t="s">
        <v>151</v>
      </c>
      <c r="C37" s="399" t="s">
        <v>521</v>
      </c>
      <c r="D37" s="399" t="s">
        <v>7</v>
      </c>
      <c r="E37" s="423">
        <v>48072273.119999997</v>
      </c>
      <c r="F37" s="423">
        <v>37100000</v>
      </c>
      <c r="G37" s="424">
        <f t="shared" si="1"/>
        <v>1.2957486016172506</v>
      </c>
      <c r="H37" s="400">
        <f t="shared" si="2"/>
        <v>61003844</v>
      </c>
      <c r="I37" s="400">
        <v>47080000</v>
      </c>
      <c r="J37" s="401">
        <f t="shared" si="3"/>
        <v>1.2957485981308412</v>
      </c>
      <c r="K37" s="412" t="str">
        <f t="shared" si="4"/>
        <v>TYPE_4</v>
      </c>
      <c r="L37" s="401">
        <f>VLOOKUP(J37,[11]原始參數_115!E:F,2,1)</f>
        <v>1.01</v>
      </c>
      <c r="M37" s="401">
        <f>VLOOKUP(J37,[11]原始參數_115!E:G,3,1)</f>
        <v>1</v>
      </c>
      <c r="N37" s="413">
        <f t="shared" si="5"/>
        <v>61610000</v>
      </c>
      <c r="O37" s="403">
        <f t="shared" si="6"/>
        <v>4.5269999999999998E-3</v>
      </c>
      <c r="P37" s="401">
        <f t="shared" si="7"/>
        <v>1.2</v>
      </c>
      <c r="Q37" s="413">
        <f t="shared" si="8"/>
        <v>56500000</v>
      </c>
      <c r="R37" s="413">
        <f t="shared" si="9"/>
        <v>-5110000</v>
      </c>
      <c r="S37" s="413">
        <f t="shared" si="10"/>
        <v>0</v>
      </c>
      <c r="T37" s="403">
        <f t="shared" si="11"/>
        <v>0</v>
      </c>
      <c r="U37" s="413">
        <f t="shared" si="12"/>
        <v>0</v>
      </c>
      <c r="V37" s="413">
        <f t="shared" si="13"/>
        <v>-5110000</v>
      </c>
      <c r="W37" s="413">
        <f t="shared" si="14"/>
        <v>56500000</v>
      </c>
      <c r="X37" s="401">
        <f t="shared" si="15"/>
        <v>1.079714053097345</v>
      </c>
      <c r="Y37" s="412" t="str">
        <f t="shared" si="16"/>
        <v>TYPE_6</v>
      </c>
      <c r="Z37" s="399" t="str">
        <f t="shared" si="17"/>
        <v>TYPE_2</v>
      </c>
      <c r="AA37" s="414">
        <f>VLOOKUP(Z37,[11]調整參數1_116!A:J,10,0)</f>
        <v>1.1000000000000001</v>
      </c>
      <c r="AB37" s="415">
        <f t="shared" si="18"/>
        <v>67100000</v>
      </c>
      <c r="AC37" s="413">
        <f t="shared" si="19"/>
        <v>20020000</v>
      </c>
      <c r="AD37" s="401">
        <f t="shared" si="20"/>
        <v>0.42523364485981308</v>
      </c>
      <c r="AE37" s="413">
        <f t="shared" si="21"/>
        <v>6096156</v>
      </c>
      <c r="AF37" s="401">
        <f t="shared" si="22"/>
        <v>9.9930686335110291E-2</v>
      </c>
    </row>
    <row r="38" spans="1:32">
      <c r="A38" s="399">
        <v>143</v>
      </c>
      <c r="B38" s="399" t="s">
        <v>80</v>
      </c>
      <c r="C38" s="399" t="s">
        <v>523</v>
      </c>
      <c r="D38" s="399" t="s">
        <v>7</v>
      </c>
      <c r="E38" s="423">
        <v>35850178</v>
      </c>
      <c r="F38" s="423">
        <v>33370000</v>
      </c>
      <c r="G38" s="424">
        <f t="shared" si="1"/>
        <v>1.0743235840575367</v>
      </c>
      <c r="H38" s="400">
        <f t="shared" si="2"/>
        <v>44219159</v>
      </c>
      <c r="I38" s="400">
        <v>41160000</v>
      </c>
      <c r="J38" s="401">
        <f t="shared" si="3"/>
        <v>1.0743235908649174</v>
      </c>
      <c r="K38" s="412" t="str">
        <f t="shared" si="4"/>
        <v>TYPE_6</v>
      </c>
      <c r="L38" s="401">
        <f>VLOOKUP(J38,[11]原始參數_115!E:F,2,1)</f>
        <v>1.05</v>
      </c>
      <c r="M38" s="401">
        <f>VLOOKUP(J38,[11]原始參數_115!E:G,3,1)</f>
        <v>1</v>
      </c>
      <c r="N38" s="413">
        <f t="shared" si="5"/>
        <v>46430000</v>
      </c>
      <c r="O38" s="403">
        <f t="shared" si="6"/>
        <v>3.411E-3</v>
      </c>
      <c r="P38" s="401">
        <f t="shared" si="7"/>
        <v>1</v>
      </c>
      <c r="Q38" s="413">
        <f t="shared" si="8"/>
        <v>46430000</v>
      </c>
      <c r="R38" s="413">
        <f t="shared" si="9"/>
        <v>0</v>
      </c>
      <c r="S38" s="413">
        <f t="shared" si="10"/>
        <v>46430000</v>
      </c>
      <c r="T38" s="403">
        <f t="shared" si="11"/>
        <v>4.7429999999999998E-3</v>
      </c>
      <c r="U38" s="413">
        <f t="shared" si="12"/>
        <v>910000</v>
      </c>
      <c r="V38" s="413">
        <f t="shared" si="13"/>
        <v>910000</v>
      </c>
      <c r="W38" s="413">
        <f t="shared" si="14"/>
        <v>47340000</v>
      </c>
      <c r="X38" s="401">
        <f t="shared" si="15"/>
        <v>0.93407602450359106</v>
      </c>
      <c r="Y38" s="412" t="str">
        <f t="shared" si="16"/>
        <v>TYPE_7</v>
      </c>
      <c r="Z38" s="399" t="str">
        <f t="shared" si="17"/>
        <v>TYPE_2</v>
      </c>
      <c r="AA38" s="414">
        <f>VLOOKUP(Z38,[11]調整參數1_116!A:J,10,0)</f>
        <v>1.1000000000000001</v>
      </c>
      <c r="AB38" s="415">
        <f t="shared" si="18"/>
        <v>48640000</v>
      </c>
      <c r="AC38" s="413">
        <f t="shared" si="19"/>
        <v>7480000</v>
      </c>
      <c r="AD38" s="401">
        <f t="shared" si="20"/>
        <v>0.18172983479105928</v>
      </c>
      <c r="AE38" s="413">
        <f t="shared" si="21"/>
        <v>4420841</v>
      </c>
      <c r="AF38" s="401">
        <f t="shared" si="22"/>
        <v>9.9975691532260935E-2</v>
      </c>
    </row>
    <row r="39" spans="1:32">
      <c r="A39" s="399">
        <v>145</v>
      </c>
      <c r="B39" s="399" t="s">
        <v>81</v>
      </c>
      <c r="C39" s="399" t="s">
        <v>524</v>
      </c>
      <c r="D39" s="399" t="s">
        <v>0</v>
      </c>
      <c r="E39" s="423">
        <v>33955594.509999998</v>
      </c>
      <c r="F39" s="423">
        <v>25108000</v>
      </c>
      <c r="G39" s="424">
        <f t="shared" si="1"/>
        <v>1.3523814923530348</v>
      </c>
      <c r="H39" s="400">
        <f t="shared" si="2"/>
        <v>43235636</v>
      </c>
      <c r="I39" s="400">
        <v>31970000</v>
      </c>
      <c r="J39" s="401">
        <f t="shared" si="3"/>
        <v>1.3523814826399749</v>
      </c>
      <c r="K39" s="412" t="str">
        <f t="shared" si="4"/>
        <v>TYPE_3</v>
      </c>
      <c r="L39" s="401">
        <f>VLOOKUP(J39,[11]原始參數_115!E:F,2,1)</f>
        <v>0.9</v>
      </c>
      <c r="M39" s="401">
        <f>VLOOKUP(J39,[11]原始參數_115!E:G,3,1)</f>
        <v>1</v>
      </c>
      <c r="N39" s="413">
        <f t="shared" si="5"/>
        <v>38910000</v>
      </c>
      <c r="O39" s="403">
        <f t="shared" si="6"/>
        <v>2.859E-3</v>
      </c>
      <c r="P39" s="401">
        <f t="shared" si="7"/>
        <v>1.2</v>
      </c>
      <c r="Q39" s="413">
        <f t="shared" si="8"/>
        <v>38360000</v>
      </c>
      <c r="R39" s="413">
        <f t="shared" si="9"/>
        <v>-550000</v>
      </c>
      <c r="S39" s="413">
        <f t="shared" si="10"/>
        <v>0</v>
      </c>
      <c r="T39" s="403">
        <f t="shared" si="11"/>
        <v>0</v>
      </c>
      <c r="U39" s="413">
        <f t="shared" si="12"/>
        <v>0</v>
      </c>
      <c r="V39" s="413">
        <f t="shared" si="13"/>
        <v>-550000</v>
      </c>
      <c r="W39" s="413">
        <f t="shared" si="14"/>
        <v>38360000</v>
      </c>
      <c r="X39" s="401">
        <f t="shared" si="15"/>
        <v>1.1271020855057352</v>
      </c>
      <c r="Y39" s="412" t="str">
        <f t="shared" si="16"/>
        <v>TYPE_5</v>
      </c>
      <c r="Z39" s="399" t="str">
        <f t="shared" si="17"/>
        <v>TYPE_1</v>
      </c>
      <c r="AA39" s="414">
        <f>VLOOKUP(Z39,[11]調整參數1_116!A:J,10,0)</f>
        <v>0.9</v>
      </c>
      <c r="AB39" s="415">
        <f t="shared" si="18"/>
        <v>38910000</v>
      </c>
      <c r="AC39" s="413">
        <f t="shared" si="19"/>
        <v>6940000</v>
      </c>
      <c r="AD39" s="401">
        <f t="shared" si="20"/>
        <v>0.21707851110416015</v>
      </c>
      <c r="AE39" s="413">
        <f t="shared" si="21"/>
        <v>-4325636</v>
      </c>
      <c r="AF39" s="401">
        <f t="shared" si="22"/>
        <v>-0.10004793268219762</v>
      </c>
    </row>
    <row r="40" spans="1:32">
      <c r="A40" s="399">
        <v>147</v>
      </c>
      <c r="B40" s="399" t="s">
        <v>152</v>
      </c>
      <c r="C40" s="399" t="s">
        <v>522</v>
      </c>
      <c r="D40" s="399" t="s">
        <v>0</v>
      </c>
      <c r="E40" s="423">
        <v>61435693.950000003</v>
      </c>
      <c r="F40" s="423">
        <v>52250000</v>
      </c>
      <c r="G40" s="424">
        <f t="shared" si="1"/>
        <v>1.1758027550239234</v>
      </c>
      <c r="H40" s="400">
        <f t="shared" si="2"/>
        <v>77955723</v>
      </c>
      <c r="I40" s="400">
        <v>66300000</v>
      </c>
      <c r="J40" s="401">
        <f t="shared" si="3"/>
        <v>1.1758027601809955</v>
      </c>
      <c r="K40" s="412" t="str">
        <f t="shared" si="4"/>
        <v>TYPE_5</v>
      </c>
      <c r="L40" s="401">
        <f>VLOOKUP(J40,[11]原始參數_115!E:F,2,1)</f>
        <v>1.03</v>
      </c>
      <c r="M40" s="401">
        <f>VLOOKUP(J40,[11]原始參數_115!E:G,3,1)</f>
        <v>1</v>
      </c>
      <c r="N40" s="413">
        <f t="shared" si="5"/>
        <v>80290000</v>
      </c>
      <c r="O40" s="403">
        <f t="shared" si="6"/>
        <v>5.8989999999999997E-3</v>
      </c>
      <c r="P40" s="401">
        <f t="shared" si="7"/>
        <v>1</v>
      </c>
      <c r="Q40" s="413">
        <f t="shared" si="8"/>
        <v>80290000</v>
      </c>
      <c r="R40" s="413">
        <f t="shared" si="9"/>
        <v>0</v>
      </c>
      <c r="S40" s="413">
        <f t="shared" si="10"/>
        <v>80290000</v>
      </c>
      <c r="T40" s="403">
        <f t="shared" si="11"/>
        <v>8.2019999999999992E-3</v>
      </c>
      <c r="U40" s="413">
        <f t="shared" si="12"/>
        <v>1570000</v>
      </c>
      <c r="V40" s="413">
        <f t="shared" si="13"/>
        <v>1570000</v>
      </c>
      <c r="W40" s="413">
        <f t="shared" si="14"/>
        <v>81860000</v>
      </c>
      <c r="X40" s="401">
        <f t="shared" si="15"/>
        <v>0.95230543611043239</v>
      </c>
      <c r="Y40" s="412" t="str">
        <f t="shared" si="16"/>
        <v>TYPE_7</v>
      </c>
      <c r="Z40" s="399" t="str">
        <f t="shared" si="17"/>
        <v>TYPE_2</v>
      </c>
      <c r="AA40" s="414">
        <f>VLOOKUP(Z40,[11]調整參數1_116!A:J,10,0)</f>
        <v>1.1000000000000001</v>
      </c>
      <c r="AB40" s="415">
        <f t="shared" si="18"/>
        <v>85750000</v>
      </c>
      <c r="AC40" s="413">
        <f t="shared" si="19"/>
        <v>19450000</v>
      </c>
      <c r="AD40" s="401">
        <f t="shared" si="20"/>
        <v>0.2933634992458522</v>
      </c>
      <c r="AE40" s="413">
        <f t="shared" si="21"/>
        <v>7794277</v>
      </c>
      <c r="AF40" s="401">
        <f t="shared" si="22"/>
        <v>9.9983384157696795E-2</v>
      </c>
    </row>
    <row r="41" spans="1:32">
      <c r="A41" s="399">
        <v>148</v>
      </c>
      <c r="B41" s="399" t="s">
        <v>82</v>
      </c>
      <c r="C41" s="399" t="s">
        <v>524</v>
      </c>
      <c r="D41" s="399" t="s">
        <v>0</v>
      </c>
      <c r="E41" s="423">
        <v>29485669.34</v>
      </c>
      <c r="F41" s="423">
        <v>34905000</v>
      </c>
      <c r="G41" s="424">
        <f t="shared" si="1"/>
        <v>0.84474056267010456</v>
      </c>
      <c r="H41" s="400">
        <f t="shared" si="2"/>
        <v>37388217</v>
      </c>
      <c r="I41" s="400">
        <v>44260000</v>
      </c>
      <c r="J41" s="401">
        <f t="shared" si="3"/>
        <v>0.84474055580659735</v>
      </c>
      <c r="K41" s="412" t="str">
        <f t="shared" si="4"/>
        <v>TYPE_8</v>
      </c>
      <c r="L41" s="401">
        <f>VLOOKUP(J41,[11]原始參數_115!E:F,2,1)</f>
        <v>1</v>
      </c>
      <c r="M41" s="401">
        <f>VLOOKUP(J41,[11]原始參數_115!E:G,3,1)</f>
        <v>1.1000000000000001</v>
      </c>
      <c r="N41" s="413">
        <f t="shared" si="5"/>
        <v>48690000</v>
      </c>
      <c r="O41" s="403">
        <f t="shared" si="6"/>
        <v>3.5769999999999999E-3</v>
      </c>
      <c r="P41" s="401">
        <f t="shared" si="7"/>
        <v>1</v>
      </c>
      <c r="Q41" s="413">
        <f t="shared" si="8"/>
        <v>48690000</v>
      </c>
      <c r="R41" s="413">
        <f t="shared" si="9"/>
        <v>0</v>
      </c>
      <c r="S41" s="413">
        <f t="shared" si="10"/>
        <v>48690000</v>
      </c>
      <c r="T41" s="403">
        <f t="shared" si="11"/>
        <v>4.9740000000000001E-3</v>
      </c>
      <c r="U41" s="413">
        <f t="shared" si="12"/>
        <v>950000</v>
      </c>
      <c r="V41" s="413">
        <f t="shared" si="13"/>
        <v>950000</v>
      </c>
      <c r="W41" s="413">
        <f t="shared" si="14"/>
        <v>49640000</v>
      </c>
      <c r="X41" s="401">
        <f t="shared" si="15"/>
        <v>0.75318728847703464</v>
      </c>
      <c r="Y41" s="412" t="str">
        <f t="shared" si="16"/>
        <v>TYPE_8</v>
      </c>
      <c r="Z41" s="399" t="str">
        <f t="shared" si="17"/>
        <v>TYPE_3</v>
      </c>
      <c r="AA41" s="414">
        <f>VLOOKUP(Z41,[11]調整參數1_116!A:J,10,0)</f>
        <v>1.1499999999999999</v>
      </c>
      <c r="AB41" s="415">
        <f t="shared" si="18"/>
        <v>43000000</v>
      </c>
      <c r="AC41" s="413">
        <f t="shared" si="19"/>
        <v>-1260000</v>
      </c>
      <c r="AD41" s="401">
        <f t="shared" si="20"/>
        <v>-2.8468142792589246E-2</v>
      </c>
      <c r="AE41" s="413">
        <f t="shared" si="21"/>
        <v>5611783</v>
      </c>
      <c r="AF41" s="401">
        <f t="shared" si="22"/>
        <v>0.1500949617362069</v>
      </c>
    </row>
    <row r="42" spans="1:32">
      <c r="A42" s="399">
        <v>149</v>
      </c>
      <c r="B42" s="399" t="s">
        <v>153</v>
      </c>
      <c r="C42" s="399" t="s">
        <v>522</v>
      </c>
      <c r="D42" s="399" t="s">
        <v>0</v>
      </c>
      <c r="E42" s="423">
        <v>49409429.109999999</v>
      </c>
      <c r="F42" s="423">
        <v>48815000</v>
      </c>
      <c r="G42" s="424">
        <f t="shared" si="1"/>
        <v>1.01217718139916</v>
      </c>
      <c r="H42" s="400">
        <f t="shared" si="2"/>
        <v>62694255</v>
      </c>
      <c r="I42" s="400">
        <v>61940000</v>
      </c>
      <c r="J42" s="401">
        <f t="shared" si="3"/>
        <v>1.012177187600904</v>
      </c>
      <c r="K42" s="412" t="str">
        <f t="shared" si="4"/>
        <v>TYPE_6</v>
      </c>
      <c r="L42" s="401">
        <f>VLOOKUP(J42,[11]原始參數_115!E:F,2,1)</f>
        <v>1.05</v>
      </c>
      <c r="M42" s="401">
        <f>VLOOKUP(J42,[11]原始參數_115!E:G,3,1)</f>
        <v>1</v>
      </c>
      <c r="N42" s="413">
        <f t="shared" si="5"/>
        <v>65830000</v>
      </c>
      <c r="O42" s="403">
        <f t="shared" si="6"/>
        <v>4.8370000000000002E-3</v>
      </c>
      <c r="P42" s="401">
        <f t="shared" si="7"/>
        <v>1</v>
      </c>
      <c r="Q42" s="413">
        <f t="shared" si="8"/>
        <v>65830000</v>
      </c>
      <c r="R42" s="413">
        <f t="shared" si="9"/>
        <v>0</v>
      </c>
      <c r="S42" s="413">
        <f t="shared" si="10"/>
        <v>65830000</v>
      </c>
      <c r="T42" s="403">
        <f t="shared" si="11"/>
        <v>6.7250000000000001E-3</v>
      </c>
      <c r="U42" s="413">
        <f t="shared" si="12"/>
        <v>1290000</v>
      </c>
      <c r="V42" s="413">
        <f t="shared" si="13"/>
        <v>1290000</v>
      </c>
      <c r="W42" s="413">
        <f t="shared" si="14"/>
        <v>67120000</v>
      </c>
      <c r="X42" s="401">
        <f t="shared" si="15"/>
        <v>0.9340622020262217</v>
      </c>
      <c r="Y42" s="412" t="str">
        <f t="shared" si="16"/>
        <v>TYPE_7</v>
      </c>
      <c r="Z42" s="399" t="str">
        <f t="shared" si="17"/>
        <v>TYPE_2</v>
      </c>
      <c r="AA42" s="414">
        <f>VLOOKUP(Z42,[11]調整參數1_116!A:J,10,0)</f>
        <v>1.1000000000000001</v>
      </c>
      <c r="AB42" s="415">
        <f t="shared" si="18"/>
        <v>68960000</v>
      </c>
      <c r="AC42" s="413">
        <f t="shared" si="19"/>
        <v>7020000</v>
      </c>
      <c r="AD42" s="401">
        <f t="shared" si="20"/>
        <v>0.11333548595414918</v>
      </c>
      <c r="AE42" s="413">
        <f t="shared" si="21"/>
        <v>6265745</v>
      </c>
      <c r="AF42" s="401">
        <f t="shared" si="22"/>
        <v>9.9941294461510066E-2</v>
      </c>
    </row>
    <row r="43" spans="1:32">
      <c r="A43" s="399">
        <v>151</v>
      </c>
      <c r="B43" s="399" t="s">
        <v>154</v>
      </c>
      <c r="C43" s="399" t="s">
        <v>521</v>
      </c>
      <c r="D43" s="399" t="s">
        <v>7</v>
      </c>
      <c r="E43" s="423">
        <v>74233992.159999996</v>
      </c>
      <c r="F43" s="423">
        <v>65102000</v>
      </c>
      <c r="G43" s="424">
        <f t="shared" si="1"/>
        <v>1.1402720678320173</v>
      </c>
      <c r="H43" s="400">
        <f t="shared" si="2"/>
        <v>94209278</v>
      </c>
      <c r="I43" s="400">
        <v>82620000</v>
      </c>
      <c r="J43" s="401">
        <f t="shared" si="3"/>
        <v>1.1402720648753328</v>
      </c>
      <c r="K43" s="412" t="str">
        <f t="shared" si="4"/>
        <v>TYPE_5</v>
      </c>
      <c r="L43" s="401">
        <f>VLOOKUP(J43,[11]原始參數_115!E:F,2,1)</f>
        <v>1.03</v>
      </c>
      <c r="M43" s="401">
        <f>VLOOKUP(J43,[11]原始參數_115!E:G,3,1)</f>
        <v>1</v>
      </c>
      <c r="N43" s="413">
        <f t="shared" si="5"/>
        <v>97040000</v>
      </c>
      <c r="O43" s="403">
        <f t="shared" si="6"/>
        <v>7.1300000000000001E-3</v>
      </c>
      <c r="P43" s="401">
        <f t="shared" si="7"/>
        <v>1</v>
      </c>
      <c r="Q43" s="413">
        <f t="shared" si="8"/>
        <v>97040000</v>
      </c>
      <c r="R43" s="413">
        <f t="shared" si="9"/>
        <v>0</v>
      </c>
      <c r="S43" s="413">
        <f t="shared" si="10"/>
        <v>97040000</v>
      </c>
      <c r="T43" s="403">
        <f t="shared" si="11"/>
        <v>9.9129999999999999E-3</v>
      </c>
      <c r="U43" s="413">
        <f t="shared" si="12"/>
        <v>1900000</v>
      </c>
      <c r="V43" s="413">
        <f t="shared" si="13"/>
        <v>1900000</v>
      </c>
      <c r="W43" s="413">
        <f t="shared" si="14"/>
        <v>98940000</v>
      </c>
      <c r="X43" s="401">
        <f t="shared" si="15"/>
        <v>0.95218595108146353</v>
      </c>
      <c r="Y43" s="412" t="str">
        <f t="shared" si="16"/>
        <v>TYPE_7</v>
      </c>
      <c r="Z43" s="399" t="str">
        <f t="shared" si="17"/>
        <v>TYPE_2</v>
      </c>
      <c r="AA43" s="414">
        <f>VLOOKUP(Z43,[11]調整參數1_116!A:J,10,0)</f>
        <v>1.1000000000000001</v>
      </c>
      <c r="AB43" s="415">
        <f t="shared" si="18"/>
        <v>103630000</v>
      </c>
      <c r="AC43" s="413">
        <f t="shared" si="19"/>
        <v>21010000</v>
      </c>
      <c r="AD43" s="401">
        <f t="shared" si="20"/>
        <v>0.2542967804405713</v>
      </c>
      <c r="AE43" s="413">
        <f t="shared" si="21"/>
        <v>9420722</v>
      </c>
      <c r="AF43" s="401">
        <f t="shared" si="22"/>
        <v>9.9997815501781051E-2</v>
      </c>
    </row>
    <row r="44" spans="1:32">
      <c r="A44" s="399">
        <v>152</v>
      </c>
      <c r="B44" s="399" t="s">
        <v>155</v>
      </c>
      <c r="C44" s="399" t="s">
        <v>525</v>
      </c>
      <c r="D44" s="399" t="s">
        <v>0</v>
      </c>
      <c r="E44" s="423">
        <v>48162959.710000001</v>
      </c>
      <c r="F44" s="423">
        <v>60471000</v>
      </c>
      <c r="G44" s="424">
        <f t="shared" si="1"/>
        <v>0.79646375469233188</v>
      </c>
      <c r="H44" s="400">
        <f t="shared" si="2"/>
        <v>61112664</v>
      </c>
      <c r="I44" s="400">
        <v>76730000</v>
      </c>
      <c r="J44" s="401">
        <f t="shared" si="3"/>
        <v>0.79646375602762931</v>
      </c>
      <c r="K44" s="412" t="str">
        <f t="shared" si="4"/>
        <v>TYPE_8</v>
      </c>
      <c r="L44" s="401">
        <f>VLOOKUP(J44,[11]原始參數_115!E:F,2,1)</f>
        <v>1</v>
      </c>
      <c r="M44" s="401">
        <f>VLOOKUP(J44,[11]原始參數_115!E:G,3,1)</f>
        <v>1.1000000000000001</v>
      </c>
      <c r="N44" s="413">
        <f t="shared" si="5"/>
        <v>84400000</v>
      </c>
      <c r="O44" s="403">
        <f t="shared" si="6"/>
        <v>6.2009999999999999E-3</v>
      </c>
      <c r="P44" s="401">
        <f t="shared" si="7"/>
        <v>1</v>
      </c>
      <c r="Q44" s="413">
        <f t="shared" si="8"/>
        <v>84400000</v>
      </c>
      <c r="R44" s="413">
        <f t="shared" si="9"/>
        <v>0</v>
      </c>
      <c r="S44" s="413">
        <f t="shared" si="10"/>
        <v>84400000</v>
      </c>
      <c r="T44" s="403">
        <f t="shared" si="11"/>
        <v>8.6210000000000002E-3</v>
      </c>
      <c r="U44" s="413">
        <f t="shared" si="12"/>
        <v>1650000</v>
      </c>
      <c r="V44" s="413">
        <f t="shared" si="13"/>
        <v>1650000</v>
      </c>
      <c r="W44" s="413">
        <f t="shared" si="14"/>
        <v>86050000</v>
      </c>
      <c r="X44" s="401">
        <f t="shared" si="15"/>
        <v>0.71019946542707724</v>
      </c>
      <c r="Y44" s="412" t="str">
        <f t="shared" si="16"/>
        <v>TYPE_9</v>
      </c>
      <c r="Z44" s="399" t="str">
        <f t="shared" si="17"/>
        <v>TYPE_3</v>
      </c>
      <c r="AA44" s="414">
        <f>VLOOKUP(Z44,[11]調整參數1_116!A:J,10,0)</f>
        <v>1.1499999999999999</v>
      </c>
      <c r="AB44" s="415">
        <f t="shared" si="18"/>
        <v>70280000</v>
      </c>
      <c r="AC44" s="413">
        <f t="shared" si="19"/>
        <v>-6450000</v>
      </c>
      <c r="AD44" s="401">
        <f t="shared" si="20"/>
        <v>-8.4060993092662586E-2</v>
      </c>
      <c r="AE44" s="413">
        <f t="shared" si="21"/>
        <v>9167336</v>
      </c>
      <c r="AF44" s="401">
        <f t="shared" si="22"/>
        <v>0.15000714090945208</v>
      </c>
    </row>
    <row r="45" spans="1:32">
      <c r="A45" s="399">
        <v>153</v>
      </c>
      <c r="B45" s="399" t="s">
        <v>156</v>
      </c>
      <c r="C45" s="399" t="s">
        <v>521</v>
      </c>
      <c r="D45" s="399" t="s">
        <v>0</v>
      </c>
      <c r="E45" s="423">
        <v>71942216.209999993</v>
      </c>
      <c r="F45" s="423">
        <v>55434000</v>
      </c>
      <c r="G45" s="424">
        <f t="shared" si="1"/>
        <v>1.2977994770357542</v>
      </c>
      <c r="H45" s="400">
        <f t="shared" si="2"/>
        <v>91287215</v>
      </c>
      <c r="I45" s="400">
        <v>70340000</v>
      </c>
      <c r="J45" s="401">
        <f t="shared" si="3"/>
        <v>1.2977994739835086</v>
      </c>
      <c r="K45" s="412" t="str">
        <f t="shared" si="4"/>
        <v>TYPE_4</v>
      </c>
      <c r="L45" s="401">
        <f>VLOOKUP(J45,[11]原始參數_115!E:F,2,1)</f>
        <v>1.01</v>
      </c>
      <c r="M45" s="401">
        <f>VLOOKUP(J45,[11]原始參數_115!E:G,3,1)</f>
        <v>1</v>
      </c>
      <c r="N45" s="413">
        <f t="shared" si="5"/>
        <v>92200000</v>
      </c>
      <c r="O45" s="403">
        <f t="shared" si="6"/>
        <v>6.7739999999999996E-3</v>
      </c>
      <c r="P45" s="401">
        <f t="shared" si="7"/>
        <v>1.2</v>
      </c>
      <c r="Q45" s="413">
        <f t="shared" si="8"/>
        <v>84410000</v>
      </c>
      <c r="R45" s="413">
        <f t="shared" si="9"/>
        <v>-7790000</v>
      </c>
      <c r="S45" s="413">
        <f t="shared" si="10"/>
        <v>0</v>
      </c>
      <c r="T45" s="403">
        <f t="shared" si="11"/>
        <v>0</v>
      </c>
      <c r="U45" s="413">
        <f t="shared" si="12"/>
        <v>0</v>
      </c>
      <c r="V45" s="413">
        <f t="shared" si="13"/>
        <v>-7790000</v>
      </c>
      <c r="W45" s="413">
        <f t="shared" si="14"/>
        <v>84410000</v>
      </c>
      <c r="X45" s="401">
        <f t="shared" si="15"/>
        <v>1.0814739367373534</v>
      </c>
      <c r="Y45" s="412" t="str">
        <f t="shared" si="16"/>
        <v>TYPE_6</v>
      </c>
      <c r="Z45" s="399" t="str">
        <f t="shared" si="17"/>
        <v>TYPE_2</v>
      </c>
      <c r="AA45" s="414">
        <f>VLOOKUP(Z45,[11]調整參數1_116!A:J,10,0)</f>
        <v>1.1000000000000001</v>
      </c>
      <c r="AB45" s="415">
        <f t="shared" si="18"/>
        <v>100420000</v>
      </c>
      <c r="AC45" s="413">
        <f t="shared" si="19"/>
        <v>30080000</v>
      </c>
      <c r="AD45" s="401">
        <f t="shared" si="20"/>
        <v>0.42763719078760309</v>
      </c>
      <c r="AE45" s="413">
        <f t="shared" si="21"/>
        <v>9132785</v>
      </c>
      <c r="AF45" s="401">
        <f t="shared" si="22"/>
        <v>0.10004451335271868</v>
      </c>
    </row>
    <row r="46" spans="1:32">
      <c r="A46" s="399">
        <v>154</v>
      </c>
      <c r="B46" s="399" t="s">
        <v>8</v>
      </c>
      <c r="C46" s="399" t="s">
        <v>526</v>
      </c>
      <c r="D46" s="399" t="s">
        <v>0</v>
      </c>
      <c r="E46" s="423">
        <v>39239633.479999997</v>
      </c>
      <c r="F46" s="423">
        <v>30247000</v>
      </c>
      <c r="G46" s="424">
        <f t="shared" si="1"/>
        <v>1.2973066247892351</v>
      </c>
      <c r="H46" s="400">
        <f t="shared" si="2"/>
        <v>49686844</v>
      </c>
      <c r="I46" s="400">
        <v>38300000</v>
      </c>
      <c r="J46" s="401">
        <f t="shared" si="3"/>
        <v>1.2973066318537858</v>
      </c>
      <c r="K46" s="412" t="str">
        <f t="shared" si="4"/>
        <v>TYPE_4</v>
      </c>
      <c r="L46" s="401">
        <f>VLOOKUP(J46,[11]原始參數_115!E:F,2,1)</f>
        <v>1.01</v>
      </c>
      <c r="M46" s="401">
        <f>VLOOKUP(J46,[11]原始參數_115!E:G,3,1)</f>
        <v>1</v>
      </c>
      <c r="N46" s="413">
        <f t="shared" si="5"/>
        <v>50180000</v>
      </c>
      <c r="O46" s="403">
        <f t="shared" si="6"/>
        <v>3.6870000000000002E-3</v>
      </c>
      <c r="P46" s="401">
        <f t="shared" si="7"/>
        <v>1.2</v>
      </c>
      <c r="Q46" s="413">
        <f t="shared" si="8"/>
        <v>45960000</v>
      </c>
      <c r="R46" s="413">
        <f t="shared" si="9"/>
        <v>-4220000</v>
      </c>
      <c r="S46" s="413">
        <f t="shared" si="10"/>
        <v>0</v>
      </c>
      <c r="T46" s="403">
        <f t="shared" si="11"/>
        <v>0</v>
      </c>
      <c r="U46" s="413">
        <f t="shared" si="12"/>
        <v>0</v>
      </c>
      <c r="V46" s="413">
        <f t="shared" si="13"/>
        <v>-4220000</v>
      </c>
      <c r="W46" s="413">
        <f t="shared" si="14"/>
        <v>45960000</v>
      </c>
      <c r="X46" s="401">
        <f t="shared" si="15"/>
        <v>1.081088859878155</v>
      </c>
      <c r="Y46" s="412" t="str">
        <f t="shared" si="16"/>
        <v>TYPE_6</v>
      </c>
      <c r="Z46" s="399" t="str">
        <f t="shared" si="17"/>
        <v>TYPE_2</v>
      </c>
      <c r="AA46" s="414">
        <f>VLOOKUP(Z46,[11]調整參數1_116!A:J,10,0)</f>
        <v>1.1000000000000001</v>
      </c>
      <c r="AB46" s="415">
        <f t="shared" si="18"/>
        <v>54660000</v>
      </c>
      <c r="AC46" s="413">
        <f t="shared" si="19"/>
        <v>16360000</v>
      </c>
      <c r="AD46" s="401">
        <f t="shared" si="20"/>
        <v>0.42715404699738901</v>
      </c>
      <c r="AE46" s="413">
        <f t="shared" si="21"/>
        <v>4973156</v>
      </c>
      <c r="AF46" s="401">
        <f t="shared" si="22"/>
        <v>0.10008999565357783</v>
      </c>
    </row>
    <row r="47" spans="1:32">
      <c r="A47" s="399">
        <v>156</v>
      </c>
      <c r="B47" s="399" t="s">
        <v>157</v>
      </c>
      <c r="C47" s="399" t="s">
        <v>521</v>
      </c>
      <c r="D47" s="399" t="s">
        <v>0</v>
      </c>
      <c r="E47" s="423">
        <v>38520330.490000002</v>
      </c>
      <c r="F47" s="423">
        <v>40130000</v>
      </c>
      <c r="G47" s="424">
        <f t="shared" si="1"/>
        <v>0.95988862422128085</v>
      </c>
      <c r="H47" s="400">
        <f t="shared" si="2"/>
        <v>48887128</v>
      </c>
      <c r="I47" s="400">
        <v>50930000</v>
      </c>
      <c r="J47" s="401">
        <f t="shared" si="3"/>
        <v>0.95988863145493819</v>
      </c>
      <c r="K47" s="412" t="str">
        <f t="shared" si="4"/>
        <v>TYPE_7</v>
      </c>
      <c r="L47" s="401">
        <f>VLOOKUP(J47,[11]原始參數_115!E:F,2,1)</f>
        <v>1</v>
      </c>
      <c r="M47" s="401">
        <f>VLOOKUP(J47,[11]原始參數_115!E:G,3,1)</f>
        <v>1.05</v>
      </c>
      <c r="N47" s="413">
        <f t="shared" si="5"/>
        <v>53480000</v>
      </c>
      <c r="O47" s="403">
        <f t="shared" si="6"/>
        <v>3.9290000000000002E-3</v>
      </c>
      <c r="P47" s="401">
        <f t="shared" si="7"/>
        <v>1</v>
      </c>
      <c r="Q47" s="413">
        <f t="shared" si="8"/>
        <v>53480000</v>
      </c>
      <c r="R47" s="413">
        <f t="shared" si="9"/>
        <v>0</v>
      </c>
      <c r="S47" s="413">
        <f t="shared" si="10"/>
        <v>53480000</v>
      </c>
      <c r="T47" s="403">
        <f t="shared" si="11"/>
        <v>5.463E-3</v>
      </c>
      <c r="U47" s="413">
        <f t="shared" si="12"/>
        <v>1050000</v>
      </c>
      <c r="V47" s="413">
        <f t="shared" si="13"/>
        <v>1050000</v>
      </c>
      <c r="W47" s="413">
        <f t="shared" si="14"/>
        <v>54530000</v>
      </c>
      <c r="X47" s="401">
        <f t="shared" si="15"/>
        <v>0.89651802677425274</v>
      </c>
      <c r="Y47" s="412" t="str">
        <f t="shared" si="16"/>
        <v>TYPE_8</v>
      </c>
      <c r="Z47" s="399" t="str">
        <f t="shared" si="17"/>
        <v>TYPE_3</v>
      </c>
      <c r="AA47" s="414">
        <f>VLOOKUP(Z47,[11]調整參數1_116!A:J,10,0)</f>
        <v>1.1499999999999999</v>
      </c>
      <c r="AB47" s="415">
        <f t="shared" si="18"/>
        <v>56220000</v>
      </c>
      <c r="AC47" s="413">
        <f t="shared" si="19"/>
        <v>5290000</v>
      </c>
      <c r="AD47" s="401">
        <f t="shared" si="20"/>
        <v>0.10386805419202827</v>
      </c>
      <c r="AE47" s="413">
        <f t="shared" si="21"/>
        <v>7332872</v>
      </c>
      <c r="AF47" s="401">
        <f t="shared" si="22"/>
        <v>0.14999596621834688</v>
      </c>
    </row>
    <row r="48" spans="1:32">
      <c r="A48" s="399">
        <v>157</v>
      </c>
      <c r="B48" s="399" t="s">
        <v>158</v>
      </c>
      <c r="C48" s="399" t="s">
        <v>524</v>
      </c>
      <c r="D48" s="399" t="s">
        <v>0</v>
      </c>
      <c r="E48" s="423">
        <v>29667506.489999998</v>
      </c>
      <c r="F48" s="423">
        <v>29571000</v>
      </c>
      <c r="G48" s="424">
        <f t="shared" si="1"/>
        <v>1.0032635517906057</v>
      </c>
      <c r="H48" s="400">
        <f t="shared" si="2"/>
        <v>37642448</v>
      </c>
      <c r="I48" s="400">
        <v>37520000</v>
      </c>
      <c r="J48" s="401">
        <f t="shared" si="3"/>
        <v>1.0032635394456291</v>
      </c>
      <c r="K48" s="412" t="str">
        <f t="shared" si="4"/>
        <v>TYPE_6</v>
      </c>
      <c r="L48" s="401">
        <f>VLOOKUP(J48,[11]原始參數_115!E:F,2,1)</f>
        <v>1.05</v>
      </c>
      <c r="M48" s="401">
        <f>VLOOKUP(J48,[11]原始參數_115!E:G,3,1)</f>
        <v>1</v>
      </c>
      <c r="N48" s="413">
        <f t="shared" si="5"/>
        <v>39520000</v>
      </c>
      <c r="O48" s="403">
        <f t="shared" si="6"/>
        <v>2.9039999999999999E-3</v>
      </c>
      <c r="P48" s="401">
        <f t="shared" si="7"/>
        <v>1</v>
      </c>
      <c r="Q48" s="413">
        <f t="shared" si="8"/>
        <v>39520000</v>
      </c>
      <c r="R48" s="413">
        <f t="shared" si="9"/>
        <v>0</v>
      </c>
      <c r="S48" s="413">
        <f t="shared" si="10"/>
        <v>39520000</v>
      </c>
      <c r="T48" s="403">
        <f t="shared" si="11"/>
        <v>4.0369999999999998E-3</v>
      </c>
      <c r="U48" s="413">
        <f t="shared" si="12"/>
        <v>770000</v>
      </c>
      <c r="V48" s="413">
        <f t="shared" si="13"/>
        <v>770000</v>
      </c>
      <c r="W48" s="413">
        <f t="shared" si="14"/>
        <v>40290000</v>
      </c>
      <c r="X48" s="401">
        <f t="shared" si="15"/>
        <v>0.93428761479275257</v>
      </c>
      <c r="Y48" s="412" t="str">
        <f t="shared" si="16"/>
        <v>TYPE_7</v>
      </c>
      <c r="Z48" s="399" t="str">
        <f t="shared" si="17"/>
        <v>TYPE_2</v>
      </c>
      <c r="AA48" s="414">
        <f>VLOOKUP(Z48,[11]調整參數1_116!A:J,10,0)</f>
        <v>1.1000000000000001</v>
      </c>
      <c r="AB48" s="415">
        <f t="shared" si="18"/>
        <v>41410000</v>
      </c>
      <c r="AC48" s="413">
        <f t="shared" si="19"/>
        <v>3890000</v>
      </c>
      <c r="AD48" s="401">
        <f t="shared" si="20"/>
        <v>0.10367803837953092</v>
      </c>
      <c r="AE48" s="413">
        <f t="shared" si="21"/>
        <v>3767552</v>
      </c>
      <c r="AF48" s="401">
        <f t="shared" si="22"/>
        <v>0.10008785826044045</v>
      </c>
    </row>
    <row r="49" spans="1:32">
      <c r="A49" s="399">
        <v>158</v>
      </c>
      <c r="B49" s="399" t="s">
        <v>159</v>
      </c>
      <c r="C49" s="399" t="s">
        <v>522</v>
      </c>
      <c r="D49" s="399" t="s">
        <v>7</v>
      </c>
      <c r="E49" s="423">
        <v>60445885.159999996</v>
      </c>
      <c r="F49" s="423">
        <v>52076000</v>
      </c>
      <c r="G49" s="424">
        <f t="shared" si="1"/>
        <v>1.16072442507105</v>
      </c>
      <c r="H49" s="400">
        <f t="shared" si="2"/>
        <v>76700670</v>
      </c>
      <c r="I49" s="400">
        <v>66080000</v>
      </c>
      <c r="J49" s="401">
        <f t="shared" si="3"/>
        <v>1.1607244249394673</v>
      </c>
      <c r="K49" s="412" t="str">
        <f t="shared" si="4"/>
        <v>TYPE_5</v>
      </c>
      <c r="L49" s="401">
        <f>VLOOKUP(J49,[11]原始參數_115!E:F,2,1)</f>
        <v>1.03</v>
      </c>
      <c r="M49" s="401">
        <f>VLOOKUP(J49,[11]原始參數_115!E:G,3,1)</f>
        <v>1</v>
      </c>
      <c r="N49" s="413">
        <f t="shared" si="5"/>
        <v>79000000</v>
      </c>
      <c r="O49" s="403">
        <f t="shared" si="6"/>
        <v>5.8040000000000001E-3</v>
      </c>
      <c r="P49" s="401">
        <f t="shared" si="7"/>
        <v>1</v>
      </c>
      <c r="Q49" s="413">
        <f t="shared" si="8"/>
        <v>79000000</v>
      </c>
      <c r="R49" s="413">
        <f t="shared" si="9"/>
        <v>0</v>
      </c>
      <c r="S49" s="413">
        <f t="shared" si="10"/>
        <v>79000000</v>
      </c>
      <c r="T49" s="403">
        <f t="shared" si="11"/>
        <v>8.0700000000000008E-3</v>
      </c>
      <c r="U49" s="413">
        <f t="shared" si="12"/>
        <v>1540000</v>
      </c>
      <c r="V49" s="413">
        <f t="shared" si="13"/>
        <v>1540000</v>
      </c>
      <c r="W49" s="413">
        <f t="shared" si="14"/>
        <v>80540000</v>
      </c>
      <c r="X49" s="401">
        <f t="shared" si="15"/>
        <v>0.95233014651105041</v>
      </c>
      <c r="Y49" s="412" t="str">
        <f t="shared" si="16"/>
        <v>TYPE_7</v>
      </c>
      <c r="Z49" s="399" t="str">
        <f t="shared" si="17"/>
        <v>TYPE_2</v>
      </c>
      <c r="AA49" s="414">
        <f>VLOOKUP(Z49,[11]調整參數1_116!A:J,10,0)</f>
        <v>1.1000000000000001</v>
      </c>
      <c r="AB49" s="415">
        <f t="shared" si="18"/>
        <v>84370000</v>
      </c>
      <c r="AC49" s="413">
        <f t="shared" si="19"/>
        <v>18290000</v>
      </c>
      <c r="AD49" s="401">
        <f t="shared" si="20"/>
        <v>0.2767857142857143</v>
      </c>
      <c r="AE49" s="413">
        <f t="shared" si="21"/>
        <v>7669330</v>
      </c>
      <c r="AF49" s="401">
        <f t="shared" si="22"/>
        <v>9.9990391218225338E-2</v>
      </c>
    </row>
    <row r="50" spans="1:32">
      <c r="A50" s="399">
        <v>159</v>
      </c>
      <c r="B50" s="399" t="s">
        <v>83</v>
      </c>
      <c r="C50" s="399" t="s">
        <v>519</v>
      </c>
      <c r="D50" s="399" t="s">
        <v>7</v>
      </c>
      <c r="E50" s="423">
        <v>114906373.17</v>
      </c>
      <c r="F50" s="423">
        <v>93740000</v>
      </c>
      <c r="G50" s="424">
        <f t="shared" si="1"/>
        <v>1.2257987323447834</v>
      </c>
      <c r="H50" s="400">
        <f t="shared" si="2"/>
        <v>145784243</v>
      </c>
      <c r="I50" s="400">
        <v>118930000</v>
      </c>
      <c r="J50" s="401">
        <f t="shared" si="3"/>
        <v>1.2257987303455815</v>
      </c>
      <c r="K50" s="412" t="str">
        <f t="shared" si="4"/>
        <v>TYPE_4</v>
      </c>
      <c r="L50" s="401">
        <f>VLOOKUP(J50,[11]原始參數_115!E:F,2,1)</f>
        <v>1.01</v>
      </c>
      <c r="M50" s="401">
        <f>VLOOKUP(J50,[11]原始參數_115!E:G,3,1)</f>
        <v>1</v>
      </c>
      <c r="N50" s="413">
        <f t="shared" si="5"/>
        <v>147240000</v>
      </c>
      <c r="O50" s="403">
        <f t="shared" si="6"/>
        <v>1.0817999999999999E-2</v>
      </c>
      <c r="P50" s="401">
        <f t="shared" si="7"/>
        <v>1.2</v>
      </c>
      <c r="Q50" s="413">
        <f t="shared" si="8"/>
        <v>142720000</v>
      </c>
      <c r="R50" s="413">
        <f t="shared" si="9"/>
        <v>-4520000</v>
      </c>
      <c r="S50" s="413">
        <f t="shared" si="10"/>
        <v>0</v>
      </c>
      <c r="T50" s="403">
        <f t="shared" si="11"/>
        <v>0</v>
      </c>
      <c r="U50" s="413">
        <f t="shared" si="12"/>
        <v>0</v>
      </c>
      <c r="V50" s="413">
        <f t="shared" si="13"/>
        <v>-4520000</v>
      </c>
      <c r="W50" s="413">
        <f t="shared" si="14"/>
        <v>142720000</v>
      </c>
      <c r="X50" s="401">
        <f t="shared" si="15"/>
        <v>1.0214703125</v>
      </c>
      <c r="Y50" s="412" t="str">
        <f t="shared" si="16"/>
        <v>TYPE_6</v>
      </c>
      <c r="Z50" s="399" t="str">
        <f t="shared" si="17"/>
        <v>TYPE_2</v>
      </c>
      <c r="AA50" s="414">
        <f>VLOOKUP(Z50,[11]調整參數1_116!A:J,10,0)</f>
        <v>1.1000000000000001</v>
      </c>
      <c r="AB50" s="415">
        <f t="shared" si="18"/>
        <v>160360000</v>
      </c>
      <c r="AC50" s="413">
        <f t="shared" si="19"/>
        <v>41430000</v>
      </c>
      <c r="AD50" s="401">
        <f t="shared" si="20"/>
        <v>0.34835617590179097</v>
      </c>
      <c r="AE50" s="413">
        <f t="shared" si="21"/>
        <v>14575757</v>
      </c>
      <c r="AF50" s="401">
        <f t="shared" si="22"/>
        <v>9.998170378399536E-2</v>
      </c>
    </row>
    <row r="51" spans="1:32">
      <c r="A51" s="399">
        <v>160</v>
      </c>
      <c r="B51" s="399" t="s">
        <v>9</v>
      </c>
      <c r="C51" s="399" t="s">
        <v>522</v>
      </c>
      <c r="D51" s="399" t="s">
        <v>7</v>
      </c>
      <c r="E51" s="423">
        <v>82126225.689999998</v>
      </c>
      <c r="F51" s="423">
        <v>63009000</v>
      </c>
      <c r="G51" s="424">
        <f t="shared" si="1"/>
        <v>1.3034046832992112</v>
      </c>
      <c r="H51" s="400">
        <f t="shared" si="2"/>
        <v>104246307</v>
      </c>
      <c r="I51" s="400">
        <v>79980000</v>
      </c>
      <c r="J51" s="401">
        <f t="shared" si="3"/>
        <v>1.303404688672168</v>
      </c>
      <c r="K51" s="412" t="str">
        <f t="shared" si="4"/>
        <v>TYPE_3</v>
      </c>
      <c r="L51" s="401">
        <f>VLOOKUP(J51,[11]原始參數_115!E:F,2,1)</f>
        <v>0.9</v>
      </c>
      <c r="M51" s="401">
        <f>VLOOKUP(J51,[11]原始參數_115!E:G,3,1)</f>
        <v>1</v>
      </c>
      <c r="N51" s="413">
        <f t="shared" si="5"/>
        <v>93820000</v>
      </c>
      <c r="O51" s="403">
        <f t="shared" si="6"/>
        <v>6.8929999999999998E-3</v>
      </c>
      <c r="P51" s="401">
        <f t="shared" si="7"/>
        <v>1.2</v>
      </c>
      <c r="Q51" s="413">
        <f t="shared" si="8"/>
        <v>95980000</v>
      </c>
      <c r="R51" s="413">
        <f t="shared" si="9"/>
        <v>2160000</v>
      </c>
      <c r="S51" s="413">
        <f t="shared" si="10"/>
        <v>0</v>
      </c>
      <c r="T51" s="403">
        <f t="shared" si="11"/>
        <v>0</v>
      </c>
      <c r="U51" s="413">
        <f t="shared" si="12"/>
        <v>0</v>
      </c>
      <c r="V51" s="413">
        <f t="shared" si="13"/>
        <v>2160000</v>
      </c>
      <c r="W51" s="413">
        <f t="shared" si="14"/>
        <v>95980000</v>
      </c>
      <c r="X51" s="401">
        <f t="shared" si="15"/>
        <v>1.0861253073556991</v>
      </c>
      <c r="Y51" s="412" t="str">
        <f t="shared" si="16"/>
        <v>TYPE_6</v>
      </c>
      <c r="Z51" s="399" t="str">
        <f t="shared" si="17"/>
        <v>TYPE_2</v>
      </c>
      <c r="AA51" s="414">
        <f>VLOOKUP(Z51,[11]調整參數1_116!A:J,10,0)</f>
        <v>1.1000000000000001</v>
      </c>
      <c r="AB51" s="415">
        <f t="shared" si="18"/>
        <v>114670000</v>
      </c>
      <c r="AC51" s="413">
        <f t="shared" si="19"/>
        <v>34690000</v>
      </c>
      <c r="AD51" s="401">
        <f t="shared" si="20"/>
        <v>0.43373343335833958</v>
      </c>
      <c r="AE51" s="413">
        <f t="shared" si="21"/>
        <v>10423693</v>
      </c>
      <c r="AF51" s="401">
        <f t="shared" si="22"/>
        <v>9.9991004957134838E-2</v>
      </c>
    </row>
    <row r="52" spans="1:32">
      <c r="A52" s="399">
        <v>161</v>
      </c>
      <c r="B52" s="399" t="s">
        <v>160</v>
      </c>
      <c r="C52" s="399" t="s">
        <v>527</v>
      </c>
      <c r="D52" s="399" t="s">
        <v>7</v>
      </c>
      <c r="E52" s="423">
        <v>33372947.84</v>
      </c>
      <c r="F52" s="423">
        <v>40834000</v>
      </c>
      <c r="G52" s="424">
        <f t="shared" si="1"/>
        <v>0.8172833383944752</v>
      </c>
      <c r="H52" s="400">
        <f t="shared" si="2"/>
        <v>42318931</v>
      </c>
      <c r="I52" s="400">
        <v>51780000</v>
      </c>
      <c r="J52" s="401">
        <f t="shared" si="3"/>
        <v>0.81728333333333336</v>
      </c>
      <c r="K52" s="412" t="str">
        <f t="shared" si="4"/>
        <v>TYPE_8</v>
      </c>
      <c r="L52" s="401">
        <f>VLOOKUP(J52,[11]原始參數_115!E:F,2,1)</f>
        <v>1</v>
      </c>
      <c r="M52" s="401">
        <f>VLOOKUP(J52,[11]原始參數_115!E:G,3,1)</f>
        <v>1.1000000000000001</v>
      </c>
      <c r="N52" s="413">
        <f t="shared" si="5"/>
        <v>56960000</v>
      </c>
      <c r="O52" s="403">
        <f t="shared" si="6"/>
        <v>4.1850000000000004E-3</v>
      </c>
      <c r="P52" s="401">
        <f t="shared" si="7"/>
        <v>1</v>
      </c>
      <c r="Q52" s="413">
        <f t="shared" si="8"/>
        <v>56960000</v>
      </c>
      <c r="R52" s="413">
        <f t="shared" si="9"/>
        <v>0</v>
      </c>
      <c r="S52" s="413">
        <f t="shared" si="10"/>
        <v>56960000</v>
      </c>
      <c r="T52" s="403">
        <f t="shared" si="11"/>
        <v>5.8180000000000003E-3</v>
      </c>
      <c r="U52" s="413">
        <f t="shared" si="12"/>
        <v>1110000</v>
      </c>
      <c r="V52" s="413">
        <f t="shared" si="13"/>
        <v>1110000</v>
      </c>
      <c r="W52" s="413">
        <f t="shared" si="14"/>
        <v>58070000</v>
      </c>
      <c r="X52" s="401">
        <f t="shared" si="15"/>
        <v>0.72875720681935596</v>
      </c>
      <c r="Y52" s="412" t="str">
        <f t="shared" si="16"/>
        <v>TYPE_9</v>
      </c>
      <c r="Z52" s="399" t="str">
        <f t="shared" si="17"/>
        <v>TYPE_3</v>
      </c>
      <c r="AA52" s="414">
        <f>VLOOKUP(Z52,[11]調整參數1_116!A:J,10,0)</f>
        <v>1.1499999999999999</v>
      </c>
      <c r="AB52" s="415">
        <f t="shared" si="18"/>
        <v>48670000</v>
      </c>
      <c r="AC52" s="413">
        <f t="shared" si="19"/>
        <v>-3110000</v>
      </c>
      <c r="AD52" s="401">
        <f t="shared" si="20"/>
        <v>-6.0061799922750098E-2</v>
      </c>
      <c r="AE52" s="413">
        <f t="shared" si="21"/>
        <v>6351069</v>
      </c>
      <c r="AF52" s="401">
        <f t="shared" si="22"/>
        <v>0.15007630981982981</v>
      </c>
    </row>
    <row r="53" spans="1:32">
      <c r="A53" s="399">
        <v>162</v>
      </c>
      <c r="B53" s="399" t="s">
        <v>10</v>
      </c>
      <c r="C53" s="399" t="s">
        <v>519</v>
      </c>
      <c r="D53" s="399" t="s">
        <v>7</v>
      </c>
      <c r="E53" s="423">
        <v>140359100.56999999</v>
      </c>
      <c r="F53" s="423">
        <v>87670000</v>
      </c>
      <c r="G53" s="424">
        <f t="shared" si="1"/>
        <v>1.6009935048477244</v>
      </c>
      <c r="H53" s="400">
        <f t="shared" si="2"/>
        <v>178110527</v>
      </c>
      <c r="I53" s="400">
        <v>111250000</v>
      </c>
      <c r="J53" s="401">
        <f t="shared" si="3"/>
        <v>1.6009935011235954</v>
      </c>
      <c r="K53" s="412" t="str">
        <f t="shared" si="4"/>
        <v>TYPE_2</v>
      </c>
      <c r="L53" s="401">
        <f>VLOOKUP(J53,[11]原始參數_115!E:F,2,1)</f>
        <v>0.8</v>
      </c>
      <c r="M53" s="401">
        <f>VLOOKUP(J53,[11]原始參數_115!E:G,3,1)</f>
        <v>1</v>
      </c>
      <c r="N53" s="413">
        <f t="shared" si="5"/>
        <v>142490000</v>
      </c>
      <c r="O53" s="403">
        <f t="shared" si="6"/>
        <v>1.0468999999999999E-2</v>
      </c>
      <c r="P53" s="401">
        <f t="shared" si="7"/>
        <v>1.2</v>
      </c>
      <c r="Q53" s="413">
        <f t="shared" si="8"/>
        <v>133500000</v>
      </c>
      <c r="R53" s="413">
        <f t="shared" si="9"/>
        <v>-8990000</v>
      </c>
      <c r="S53" s="413">
        <f t="shared" si="10"/>
        <v>0</v>
      </c>
      <c r="T53" s="403">
        <f t="shared" si="11"/>
        <v>0</v>
      </c>
      <c r="U53" s="413">
        <f t="shared" si="12"/>
        <v>0</v>
      </c>
      <c r="V53" s="413">
        <f t="shared" si="13"/>
        <v>-8990000</v>
      </c>
      <c r="W53" s="413">
        <f t="shared" si="14"/>
        <v>133500000</v>
      </c>
      <c r="X53" s="401">
        <f t="shared" si="15"/>
        <v>1.3341612509363296</v>
      </c>
      <c r="Y53" s="412" t="str">
        <f t="shared" si="16"/>
        <v>TYPE_3</v>
      </c>
      <c r="Z53" s="399" t="str">
        <f t="shared" si="17"/>
        <v>TYPE_1</v>
      </c>
      <c r="AA53" s="414">
        <f>VLOOKUP(Z53,[11]調整參數1_116!A:J,10,0)</f>
        <v>0.9</v>
      </c>
      <c r="AB53" s="415">
        <f t="shared" si="18"/>
        <v>160300000</v>
      </c>
      <c r="AC53" s="413">
        <f t="shared" si="19"/>
        <v>49050000</v>
      </c>
      <c r="AD53" s="401">
        <f t="shared" si="20"/>
        <v>0.44089887640449438</v>
      </c>
      <c r="AE53" s="413">
        <f t="shared" si="21"/>
        <v>-17810527</v>
      </c>
      <c r="AF53" s="401">
        <f t="shared" si="22"/>
        <v>-9.9997048461936217E-2</v>
      </c>
    </row>
    <row r="54" spans="1:32">
      <c r="A54" s="399">
        <v>163</v>
      </c>
      <c r="B54" s="399" t="s">
        <v>12</v>
      </c>
      <c r="C54" s="399" t="s">
        <v>523</v>
      </c>
      <c r="D54" s="399" t="s">
        <v>11</v>
      </c>
      <c r="E54" s="423">
        <v>37342889.32</v>
      </c>
      <c r="F54" s="423">
        <v>45520000</v>
      </c>
      <c r="G54" s="424">
        <f t="shared" si="1"/>
        <v>0.82036224340949038</v>
      </c>
      <c r="H54" s="400">
        <f t="shared" si="2"/>
        <v>47384123</v>
      </c>
      <c r="I54" s="400">
        <v>57760000</v>
      </c>
      <c r="J54" s="401">
        <f t="shared" si="3"/>
        <v>0.82036224030470917</v>
      </c>
      <c r="K54" s="412" t="str">
        <f t="shared" si="4"/>
        <v>TYPE_8</v>
      </c>
      <c r="L54" s="401">
        <f>VLOOKUP(J54,[11]原始參數_115!E:F,2,1)</f>
        <v>1</v>
      </c>
      <c r="M54" s="401">
        <f>VLOOKUP(J54,[11]原始參數_115!E:G,3,1)</f>
        <v>1.1000000000000001</v>
      </c>
      <c r="N54" s="413">
        <f t="shared" si="5"/>
        <v>63540000</v>
      </c>
      <c r="O54" s="403">
        <f t="shared" si="6"/>
        <v>4.6690000000000004E-3</v>
      </c>
      <c r="P54" s="401">
        <f t="shared" si="7"/>
        <v>1</v>
      </c>
      <c r="Q54" s="413">
        <f t="shared" si="8"/>
        <v>63540000</v>
      </c>
      <c r="R54" s="413">
        <f t="shared" si="9"/>
        <v>0</v>
      </c>
      <c r="S54" s="413">
        <f t="shared" si="10"/>
        <v>63540000</v>
      </c>
      <c r="T54" s="403">
        <f t="shared" si="11"/>
        <v>6.4910000000000002E-3</v>
      </c>
      <c r="U54" s="413">
        <f t="shared" si="12"/>
        <v>1240000</v>
      </c>
      <c r="V54" s="413">
        <f t="shared" si="13"/>
        <v>1240000</v>
      </c>
      <c r="W54" s="413">
        <f t="shared" si="14"/>
        <v>64780000</v>
      </c>
      <c r="X54" s="401">
        <f t="shared" si="15"/>
        <v>0.73146222599567767</v>
      </c>
      <c r="Y54" s="412" t="str">
        <f t="shared" si="16"/>
        <v>TYPE_9</v>
      </c>
      <c r="Z54" s="399" t="str">
        <f t="shared" si="17"/>
        <v>TYPE_3</v>
      </c>
      <c r="AA54" s="414">
        <f>VLOOKUP(Z54,[11]調整參數1_116!A:J,10,0)</f>
        <v>1.1499999999999999</v>
      </c>
      <c r="AB54" s="415">
        <f t="shared" si="18"/>
        <v>54490000</v>
      </c>
      <c r="AC54" s="413">
        <f t="shared" si="19"/>
        <v>-3270000</v>
      </c>
      <c r="AD54" s="401">
        <f t="shared" si="20"/>
        <v>-5.6613573407202217E-2</v>
      </c>
      <c r="AE54" s="413">
        <f t="shared" si="21"/>
        <v>7105877</v>
      </c>
      <c r="AF54" s="401">
        <f t="shared" si="22"/>
        <v>0.14996324823823373</v>
      </c>
    </row>
    <row r="55" spans="1:32">
      <c r="A55" s="399">
        <v>164</v>
      </c>
      <c r="B55" s="399" t="s">
        <v>161</v>
      </c>
      <c r="C55" s="399" t="s">
        <v>525</v>
      </c>
      <c r="D55" s="399" t="s">
        <v>7</v>
      </c>
      <c r="E55" s="423">
        <v>43120139.789999999</v>
      </c>
      <c r="F55" s="423">
        <v>56312000</v>
      </c>
      <c r="G55" s="424">
        <f t="shared" si="1"/>
        <v>0.76573625142065638</v>
      </c>
      <c r="H55" s="400">
        <f t="shared" si="2"/>
        <v>54719513</v>
      </c>
      <c r="I55" s="400">
        <v>71460000</v>
      </c>
      <c r="J55" s="401">
        <f t="shared" si="3"/>
        <v>0.76573625804645951</v>
      </c>
      <c r="K55" s="412" t="str">
        <f t="shared" si="4"/>
        <v>TYPE_8</v>
      </c>
      <c r="L55" s="401">
        <f>VLOOKUP(J55,[11]原始參數_115!E:F,2,1)</f>
        <v>1</v>
      </c>
      <c r="M55" s="401">
        <f>VLOOKUP(J55,[11]原始參數_115!E:G,3,1)</f>
        <v>1.1000000000000001</v>
      </c>
      <c r="N55" s="413">
        <f t="shared" si="5"/>
        <v>78610000</v>
      </c>
      <c r="O55" s="403">
        <f t="shared" si="6"/>
        <v>5.7759999999999999E-3</v>
      </c>
      <c r="P55" s="401">
        <f t="shared" si="7"/>
        <v>1</v>
      </c>
      <c r="Q55" s="413">
        <f t="shared" si="8"/>
        <v>78610000</v>
      </c>
      <c r="R55" s="413">
        <f t="shared" si="9"/>
        <v>0</v>
      </c>
      <c r="S55" s="413">
        <f t="shared" si="10"/>
        <v>78610000</v>
      </c>
      <c r="T55" s="403">
        <f t="shared" si="11"/>
        <v>8.0300000000000007E-3</v>
      </c>
      <c r="U55" s="413">
        <f t="shared" si="12"/>
        <v>1540000</v>
      </c>
      <c r="V55" s="413">
        <f t="shared" si="13"/>
        <v>1540000</v>
      </c>
      <c r="W55" s="413">
        <f t="shared" si="14"/>
        <v>80150000</v>
      </c>
      <c r="X55" s="401">
        <f t="shared" si="15"/>
        <v>0.68271382407985026</v>
      </c>
      <c r="Y55" s="412" t="str">
        <f t="shared" si="16"/>
        <v>TYPE_9</v>
      </c>
      <c r="Z55" s="399" t="str">
        <f t="shared" si="17"/>
        <v>TYPE_3</v>
      </c>
      <c r="AA55" s="414">
        <f>VLOOKUP(Z55,[11]調整參數1_116!A:J,10,0)</f>
        <v>1.1499999999999999</v>
      </c>
      <c r="AB55" s="415">
        <f t="shared" si="18"/>
        <v>62930000</v>
      </c>
      <c r="AC55" s="413">
        <f t="shared" si="19"/>
        <v>-8530000</v>
      </c>
      <c r="AD55" s="401">
        <f t="shared" si="20"/>
        <v>-0.11936747830954381</v>
      </c>
      <c r="AE55" s="413">
        <f t="shared" si="21"/>
        <v>8210487</v>
      </c>
      <c r="AF55" s="401">
        <f t="shared" si="22"/>
        <v>0.15004678495585294</v>
      </c>
    </row>
    <row r="56" spans="1:32">
      <c r="A56" s="399">
        <v>165</v>
      </c>
      <c r="B56" s="399" t="s">
        <v>13</v>
      </c>
      <c r="C56" s="399" t="s">
        <v>521</v>
      </c>
      <c r="D56" s="399" t="s">
        <v>7</v>
      </c>
      <c r="E56" s="423">
        <v>104451576.45</v>
      </c>
      <c r="F56" s="423">
        <v>67390000</v>
      </c>
      <c r="G56" s="424">
        <f t="shared" si="1"/>
        <v>1.5499566174506605</v>
      </c>
      <c r="H56" s="400">
        <f t="shared" si="2"/>
        <v>132567789</v>
      </c>
      <c r="I56" s="400">
        <v>85530000</v>
      </c>
      <c r="J56" s="401">
        <f t="shared" si="3"/>
        <v>1.5499566117151877</v>
      </c>
      <c r="K56" s="412" t="str">
        <f t="shared" si="4"/>
        <v>TYPE_2</v>
      </c>
      <c r="L56" s="401">
        <f>VLOOKUP(J56,[11]原始參數_115!E:F,2,1)</f>
        <v>0.8</v>
      </c>
      <c r="M56" s="401">
        <f>VLOOKUP(J56,[11]原始參數_115!E:G,3,1)</f>
        <v>1</v>
      </c>
      <c r="N56" s="413">
        <f t="shared" si="5"/>
        <v>106050000</v>
      </c>
      <c r="O56" s="403">
        <f t="shared" si="6"/>
        <v>7.7920000000000003E-3</v>
      </c>
      <c r="P56" s="401">
        <f t="shared" si="7"/>
        <v>1.2</v>
      </c>
      <c r="Q56" s="413">
        <f t="shared" si="8"/>
        <v>102640000</v>
      </c>
      <c r="R56" s="413">
        <f t="shared" si="9"/>
        <v>-3410000</v>
      </c>
      <c r="S56" s="413">
        <f t="shared" si="10"/>
        <v>0</v>
      </c>
      <c r="T56" s="403">
        <f t="shared" si="11"/>
        <v>0</v>
      </c>
      <c r="U56" s="413">
        <f t="shared" si="12"/>
        <v>0</v>
      </c>
      <c r="V56" s="413">
        <f t="shared" si="13"/>
        <v>-3410000</v>
      </c>
      <c r="W56" s="413">
        <f t="shared" si="14"/>
        <v>102640000</v>
      </c>
      <c r="X56" s="401">
        <f t="shared" si="15"/>
        <v>1.2915801734216679</v>
      </c>
      <c r="Y56" s="412" t="str">
        <f t="shared" si="16"/>
        <v>TYPE_4</v>
      </c>
      <c r="Z56" s="399" t="str">
        <f t="shared" si="17"/>
        <v>TYPE_1</v>
      </c>
      <c r="AA56" s="414">
        <f>VLOOKUP(Z56,[11]調整參數1_116!A:J,10,0)</f>
        <v>0.9</v>
      </c>
      <c r="AB56" s="415">
        <f t="shared" si="18"/>
        <v>119310000</v>
      </c>
      <c r="AC56" s="413">
        <f t="shared" si="19"/>
        <v>33780000</v>
      </c>
      <c r="AD56" s="401">
        <f t="shared" si="20"/>
        <v>0.39494914065240266</v>
      </c>
      <c r="AE56" s="413">
        <f t="shared" si="21"/>
        <v>-13257789</v>
      </c>
      <c r="AF56" s="401">
        <f t="shared" si="22"/>
        <v>-0.10000761949797624</v>
      </c>
    </row>
    <row r="57" spans="1:32">
      <c r="A57" s="399">
        <v>166</v>
      </c>
      <c r="B57" s="399" t="s">
        <v>84</v>
      </c>
      <c r="C57" s="399" t="s">
        <v>521</v>
      </c>
      <c r="D57" s="399" t="s">
        <v>7</v>
      </c>
      <c r="E57" s="423">
        <v>45906564.5</v>
      </c>
      <c r="F57" s="423">
        <v>51150000</v>
      </c>
      <c r="G57" s="424">
        <f t="shared" si="1"/>
        <v>0.89748904203323554</v>
      </c>
      <c r="H57" s="400">
        <f t="shared" si="2"/>
        <v>58273963</v>
      </c>
      <c r="I57" s="400">
        <v>64930000</v>
      </c>
      <c r="J57" s="401">
        <f t="shared" si="3"/>
        <v>0.89748903434467886</v>
      </c>
      <c r="K57" s="412" t="str">
        <f t="shared" si="4"/>
        <v>TYPE_8</v>
      </c>
      <c r="L57" s="401">
        <f>VLOOKUP(J57,[11]原始參數_115!E:F,2,1)</f>
        <v>1</v>
      </c>
      <c r="M57" s="401">
        <f>VLOOKUP(J57,[11]原始參數_115!E:G,3,1)</f>
        <v>1.1000000000000001</v>
      </c>
      <c r="N57" s="413">
        <f t="shared" si="5"/>
        <v>71420000</v>
      </c>
      <c r="O57" s="403">
        <f t="shared" si="6"/>
        <v>5.2480000000000001E-3</v>
      </c>
      <c r="P57" s="401">
        <f t="shared" si="7"/>
        <v>1</v>
      </c>
      <c r="Q57" s="413">
        <f t="shared" si="8"/>
        <v>71420000</v>
      </c>
      <c r="R57" s="413">
        <f t="shared" si="9"/>
        <v>0</v>
      </c>
      <c r="S57" s="413">
        <f t="shared" si="10"/>
        <v>71420000</v>
      </c>
      <c r="T57" s="403">
        <f t="shared" si="11"/>
        <v>7.2960000000000004E-3</v>
      </c>
      <c r="U57" s="413">
        <f t="shared" si="12"/>
        <v>1400000</v>
      </c>
      <c r="V57" s="413">
        <f t="shared" si="13"/>
        <v>1400000</v>
      </c>
      <c r="W57" s="413">
        <f t="shared" si="14"/>
        <v>72820000</v>
      </c>
      <c r="X57" s="401">
        <f t="shared" si="15"/>
        <v>0.8002466767371601</v>
      </c>
      <c r="Y57" s="412" t="str">
        <f t="shared" si="16"/>
        <v>TYPE_8</v>
      </c>
      <c r="Z57" s="399" t="str">
        <f t="shared" si="17"/>
        <v>TYPE_3</v>
      </c>
      <c r="AA57" s="414">
        <f>VLOOKUP(Z57,[11]調整參數1_116!A:J,10,0)</f>
        <v>1.1499999999999999</v>
      </c>
      <c r="AB57" s="415">
        <f t="shared" si="18"/>
        <v>67020000</v>
      </c>
      <c r="AC57" s="413">
        <f t="shared" si="19"/>
        <v>2090000</v>
      </c>
      <c r="AD57" s="401">
        <f t="shared" si="20"/>
        <v>3.2188510703834897E-2</v>
      </c>
      <c r="AE57" s="413">
        <f t="shared" si="21"/>
        <v>8746037</v>
      </c>
      <c r="AF57" s="401">
        <f t="shared" si="22"/>
        <v>0.15008481575210528</v>
      </c>
    </row>
    <row r="58" spans="1:32">
      <c r="A58" s="399">
        <v>167</v>
      </c>
      <c r="B58" s="399" t="s">
        <v>162</v>
      </c>
      <c r="C58" s="399" t="s">
        <v>522</v>
      </c>
      <c r="D58" s="399" t="s">
        <v>7</v>
      </c>
      <c r="E58" s="423">
        <v>69348849.510000005</v>
      </c>
      <c r="F58" s="423">
        <v>79509000</v>
      </c>
      <c r="G58" s="424">
        <f t="shared" si="1"/>
        <v>0.87221383126438523</v>
      </c>
      <c r="H58" s="400">
        <f t="shared" si="2"/>
        <v>87988931</v>
      </c>
      <c r="I58" s="400">
        <v>100880000</v>
      </c>
      <c r="J58" s="401">
        <f t="shared" si="3"/>
        <v>0.87221382831086436</v>
      </c>
      <c r="K58" s="412" t="str">
        <f t="shared" si="4"/>
        <v>TYPE_8</v>
      </c>
      <c r="L58" s="401">
        <f>VLOOKUP(J58,[11]原始參數_115!E:F,2,1)</f>
        <v>1</v>
      </c>
      <c r="M58" s="401">
        <f>VLOOKUP(J58,[11]原始參數_115!E:G,3,1)</f>
        <v>1.1000000000000001</v>
      </c>
      <c r="N58" s="413">
        <f t="shared" si="5"/>
        <v>110970000</v>
      </c>
      <c r="O58" s="403">
        <f t="shared" si="6"/>
        <v>8.1530000000000005E-3</v>
      </c>
      <c r="P58" s="401">
        <f t="shared" si="7"/>
        <v>1</v>
      </c>
      <c r="Q58" s="413">
        <f t="shared" si="8"/>
        <v>110970000</v>
      </c>
      <c r="R58" s="413">
        <f t="shared" si="9"/>
        <v>0</v>
      </c>
      <c r="S58" s="413">
        <f t="shared" si="10"/>
        <v>110970000</v>
      </c>
      <c r="T58" s="403">
        <f t="shared" si="11"/>
        <v>1.1336000000000001E-2</v>
      </c>
      <c r="U58" s="413">
        <f t="shared" si="12"/>
        <v>2170000</v>
      </c>
      <c r="V58" s="413">
        <f t="shared" si="13"/>
        <v>2170000</v>
      </c>
      <c r="W58" s="413">
        <f t="shared" si="14"/>
        <v>113140000</v>
      </c>
      <c r="X58" s="401">
        <f t="shared" si="15"/>
        <v>0.77769958458546928</v>
      </c>
      <c r="Y58" s="412" t="str">
        <f t="shared" si="16"/>
        <v>TYPE_8</v>
      </c>
      <c r="Z58" s="399" t="str">
        <f t="shared" si="17"/>
        <v>TYPE_3</v>
      </c>
      <c r="AA58" s="414">
        <f>VLOOKUP(Z58,[11]調整參數1_116!A:J,10,0)</f>
        <v>1.1499999999999999</v>
      </c>
      <c r="AB58" s="415">
        <f t="shared" si="18"/>
        <v>101190000</v>
      </c>
      <c r="AC58" s="413">
        <f t="shared" si="19"/>
        <v>310000</v>
      </c>
      <c r="AD58" s="401">
        <f t="shared" si="20"/>
        <v>3.0729579698651863E-3</v>
      </c>
      <c r="AE58" s="413">
        <f t="shared" si="21"/>
        <v>13201069</v>
      </c>
      <c r="AF58" s="401">
        <f t="shared" si="22"/>
        <v>0.15003101924263632</v>
      </c>
    </row>
    <row r="59" spans="1:32">
      <c r="A59" s="399">
        <v>168</v>
      </c>
      <c r="B59" s="399" t="s">
        <v>163</v>
      </c>
      <c r="C59" s="399" t="s">
        <v>521</v>
      </c>
      <c r="D59" s="399" t="s">
        <v>7</v>
      </c>
      <c r="E59" s="423">
        <v>78337889.989999995</v>
      </c>
      <c r="F59" s="423">
        <v>74024000</v>
      </c>
      <c r="G59" s="424">
        <f t="shared" si="1"/>
        <v>1.058276910056198</v>
      </c>
      <c r="H59" s="400">
        <f t="shared" si="2"/>
        <v>99414533</v>
      </c>
      <c r="I59" s="400">
        <v>93940000</v>
      </c>
      <c r="J59" s="401">
        <f t="shared" si="3"/>
        <v>1.0582769107941239</v>
      </c>
      <c r="K59" s="412" t="str">
        <f t="shared" si="4"/>
        <v>TYPE_6</v>
      </c>
      <c r="L59" s="401">
        <f>VLOOKUP(J59,[11]原始參數_115!E:F,2,1)</f>
        <v>1.05</v>
      </c>
      <c r="M59" s="401">
        <f>VLOOKUP(J59,[11]原始參數_115!E:G,3,1)</f>
        <v>1</v>
      </c>
      <c r="N59" s="413">
        <f t="shared" si="5"/>
        <v>104390000</v>
      </c>
      <c r="O59" s="403">
        <f t="shared" si="6"/>
        <v>7.6699999999999997E-3</v>
      </c>
      <c r="P59" s="401">
        <f t="shared" si="7"/>
        <v>1</v>
      </c>
      <c r="Q59" s="413">
        <f t="shared" si="8"/>
        <v>104390000</v>
      </c>
      <c r="R59" s="413">
        <f t="shared" si="9"/>
        <v>0</v>
      </c>
      <c r="S59" s="413">
        <f t="shared" si="10"/>
        <v>104390000</v>
      </c>
      <c r="T59" s="403">
        <f t="shared" si="11"/>
        <v>1.0663000000000001E-2</v>
      </c>
      <c r="U59" s="413">
        <f t="shared" si="12"/>
        <v>2040000</v>
      </c>
      <c r="V59" s="413">
        <f t="shared" si="13"/>
        <v>2040000</v>
      </c>
      <c r="W59" s="413">
        <f t="shared" si="14"/>
        <v>106430000</v>
      </c>
      <c r="X59" s="401">
        <f t="shared" si="15"/>
        <v>0.93408374518462844</v>
      </c>
      <c r="Y59" s="412" t="str">
        <f t="shared" si="16"/>
        <v>TYPE_7</v>
      </c>
      <c r="Z59" s="399" t="str">
        <f t="shared" si="17"/>
        <v>TYPE_2</v>
      </c>
      <c r="AA59" s="414">
        <f>VLOOKUP(Z59,[11]調整參數1_116!A:J,10,0)</f>
        <v>1.1000000000000001</v>
      </c>
      <c r="AB59" s="415">
        <f t="shared" si="18"/>
        <v>109360000</v>
      </c>
      <c r="AC59" s="413">
        <f t="shared" si="19"/>
        <v>15420000</v>
      </c>
      <c r="AD59" s="401">
        <f t="shared" si="20"/>
        <v>0.16414732808175431</v>
      </c>
      <c r="AE59" s="413">
        <f t="shared" si="21"/>
        <v>9945467</v>
      </c>
      <c r="AF59" s="401">
        <f t="shared" si="22"/>
        <v>0.10004037337277438</v>
      </c>
    </row>
    <row r="60" spans="1:32">
      <c r="A60" s="399">
        <v>169</v>
      </c>
      <c r="B60" s="399" t="s">
        <v>85</v>
      </c>
      <c r="C60" s="399" t="s">
        <v>525</v>
      </c>
      <c r="D60" s="399" t="s">
        <v>7</v>
      </c>
      <c r="E60" s="423">
        <v>56364787.109999999</v>
      </c>
      <c r="F60" s="423">
        <v>59209000</v>
      </c>
      <c r="G60" s="424">
        <f t="shared" si="1"/>
        <v>0.9519631662416187</v>
      </c>
      <c r="H60" s="400">
        <f t="shared" si="2"/>
        <v>71520993</v>
      </c>
      <c r="I60" s="400">
        <v>75130000</v>
      </c>
      <c r="J60" s="401">
        <f t="shared" si="3"/>
        <v>0.95196317050445889</v>
      </c>
      <c r="K60" s="412" t="str">
        <f t="shared" si="4"/>
        <v>TYPE_7</v>
      </c>
      <c r="L60" s="401">
        <f>VLOOKUP(J60,[11]原始參數_115!E:F,2,1)</f>
        <v>1</v>
      </c>
      <c r="M60" s="401">
        <f>VLOOKUP(J60,[11]原始參數_115!E:G,3,1)</f>
        <v>1.05</v>
      </c>
      <c r="N60" s="413">
        <f t="shared" si="5"/>
        <v>78890000</v>
      </c>
      <c r="O60" s="403">
        <f t="shared" si="6"/>
        <v>5.7959999999999999E-3</v>
      </c>
      <c r="P60" s="401">
        <f t="shared" si="7"/>
        <v>1</v>
      </c>
      <c r="Q60" s="413">
        <f t="shared" si="8"/>
        <v>78890000</v>
      </c>
      <c r="R60" s="413">
        <f t="shared" si="9"/>
        <v>0</v>
      </c>
      <c r="S60" s="413">
        <f t="shared" si="10"/>
        <v>78890000</v>
      </c>
      <c r="T60" s="403">
        <f t="shared" si="11"/>
        <v>8.0590000000000002E-3</v>
      </c>
      <c r="U60" s="413">
        <f t="shared" si="12"/>
        <v>1540000</v>
      </c>
      <c r="V60" s="413">
        <f t="shared" si="13"/>
        <v>1540000</v>
      </c>
      <c r="W60" s="413">
        <f t="shared" si="14"/>
        <v>80430000</v>
      </c>
      <c r="X60" s="401">
        <f t="shared" si="15"/>
        <v>0.88923278627377844</v>
      </c>
      <c r="Y60" s="412" t="str">
        <f t="shared" si="16"/>
        <v>TYPE_8</v>
      </c>
      <c r="Z60" s="399" t="str">
        <f t="shared" si="17"/>
        <v>TYPE_3</v>
      </c>
      <c r="AA60" s="414">
        <f>VLOOKUP(Z60,[11]調整參數1_116!A:J,10,0)</f>
        <v>1.1499999999999999</v>
      </c>
      <c r="AB60" s="415">
        <f t="shared" si="18"/>
        <v>82250000</v>
      </c>
      <c r="AC60" s="413">
        <f t="shared" si="19"/>
        <v>7120000</v>
      </c>
      <c r="AD60" s="401">
        <f t="shared" si="20"/>
        <v>9.476906695061893E-2</v>
      </c>
      <c r="AE60" s="413">
        <f t="shared" si="21"/>
        <v>10729007</v>
      </c>
      <c r="AF60" s="401">
        <f t="shared" si="22"/>
        <v>0.15001199717682889</v>
      </c>
    </row>
    <row r="61" spans="1:32">
      <c r="A61" s="399">
        <v>170</v>
      </c>
      <c r="B61" s="399" t="s">
        <v>164</v>
      </c>
      <c r="C61" s="399" t="s">
        <v>521</v>
      </c>
      <c r="D61" s="399" t="s">
        <v>7</v>
      </c>
      <c r="E61" s="423">
        <v>60591709.450000003</v>
      </c>
      <c r="F61" s="423">
        <v>50669000</v>
      </c>
      <c r="G61" s="424">
        <f t="shared" si="1"/>
        <v>1.1958339310031776</v>
      </c>
      <c r="H61" s="400">
        <f t="shared" si="2"/>
        <v>76868205</v>
      </c>
      <c r="I61" s="400">
        <v>64280000</v>
      </c>
      <c r="J61" s="401">
        <f t="shared" si="3"/>
        <v>1.1958339296826384</v>
      </c>
      <c r="K61" s="412" t="str">
        <f t="shared" si="4"/>
        <v>TYPE_5</v>
      </c>
      <c r="L61" s="401">
        <f>VLOOKUP(J61,[11]原始參數_115!E:F,2,1)</f>
        <v>1.03</v>
      </c>
      <c r="M61" s="401">
        <f>VLOOKUP(J61,[11]原始參數_115!E:G,3,1)</f>
        <v>1</v>
      </c>
      <c r="N61" s="413">
        <f t="shared" si="5"/>
        <v>79170000</v>
      </c>
      <c r="O61" s="403">
        <f t="shared" si="6"/>
        <v>5.8170000000000001E-3</v>
      </c>
      <c r="P61" s="401">
        <f t="shared" si="7"/>
        <v>1</v>
      </c>
      <c r="Q61" s="413">
        <f t="shared" si="8"/>
        <v>79170000</v>
      </c>
      <c r="R61" s="413">
        <f t="shared" si="9"/>
        <v>0</v>
      </c>
      <c r="S61" s="413">
        <f t="shared" si="10"/>
        <v>79170000</v>
      </c>
      <c r="T61" s="403">
        <f t="shared" si="11"/>
        <v>8.0870000000000004E-3</v>
      </c>
      <c r="U61" s="413">
        <f t="shared" si="12"/>
        <v>1550000</v>
      </c>
      <c r="V61" s="413">
        <f t="shared" si="13"/>
        <v>1550000</v>
      </c>
      <c r="W61" s="413">
        <f t="shared" si="14"/>
        <v>80720000</v>
      </c>
      <c r="X61" s="401">
        <f t="shared" si="15"/>
        <v>0.9522820242814668</v>
      </c>
      <c r="Y61" s="412" t="str">
        <f t="shared" si="16"/>
        <v>TYPE_7</v>
      </c>
      <c r="Z61" s="399" t="str">
        <f t="shared" si="17"/>
        <v>TYPE_2</v>
      </c>
      <c r="AA61" s="414">
        <f>VLOOKUP(Z61,[11]調整參數1_116!A:J,10,0)</f>
        <v>1.1000000000000001</v>
      </c>
      <c r="AB61" s="415">
        <f t="shared" si="18"/>
        <v>84560000</v>
      </c>
      <c r="AC61" s="413">
        <f t="shared" si="19"/>
        <v>20280000</v>
      </c>
      <c r="AD61" s="401">
        <f t="shared" si="20"/>
        <v>0.31549471064094586</v>
      </c>
      <c r="AE61" s="413">
        <f t="shared" si="21"/>
        <v>7691795</v>
      </c>
      <c r="AF61" s="401">
        <f t="shared" si="22"/>
        <v>0.1000647146632343</v>
      </c>
    </row>
    <row r="62" spans="1:32">
      <c r="A62" s="399">
        <v>171</v>
      </c>
      <c r="B62" s="399" t="s">
        <v>86</v>
      </c>
      <c r="C62" s="399" t="s">
        <v>524</v>
      </c>
      <c r="D62" s="399" t="s">
        <v>7</v>
      </c>
      <c r="E62" s="423">
        <v>70686352.959999993</v>
      </c>
      <c r="F62" s="423">
        <v>48250000</v>
      </c>
      <c r="G62" s="424">
        <f t="shared" si="1"/>
        <v>1.4650021338860102</v>
      </c>
      <c r="H62" s="400">
        <f t="shared" si="2"/>
        <v>89702081</v>
      </c>
      <c r="I62" s="400">
        <v>61230000</v>
      </c>
      <c r="J62" s="401">
        <f t="shared" si="3"/>
        <v>1.465002139474114</v>
      </c>
      <c r="K62" s="412" t="str">
        <f t="shared" si="4"/>
        <v>TYPE_3</v>
      </c>
      <c r="L62" s="401">
        <f>VLOOKUP(J62,[11]原始參數_115!E:F,2,1)</f>
        <v>0.9</v>
      </c>
      <c r="M62" s="401">
        <f>VLOOKUP(J62,[11]原始參數_115!E:G,3,1)</f>
        <v>1</v>
      </c>
      <c r="N62" s="413">
        <f t="shared" si="5"/>
        <v>80730000</v>
      </c>
      <c r="O62" s="403">
        <f t="shared" si="6"/>
        <v>5.9319999999999998E-3</v>
      </c>
      <c r="P62" s="401">
        <f t="shared" si="7"/>
        <v>1.2</v>
      </c>
      <c r="Q62" s="413">
        <f t="shared" si="8"/>
        <v>73480000</v>
      </c>
      <c r="R62" s="413">
        <f t="shared" si="9"/>
        <v>-7250000</v>
      </c>
      <c r="S62" s="413">
        <f t="shared" si="10"/>
        <v>0</v>
      </c>
      <c r="T62" s="403">
        <f t="shared" si="11"/>
        <v>0</v>
      </c>
      <c r="U62" s="413">
        <f t="shared" si="12"/>
        <v>0</v>
      </c>
      <c r="V62" s="413">
        <f t="shared" si="13"/>
        <v>-7250000</v>
      </c>
      <c r="W62" s="413">
        <f t="shared" si="14"/>
        <v>73480000</v>
      </c>
      <c r="X62" s="401">
        <f t="shared" si="15"/>
        <v>1.2207686581382688</v>
      </c>
      <c r="Y62" s="412" t="str">
        <f t="shared" si="16"/>
        <v>TYPE_4</v>
      </c>
      <c r="Z62" s="399" t="str">
        <f t="shared" si="17"/>
        <v>TYPE_1</v>
      </c>
      <c r="AA62" s="414">
        <f>VLOOKUP(Z62,[11]調整參數1_116!A:J,10,0)</f>
        <v>0.9</v>
      </c>
      <c r="AB62" s="415">
        <f t="shared" si="18"/>
        <v>80730000</v>
      </c>
      <c r="AC62" s="413">
        <f t="shared" si="19"/>
        <v>19500000</v>
      </c>
      <c r="AD62" s="401">
        <f t="shared" si="20"/>
        <v>0.31847133757961782</v>
      </c>
      <c r="AE62" s="413">
        <f t="shared" si="21"/>
        <v>-8972081</v>
      </c>
      <c r="AF62" s="401">
        <f t="shared" si="22"/>
        <v>-0.10002087911427607</v>
      </c>
    </row>
    <row r="63" spans="1:32">
      <c r="A63" s="399">
        <v>172</v>
      </c>
      <c r="B63" s="399" t="s">
        <v>14</v>
      </c>
      <c r="C63" s="399" t="s">
        <v>527</v>
      </c>
      <c r="D63" s="399" t="s">
        <v>7</v>
      </c>
      <c r="E63" s="423">
        <v>41602441.960000001</v>
      </c>
      <c r="F63" s="423">
        <v>30069000</v>
      </c>
      <c r="G63" s="424">
        <f t="shared" si="1"/>
        <v>1.3835658638464865</v>
      </c>
      <c r="H63" s="400">
        <f t="shared" si="2"/>
        <v>52796873</v>
      </c>
      <c r="I63" s="400">
        <v>38160000</v>
      </c>
      <c r="J63" s="401">
        <f t="shared" si="3"/>
        <v>1.3835658542976939</v>
      </c>
      <c r="K63" s="412" t="str">
        <f t="shared" si="4"/>
        <v>TYPE_3</v>
      </c>
      <c r="L63" s="401">
        <f>VLOOKUP(J63,[11]原始參數_115!E:F,2,1)</f>
        <v>0.9</v>
      </c>
      <c r="M63" s="401">
        <f>VLOOKUP(J63,[11]原始參數_115!E:G,3,1)</f>
        <v>1</v>
      </c>
      <c r="N63" s="413">
        <f t="shared" si="5"/>
        <v>47520000</v>
      </c>
      <c r="O63" s="403">
        <f t="shared" si="6"/>
        <v>3.4910000000000002E-3</v>
      </c>
      <c r="P63" s="401">
        <f t="shared" si="7"/>
        <v>1.2</v>
      </c>
      <c r="Q63" s="413">
        <f t="shared" si="8"/>
        <v>45790000</v>
      </c>
      <c r="R63" s="413">
        <f t="shared" si="9"/>
        <v>-1730000</v>
      </c>
      <c r="S63" s="413">
        <f t="shared" si="10"/>
        <v>0</v>
      </c>
      <c r="T63" s="403">
        <f t="shared" si="11"/>
        <v>0</v>
      </c>
      <c r="U63" s="413">
        <f t="shared" si="12"/>
        <v>0</v>
      </c>
      <c r="V63" s="413">
        <f t="shared" si="13"/>
        <v>-1730000</v>
      </c>
      <c r="W63" s="413">
        <f t="shared" si="14"/>
        <v>45790000</v>
      </c>
      <c r="X63" s="401">
        <f t="shared" si="15"/>
        <v>1.1530219043459271</v>
      </c>
      <c r="Y63" s="412" t="str">
        <f t="shared" si="16"/>
        <v>TYPE_5</v>
      </c>
      <c r="Z63" s="399" t="str">
        <f t="shared" si="17"/>
        <v>TYPE_1</v>
      </c>
      <c r="AA63" s="414">
        <f>VLOOKUP(Z63,[11]調整參數1_116!A:J,10,0)</f>
        <v>0.9</v>
      </c>
      <c r="AB63" s="415">
        <f t="shared" si="18"/>
        <v>47520000</v>
      </c>
      <c r="AC63" s="413">
        <f t="shared" si="19"/>
        <v>9360000</v>
      </c>
      <c r="AD63" s="401">
        <f t="shared" si="20"/>
        <v>0.24528301886792453</v>
      </c>
      <c r="AE63" s="413">
        <f t="shared" si="21"/>
        <v>-5276873</v>
      </c>
      <c r="AF63" s="401">
        <f t="shared" si="22"/>
        <v>-9.9946695706770367E-2</v>
      </c>
    </row>
    <row r="64" spans="1:32">
      <c r="A64" s="399">
        <v>173</v>
      </c>
      <c r="B64" s="399" t="s">
        <v>15</v>
      </c>
      <c r="C64" s="399" t="s">
        <v>523</v>
      </c>
      <c r="D64" s="399" t="s">
        <v>11</v>
      </c>
      <c r="E64" s="423">
        <v>28634371.649999999</v>
      </c>
      <c r="F64" s="423">
        <v>40347000</v>
      </c>
      <c r="G64" s="424">
        <f t="shared" si="1"/>
        <v>0.70970262101271464</v>
      </c>
      <c r="H64" s="400">
        <f t="shared" si="2"/>
        <v>36336774</v>
      </c>
      <c r="I64" s="400">
        <v>51200000</v>
      </c>
      <c r="J64" s="401">
        <f t="shared" si="3"/>
        <v>0.70970261718750005</v>
      </c>
      <c r="K64" s="412" t="str">
        <f t="shared" si="4"/>
        <v>TYPE_9</v>
      </c>
      <c r="L64" s="401">
        <f>VLOOKUP(J64,[11]原始參數_115!E:F,2,1)</f>
        <v>1</v>
      </c>
      <c r="M64" s="401">
        <f>VLOOKUP(J64,[11]原始參數_115!E:G,3,1)</f>
        <v>1.1499999999999999</v>
      </c>
      <c r="N64" s="413">
        <f t="shared" si="5"/>
        <v>58880000</v>
      </c>
      <c r="O64" s="403">
        <f t="shared" si="6"/>
        <v>4.326E-3</v>
      </c>
      <c r="P64" s="401">
        <f t="shared" si="7"/>
        <v>1</v>
      </c>
      <c r="Q64" s="413">
        <f t="shared" si="8"/>
        <v>58880000</v>
      </c>
      <c r="R64" s="413">
        <f t="shared" si="9"/>
        <v>0</v>
      </c>
      <c r="S64" s="413">
        <f t="shared" si="10"/>
        <v>58880000</v>
      </c>
      <c r="T64" s="403">
        <f t="shared" si="11"/>
        <v>6.0150000000000004E-3</v>
      </c>
      <c r="U64" s="413">
        <f t="shared" si="12"/>
        <v>1150000</v>
      </c>
      <c r="V64" s="413">
        <f t="shared" si="13"/>
        <v>1150000</v>
      </c>
      <c r="W64" s="413">
        <f t="shared" si="14"/>
        <v>60030000</v>
      </c>
      <c r="X64" s="401">
        <f t="shared" si="15"/>
        <v>0.60531024487756124</v>
      </c>
      <c r="Y64" s="412" t="str">
        <f t="shared" si="16"/>
        <v>TYPE_9</v>
      </c>
      <c r="Z64" s="399" t="str">
        <f t="shared" si="17"/>
        <v>TYPE_4</v>
      </c>
      <c r="AA64" s="414">
        <f>VLOOKUP(Z64,[11]調整參數1_116!A:J,10,0)</f>
        <v>1.2</v>
      </c>
      <c r="AB64" s="415">
        <f t="shared" si="18"/>
        <v>43600000</v>
      </c>
      <c r="AC64" s="413">
        <f t="shared" si="19"/>
        <v>-7600000</v>
      </c>
      <c r="AD64" s="401">
        <f t="shared" si="20"/>
        <v>-0.1484375</v>
      </c>
      <c r="AE64" s="413">
        <f t="shared" si="21"/>
        <v>7263226</v>
      </c>
      <c r="AF64" s="401">
        <f t="shared" si="22"/>
        <v>0.19988637406281581</v>
      </c>
    </row>
    <row r="65" spans="1:32">
      <c r="A65" s="399">
        <v>174</v>
      </c>
      <c r="B65" s="399" t="s">
        <v>16</v>
      </c>
      <c r="C65" s="399" t="s">
        <v>519</v>
      </c>
      <c r="D65" s="399" t="s">
        <v>7</v>
      </c>
      <c r="E65" s="423">
        <v>97964212.439999998</v>
      </c>
      <c r="F65" s="423">
        <v>82638000</v>
      </c>
      <c r="G65" s="424">
        <f t="shared" si="1"/>
        <v>1.1854620445799753</v>
      </c>
      <c r="H65" s="400">
        <f t="shared" si="2"/>
        <v>124307550</v>
      </c>
      <c r="I65" s="400">
        <v>104860000</v>
      </c>
      <c r="J65" s="401">
        <f t="shared" si="3"/>
        <v>1.1854620446309365</v>
      </c>
      <c r="K65" s="412" t="str">
        <f t="shared" si="4"/>
        <v>TYPE_5</v>
      </c>
      <c r="L65" s="401">
        <f>VLOOKUP(J65,[11]原始參數_115!E:F,2,1)</f>
        <v>1.03</v>
      </c>
      <c r="M65" s="401">
        <f>VLOOKUP(J65,[11]原始參數_115!E:G,3,1)</f>
        <v>1</v>
      </c>
      <c r="N65" s="413">
        <f t="shared" si="5"/>
        <v>128040000</v>
      </c>
      <c r="O65" s="403">
        <f t="shared" si="6"/>
        <v>9.4079999999999997E-3</v>
      </c>
      <c r="P65" s="401">
        <f t="shared" si="7"/>
        <v>1</v>
      </c>
      <c r="Q65" s="413">
        <f t="shared" si="8"/>
        <v>128040000</v>
      </c>
      <c r="R65" s="413">
        <f t="shared" si="9"/>
        <v>0</v>
      </c>
      <c r="S65" s="413">
        <f t="shared" si="10"/>
        <v>128040000</v>
      </c>
      <c r="T65" s="403">
        <f t="shared" si="11"/>
        <v>1.3079E-2</v>
      </c>
      <c r="U65" s="413">
        <f t="shared" si="12"/>
        <v>2500000</v>
      </c>
      <c r="V65" s="413">
        <f t="shared" si="13"/>
        <v>2500000</v>
      </c>
      <c r="W65" s="413">
        <f t="shared" si="14"/>
        <v>130540000</v>
      </c>
      <c r="X65" s="401">
        <f t="shared" si="15"/>
        <v>0.95225639650681781</v>
      </c>
      <c r="Y65" s="412" t="str">
        <f t="shared" si="16"/>
        <v>TYPE_7</v>
      </c>
      <c r="Z65" s="399" t="str">
        <f t="shared" si="17"/>
        <v>TYPE_2</v>
      </c>
      <c r="AA65" s="414">
        <f>VLOOKUP(Z65,[11]調整參數1_116!A:J,10,0)</f>
        <v>1.1000000000000001</v>
      </c>
      <c r="AB65" s="415">
        <f t="shared" si="18"/>
        <v>136740000</v>
      </c>
      <c r="AC65" s="413">
        <f t="shared" si="19"/>
        <v>31880000</v>
      </c>
      <c r="AD65" s="401">
        <f t="shared" si="20"/>
        <v>0.30402441350371923</v>
      </c>
      <c r="AE65" s="413">
        <f t="shared" si="21"/>
        <v>12432450</v>
      </c>
      <c r="AF65" s="401">
        <f t="shared" si="22"/>
        <v>0.10001363553541197</v>
      </c>
    </row>
    <row r="66" spans="1:32">
      <c r="A66" s="399">
        <v>175</v>
      </c>
      <c r="B66" s="399" t="s">
        <v>165</v>
      </c>
      <c r="C66" s="399" t="s">
        <v>522</v>
      </c>
      <c r="D66" s="399" t="s">
        <v>7</v>
      </c>
      <c r="E66" s="423">
        <v>50140426.189999998</v>
      </c>
      <c r="F66" s="423">
        <v>56206000</v>
      </c>
      <c r="G66" s="424">
        <f t="shared" si="1"/>
        <v>0.89208316176208946</v>
      </c>
      <c r="H66" s="400">
        <f t="shared" si="2"/>
        <v>63605529</v>
      </c>
      <c r="I66" s="400">
        <v>71300000</v>
      </c>
      <c r="J66" s="401">
        <f t="shared" si="3"/>
        <v>0.89208315568022445</v>
      </c>
      <c r="K66" s="412" t="str">
        <f t="shared" si="4"/>
        <v>TYPE_8</v>
      </c>
      <c r="L66" s="401">
        <f>VLOOKUP(J66,[11]原始參數_115!E:F,2,1)</f>
        <v>1</v>
      </c>
      <c r="M66" s="401">
        <f>VLOOKUP(J66,[11]原始參數_115!E:G,3,1)</f>
        <v>1.1000000000000001</v>
      </c>
      <c r="N66" s="413">
        <f t="shared" si="5"/>
        <v>78430000</v>
      </c>
      <c r="O66" s="403">
        <f t="shared" si="6"/>
        <v>5.7629999999999999E-3</v>
      </c>
      <c r="P66" s="401">
        <f t="shared" si="7"/>
        <v>1</v>
      </c>
      <c r="Q66" s="413">
        <f t="shared" si="8"/>
        <v>78430000</v>
      </c>
      <c r="R66" s="413">
        <f t="shared" si="9"/>
        <v>0</v>
      </c>
      <c r="S66" s="413">
        <f t="shared" si="10"/>
        <v>78430000</v>
      </c>
      <c r="T66" s="403">
        <f t="shared" si="11"/>
        <v>8.012E-3</v>
      </c>
      <c r="U66" s="413">
        <f t="shared" si="12"/>
        <v>1530000</v>
      </c>
      <c r="V66" s="413">
        <f t="shared" si="13"/>
        <v>1530000</v>
      </c>
      <c r="W66" s="413">
        <f t="shared" si="14"/>
        <v>79960000</v>
      </c>
      <c r="X66" s="401">
        <f t="shared" si="15"/>
        <v>0.79546684592296146</v>
      </c>
      <c r="Y66" s="412" t="str">
        <f t="shared" si="16"/>
        <v>TYPE_8</v>
      </c>
      <c r="Z66" s="399" t="str">
        <f t="shared" si="17"/>
        <v>TYPE_3</v>
      </c>
      <c r="AA66" s="414">
        <f>VLOOKUP(Z66,[11]調整參數1_116!A:J,10,0)</f>
        <v>1.1499999999999999</v>
      </c>
      <c r="AB66" s="415">
        <f t="shared" si="18"/>
        <v>73150000</v>
      </c>
      <c r="AC66" s="413">
        <f t="shared" si="19"/>
        <v>1850000</v>
      </c>
      <c r="AD66" s="401">
        <f t="shared" si="20"/>
        <v>2.5946704067321177E-2</v>
      </c>
      <c r="AE66" s="413">
        <f t="shared" si="21"/>
        <v>9544471</v>
      </c>
      <c r="AF66" s="401">
        <f t="shared" si="22"/>
        <v>0.15005725367051032</v>
      </c>
    </row>
    <row r="67" spans="1:32">
      <c r="A67" s="399">
        <v>176</v>
      </c>
      <c r="B67" s="399" t="s">
        <v>166</v>
      </c>
      <c r="C67" s="399" t="s">
        <v>523</v>
      </c>
      <c r="D67" s="399" t="s">
        <v>11</v>
      </c>
      <c r="E67" s="423">
        <v>29786353.219999999</v>
      </c>
      <c r="F67" s="423">
        <v>33367000</v>
      </c>
      <c r="G67" s="424">
        <f t="shared" si="1"/>
        <v>0.89268898072946323</v>
      </c>
      <c r="H67" s="400">
        <f t="shared" si="2"/>
        <v>37796451</v>
      </c>
      <c r="I67" s="400">
        <v>42340000</v>
      </c>
      <c r="J67" s="401">
        <f t="shared" si="3"/>
        <v>0.89268897024090699</v>
      </c>
      <c r="K67" s="412" t="str">
        <f t="shared" si="4"/>
        <v>TYPE_8</v>
      </c>
      <c r="L67" s="401">
        <f>VLOOKUP(J67,[11]原始參數_115!E:F,2,1)</f>
        <v>1</v>
      </c>
      <c r="M67" s="401">
        <f>VLOOKUP(J67,[11]原始參數_115!E:G,3,1)</f>
        <v>1.1000000000000001</v>
      </c>
      <c r="N67" s="413">
        <f t="shared" si="5"/>
        <v>46570000</v>
      </c>
      <c r="O67" s="403">
        <f t="shared" si="6"/>
        <v>3.4220000000000001E-3</v>
      </c>
      <c r="P67" s="401">
        <f t="shared" si="7"/>
        <v>1</v>
      </c>
      <c r="Q67" s="413">
        <f t="shared" si="8"/>
        <v>46570000</v>
      </c>
      <c r="R67" s="413">
        <f t="shared" si="9"/>
        <v>0</v>
      </c>
      <c r="S67" s="413">
        <f t="shared" si="10"/>
        <v>46570000</v>
      </c>
      <c r="T67" s="403">
        <f t="shared" si="11"/>
        <v>4.7569999999999999E-3</v>
      </c>
      <c r="U67" s="413">
        <f t="shared" si="12"/>
        <v>910000</v>
      </c>
      <c r="V67" s="413">
        <f t="shared" si="13"/>
        <v>910000</v>
      </c>
      <c r="W67" s="413">
        <f t="shared" si="14"/>
        <v>47480000</v>
      </c>
      <c r="X67" s="401">
        <f t="shared" si="15"/>
        <v>0.79604993681550129</v>
      </c>
      <c r="Y67" s="412" t="str">
        <f t="shared" si="16"/>
        <v>TYPE_8</v>
      </c>
      <c r="Z67" s="399" t="str">
        <f t="shared" si="17"/>
        <v>TYPE_3</v>
      </c>
      <c r="AA67" s="414">
        <f>VLOOKUP(Z67,[11]調整參數1_116!A:J,10,0)</f>
        <v>1.1499999999999999</v>
      </c>
      <c r="AB67" s="415">
        <f t="shared" si="18"/>
        <v>43470000</v>
      </c>
      <c r="AC67" s="413">
        <f t="shared" si="19"/>
        <v>1130000</v>
      </c>
      <c r="AD67" s="401">
        <f t="shared" si="20"/>
        <v>2.6688710439300899E-2</v>
      </c>
      <c r="AE67" s="413">
        <f t="shared" si="21"/>
        <v>5673549</v>
      </c>
      <c r="AF67" s="401">
        <f t="shared" si="22"/>
        <v>0.15010798236056608</v>
      </c>
    </row>
    <row r="68" spans="1:32">
      <c r="A68" s="399">
        <v>177</v>
      </c>
      <c r="B68" s="399" t="s">
        <v>647</v>
      </c>
      <c r="C68" s="399" t="s">
        <v>527</v>
      </c>
      <c r="D68" s="399" t="s">
        <v>0</v>
      </c>
      <c r="E68" s="423">
        <v>10729745.09</v>
      </c>
      <c r="F68" s="423">
        <v>12409000</v>
      </c>
      <c r="G68" s="424">
        <f t="shared" ref="G68:G131" si="23">E68/F68</f>
        <v>0.86467443710210334</v>
      </c>
      <c r="H68" s="400">
        <f t="shared" ref="H68:H131" si="24">ROUND(G68*I68, 0)</f>
        <v>13618622</v>
      </c>
      <c r="I68" s="400">
        <v>15750000</v>
      </c>
      <c r="J68" s="401">
        <f t="shared" ref="J68:J131" si="25">H68/I68</f>
        <v>0.86467441269841272</v>
      </c>
      <c r="K68" s="412" t="str">
        <f t="shared" ref="K68:K131" si="26">IF(J68&gt;=2, "TYPE_1", IF(J68&gt;=1.5, "TYPE_2", IF(J68&gt;=1.3, "TYPE_3", IF(J68&gt;=1.2, "TYPE_4", IF(J68 &gt;=1.1, "TYPE_5", IF(J68 &gt;=1, "TYPE_6", IF(J68&gt;=0.9, "TYPE_7", IF(J68&gt;= 0.75, "TYPE_8", "TYPE_9"))))))))</f>
        <v>TYPE_8</v>
      </c>
      <c r="L68" s="401">
        <f>VLOOKUP(J68,[11]原始參數_115!E:F,2,1)</f>
        <v>1</v>
      </c>
      <c r="M68" s="401">
        <f>VLOOKUP(J68,[11]原始參數_115!E:G,3,1)</f>
        <v>1.1000000000000001</v>
      </c>
      <c r="N68" s="413">
        <f t="shared" ref="N68:N131" si="27">IF(L68&lt;&gt;1,ROUND(H68*L68,-4),ROUND(I68*M68,-4))</f>
        <v>17330000</v>
      </c>
      <c r="O68" s="403">
        <f t="shared" ref="O68:O131" si="28">ROUND(N68/$N$1, 6)</f>
        <v>1.273E-3</v>
      </c>
      <c r="P68" s="401">
        <f t="shared" ref="P68:P131" si="29">IF(J68&gt;=1.2, 1.2,1)</f>
        <v>1</v>
      </c>
      <c r="Q68" s="413">
        <f t="shared" ref="Q68:Q131" si="30">IF(J68&gt;=1.2, ROUND(I68*P68, -4), N68)</f>
        <v>17330000</v>
      </c>
      <c r="R68" s="413">
        <f t="shared" ref="R68:R131" si="31">Q68-N68</f>
        <v>0</v>
      </c>
      <c r="S68" s="413">
        <f t="shared" ref="S68:S131" si="32">IF(P68 = 1.2, 0, Q68)</f>
        <v>17330000</v>
      </c>
      <c r="T68" s="403">
        <f t="shared" ref="T68:T131" si="33">ROUND(S68/$S$1, 6)</f>
        <v>1.7700000000000001E-3</v>
      </c>
      <c r="U68" s="413">
        <f t="shared" ref="U68:U131" si="34">ROUND($R$1*T68, -4)*(-1)</f>
        <v>340000</v>
      </c>
      <c r="V68" s="413">
        <f t="shared" ref="V68:V131" si="35">R68+U68</f>
        <v>340000</v>
      </c>
      <c r="W68" s="413">
        <f t="shared" ref="W68:W131" si="36">Q68+U68</f>
        <v>17670000</v>
      </c>
      <c r="X68" s="401">
        <f t="shared" ref="X68:X131" si="37">H68/W68</f>
        <v>0.77071997736276177</v>
      </c>
      <c r="Y68" s="412" t="str">
        <f t="shared" ref="Y68:Y131" si="38">IF(X68&gt;=2, "TYPE_1", IF(X68&gt;=1.5, "TYPE_2", IF(X68&gt;=1.3, "TYPE_3", IF(X68&gt;=1.2, "TYPE_4", IF(X68 &gt;=1.1, "TYPE_5", IF(X68 &gt;=1, "TYPE_6", IF(X68&gt;=0.9, "TYPE_7", IF(X68&gt;= 0.75, "TYPE_8", "TYPE_9"))))))))</f>
        <v>TYPE_8</v>
      </c>
      <c r="Z68" s="399" t="str">
        <f t="shared" ref="Z68:Z131" si="39">IF(J68&gt;=1.35, "TYPE_1", IF(J68&gt;= 1, "TYPE_2", IF(J68&gt;=0.75, "TYPE_3", "TYPE_4")))</f>
        <v>TYPE_3</v>
      </c>
      <c r="AA68" s="414">
        <f>VLOOKUP(Z68,[11]調整參數1_116!A:J,10,0)</f>
        <v>1.1499999999999999</v>
      </c>
      <c r="AB68" s="415">
        <f t="shared" ref="AB68:AB131" si="40">ROUND(H68*AA68, -4)</f>
        <v>15660000</v>
      </c>
      <c r="AC68" s="413">
        <f t="shared" ref="AC68:AC131" si="41">AB68-I68</f>
        <v>-90000</v>
      </c>
      <c r="AD68" s="401">
        <f t="shared" ref="AD68:AD131" si="42">AC68/I68</f>
        <v>-5.7142857142857143E-3</v>
      </c>
      <c r="AE68" s="413">
        <f t="shared" ref="AE68:AE131" si="43">AB68-H68</f>
        <v>2041378</v>
      </c>
      <c r="AF68" s="401">
        <f t="shared" ref="AF68:AF131" si="44">AE68/H68</f>
        <v>0.14989607612282652</v>
      </c>
    </row>
    <row r="69" spans="1:32">
      <c r="A69" s="399">
        <v>178</v>
      </c>
      <c r="B69" s="399" t="s">
        <v>17</v>
      </c>
      <c r="C69" s="399" t="s">
        <v>525</v>
      </c>
      <c r="D69" s="399" t="s">
        <v>0</v>
      </c>
      <c r="E69" s="423">
        <v>103637698.77</v>
      </c>
      <c r="F69" s="423">
        <v>54246000</v>
      </c>
      <c r="G69" s="424">
        <f t="shared" si="23"/>
        <v>1.9105131948899456</v>
      </c>
      <c r="H69" s="400">
        <f t="shared" si="24"/>
        <v>131519728</v>
      </c>
      <c r="I69" s="400">
        <v>68840000</v>
      </c>
      <c r="J69" s="401">
        <f t="shared" si="25"/>
        <v>1.9105131900058105</v>
      </c>
      <c r="K69" s="412" t="str">
        <f t="shared" si="26"/>
        <v>TYPE_2</v>
      </c>
      <c r="L69" s="401">
        <f>VLOOKUP(J69,[11]原始參數_115!E:F,2,1)</f>
        <v>0.8</v>
      </c>
      <c r="M69" s="401">
        <f>VLOOKUP(J69,[11]原始參數_115!E:G,3,1)</f>
        <v>1</v>
      </c>
      <c r="N69" s="413">
        <f t="shared" si="27"/>
        <v>105220000</v>
      </c>
      <c r="O69" s="403">
        <f t="shared" si="28"/>
        <v>7.731E-3</v>
      </c>
      <c r="P69" s="401">
        <f t="shared" si="29"/>
        <v>1.2</v>
      </c>
      <c r="Q69" s="413">
        <f t="shared" si="30"/>
        <v>82610000</v>
      </c>
      <c r="R69" s="413">
        <f t="shared" si="31"/>
        <v>-22610000</v>
      </c>
      <c r="S69" s="413">
        <f t="shared" si="32"/>
        <v>0</v>
      </c>
      <c r="T69" s="403">
        <f t="shared" si="33"/>
        <v>0</v>
      </c>
      <c r="U69" s="413">
        <f t="shared" si="34"/>
        <v>0</v>
      </c>
      <c r="V69" s="413">
        <f t="shared" si="35"/>
        <v>-22610000</v>
      </c>
      <c r="W69" s="413">
        <f t="shared" si="36"/>
        <v>82610000</v>
      </c>
      <c r="X69" s="401">
        <f t="shared" si="37"/>
        <v>1.592055780171892</v>
      </c>
      <c r="Y69" s="412" t="str">
        <f t="shared" si="38"/>
        <v>TYPE_2</v>
      </c>
      <c r="Z69" s="399" t="str">
        <f t="shared" si="39"/>
        <v>TYPE_1</v>
      </c>
      <c r="AA69" s="414">
        <f>VLOOKUP(Z69,[11]調整參數1_116!A:J,10,0)</f>
        <v>0.9</v>
      </c>
      <c r="AB69" s="415">
        <f t="shared" si="40"/>
        <v>118370000</v>
      </c>
      <c r="AC69" s="413">
        <f t="shared" si="41"/>
        <v>49530000</v>
      </c>
      <c r="AD69" s="401">
        <f t="shared" si="42"/>
        <v>0.71949447995351545</v>
      </c>
      <c r="AE69" s="413">
        <f t="shared" si="43"/>
        <v>-13149728</v>
      </c>
      <c r="AF69" s="401">
        <f t="shared" si="44"/>
        <v>-9.9982931838180203E-2</v>
      </c>
    </row>
    <row r="70" spans="1:32">
      <c r="A70" s="399">
        <v>179</v>
      </c>
      <c r="B70" s="399" t="s">
        <v>167</v>
      </c>
      <c r="C70" s="399" t="s">
        <v>522</v>
      </c>
      <c r="D70" s="399" t="s">
        <v>7</v>
      </c>
      <c r="E70" s="423">
        <v>59464068.149999999</v>
      </c>
      <c r="F70" s="423">
        <v>61043000</v>
      </c>
      <c r="G70" s="424">
        <f t="shared" si="23"/>
        <v>0.97413410464754346</v>
      </c>
      <c r="H70" s="400">
        <f t="shared" si="24"/>
        <v>75456428</v>
      </c>
      <c r="I70" s="400">
        <v>77460000</v>
      </c>
      <c r="J70" s="401">
        <f t="shared" si="25"/>
        <v>0.97413410792667188</v>
      </c>
      <c r="K70" s="412" t="str">
        <f t="shared" si="26"/>
        <v>TYPE_7</v>
      </c>
      <c r="L70" s="401">
        <f>VLOOKUP(J70,[11]原始參數_115!E:F,2,1)</f>
        <v>1</v>
      </c>
      <c r="M70" s="401">
        <f>VLOOKUP(J70,[11]原始參數_115!E:G,3,1)</f>
        <v>1.05</v>
      </c>
      <c r="N70" s="413">
        <f t="shared" si="27"/>
        <v>81330000</v>
      </c>
      <c r="O70" s="403">
        <f t="shared" si="28"/>
        <v>5.9760000000000004E-3</v>
      </c>
      <c r="P70" s="401">
        <f t="shared" si="29"/>
        <v>1</v>
      </c>
      <c r="Q70" s="413">
        <f t="shared" si="30"/>
        <v>81330000</v>
      </c>
      <c r="R70" s="413">
        <f t="shared" si="31"/>
        <v>0</v>
      </c>
      <c r="S70" s="413">
        <f t="shared" si="32"/>
        <v>81330000</v>
      </c>
      <c r="T70" s="403">
        <f t="shared" si="33"/>
        <v>8.3079999999999994E-3</v>
      </c>
      <c r="U70" s="413">
        <f t="shared" si="34"/>
        <v>1590000</v>
      </c>
      <c r="V70" s="413">
        <f t="shared" si="35"/>
        <v>1590000</v>
      </c>
      <c r="W70" s="413">
        <f t="shared" si="36"/>
        <v>82920000</v>
      </c>
      <c r="X70" s="401">
        <f t="shared" si="37"/>
        <v>0.90999068982151476</v>
      </c>
      <c r="Y70" s="412" t="str">
        <f t="shared" si="38"/>
        <v>TYPE_7</v>
      </c>
      <c r="Z70" s="399" t="str">
        <f t="shared" si="39"/>
        <v>TYPE_3</v>
      </c>
      <c r="AA70" s="414">
        <f>VLOOKUP(Z70,[11]調整參數1_116!A:J,10,0)</f>
        <v>1.1499999999999999</v>
      </c>
      <c r="AB70" s="415">
        <f t="shared" si="40"/>
        <v>86770000</v>
      </c>
      <c r="AC70" s="413">
        <f t="shared" si="41"/>
        <v>9310000</v>
      </c>
      <c r="AD70" s="401">
        <f t="shared" si="42"/>
        <v>0.12019106635682933</v>
      </c>
      <c r="AE70" s="413">
        <f t="shared" si="43"/>
        <v>11313572</v>
      </c>
      <c r="AF70" s="401">
        <f t="shared" si="44"/>
        <v>0.14993516523204622</v>
      </c>
    </row>
    <row r="71" spans="1:32">
      <c r="A71" s="399">
        <v>180</v>
      </c>
      <c r="B71" s="399" t="s">
        <v>168</v>
      </c>
      <c r="C71" s="399" t="s">
        <v>521</v>
      </c>
      <c r="D71" s="399" t="s">
        <v>7</v>
      </c>
      <c r="E71" s="423">
        <v>82437278.269999996</v>
      </c>
      <c r="F71" s="423">
        <v>65375000</v>
      </c>
      <c r="G71" s="424">
        <f t="shared" si="23"/>
        <v>1.2609908721988528</v>
      </c>
      <c r="H71" s="400">
        <f t="shared" si="24"/>
        <v>104611803</v>
      </c>
      <c r="I71" s="400">
        <v>82960000</v>
      </c>
      <c r="J71" s="401">
        <f t="shared" si="25"/>
        <v>1.2609908751205401</v>
      </c>
      <c r="K71" s="412" t="str">
        <f t="shared" si="26"/>
        <v>TYPE_4</v>
      </c>
      <c r="L71" s="401">
        <f>VLOOKUP(J71,[11]原始參數_115!E:F,2,1)</f>
        <v>1.01</v>
      </c>
      <c r="M71" s="401">
        <f>VLOOKUP(J71,[11]原始參數_115!E:G,3,1)</f>
        <v>1</v>
      </c>
      <c r="N71" s="413">
        <f t="shared" si="27"/>
        <v>105660000</v>
      </c>
      <c r="O71" s="403">
        <f t="shared" si="28"/>
        <v>7.7629999999999999E-3</v>
      </c>
      <c r="P71" s="401">
        <f t="shared" si="29"/>
        <v>1.2</v>
      </c>
      <c r="Q71" s="413">
        <f t="shared" si="30"/>
        <v>99550000</v>
      </c>
      <c r="R71" s="413">
        <f t="shared" si="31"/>
        <v>-6110000</v>
      </c>
      <c r="S71" s="413">
        <f t="shared" si="32"/>
        <v>0</v>
      </c>
      <c r="T71" s="403">
        <f t="shared" si="33"/>
        <v>0</v>
      </c>
      <c r="U71" s="413">
        <f t="shared" si="34"/>
        <v>0</v>
      </c>
      <c r="V71" s="413">
        <f t="shared" si="35"/>
        <v>-6110000</v>
      </c>
      <c r="W71" s="413">
        <f t="shared" si="36"/>
        <v>99550000</v>
      </c>
      <c r="X71" s="401">
        <f t="shared" si="37"/>
        <v>1.0508468407835259</v>
      </c>
      <c r="Y71" s="412" t="str">
        <f t="shared" si="38"/>
        <v>TYPE_6</v>
      </c>
      <c r="Z71" s="399" t="str">
        <f t="shared" si="39"/>
        <v>TYPE_2</v>
      </c>
      <c r="AA71" s="414">
        <f>VLOOKUP(Z71,[11]調整參數1_116!A:J,10,0)</f>
        <v>1.1000000000000001</v>
      </c>
      <c r="AB71" s="415">
        <f t="shared" si="40"/>
        <v>115070000</v>
      </c>
      <c r="AC71" s="413">
        <f t="shared" si="41"/>
        <v>32110000</v>
      </c>
      <c r="AD71" s="401">
        <f t="shared" si="42"/>
        <v>0.38705400192864031</v>
      </c>
      <c r="AE71" s="413">
        <f t="shared" si="43"/>
        <v>10458197</v>
      </c>
      <c r="AF71" s="401">
        <f t="shared" si="44"/>
        <v>9.9971482185427965E-2</v>
      </c>
    </row>
    <row r="72" spans="1:32">
      <c r="A72" s="399">
        <v>182</v>
      </c>
      <c r="B72" s="399" t="s">
        <v>169</v>
      </c>
      <c r="C72" s="399" t="s">
        <v>527</v>
      </c>
      <c r="D72" s="399" t="s">
        <v>7</v>
      </c>
      <c r="E72" s="423">
        <v>39404971.109999999</v>
      </c>
      <c r="F72" s="423">
        <v>34385000</v>
      </c>
      <c r="G72" s="424">
        <f t="shared" si="23"/>
        <v>1.14599305249382</v>
      </c>
      <c r="H72" s="400">
        <f t="shared" si="24"/>
        <v>49976757</v>
      </c>
      <c r="I72" s="400">
        <v>43610000</v>
      </c>
      <c r="J72" s="401">
        <f t="shared" si="25"/>
        <v>1.1459930520522816</v>
      </c>
      <c r="K72" s="412" t="str">
        <f t="shared" si="26"/>
        <v>TYPE_5</v>
      </c>
      <c r="L72" s="401">
        <f>VLOOKUP(J72,[11]原始參數_115!E:F,2,1)</f>
        <v>1.03</v>
      </c>
      <c r="M72" s="401">
        <f>VLOOKUP(J72,[11]原始參數_115!E:G,3,1)</f>
        <v>1</v>
      </c>
      <c r="N72" s="413">
        <f t="shared" si="27"/>
        <v>51480000</v>
      </c>
      <c r="O72" s="403">
        <f t="shared" si="28"/>
        <v>3.7820000000000002E-3</v>
      </c>
      <c r="P72" s="401">
        <f t="shared" si="29"/>
        <v>1</v>
      </c>
      <c r="Q72" s="413">
        <f t="shared" si="30"/>
        <v>51480000</v>
      </c>
      <c r="R72" s="413">
        <f t="shared" si="31"/>
        <v>0</v>
      </c>
      <c r="S72" s="413">
        <f t="shared" si="32"/>
        <v>51480000</v>
      </c>
      <c r="T72" s="403">
        <f t="shared" si="33"/>
        <v>5.2589999999999998E-3</v>
      </c>
      <c r="U72" s="413">
        <f t="shared" si="34"/>
        <v>1010000</v>
      </c>
      <c r="V72" s="413">
        <f t="shared" si="35"/>
        <v>1010000</v>
      </c>
      <c r="W72" s="413">
        <f t="shared" si="36"/>
        <v>52490000</v>
      </c>
      <c r="X72" s="401">
        <f t="shared" si="37"/>
        <v>0.95211958468279667</v>
      </c>
      <c r="Y72" s="412" t="str">
        <f t="shared" si="38"/>
        <v>TYPE_7</v>
      </c>
      <c r="Z72" s="399" t="str">
        <f t="shared" si="39"/>
        <v>TYPE_2</v>
      </c>
      <c r="AA72" s="414">
        <f>VLOOKUP(Z72,[11]調整參數1_116!A:J,10,0)</f>
        <v>1.1000000000000001</v>
      </c>
      <c r="AB72" s="415">
        <f t="shared" si="40"/>
        <v>54970000</v>
      </c>
      <c r="AC72" s="413">
        <f t="shared" si="41"/>
        <v>11360000</v>
      </c>
      <c r="AD72" s="401">
        <f t="shared" si="42"/>
        <v>0.26049071313918826</v>
      </c>
      <c r="AE72" s="413">
        <f t="shared" si="43"/>
        <v>4993243</v>
      </c>
      <c r="AF72" s="401">
        <f t="shared" si="44"/>
        <v>9.9911304769134984E-2</v>
      </c>
    </row>
    <row r="73" spans="1:32">
      <c r="A73" s="399">
        <v>183</v>
      </c>
      <c r="B73" s="399" t="s">
        <v>18</v>
      </c>
      <c r="C73" s="399" t="s">
        <v>527</v>
      </c>
      <c r="D73" s="399" t="s">
        <v>7</v>
      </c>
      <c r="E73" s="423">
        <v>24939276.079999998</v>
      </c>
      <c r="F73" s="423">
        <v>30567000</v>
      </c>
      <c r="G73" s="424">
        <f t="shared" si="23"/>
        <v>0.81588890241109691</v>
      </c>
      <c r="H73" s="400">
        <f t="shared" si="24"/>
        <v>31648331</v>
      </c>
      <c r="I73" s="400">
        <v>38790000</v>
      </c>
      <c r="J73" s="401">
        <f t="shared" si="25"/>
        <v>0.81588891466872904</v>
      </c>
      <c r="K73" s="412" t="str">
        <f t="shared" si="26"/>
        <v>TYPE_8</v>
      </c>
      <c r="L73" s="401">
        <f>VLOOKUP(J73,[11]原始參數_115!E:F,2,1)</f>
        <v>1</v>
      </c>
      <c r="M73" s="401">
        <f>VLOOKUP(J73,[11]原始參數_115!E:G,3,1)</f>
        <v>1.1000000000000001</v>
      </c>
      <c r="N73" s="413">
        <f t="shared" si="27"/>
        <v>42670000</v>
      </c>
      <c r="O73" s="403">
        <f t="shared" si="28"/>
        <v>3.1350000000000002E-3</v>
      </c>
      <c r="P73" s="401">
        <f t="shared" si="29"/>
        <v>1</v>
      </c>
      <c r="Q73" s="413">
        <f t="shared" si="30"/>
        <v>42670000</v>
      </c>
      <c r="R73" s="413">
        <f t="shared" si="31"/>
        <v>0</v>
      </c>
      <c r="S73" s="413">
        <f t="shared" si="32"/>
        <v>42670000</v>
      </c>
      <c r="T73" s="403">
        <f t="shared" si="33"/>
        <v>4.359E-3</v>
      </c>
      <c r="U73" s="413">
        <f t="shared" si="34"/>
        <v>830000</v>
      </c>
      <c r="V73" s="413">
        <f t="shared" si="35"/>
        <v>830000</v>
      </c>
      <c r="W73" s="413">
        <f t="shared" si="36"/>
        <v>43500000</v>
      </c>
      <c r="X73" s="401">
        <f t="shared" si="37"/>
        <v>0.72754783908045972</v>
      </c>
      <c r="Y73" s="412" t="str">
        <f t="shared" si="38"/>
        <v>TYPE_9</v>
      </c>
      <c r="Z73" s="399" t="str">
        <f t="shared" si="39"/>
        <v>TYPE_3</v>
      </c>
      <c r="AA73" s="414">
        <f>VLOOKUP(Z73,[11]調整參數1_116!A:J,10,0)</f>
        <v>1.1499999999999999</v>
      </c>
      <c r="AB73" s="415">
        <f t="shared" si="40"/>
        <v>36400000</v>
      </c>
      <c r="AC73" s="413">
        <f t="shared" si="41"/>
        <v>-2390000</v>
      </c>
      <c r="AD73" s="401">
        <f t="shared" si="42"/>
        <v>-6.1613817994328433E-2</v>
      </c>
      <c r="AE73" s="413">
        <f t="shared" si="43"/>
        <v>4751669</v>
      </c>
      <c r="AF73" s="401">
        <f t="shared" si="44"/>
        <v>0.15013963927513271</v>
      </c>
    </row>
    <row r="74" spans="1:32">
      <c r="A74" s="399">
        <v>184</v>
      </c>
      <c r="B74" s="399" t="s">
        <v>19</v>
      </c>
      <c r="C74" s="399" t="s">
        <v>526</v>
      </c>
      <c r="D74" s="399" t="s">
        <v>7</v>
      </c>
      <c r="E74" s="423">
        <v>51245723.700000003</v>
      </c>
      <c r="F74" s="423">
        <v>45162000</v>
      </c>
      <c r="G74" s="424">
        <f t="shared" si="23"/>
        <v>1.134708907931447</v>
      </c>
      <c r="H74" s="400">
        <f t="shared" si="24"/>
        <v>64996126</v>
      </c>
      <c r="I74" s="400">
        <v>57280000</v>
      </c>
      <c r="J74" s="401">
        <f t="shared" si="25"/>
        <v>1.134708903631285</v>
      </c>
      <c r="K74" s="412" t="str">
        <f t="shared" si="26"/>
        <v>TYPE_5</v>
      </c>
      <c r="L74" s="401">
        <f>VLOOKUP(J74,[11]原始參數_115!E:F,2,1)</f>
        <v>1.03</v>
      </c>
      <c r="M74" s="401">
        <f>VLOOKUP(J74,[11]原始參數_115!E:G,3,1)</f>
        <v>1</v>
      </c>
      <c r="N74" s="413">
        <f t="shared" si="27"/>
        <v>66950000</v>
      </c>
      <c r="O74" s="403">
        <f t="shared" si="28"/>
        <v>4.9189999999999998E-3</v>
      </c>
      <c r="P74" s="401">
        <f t="shared" si="29"/>
        <v>1</v>
      </c>
      <c r="Q74" s="413">
        <f t="shared" si="30"/>
        <v>66950000</v>
      </c>
      <c r="R74" s="413">
        <f t="shared" si="31"/>
        <v>0</v>
      </c>
      <c r="S74" s="413">
        <f t="shared" si="32"/>
        <v>66950000</v>
      </c>
      <c r="T74" s="403">
        <f t="shared" si="33"/>
        <v>6.8389999999999996E-3</v>
      </c>
      <c r="U74" s="413">
        <f t="shared" si="34"/>
        <v>1310000</v>
      </c>
      <c r="V74" s="413">
        <f t="shared" si="35"/>
        <v>1310000</v>
      </c>
      <c r="W74" s="413">
        <f t="shared" si="36"/>
        <v>68260000</v>
      </c>
      <c r="X74" s="401">
        <f t="shared" si="37"/>
        <v>0.95218467623791381</v>
      </c>
      <c r="Y74" s="412" t="str">
        <f t="shared" si="38"/>
        <v>TYPE_7</v>
      </c>
      <c r="Z74" s="399" t="str">
        <f t="shared" si="39"/>
        <v>TYPE_2</v>
      </c>
      <c r="AA74" s="414">
        <f>VLOOKUP(Z74,[11]調整參數1_116!A:J,10,0)</f>
        <v>1.1000000000000001</v>
      </c>
      <c r="AB74" s="415">
        <f t="shared" si="40"/>
        <v>71500000</v>
      </c>
      <c r="AC74" s="413">
        <f t="shared" si="41"/>
        <v>14220000</v>
      </c>
      <c r="AD74" s="401">
        <f t="shared" si="42"/>
        <v>0.24825418994413409</v>
      </c>
      <c r="AE74" s="413">
        <f t="shared" si="43"/>
        <v>6503874</v>
      </c>
      <c r="AF74" s="401">
        <f t="shared" si="44"/>
        <v>0.10006556390760889</v>
      </c>
    </row>
    <row r="75" spans="1:32">
      <c r="A75" s="399">
        <v>185</v>
      </c>
      <c r="B75" s="399" t="s">
        <v>170</v>
      </c>
      <c r="C75" s="399" t="s">
        <v>523</v>
      </c>
      <c r="D75" s="399" t="s">
        <v>7</v>
      </c>
      <c r="E75" s="423">
        <v>63447520.75</v>
      </c>
      <c r="F75" s="423">
        <v>64716000</v>
      </c>
      <c r="G75" s="424">
        <f t="shared" si="23"/>
        <v>0.98039929461029729</v>
      </c>
      <c r="H75" s="400">
        <f t="shared" si="24"/>
        <v>80510390</v>
      </c>
      <c r="I75" s="400">
        <v>82120000</v>
      </c>
      <c r="J75" s="401">
        <f t="shared" si="25"/>
        <v>0.98039929371651247</v>
      </c>
      <c r="K75" s="412" t="str">
        <f t="shared" si="26"/>
        <v>TYPE_7</v>
      </c>
      <c r="L75" s="401">
        <f>VLOOKUP(J75,[11]原始參數_115!E:F,2,1)</f>
        <v>1</v>
      </c>
      <c r="M75" s="401">
        <f>VLOOKUP(J75,[11]原始參數_115!E:G,3,1)</f>
        <v>1.05</v>
      </c>
      <c r="N75" s="413">
        <f t="shared" si="27"/>
        <v>86230000</v>
      </c>
      <c r="O75" s="403">
        <f t="shared" si="28"/>
        <v>6.3359999999999996E-3</v>
      </c>
      <c r="P75" s="401">
        <f t="shared" si="29"/>
        <v>1</v>
      </c>
      <c r="Q75" s="413">
        <f t="shared" si="30"/>
        <v>86230000</v>
      </c>
      <c r="R75" s="413">
        <f t="shared" si="31"/>
        <v>0</v>
      </c>
      <c r="S75" s="413">
        <f t="shared" si="32"/>
        <v>86230000</v>
      </c>
      <c r="T75" s="403">
        <f t="shared" si="33"/>
        <v>8.8079999999999999E-3</v>
      </c>
      <c r="U75" s="413">
        <f t="shared" si="34"/>
        <v>1690000</v>
      </c>
      <c r="V75" s="413">
        <f t="shared" si="35"/>
        <v>1690000</v>
      </c>
      <c r="W75" s="413">
        <f t="shared" si="36"/>
        <v>87920000</v>
      </c>
      <c r="X75" s="401">
        <f t="shared" si="37"/>
        <v>0.91572327115559604</v>
      </c>
      <c r="Y75" s="412" t="str">
        <f t="shared" si="38"/>
        <v>TYPE_7</v>
      </c>
      <c r="Z75" s="399" t="str">
        <f t="shared" si="39"/>
        <v>TYPE_3</v>
      </c>
      <c r="AA75" s="414">
        <f>VLOOKUP(Z75,[11]調整參數1_116!A:J,10,0)</f>
        <v>1.1499999999999999</v>
      </c>
      <c r="AB75" s="415">
        <f t="shared" si="40"/>
        <v>92590000</v>
      </c>
      <c r="AC75" s="413">
        <f t="shared" si="41"/>
        <v>10470000</v>
      </c>
      <c r="AD75" s="401">
        <f t="shared" si="42"/>
        <v>0.127496346809547</v>
      </c>
      <c r="AE75" s="413">
        <f t="shared" si="43"/>
        <v>12079610</v>
      </c>
      <c r="AF75" s="401">
        <f t="shared" si="44"/>
        <v>0.15003790194035826</v>
      </c>
    </row>
    <row r="76" spans="1:32">
      <c r="A76" s="399">
        <v>186</v>
      </c>
      <c r="B76" s="399" t="s">
        <v>87</v>
      </c>
      <c r="C76" s="399" t="s">
        <v>523</v>
      </c>
      <c r="D76" s="399" t="s">
        <v>11</v>
      </c>
      <c r="E76" s="423">
        <v>39873897.399999999</v>
      </c>
      <c r="F76" s="423">
        <v>60813000</v>
      </c>
      <c r="G76" s="424">
        <f t="shared" si="23"/>
        <v>0.65568048608027885</v>
      </c>
      <c r="H76" s="400">
        <f t="shared" si="24"/>
        <v>50585750</v>
      </c>
      <c r="I76" s="400">
        <v>77150000</v>
      </c>
      <c r="J76" s="401">
        <f t="shared" si="25"/>
        <v>0.65568049254698635</v>
      </c>
      <c r="K76" s="412" t="str">
        <f t="shared" si="26"/>
        <v>TYPE_9</v>
      </c>
      <c r="L76" s="401">
        <f>VLOOKUP(J76,[11]原始參數_115!E:F,2,1)</f>
        <v>1</v>
      </c>
      <c r="M76" s="401">
        <f>VLOOKUP(J76,[11]原始參數_115!E:G,3,1)</f>
        <v>1.1499999999999999</v>
      </c>
      <c r="N76" s="413">
        <f t="shared" si="27"/>
        <v>88720000</v>
      </c>
      <c r="O76" s="403">
        <f t="shared" si="28"/>
        <v>6.5189999999999996E-3</v>
      </c>
      <c r="P76" s="401">
        <f t="shared" si="29"/>
        <v>1</v>
      </c>
      <c r="Q76" s="413">
        <f t="shared" si="30"/>
        <v>88720000</v>
      </c>
      <c r="R76" s="413">
        <f t="shared" si="31"/>
        <v>0</v>
      </c>
      <c r="S76" s="413">
        <f t="shared" si="32"/>
        <v>88720000</v>
      </c>
      <c r="T76" s="403">
        <f t="shared" si="33"/>
        <v>9.0629999999999999E-3</v>
      </c>
      <c r="U76" s="413">
        <f t="shared" si="34"/>
        <v>1730000</v>
      </c>
      <c r="V76" s="413">
        <f t="shared" si="35"/>
        <v>1730000</v>
      </c>
      <c r="W76" s="413">
        <f t="shared" si="36"/>
        <v>90450000</v>
      </c>
      <c r="X76" s="401">
        <f t="shared" si="37"/>
        <v>0.5592675511332228</v>
      </c>
      <c r="Y76" s="412" t="str">
        <f t="shared" si="38"/>
        <v>TYPE_9</v>
      </c>
      <c r="Z76" s="399" t="str">
        <f t="shared" si="39"/>
        <v>TYPE_4</v>
      </c>
      <c r="AA76" s="414">
        <f>VLOOKUP(Z76,[11]調整參數1_116!A:J,10,0)</f>
        <v>1.2</v>
      </c>
      <c r="AB76" s="415">
        <f t="shared" si="40"/>
        <v>60700000</v>
      </c>
      <c r="AC76" s="413">
        <f t="shared" si="41"/>
        <v>-16450000</v>
      </c>
      <c r="AD76" s="401">
        <f t="shared" si="42"/>
        <v>-0.21322099805573558</v>
      </c>
      <c r="AE76" s="413">
        <f t="shared" si="43"/>
        <v>10114250</v>
      </c>
      <c r="AF76" s="401">
        <f t="shared" si="44"/>
        <v>0.19994267160218046</v>
      </c>
    </row>
    <row r="77" spans="1:32">
      <c r="A77" s="399">
        <v>187</v>
      </c>
      <c r="B77" s="399" t="s">
        <v>171</v>
      </c>
      <c r="C77" s="399" t="s">
        <v>525</v>
      </c>
      <c r="D77" s="399" t="s">
        <v>7</v>
      </c>
      <c r="E77" s="423">
        <v>60230070.880000003</v>
      </c>
      <c r="F77" s="423">
        <v>45161000</v>
      </c>
      <c r="G77" s="424">
        <f t="shared" si="23"/>
        <v>1.3336744288213283</v>
      </c>
      <c r="H77" s="400">
        <f t="shared" si="24"/>
        <v>76406208</v>
      </c>
      <c r="I77" s="400">
        <v>57290000</v>
      </c>
      <c r="J77" s="401">
        <f t="shared" si="25"/>
        <v>1.3336744283470066</v>
      </c>
      <c r="K77" s="412" t="str">
        <f t="shared" si="26"/>
        <v>TYPE_3</v>
      </c>
      <c r="L77" s="401">
        <f>VLOOKUP(J77,[11]原始參數_115!E:F,2,1)</f>
        <v>0.9</v>
      </c>
      <c r="M77" s="401">
        <f>VLOOKUP(J77,[11]原始參數_115!E:G,3,1)</f>
        <v>1</v>
      </c>
      <c r="N77" s="413">
        <f t="shared" si="27"/>
        <v>68770000</v>
      </c>
      <c r="O77" s="403">
        <f t="shared" si="28"/>
        <v>5.0530000000000002E-3</v>
      </c>
      <c r="P77" s="401">
        <f t="shared" si="29"/>
        <v>1.2</v>
      </c>
      <c r="Q77" s="413">
        <f t="shared" si="30"/>
        <v>68750000</v>
      </c>
      <c r="R77" s="413">
        <f t="shared" si="31"/>
        <v>-20000</v>
      </c>
      <c r="S77" s="413">
        <f t="shared" si="32"/>
        <v>0</v>
      </c>
      <c r="T77" s="403">
        <f t="shared" si="33"/>
        <v>0</v>
      </c>
      <c r="U77" s="413">
        <f t="shared" si="34"/>
        <v>0</v>
      </c>
      <c r="V77" s="413">
        <f t="shared" si="35"/>
        <v>-20000</v>
      </c>
      <c r="W77" s="413">
        <f t="shared" si="36"/>
        <v>68750000</v>
      </c>
      <c r="X77" s="401">
        <f t="shared" si="37"/>
        <v>1.1113630254545455</v>
      </c>
      <c r="Y77" s="412" t="str">
        <f t="shared" si="38"/>
        <v>TYPE_5</v>
      </c>
      <c r="Z77" s="399" t="str">
        <f t="shared" si="39"/>
        <v>TYPE_2</v>
      </c>
      <c r="AA77" s="414">
        <f>VLOOKUP(Z77,[11]調整參數1_116!A:J,10,0)</f>
        <v>1.1000000000000001</v>
      </c>
      <c r="AB77" s="415">
        <f t="shared" si="40"/>
        <v>84050000</v>
      </c>
      <c r="AC77" s="413">
        <f t="shared" si="41"/>
        <v>26760000</v>
      </c>
      <c r="AD77" s="401">
        <f t="shared" si="42"/>
        <v>0.46709722464653519</v>
      </c>
      <c r="AE77" s="413">
        <f t="shared" si="43"/>
        <v>7643792</v>
      </c>
      <c r="AF77" s="401">
        <f t="shared" si="44"/>
        <v>0.10004150448089244</v>
      </c>
    </row>
    <row r="78" spans="1:32">
      <c r="A78" s="399">
        <v>189</v>
      </c>
      <c r="B78" s="399" t="s">
        <v>172</v>
      </c>
      <c r="C78" s="399" t="s">
        <v>521</v>
      </c>
      <c r="D78" s="399" t="s">
        <v>0</v>
      </c>
      <c r="E78" s="423">
        <v>71501478.810000002</v>
      </c>
      <c r="F78" s="423">
        <v>63436000</v>
      </c>
      <c r="G78" s="424">
        <f t="shared" si="23"/>
        <v>1.1271435590201149</v>
      </c>
      <c r="H78" s="400">
        <f t="shared" si="24"/>
        <v>90735057</v>
      </c>
      <c r="I78" s="400">
        <v>80500000</v>
      </c>
      <c r="J78" s="401">
        <f t="shared" si="25"/>
        <v>1.1271435652173913</v>
      </c>
      <c r="K78" s="412" t="str">
        <f t="shared" si="26"/>
        <v>TYPE_5</v>
      </c>
      <c r="L78" s="401">
        <f>VLOOKUP(J78,[11]原始參數_115!E:F,2,1)</f>
        <v>1.03</v>
      </c>
      <c r="M78" s="401">
        <f>VLOOKUP(J78,[11]原始參數_115!E:G,3,1)</f>
        <v>1</v>
      </c>
      <c r="N78" s="413">
        <f t="shared" si="27"/>
        <v>93460000</v>
      </c>
      <c r="O78" s="403">
        <f t="shared" si="28"/>
        <v>6.8669999999999998E-3</v>
      </c>
      <c r="P78" s="401">
        <f t="shared" si="29"/>
        <v>1</v>
      </c>
      <c r="Q78" s="413">
        <f t="shared" si="30"/>
        <v>93460000</v>
      </c>
      <c r="R78" s="413">
        <f t="shared" si="31"/>
        <v>0</v>
      </c>
      <c r="S78" s="413">
        <f t="shared" si="32"/>
        <v>93460000</v>
      </c>
      <c r="T78" s="403">
        <f t="shared" si="33"/>
        <v>9.5469999999999999E-3</v>
      </c>
      <c r="U78" s="413">
        <f t="shared" si="34"/>
        <v>1830000</v>
      </c>
      <c r="V78" s="413">
        <f t="shared" si="35"/>
        <v>1830000</v>
      </c>
      <c r="W78" s="413">
        <f t="shared" si="36"/>
        <v>95290000</v>
      </c>
      <c r="X78" s="401">
        <f t="shared" si="37"/>
        <v>0.95219914996327004</v>
      </c>
      <c r="Y78" s="412" t="str">
        <f t="shared" si="38"/>
        <v>TYPE_7</v>
      </c>
      <c r="Z78" s="399" t="str">
        <f t="shared" si="39"/>
        <v>TYPE_2</v>
      </c>
      <c r="AA78" s="414">
        <f>VLOOKUP(Z78,[11]調整參數1_116!A:J,10,0)</f>
        <v>1.1000000000000001</v>
      </c>
      <c r="AB78" s="415">
        <f t="shared" si="40"/>
        <v>99810000</v>
      </c>
      <c r="AC78" s="413">
        <f t="shared" si="41"/>
        <v>19310000</v>
      </c>
      <c r="AD78" s="401">
        <f t="shared" si="42"/>
        <v>0.23987577639751553</v>
      </c>
      <c r="AE78" s="413">
        <f t="shared" si="43"/>
        <v>9074943</v>
      </c>
      <c r="AF78" s="401">
        <f t="shared" si="44"/>
        <v>0.10001584062486454</v>
      </c>
    </row>
    <row r="79" spans="1:32">
      <c r="A79" s="399">
        <v>190</v>
      </c>
      <c r="B79" s="399" t="s">
        <v>173</v>
      </c>
      <c r="C79" s="399" t="s">
        <v>525</v>
      </c>
      <c r="D79" s="399" t="s">
        <v>7</v>
      </c>
      <c r="E79" s="423">
        <v>63713528.829999998</v>
      </c>
      <c r="F79" s="423">
        <v>46768000</v>
      </c>
      <c r="G79" s="424">
        <f t="shared" si="23"/>
        <v>1.3623316975282245</v>
      </c>
      <c r="H79" s="400">
        <f t="shared" si="24"/>
        <v>81004243</v>
      </c>
      <c r="I79" s="400">
        <v>59460000</v>
      </c>
      <c r="J79" s="401">
        <f t="shared" si="25"/>
        <v>1.3623317019845274</v>
      </c>
      <c r="K79" s="412" t="str">
        <f t="shared" si="26"/>
        <v>TYPE_3</v>
      </c>
      <c r="L79" s="401">
        <f>VLOOKUP(J79,[11]原始參數_115!E:F,2,1)</f>
        <v>0.9</v>
      </c>
      <c r="M79" s="401">
        <f>VLOOKUP(J79,[11]原始參數_115!E:G,3,1)</f>
        <v>1</v>
      </c>
      <c r="N79" s="413">
        <f t="shared" si="27"/>
        <v>72900000</v>
      </c>
      <c r="O79" s="403">
        <f t="shared" si="28"/>
        <v>5.3559999999999997E-3</v>
      </c>
      <c r="P79" s="401">
        <f t="shared" si="29"/>
        <v>1.2</v>
      </c>
      <c r="Q79" s="413">
        <f t="shared" si="30"/>
        <v>71350000</v>
      </c>
      <c r="R79" s="413">
        <f t="shared" si="31"/>
        <v>-1550000</v>
      </c>
      <c r="S79" s="413">
        <f t="shared" si="32"/>
        <v>0</v>
      </c>
      <c r="T79" s="403">
        <f t="shared" si="33"/>
        <v>0</v>
      </c>
      <c r="U79" s="413">
        <f t="shared" si="34"/>
        <v>0</v>
      </c>
      <c r="V79" s="413">
        <f t="shared" si="35"/>
        <v>-1550000</v>
      </c>
      <c r="W79" s="413">
        <f t="shared" si="36"/>
        <v>71350000</v>
      </c>
      <c r="X79" s="401">
        <f t="shared" si="37"/>
        <v>1.1353082410651716</v>
      </c>
      <c r="Y79" s="412" t="str">
        <f t="shared" si="38"/>
        <v>TYPE_5</v>
      </c>
      <c r="Z79" s="399" t="str">
        <f t="shared" si="39"/>
        <v>TYPE_1</v>
      </c>
      <c r="AA79" s="414">
        <f>VLOOKUP(Z79,[11]調整參數1_116!A:J,10,0)</f>
        <v>0.9</v>
      </c>
      <c r="AB79" s="415">
        <f t="shared" si="40"/>
        <v>72900000</v>
      </c>
      <c r="AC79" s="413">
        <f t="shared" si="41"/>
        <v>13440000</v>
      </c>
      <c r="AD79" s="401">
        <f t="shared" si="42"/>
        <v>0.22603430877901109</v>
      </c>
      <c r="AE79" s="413">
        <f t="shared" si="43"/>
        <v>-8104243</v>
      </c>
      <c r="AF79" s="401">
        <f t="shared" si="44"/>
        <v>-0.10004714197501975</v>
      </c>
    </row>
    <row r="80" spans="1:32">
      <c r="A80" s="399">
        <v>191</v>
      </c>
      <c r="B80" s="399" t="s">
        <v>20</v>
      </c>
      <c r="C80" s="399" t="s">
        <v>525</v>
      </c>
      <c r="D80" s="399" t="s">
        <v>11</v>
      </c>
      <c r="E80" s="423">
        <v>65277808.490000002</v>
      </c>
      <c r="F80" s="423">
        <v>59648000</v>
      </c>
      <c r="G80" s="424">
        <f t="shared" si="23"/>
        <v>1.094383860146191</v>
      </c>
      <c r="H80" s="400">
        <f t="shared" si="24"/>
        <v>82833914</v>
      </c>
      <c r="I80" s="400">
        <v>75690000</v>
      </c>
      <c r="J80" s="401">
        <f t="shared" si="25"/>
        <v>1.0943838551988374</v>
      </c>
      <c r="K80" s="412" t="str">
        <f t="shared" si="26"/>
        <v>TYPE_6</v>
      </c>
      <c r="L80" s="401">
        <f>VLOOKUP(J80,[11]原始參數_115!E:F,2,1)</f>
        <v>1.05</v>
      </c>
      <c r="M80" s="401">
        <f>VLOOKUP(J80,[11]原始參數_115!E:G,3,1)</f>
        <v>1</v>
      </c>
      <c r="N80" s="413">
        <f t="shared" si="27"/>
        <v>86980000</v>
      </c>
      <c r="O80" s="403">
        <f t="shared" si="28"/>
        <v>6.391E-3</v>
      </c>
      <c r="P80" s="401">
        <f t="shared" si="29"/>
        <v>1</v>
      </c>
      <c r="Q80" s="413">
        <f t="shared" si="30"/>
        <v>86980000</v>
      </c>
      <c r="R80" s="413">
        <f t="shared" si="31"/>
        <v>0</v>
      </c>
      <c r="S80" s="413">
        <f t="shared" si="32"/>
        <v>86980000</v>
      </c>
      <c r="T80" s="403">
        <f t="shared" si="33"/>
        <v>8.8850000000000005E-3</v>
      </c>
      <c r="U80" s="413">
        <f t="shared" si="34"/>
        <v>1700000</v>
      </c>
      <c r="V80" s="413">
        <f t="shared" si="35"/>
        <v>1700000</v>
      </c>
      <c r="W80" s="413">
        <f t="shared" si="36"/>
        <v>88680000</v>
      </c>
      <c r="X80" s="401">
        <f t="shared" si="37"/>
        <v>0.93407661253946772</v>
      </c>
      <c r="Y80" s="412" t="str">
        <f t="shared" si="38"/>
        <v>TYPE_7</v>
      </c>
      <c r="Z80" s="399" t="str">
        <f t="shared" si="39"/>
        <v>TYPE_2</v>
      </c>
      <c r="AA80" s="414">
        <f>VLOOKUP(Z80,[11]調整參數1_116!A:J,10,0)</f>
        <v>1.1000000000000001</v>
      </c>
      <c r="AB80" s="415">
        <f t="shared" si="40"/>
        <v>91120000</v>
      </c>
      <c r="AC80" s="413">
        <f t="shared" si="41"/>
        <v>15430000</v>
      </c>
      <c r="AD80" s="401">
        <f t="shared" si="42"/>
        <v>0.20385784119434536</v>
      </c>
      <c r="AE80" s="413">
        <f t="shared" si="43"/>
        <v>8286086</v>
      </c>
      <c r="AF80" s="401">
        <f t="shared" si="44"/>
        <v>0.10003253015425542</v>
      </c>
    </row>
    <row r="81" spans="1:32">
      <c r="A81" s="399">
        <v>192</v>
      </c>
      <c r="B81" s="399" t="s">
        <v>174</v>
      </c>
      <c r="C81" s="399" t="s">
        <v>522</v>
      </c>
      <c r="D81" s="399" t="s">
        <v>7</v>
      </c>
      <c r="E81" s="423">
        <v>75145144.590000004</v>
      </c>
      <c r="F81" s="423">
        <v>61033000</v>
      </c>
      <c r="G81" s="424">
        <f t="shared" si="23"/>
        <v>1.2312215455573214</v>
      </c>
      <c r="H81" s="400">
        <f t="shared" si="24"/>
        <v>95382733</v>
      </c>
      <c r="I81" s="400">
        <v>77470000</v>
      </c>
      <c r="J81" s="401">
        <f t="shared" si="25"/>
        <v>1.2312215438234155</v>
      </c>
      <c r="K81" s="412" t="str">
        <f t="shared" si="26"/>
        <v>TYPE_4</v>
      </c>
      <c r="L81" s="401">
        <f>VLOOKUP(J81,[11]原始參數_115!E:F,2,1)</f>
        <v>1.01</v>
      </c>
      <c r="M81" s="401">
        <f>VLOOKUP(J81,[11]原始參數_115!E:G,3,1)</f>
        <v>1</v>
      </c>
      <c r="N81" s="413">
        <f t="shared" si="27"/>
        <v>96340000</v>
      </c>
      <c r="O81" s="403">
        <f t="shared" si="28"/>
        <v>7.0780000000000001E-3</v>
      </c>
      <c r="P81" s="401">
        <f t="shared" si="29"/>
        <v>1.2</v>
      </c>
      <c r="Q81" s="413">
        <f t="shared" si="30"/>
        <v>92960000</v>
      </c>
      <c r="R81" s="413">
        <f t="shared" si="31"/>
        <v>-3380000</v>
      </c>
      <c r="S81" s="413">
        <f t="shared" si="32"/>
        <v>0</v>
      </c>
      <c r="T81" s="403">
        <f t="shared" si="33"/>
        <v>0</v>
      </c>
      <c r="U81" s="413">
        <f t="shared" si="34"/>
        <v>0</v>
      </c>
      <c r="V81" s="413">
        <f t="shared" si="35"/>
        <v>-3380000</v>
      </c>
      <c r="W81" s="413">
        <f t="shared" si="36"/>
        <v>92960000</v>
      </c>
      <c r="X81" s="401">
        <f t="shared" si="37"/>
        <v>1.0260621019793459</v>
      </c>
      <c r="Y81" s="412" t="str">
        <f t="shared" si="38"/>
        <v>TYPE_6</v>
      </c>
      <c r="Z81" s="399" t="str">
        <f t="shared" si="39"/>
        <v>TYPE_2</v>
      </c>
      <c r="AA81" s="414">
        <f>VLOOKUP(Z81,[11]調整參數1_116!A:J,10,0)</f>
        <v>1.1000000000000001</v>
      </c>
      <c r="AB81" s="415">
        <f t="shared" si="40"/>
        <v>104920000</v>
      </c>
      <c r="AC81" s="413">
        <f t="shared" si="41"/>
        <v>27450000</v>
      </c>
      <c r="AD81" s="401">
        <f t="shared" si="42"/>
        <v>0.3543307086614173</v>
      </c>
      <c r="AE81" s="413">
        <f t="shared" si="43"/>
        <v>9537267</v>
      </c>
      <c r="AF81" s="401">
        <f t="shared" si="44"/>
        <v>9.9989449872441793E-2</v>
      </c>
    </row>
    <row r="82" spans="1:32">
      <c r="A82" s="399">
        <v>193</v>
      </c>
      <c r="B82" s="399" t="s">
        <v>21</v>
      </c>
      <c r="C82" s="399" t="s">
        <v>525</v>
      </c>
      <c r="D82" s="399" t="s">
        <v>11</v>
      </c>
      <c r="E82" s="423">
        <v>32078341.93</v>
      </c>
      <c r="F82" s="423">
        <v>44294000</v>
      </c>
      <c r="G82" s="424">
        <f t="shared" si="23"/>
        <v>0.72421415835101821</v>
      </c>
      <c r="H82" s="400">
        <f t="shared" si="24"/>
        <v>40700836</v>
      </c>
      <c r="I82" s="400">
        <v>56200000</v>
      </c>
      <c r="J82" s="401">
        <f t="shared" si="25"/>
        <v>0.72421416370106761</v>
      </c>
      <c r="K82" s="412" t="str">
        <f t="shared" si="26"/>
        <v>TYPE_9</v>
      </c>
      <c r="L82" s="401">
        <f>VLOOKUP(J82,[11]原始參數_115!E:F,2,1)</f>
        <v>1</v>
      </c>
      <c r="M82" s="401">
        <f>VLOOKUP(J82,[11]原始參數_115!E:G,3,1)</f>
        <v>1.1499999999999999</v>
      </c>
      <c r="N82" s="413">
        <f t="shared" si="27"/>
        <v>64630000</v>
      </c>
      <c r="O82" s="403">
        <f t="shared" si="28"/>
        <v>4.7489999999999997E-3</v>
      </c>
      <c r="P82" s="401">
        <f t="shared" si="29"/>
        <v>1</v>
      </c>
      <c r="Q82" s="413">
        <f t="shared" si="30"/>
        <v>64630000</v>
      </c>
      <c r="R82" s="413">
        <f t="shared" si="31"/>
        <v>0</v>
      </c>
      <c r="S82" s="413">
        <f t="shared" si="32"/>
        <v>64630000</v>
      </c>
      <c r="T82" s="403">
        <f t="shared" si="33"/>
        <v>6.6020000000000002E-3</v>
      </c>
      <c r="U82" s="413">
        <f t="shared" si="34"/>
        <v>1260000</v>
      </c>
      <c r="V82" s="413">
        <f t="shared" si="35"/>
        <v>1260000</v>
      </c>
      <c r="W82" s="413">
        <f t="shared" si="36"/>
        <v>65890000</v>
      </c>
      <c r="X82" s="401">
        <f t="shared" si="37"/>
        <v>0.6177088480801336</v>
      </c>
      <c r="Y82" s="412" t="str">
        <f t="shared" si="38"/>
        <v>TYPE_9</v>
      </c>
      <c r="Z82" s="399" t="str">
        <f t="shared" si="39"/>
        <v>TYPE_4</v>
      </c>
      <c r="AA82" s="414">
        <f>VLOOKUP(Z82,[11]調整參數1_116!A:J,10,0)</f>
        <v>1.2</v>
      </c>
      <c r="AB82" s="415">
        <f t="shared" si="40"/>
        <v>48840000</v>
      </c>
      <c r="AC82" s="413">
        <f t="shared" si="41"/>
        <v>-7360000</v>
      </c>
      <c r="AD82" s="401">
        <f t="shared" si="42"/>
        <v>-0.1309608540925267</v>
      </c>
      <c r="AE82" s="413">
        <f t="shared" si="43"/>
        <v>8139164</v>
      </c>
      <c r="AF82" s="401">
        <f t="shared" si="44"/>
        <v>0.19997535185763751</v>
      </c>
    </row>
    <row r="83" spans="1:32">
      <c r="A83" s="399">
        <v>194</v>
      </c>
      <c r="B83" s="399" t="s">
        <v>175</v>
      </c>
      <c r="C83" s="399" t="s">
        <v>524</v>
      </c>
      <c r="D83" s="399" t="s">
        <v>11</v>
      </c>
      <c r="E83" s="423">
        <v>28813323.32</v>
      </c>
      <c r="F83" s="423">
        <v>38655000</v>
      </c>
      <c r="G83" s="424">
        <f t="shared" si="23"/>
        <v>0.7453970591126633</v>
      </c>
      <c r="H83" s="400">
        <f t="shared" si="24"/>
        <v>36561726</v>
      </c>
      <c r="I83" s="400">
        <v>49050000</v>
      </c>
      <c r="J83" s="401">
        <f t="shared" si="25"/>
        <v>0.74539706422018348</v>
      </c>
      <c r="K83" s="412" t="str">
        <f t="shared" si="26"/>
        <v>TYPE_9</v>
      </c>
      <c r="L83" s="401">
        <f>VLOOKUP(J83,[11]原始參數_115!E:F,2,1)</f>
        <v>1</v>
      </c>
      <c r="M83" s="401">
        <f>VLOOKUP(J83,[11]原始參數_115!E:G,3,1)</f>
        <v>1.1499999999999999</v>
      </c>
      <c r="N83" s="413">
        <f t="shared" si="27"/>
        <v>56410000</v>
      </c>
      <c r="O83" s="403">
        <f t="shared" si="28"/>
        <v>4.1450000000000002E-3</v>
      </c>
      <c r="P83" s="401">
        <f t="shared" si="29"/>
        <v>1</v>
      </c>
      <c r="Q83" s="413">
        <f t="shared" si="30"/>
        <v>56410000</v>
      </c>
      <c r="R83" s="413">
        <f t="shared" si="31"/>
        <v>0</v>
      </c>
      <c r="S83" s="413">
        <f t="shared" si="32"/>
        <v>56410000</v>
      </c>
      <c r="T83" s="403">
        <f t="shared" si="33"/>
        <v>5.7619999999999998E-3</v>
      </c>
      <c r="U83" s="413">
        <f t="shared" si="34"/>
        <v>1100000</v>
      </c>
      <c r="V83" s="413">
        <f t="shared" si="35"/>
        <v>1100000</v>
      </c>
      <c r="W83" s="413">
        <f t="shared" si="36"/>
        <v>57510000</v>
      </c>
      <c r="X83" s="401">
        <f t="shared" si="37"/>
        <v>0.63574553990610327</v>
      </c>
      <c r="Y83" s="412" t="str">
        <f t="shared" si="38"/>
        <v>TYPE_9</v>
      </c>
      <c r="Z83" s="399" t="str">
        <f t="shared" si="39"/>
        <v>TYPE_4</v>
      </c>
      <c r="AA83" s="414">
        <f>VLOOKUP(Z83,[11]調整參數1_116!A:J,10,0)</f>
        <v>1.2</v>
      </c>
      <c r="AB83" s="415">
        <f t="shared" si="40"/>
        <v>43870000</v>
      </c>
      <c r="AC83" s="413">
        <f t="shared" si="41"/>
        <v>-5180000</v>
      </c>
      <c r="AD83" s="401">
        <f t="shared" si="42"/>
        <v>-0.1056065239551478</v>
      </c>
      <c r="AE83" s="413">
        <f t="shared" si="43"/>
        <v>7308274</v>
      </c>
      <c r="AF83" s="401">
        <f t="shared" si="44"/>
        <v>0.19988864858294711</v>
      </c>
    </row>
    <row r="84" spans="1:32">
      <c r="A84" s="399">
        <v>195</v>
      </c>
      <c r="B84" s="399" t="s">
        <v>22</v>
      </c>
      <c r="C84" s="399" t="s">
        <v>527</v>
      </c>
      <c r="D84" s="399" t="s">
        <v>7</v>
      </c>
      <c r="E84" s="423">
        <v>34819842.960000001</v>
      </c>
      <c r="F84" s="423">
        <v>37293000</v>
      </c>
      <c r="G84" s="424">
        <f t="shared" si="23"/>
        <v>0.93368307618051649</v>
      </c>
      <c r="H84" s="400">
        <f t="shared" si="24"/>
        <v>44181883</v>
      </c>
      <c r="I84" s="400">
        <v>47320000</v>
      </c>
      <c r="J84" s="401">
        <f t="shared" si="25"/>
        <v>0.93368307269653428</v>
      </c>
      <c r="K84" s="412" t="str">
        <f t="shared" si="26"/>
        <v>TYPE_7</v>
      </c>
      <c r="L84" s="401">
        <f>VLOOKUP(J84,[11]原始參數_115!E:F,2,1)</f>
        <v>1</v>
      </c>
      <c r="M84" s="401">
        <f>VLOOKUP(J84,[11]原始參數_115!E:G,3,1)</f>
        <v>1.05</v>
      </c>
      <c r="N84" s="413">
        <f t="shared" si="27"/>
        <v>49690000</v>
      </c>
      <c r="O84" s="403">
        <f t="shared" si="28"/>
        <v>3.6510000000000002E-3</v>
      </c>
      <c r="P84" s="401">
        <f t="shared" si="29"/>
        <v>1</v>
      </c>
      <c r="Q84" s="413">
        <f t="shared" si="30"/>
        <v>49690000</v>
      </c>
      <c r="R84" s="413">
        <f t="shared" si="31"/>
        <v>0</v>
      </c>
      <c r="S84" s="413">
        <f t="shared" si="32"/>
        <v>49690000</v>
      </c>
      <c r="T84" s="403">
        <f t="shared" si="33"/>
        <v>5.0759999999999998E-3</v>
      </c>
      <c r="U84" s="413">
        <f t="shared" si="34"/>
        <v>970000</v>
      </c>
      <c r="V84" s="413">
        <f t="shared" si="35"/>
        <v>970000</v>
      </c>
      <c r="W84" s="413">
        <f t="shared" si="36"/>
        <v>50660000</v>
      </c>
      <c r="X84" s="401">
        <f t="shared" si="37"/>
        <v>0.87212560205290168</v>
      </c>
      <c r="Y84" s="412" t="str">
        <f t="shared" si="38"/>
        <v>TYPE_8</v>
      </c>
      <c r="Z84" s="399" t="str">
        <f t="shared" si="39"/>
        <v>TYPE_3</v>
      </c>
      <c r="AA84" s="414">
        <f>VLOOKUP(Z84,[11]調整參數1_116!A:J,10,0)</f>
        <v>1.1499999999999999</v>
      </c>
      <c r="AB84" s="415">
        <f t="shared" si="40"/>
        <v>50810000</v>
      </c>
      <c r="AC84" s="413">
        <f t="shared" si="41"/>
        <v>3490000</v>
      </c>
      <c r="AD84" s="401">
        <f t="shared" si="42"/>
        <v>7.3753169907016067E-2</v>
      </c>
      <c r="AE84" s="413">
        <f t="shared" si="43"/>
        <v>6628117</v>
      </c>
      <c r="AF84" s="401">
        <f t="shared" si="44"/>
        <v>0.15001888896405796</v>
      </c>
    </row>
    <row r="85" spans="1:32">
      <c r="A85" s="399">
        <v>196</v>
      </c>
      <c r="B85" s="399" t="s">
        <v>88</v>
      </c>
      <c r="C85" s="399" t="s">
        <v>523</v>
      </c>
      <c r="D85" s="399" t="s">
        <v>11</v>
      </c>
      <c r="E85" s="423">
        <v>41677352.159999996</v>
      </c>
      <c r="F85" s="423">
        <v>42486000</v>
      </c>
      <c r="G85" s="424">
        <f t="shared" si="23"/>
        <v>0.98096672221437642</v>
      </c>
      <c r="H85" s="400">
        <f t="shared" si="24"/>
        <v>52883916</v>
      </c>
      <c r="I85" s="400">
        <v>53910000</v>
      </c>
      <c r="J85" s="401">
        <f t="shared" si="25"/>
        <v>0.9809667223149694</v>
      </c>
      <c r="K85" s="412" t="str">
        <f t="shared" si="26"/>
        <v>TYPE_7</v>
      </c>
      <c r="L85" s="401">
        <f>VLOOKUP(J85,[11]原始參數_115!E:F,2,1)</f>
        <v>1</v>
      </c>
      <c r="M85" s="401">
        <f>VLOOKUP(J85,[11]原始參數_115!E:G,3,1)</f>
        <v>1.05</v>
      </c>
      <c r="N85" s="413">
        <f t="shared" si="27"/>
        <v>56610000</v>
      </c>
      <c r="O85" s="403">
        <f t="shared" si="28"/>
        <v>4.1590000000000004E-3</v>
      </c>
      <c r="P85" s="401">
        <f t="shared" si="29"/>
        <v>1</v>
      </c>
      <c r="Q85" s="413">
        <f t="shared" si="30"/>
        <v>56610000</v>
      </c>
      <c r="R85" s="413">
        <f t="shared" si="31"/>
        <v>0</v>
      </c>
      <c r="S85" s="413">
        <f t="shared" si="32"/>
        <v>56610000</v>
      </c>
      <c r="T85" s="403">
        <f t="shared" si="33"/>
        <v>5.7829999999999999E-3</v>
      </c>
      <c r="U85" s="413">
        <f t="shared" si="34"/>
        <v>1110000</v>
      </c>
      <c r="V85" s="413">
        <f t="shared" si="35"/>
        <v>1110000</v>
      </c>
      <c r="W85" s="413">
        <f t="shared" si="36"/>
        <v>57720000</v>
      </c>
      <c r="X85" s="401">
        <f t="shared" si="37"/>
        <v>0.91621476091476095</v>
      </c>
      <c r="Y85" s="412" t="str">
        <f t="shared" si="38"/>
        <v>TYPE_7</v>
      </c>
      <c r="Z85" s="399" t="str">
        <f t="shared" si="39"/>
        <v>TYPE_3</v>
      </c>
      <c r="AA85" s="414">
        <f>VLOOKUP(Z85,[11]調整參數1_116!A:J,10,0)</f>
        <v>1.1499999999999999</v>
      </c>
      <c r="AB85" s="415">
        <f t="shared" si="40"/>
        <v>60820000</v>
      </c>
      <c r="AC85" s="413">
        <f t="shared" si="41"/>
        <v>6910000</v>
      </c>
      <c r="AD85" s="401">
        <f t="shared" si="42"/>
        <v>0.12817659061398629</v>
      </c>
      <c r="AE85" s="413">
        <f t="shared" si="43"/>
        <v>7936084</v>
      </c>
      <c r="AF85" s="401">
        <f t="shared" si="44"/>
        <v>0.15006611840167056</v>
      </c>
    </row>
    <row r="86" spans="1:32">
      <c r="A86" s="399">
        <v>197</v>
      </c>
      <c r="B86" s="399" t="s">
        <v>23</v>
      </c>
      <c r="C86" s="399" t="s">
        <v>527</v>
      </c>
      <c r="D86" s="399" t="s">
        <v>11</v>
      </c>
      <c r="E86" s="423">
        <v>22047263.960000001</v>
      </c>
      <c r="F86" s="423">
        <v>26415000</v>
      </c>
      <c r="G86" s="424">
        <f t="shared" si="23"/>
        <v>0.83464940223357942</v>
      </c>
      <c r="H86" s="400">
        <f t="shared" si="24"/>
        <v>27985794</v>
      </c>
      <c r="I86" s="400">
        <v>33530000</v>
      </c>
      <c r="J86" s="401">
        <f t="shared" si="25"/>
        <v>0.83464938860721738</v>
      </c>
      <c r="K86" s="412" t="str">
        <f t="shared" si="26"/>
        <v>TYPE_8</v>
      </c>
      <c r="L86" s="401">
        <f>VLOOKUP(J86,[11]原始參數_115!E:F,2,1)</f>
        <v>1</v>
      </c>
      <c r="M86" s="401">
        <f>VLOOKUP(J86,[11]原始參數_115!E:G,3,1)</f>
        <v>1.1000000000000001</v>
      </c>
      <c r="N86" s="413">
        <f t="shared" si="27"/>
        <v>36880000</v>
      </c>
      <c r="O86" s="403">
        <f t="shared" si="28"/>
        <v>2.7100000000000002E-3</v>
      </c>
      <c r="P86" s="401">
        <f t="shared" si="29"/>
        <v>1</v>
      </c>
      <c r="Q86" s="413">
        <f t="shared" si="30"/>
        <v>36880000</v>
      </c>
      <c r="R86" s="413">
        <f t="shared" si="31"/>
        <v>0</v>
      </c>
      <c r="S86" s="413">
        <f t="shared" si="32"/>
        <v>36880000</v>
      </c>
      <c r="T86" s="403">
        <f t="shared" si="33"/>
        <v>3.7669999999999999E-3</v>
      </c>
      <c r="U86" s="413">
        <f t="shared" si="34"/>
        <v>720000</v>
      </c>
      <c r="V86" s="413">
        <f t="shared" si="35"/>
        <v>720000</v>
      </c>
      <c r="W86" s="413">
        <f t="shared" si="36"/>
        <v>37600000</v>
      </c>
      <c r="X86" s="401">
        <f t="shared" si="37"/>
        <v>0.74430303191489366</v>
      </c>
      <c r="Y86" s="412" t="str">
        <f t="shared" si="38"/>
        <v>TYPE_9</v>
      </c>
      <c r="Z86" s="399" t="str">
        <f t="shared" si="39"/>
        <v>TYPE_3</v>
      </c>
      <c r="AA86" s="414">
        <f>VLOOKUP(Z86,[11]調整參數1_116!A:J,10,0)</f>
        <v>1.1499999999999999</v>
      </c>
      <c r="AB86" s="415">
        <f t="shared" si="40"/>
        <v>32180000</v>
      </c>
      <c r="AC86" s="413">
        <f t="shared" si="41"/>
        <v>-1350000</v>
      </c>
      <c r="AD86" s="401">
        <f t="shared" si="42"/>
        <v>-4.0262451535937965E-2</v>
      </c>
      <c r="AE86" s="413">
        <f t="shared" si="43"/>
        <v>4194206</v>
      </c>
      <c r="AF86" s="401">
        <f t="shared" si="44"/>
        <v>0.14986910859130886</v>
      </c>
    </row>
    <row r="87" spans="1:32">
      <c r="A87" s="399">
        <v>199</v>
      </c>
      <c r="B87" s="399" t="s">
        <v>24</v>
      </c>
      <c r="C87" s="399" t="s">
        <v>524</v>
      </c>
      <c r="D87" s="399" t="s">
        <v>11</v>
      </c>
      <c r="E87" s="423">
        <v>45937643.960000001</v>
      </c>
      <c r="F87" s="423">
        <v>33185000</v>
      </c>
      <c r="G87" s="424">
        <f t="shared" si="23"/>
        <v>1.3842894066596354</v>
      </c>
      <c r="H87" s="400">
        <f t="shared" si="24"/>
        <v>58292427</v>
      </c>
      <c r="I87" s="400">
        <v>42110000</v>
      </c>
      <c r="J87" s="401">
        <f t="shared" si="25"/>
        <v>1.3842894086915223</v>
      </c>
      <c r="K87" s="412" t="str">
        <f t="shared" si="26"/>
        <v>TYPE_3</v>
      </c>
      <c r="L87" s="401">
        <f>VLOOKUP(J87,[11]原始參數_115!E:F,2,1)</f>
        <v>0.9</v>
      </c>
      <c r="M87" s="401">
        <f>VLOOKUP(J87,[11]原始參數_115!E:G,3,1)</f>
        <v>1</v>
      </c>
      <c r="N87" s="413">
        <f t="shared" si="27"/>
        <v>52460000</v>
      </c>
      <c r="O87" s="403">
        <f t="shared" si="28"/>
        <v>3.8539999999999998E-3</v>
      </c>
      <c r="P87" s="401">
        <f t="shared" si="29"/>
        <v>1.2</v>
      </c>
      <c r="Q87" s="413">
        <f t="shared" si="30"/>
        <v>50530000</v>
      </c>
      <c r="R87" s="413">
        <f t="shared" si="31"/>
        <v>-1930000</v>
      </c>
      <c r="S87" s="413">
        <f t="shared" si="32"/>
        <v>0</v>
      </c>
      <c r="T87" s="403">
        <f t="shared" si="33"/>
        <v>0</v>
      </c>
      <c r="U87" s="413">
        <f t="shared" si="34"/>
        <v>0</v>
      </c>
      <c r="V87" s="413">
        <f t="shared" si="35"/>
        <v>-1930000</v>
      </c>
      <c r="W87" s="413">
        <f t="shared" si="36"/>
        <v>50530000</v>
      </c>
      <c r="X87" s="401">
        <f t="shared" si="37"/>
        <v>1.1536201662378784</v>
      </c>
      <c r="Y87" s="412" t="str">
        <f t="shared" si="38"/>
        <v>TYPE_5</v>
      </c>
      <c r="Z87" s="399" t="str">
        <f t="shared" si="39"/>
        <v>TYPE_1</v>
      </c>
      <c r="AA87" s="414">
        <f>VLOOKUP(Z87,[11]調整參數1_116!A:J,10,0)</f>
        <v>0.9</v>
      </c>
      <c r="AB87" s="415">
        <f t="shared" si="40"/>
        <v>52460000</v>
      </c>
      <c r="AC87" s="413">
        <f t="shared" si="41"/>
        <v>10350000</v>
      </c>
      <c r="AD87" s="401">
        <f t="shared" si="42"/>
        <v>0.2457848492044645</v>
      </c>
      <c r="AE87" s="413">
        <f t="shared" si="43"/>
        <v>-5832427</v>
      </c>
      <c r="AF87" s="401">
        <f t="shared" si="44"/>
        <v>-0.10005462630677567</v>
      </c>
    </row>
    <row r="88" spans="1:32">
      <c r="A88" s="399">
        <v>200</v>
      </c>
      <c r="B88" s="399" t="s">
        <v>89</v>
      </c>
      <c r="C88" s="399" t="s">
        <v>524</v>
      </c>
      <c r="D88" s="399" t="s">
        <v>7</v>
      </c>
      <c r="E88" s="423">
        <v>30675870.52</v>
      </c>
      <c r="F88" s="423">
        <v>36361000</v>
      </c>
      <c r="G88" s="424">
        <f t="shared" si="23"/>
        <v>0.8436476037512719</v>
      </c>
      <c r="H88" s="400">
        <f t="shared" si="24"/>
        <v>38909027</v>
      </c>
      <c r="I88" s="400">
        <v>46120000</v>
      </c>
      <c r="J88" s="401">
        <f t="shared" si="25"/>
        <v>0.84364759323503902</v>
      </c>
      <c r="K88" s="412" t="str">
        <f t="shared" si="26"/>
        <v>TYPE_8</v>
      </c>
      <c r="L88" s="401">
        <f>VLOOKUP(J88,[11]原始參數_115!E:F,2,1)</f>
        <v>1</v>
      </c>
      <c r="M88" s="401">
        <f>VLOOKUP(J88,[11]原始參數_115!E:G,3,1)</f>
        <v>1.1000000000000001</v>
      </c>
      <c r="N88" s="413">
        <f t="shared" si="27"/>
        <v>50730000</v>
      </c>
      <c r="O88" s="403">
        <f t="shared" si="28"/>
        <v>3.7269999999999998E-3</v>
      </c>
      <c r="P88" s="401">
        <f t="shared" si="29"/>
        <v>1</v>
      </c>
      <c r="Q88" s="413">
        <f t="shared" si="30"/>
        <v>50730000</v>
      </c>
      <c r="R88" s="413">
        <f t="shared" si="31"/>
        <v>0</v>
      </c>
      <c r="S88" s="413">
        <f t="shared" si="32"/>
        <v>50730000</v>
      </c>
      <c r="T88" s="403">
        <f t="shared" si="33"/>
        <v>5.182E-3</v>
      </c>
      <c r="U88" s="413">
        <f t="shared" si="34"/>
        <v>990000</v>
      </c>
      <c r="V88" s="413">
        <f t="shared" si="35"/>
        <v>990000</v>
      </c>
      <c r="W88" s="413">
        <f t="shared" si="36"/>
        <v>51720000</v>
      </c>
      <c r="X88" s="401">
        <f t="shared" si="37"/>
        <v>0.75230137277648879</v>
      </c>
      <c r="Y88" s="412" t="str">
        <f t="shared" si="38"/>
        <v>TYPE_8</v>
      </c>
      <c r="Z88" s="399" t="str">
        <f t="shared" si="39"/>
        <v>TYPE_3</v>
      </c>
      <c r="AA88" s="414">
        <f>VLOOKUP(Z88,[11]調整參數1_116!A:J,10,0)</f>
        <v>1.1499999999999999</v>
      </c>
      <c r="AB88" s="415">
        <f t="shared" si="40"/>
        <v>44750000</v>
      </c>
      <c r="AC88" s="413">
        <f t="shared" si="41"/>
        <v>-1370000</v>
      </c>
      <c r="AD88" s="401">
        <f t="shared" si="42"/>
        <v>-2.9705117085862966E-2</v>
      </c>
      <c r="AE88" s="413">
        <f t="shared" si="43"/>
        <v>5840973</v>
      </c>
      <c r="AF88" s="401">
        <f t="shared" si="44"/>
        <v>0.15011871152676215</v>
      </c>
    </row>
    <row r="89" spans="1:32">
      <c r="A89" s="399">
        <v>201</v>
      </c>
      <c r="B89" s="399" t="s">
        <v>90</v>
      </c>
      <c r="C89" s="399" t="s">
        <v>524</v>
      </c>
      <c r="D89" s="399" t="s">
        <v>7</v>
      </c>
      <c r="E89" s="423">
        <v>40052916.390000001</v>
      </c>
      <c r="F89" s="423">
        <v>40891000</v>
      </c>
      <c r="G89" s="424">
        <f t="shared" si="23"/>
        <v>0.97950444816707838</v>
      </c>
      <c r="H89" s="400">
        <f t="shared" si="24"/>
        <v>50826486</v>
      </c>
      <c r="I89" s="400">
        <v>51890000</v>
      </c>
      <c r="J89" s="401">
        <f t="shared" si="25"/>
        <v>0.97950445172480249</v>
      </c>
      <c r="K89" s="412" t="str">
        <f t="shared" si="26"/>
        <v>TYPE_7</v>
      </c>
      <c r="L89" s="401">
        <f>VLOOKUP(J89,[11]原始參數_115!E:F,2,1)</f>
        <v>1</v>
      </c>
      <c r="M89" s="401">
        <f>VLOOKUP(J89,[11]原始參數_115!E:G,3,1)</f>
        <v>1.05</v>
      </c>
      <c r="N89" s="413">
        <f t="shared" si="27"/>
        <v>54480000</v>
      </c>
      <c r="O89" s="403">
        <f t="shared" si="28"/>
        <v>4.0029999999999996E-3</v>
      </c>
      <c r="P89" s="401">
        <f t="shared" si="29"/>
        <v>1</v>
      </c>
      <c r="Q89" s="413">
        <f t="shared" si="30"/>
        <v>54480000</v>
      </c>
      <c r="R89" s="413">
        <f t="shared" si="31"/>
        <v>0</v>
      </c>
      <c r="S89" s="413">
        <f t="shared" si="32"/>
        <v>54480000</v>
      </c>
      <c r="T89" s="403">
        <f t="shared" si="33"/>
        <v>5.5649999999999996E-3</v>
      </c>
      <c r="U89" s="413">
        <f t="shared" si="34"/>
        <v>1060000</v>
      </c>
      <c r="V89" s="413">
        <f t="shared" si="35"/>
        <v>1060000</v>
      </c>
      <c r="W89" s="413">
        <f t="shared" si="36"/>
        <v>55540000</v>
      </c>
      <c r="X89" s="401">
        <f t="shared" si="37"/>
        <v>0.91513298523586606</v>
      </c>
      <c r="Y89" s="412" t="str">
        <f t="shared" si="38"/>
        <v>TYPE_7</v>
      </c>
      <c r="Z89" s="399" t="str">
        <f t="shared" si="39"/>
        <v>TYPE_3</v>
      </c>
      <c r="AA89" s="414">
        <f>VLOOKUP(Z89,[11]調整參數1_116!A:J,10,0)</f>
        <v>1.1499999999999999</v>
      </c>
      <c r="AB89" s="415">
        <f t="shared" si="40"/>
        <v>58450000</v>
      </c>
      <c r="AC89" s="413">
        <f t="shared" si="41"/>
        <v>6560000</v>
      </c>
      <c r="AD89" s="401">
        <f t="shared" si="42"/>
        <v>0.12642127577567933</v>
      </c>
      <c r="AE89" s="413">
        <f t="shared" si="43"/>
        <v>7623514</v>
      </c>
      <c r="AF89" s="401">
        <f t="shared" si="44"/>
        <v>0.14999097124282801</v>
      </c>
    </row>
    <row r="90" spans="1:32">
      <c r="A90" s="399">
        <v>211</v>
      </c>
      <c r="B90" s="399" t="s">
        <v>25</v>
      </c>
      <c r="C90" s="399" t="s">
        <v>524</v>
      </c>
      <c r="D90" s="399" t="s">
        <v>7</v>
      </c>
      <c r="E90" s="423">
        <v>62336798.409999996</v>
      </c>
      <c r="F90" s="423">
        <v>42375000</v>
      </c>
      <c r="G90" s="424">
        <f t="shared" si="23"/>
        <v>1.4710748887315634</v>
      </c>
      <c r="H90" s="400">
        <f t="shared" si="24"/>
        <v>79114408</v>
      </c>
      <c r="I90" s="400">
        <v>53780000</v>
      </c>
      <c r="J90" s="401">
        <f t="shared" si="25"/>
        <v>1.4710748977314987</v>
      </c>
      <c r="K90" s="412" t="str">
        <f t="shared" si="26"/>
        <v>TYPE_3</v>
      </c>
      <c r="L90" s="401">
        <f>VLOOKUP(J90,[11]原始參數_115!E:F,2,1)</f>
        <v>0.9</v>
      </c>
      <c r="M90" s="401">
        <f>VLOOKUP(J90,[11]原始參數_115!E:G,3,1)</f>
        <v>1</v>
      </c>
      <c r="N90" s="413">
        <f t="shared" si="27"/>
        <v>71200000</v>
      </c>
      <c r="O90" s="403">
        <f t="shared" si="28"/>
        <v>5.2310000000000004E-3</v>
      </c>
      <c r="P90" s="401">
        <f t="shared" si="29"/>
        <v>1.2</v>
      </c>
      <c r="Q90" s="413">
        <f t="shared" si="30"/>
        <v>64540000</v>
      </c>
      <c r="R90" s="413">
        <f t="shared" si="31"/>
        <v>-6660000</v>
      </c>
      <c r="S90" s="413">
        <f t="shared" si="32"/>
        <v>0</v>
      </c>
      <c r="T90" s="403">
        <f t="shared" si="33"/>
        <v>0</v>
      </c>
      <c r="U90" s="413">
        <f t="shared" si="34"/>
        <v>0</v>
      </c>
      <c r="V90" s="413">
        <f t="shared" si="35"/>
        <v>-6660000</v>
      </c>
      <c r="W90" s="413">
        <f t="shared" si="36"/>
        <v>64540000</v>
      </c>
      <c r="X90" s="401">
        <f t="shared" si="37"/>
        <v>1.2258197706848466</v>
      </c>
      <c r="Y90" s="412" t="str">
        <f t="shared" si="38"/>
        <v>TYPE_4</v>
      </c>
      <c r="Z90" s="399" t="str">
        <f t="shared" si="39"/>
        <v>TYPE_1</v>
      </c>
      <c r="AA90" s="414">
        <f>VLOOKUP(Z90,[11]調整參數1_116!A:J,10,0)</f>
        <v>0.9</v>
      </c>
      <c r="AB90" s="415">
        <f t="shared" si="40"/>
        <v>71200000</v>
      </c>
      <c r="AC90" s="413">
        <f t="shared" si="41"/>
        <v>17420000</v>
      </c>
      <c r="AD90" s="401">
        <f t="shared" si="42"/>
        <v>0.32391223503161026</v>
      </c>
      <c r="AE90" s="413">
        <f t="shared" si="43"/>
        <v>-7914408</v>
      </c>
      <c r="AF90" s="401">
        <f t="shared" si="44"/>
        <v>-0.10003750517857632</v>
      </c>
    </row>
    <row r="91" spans="1:32">
      <c r="A91" s="399">
        <v>220</v>
      </c>
      <c r="B91" s="399" t="s">
        <v>26</v>
      </c>
      <c r="C91" s="399" t="s">
        <v>527</v>
      </c>
      <c r="D91" s="399" t="s">
        <v>7</v>
      </c>
      <c r="E91" s="423">
        <v>40992415.219999999</v>
      </c>
      <c r="F91" s="423">
        <v>33690000</v>
      </c>
      <c r="G91" s="424">
        <f t="shared" si="23"/>
        <v>1.2167531973879488</v>
      </c>
      <c r="H91" s="400">
        <f t="shared" si="24"/>
        <v>52028367</v>
      </c>
      <c r="I91" s="400">
        <v>42760000</v>
      </c>
      <c r="J91" s="401">
        <f t="shared" si="25"/>
        <v>1.2167532039289055</v>
      </c>
      <c r="K91" s="412" t="str">
        <f t="shared" si="26"/>
        <v>TYPE_4</v>
      </c>
      <c r="L91" s="401">
        <f>VLOOKUP(J91,[11]原始參數_115!E:F,2,1)</f>
        <v>1.01</v>
      </c>
      <c r="M91" s="401">
        <f>VLOOKUP(J91,[11]原始參數_115!E:G,3,1)</f>
        <v>1</v>
      </c>
      <c r="N91" s="413">
        <f t="shared" si="27"/>
        <v>52550000</v>
      </c>
      <c r="O91" s="403">
        <f t="shared" si="28"/>
        <v>3.8609999999999998E-3</v>
      </c>
      <c r="P91" s="401">
        <f t="shared" si="29"/>
        <v>1.2</v>
      </c>
      <c r="Q91" s="413">
        <f t="shared" si="30"/>
        <v>51310000</v>
      </c>
      <c r="R91" s="413">
        <f t="shared" si="31"/>
        <v>-1240000</v>
      </c>
      <c r="S91" s="413">
        <f t="shared" si="32"/>
        <v>0</v>
      </c>
      <c r="T91" s="403">
        <f t="shared" si="33"/>
        <v>0</v>
      </c>
      <c r="U91" s="413">
        <f t="shared" si="34"/>
        <v>0</v>
      </c>
      <c r="V91" s="413">
        <f t="shared" si="35"/>
        <v>-1240000</v>
      </c>
      <c r="W91" s="413">
        <f t="shared" si="36"/>
        <v>51310000</v>
      </c>
      <c r="X91" s="401">
        <f t="shared" si="37"/>
        <v>1.0140005262132139</v>
      </c>
      <c r="Y91" s="412" t="str">
        <f t="shared" si="38"/>
        <v>TYPE_6</v>
      </c>
      <c r="Z91" s="399" t="str">
        <f t="shared" si="39"/>
        <v>TYPE_2</v>
      </c>
      <c r="AA91" s="414">
        <f>VLOOKUP(Z91,[11]調整參數1_116!A:J,10,0)</f>
        <v>1.1000000000000001</v>
      </c>
      <c r="AB91" s="415">
        <f t="shared" si="40"/>
        <v>57230000</v>
      </c>
      <c r="AC91" s="413">
        <f t="shared" si="41"/>
        <v>14470000</v>
      </c>
      <c r="AD91" s="401">
        <f t="shared" si="42"/>
        <v>0.338400374181478</v>
      </c>
      <c r="AE91" s="413">
        <f t="shared" si="43"/>
        <v>5201633</v>
      </c>
      <c r="AF91" s="401">
        <f t="shared" si="44"/>
        <v>9.9976864543913135E-2</v>
      </c>
    </row>
    <row r="92" spans="1:32">
      <c r="A92" s="399">
        <v>221</v>
      </c>
      <c r="B92" s="399" t="s">
        <v>27</v>
      </c>
      <c r="C92" s="399" t="s">
        <v>527</v>
      </c>
      <c r="D92" s="399" t="s">
        <v>7</v>
      </c>
      <c r="E92" s="423">
        <v>36873121.649999999</v>
      </c>
      <c r="F92" s="423">
        <v>33754000</v>
      </c>
      <c r="G92" s="424">
        <f t="shared" si="23"/>
        <v>1.0924074672631392</v>
      </c>
      <c r="H92" s="400">
        <f t="shared" si="24"/>
        <v>46798736</v>
      </c>
      <c r="I92" s="400">
        <v>42840000</v>
      </c>
      <c r="J92" s="401">
        <f t="shared" si="25"/>
        <v>1.0924074696545285</v>
      </c>
      <c r="K92" s="412" t="str">
        <f t="shared" si="26"/>
        <v>TYPE_6</v>
      </c>
      <c r="L92" s="401">
        <f>VLOOKUP(J92,[11]原始參數_115!E:F,2,1)</f>
        <v>1.05</v>
      </c>
      <c r="M92" s="401">
        <f>VLOOKUP(J92,[11]原始參數_115!E:G,3,1)</f>
        <v>1</v>
      </c>
      <c r="N92" s="413">
        <f t="shared" si="27"/>
        <v>49140000</v>
      </c>
      <c r="O92" s="403">
        <f t="shared" si="28"/>
        <v>3.6110000000000001E-3</v>
      </c>
      <c r="P92" s="401">
        <f t="shared" si="29"/>
        <v>1</v>
      </c>
      <c r="Q92" s="413">
        <f t="shared" si="30"/>
        <v>49140000</v>
      </c>
      <c r="R92" s="413">
        <f t="shared" si="31"/>
        <v>0</v>
      </c>
      <c r="S92" s="413">
        <f t="shared" si="32"/>
        <v>49140000</v>
      </c>
      <c r="T92" s="403">
        <f t="shared" si="33"/>
        <v>5.0200000000000002E-3</v>
      </c>
      <c r="U92" s="413">
        <f t="shared" si="34"/>
        <v>960000</v>
      </c>
      <c r="V92" s="413">
        <f t="shared" si="35"/>
        <v>960000</v>
      </c>
      <c r="W92" s="413">
        <f t="shared" si="36"/>
        <v>50100000</v>
      </c>
      <c r="X92" s="401">
        <f t="shared" si="37"/>
        <v>0.93410650698602793</v>
      </c>
      <c r="Y92" s="412" t="str">
        <f t="shared" si="38"/>
        <v>TYPE_7</v>
      </c>
      <c r="Z92" s="399" t="str">
        <f t="shared" si="39"/>
        <v>TYPE_2</v>
      </c>
      <c r="AA92" s="414">
        <f>VLOOKUP(Z92,[11]調整參數1_116!A:J,10,0)</f>
        <v>1.1000000000000001</v>
      </c>
      <c r="AB92" s="415">
        <f t="shared" si="40"/>
        <v>51480000</v>
      </c>
      <c r="AC92" s="413">
        <f t="shared" si="41"/>
        <v>8640000</v>
      </c>
      <c r="AD92" s="401">
        <f t="shared" si="42"/>
        <v>0.20168067226890757</v>
      </c>
      <c r="AE92" s="413">
        <f t="shared" si="43"/>
        <v>4681264</v>
      </c>
      <c r="AF92" s="401">
        <f t="shared" si="44"/>
        <v>0.10002971020413885</v>
      </c>
    </row>
    <row r="93" spans="1:32">
      <c r="A93" s="399">
        <v>240</v>
      </c>
      <c r="B93" s="399" t="s">
        <v>177</v>
      </c>
      <c r="C93" s="399" t="s">
        <v>522</v>
      </c>
      <c r="D93" s="399" t="s">
        <v>11</v>
      </c>
      <c r="E93" s="423">
        <v>85023852.700000003</v>
      </c>
      <c r="F93" s="423">
        <v>70043000</v>
      </c>
      <c r="G93" s="424">
        <f t="shared" si="23"/>
        <v>1.2138807975101009</v>
      </c>
      <c r="H93" s="400">
        <f t="shared" si="24"/>
        <v>107901864</v>
      </c>
      <c r="I93" s="400">
        <v>88890000</v>
      </c>
      <c r="J93" s="401">
        <f t="shared" si="25"/>
        <v>1.2138807964900438</v>
      </c>
      <c r="K93" s="412" t="str">
        <f t="shared" si="26"/>
        <v>TYPE_4</v>
      </c>
      <c r="L93" s="401">
        <f>VLOOKUP(J93,[11]原始參數_115!E:F,2,1)</f>
        <v>1.01</v>
      </c>
      <c r="M93" s="401">
        <f>VLOOKUP(J93,[11]原始參數_115!E:G,3,1)</f>
        <v>1</v>
      </c>
      <c r="N93" s="413">
        <f t="shared" si="27"/>
        <v>108980000</v>
      </c>
      <c r="O93" s="403">
        <f t="shared" si="28"/>
        <v>8.0070000000000002E-3</v>
      </c>
      <c r="P93" s="401">
        <f t="shared" si="29"/>
        <v>1.2</v>
      </c>
      <c r="Q93" s="413">
        <f t="shared" si="30"/>
        <v>106670000</v>
      </c>
      <c r="R93" s="413">
        <f t="shared" si="31"/>
        <v>-2310000</v>
      </c>
      <c r="S93" s="413">
        <f t="shared" si="32"/>
        <v>0</v>
      </c>
      <c r="T93" s="403">
        <f t="shared" si="33"/>
        <v>0</v>
      </c>
      <c r="U93" s="413">
        <f t="shared" si="34"/>
        <v>0</v>
      </c>
      <c r="V93" s="413">
        <f t="shared" si="35"/>
        <v>-2310000</v>
      </c>
      <c r="W93" s="413">
        <f t="shared" si="36"/>
        <v>106670000</v>
      </c>
      <c r="X93" s="401">
        <f t="shared" si="37"/>
        <v>1.0115483641136214</v>
      </c>
      <c r="Y93" s="412" t="str">
        <f t="shared" si="38"/>
        <v>TYPE_6</v>
      </c>
      <c r="Z93" s="399" t="str">
        <f t="shared" si="39"/>
        <v>TYPE_2</v>
      </c>
      <c r="AA93" s="414">
        <f>VLOOKUP(Z93,[11]調整參數1_116!A:J,10,0)</f>
        <v>1.1000000000000001</v>
      </c>
      <c r="AB93" s="415">
        <f t="shared" si="40"/>
        <v>118690000</v>
      </c>
      <c r="AC93" s="413">
        <f t="shared" si="41"/>
        <v>29800000</v>
      </c>
      <c r="AD93" s="401">
        <f t="shared" si="42"/>
        <v>0.33524580942738214</v>
      </c>
      <c r="AE93" s="413">
        <f t="shared" si="43"/>
        <v>10788136</v>
      </c>
      <c r="AF93" s="401">
        <f t="shared" si="44"/>
        <v>9.9980997547920031E-2</v>
      </c>
    </row>
    <row r="94" spans="1:32">
      <c r="A94" s="399">
        <v>241</v>
      </c>
      <c r="B94" s="399" t="s">
        <v>91</v>
      </c>
      <c r="C94" s="399" t="s">
        <v>522</v>
      </c>
      <c r="D94" s="399" t="s">
        <v>11</v>
      </c>
      <c r="E94" s="423">
        <v>83982593.780000001</v>
      </c>
      <c r="F94" s="423">
        <v>75527000</v>
      </c>
      <c r="G94" s="424">
        <f t="shared" si="23"/>
        <v>1.1119545828644062</v>
      </c>
      <c r="H94" s="400">
        <f t="shared" si="24"/>
        <v>106580847</v>
      </c>
      <c r="I94" s="400">
        <v>95850000</v>
      </c>
      <c r="J94" s="401">
        <f t="shared" si="25"/>
        <v>1.111954585289515</v>
      </c>
      <c r="K94" s="412" t="str">
        <f t="shared" si="26"/>
        <v>TYPE_5</v>
      </c>
      <c r="L94" s="401">
        <f>VLOOKUP(J94,[11]原始參數_115!E:F,2,1)</f>
        <v>1.03</v>
      </c>
      <c r="M94" s="401">
        <f>VLOOKUP(J94,[11]原始參數_115!E:G,3,1)</f>
        <v>1</v>
      </c>
      <c r="N94" s="413">
        <f t="shared" si="27"/>
        <v>109780000</v>
      </c>
      <c r="O94" s="403">
        <f t="shared" si="28"/>
        <v>8.0660000000000003E-3</v>
      </c>
      <c r="P94" s="401">
        <f t="shared" si="29"/>
        <v>1</v>
      </c>
      <c r="Q94" s="413">
        <f t="shared" si="30"/>
        <v>109780000</v>
      </c>
      <c r="R94" s="413">
        <f t="shared" si="31"/>
        <v>0</v>
      </c>
      <c r="S94" s="413">
        <f t="shared" si="32"/>
        <v>109780000</v>
      </c>
      <c r="T94" s="403">
        <f t="shared" si="33"/>
        <v>1.1214E-2</v>
      </c>
      <c r="U94" s="413">
        <f t="shared" si="34"/>
        <v>2150000</v>
      </c>
      <c r="V94" s="413">
        <f t="shared" si="35"/>
        <v>2150000</v>
      </c>
      <c r="W94" s="413">
        <f t="shared" si="36"/>
        <v>111930000</v>
      </c>
      <c r="X94" s="401">
        <f t="shared" si="37"/>
        <v>0.9522098365049585</v>
      </c>
      <c r="Y94" s="412" t="str">
        <f t="shared" si="38"/>
        <v>TYPE_7</v>
      </c>
      <c r="Z94" s="399" t="str">
        <f t="shared" si="39"/>
        <v>TYPE_2</v>
      </c>
      <c r="AA94" s="414">
        <f>VLOOKUP(Z94,[11]調整參數1_116!A:J,10,0)</f>
        <v>1.1000000000000001</v>
      </c>
      <c r="AB94" s="415">
        <f t="shared" si="40"/>
        <v>117240000</v>
      </c>
      <c r="AC94" s="413">
        <f t="shared" si="41"/>
        <v>21390000</v>
      </c>
      <c r="AD94" s="401">
        <f t="shared" si="42"/>
        <v>0.22316118935837245</v>
      </c>
      <c r="AE94" s="413">
        <f t="shared" si="43"/>
        <v>10659153</v>
      </c>
      <c r="AF94" s="401">
        <f t="shared" si="44"/>
        <v>0.10001002337690186</v>
      </c>
    </row>
    <row r="95" spans="1:32">
      <c r="A95" s="399">
        <v>242</v>
      </c>
      <c r="B95" s="399" t="s">
        <v>28</v>
      </c>
      <c r="C95" s="399" t="s">
        <v>521</v>
      </c>
      <c r="D95" s="399" t="s">
        <v>11</v>
      </c>
      <c r="E95" s="423">
        <v>72348225.849999994</v>
      </c>
      <c r="F95" s="423">
        <v>71518000</v>
      </c>
      <c r="G95" s="424">
        <f t="shared" si="23"/>
        <v>1.0116086278978718</v>
      </c>
      <c r="H95" s="400">
        <f t="shared" si="24"/>
        <v>91803483</v>
      </c>
      <c r="I95" s="400">
        <v>90750000</v>
      </c>
      <c r="J95" s="401">
        <f t="shared" si="25"/>
        <v>1.0116086280991736</v>
      </c>
      <c r="K95" s="412" t="str">
        <f t="shared" si="26"/>
        <v>TYPE_6</v>
      </c>
      <c r="L95" s="401">
        <f>VLOOKUP(J95,[11]原始參數_115!E:F,2,1)</f>
        <v>1.05</v>
      </c>
      <c r="M95" s="401">
        <f>VLOOKUP(J95,[11]原始參數_115!E:G,3,1)</f>
        <v>1</v>
      </c>
      <c r="N95" s="413">
        <f t="shared" si="27"/>
        <v>96390000</v>
      </c>
      <c r="O95" s="403">
        <f t="shared" si="28"/>
        <v>7.0819999999999998E-3</v>
      </c>
      <c r="P95" s="401">
        <f t="shared" si="29"/>
        <v>1</v>
      </c>
      <c r="Q95" s="413">
        <f t="shared" si="30"/>
        <v>96390000</v>
      </c>
      <c r="R95" s="413">
        <f t="shared" si="31"/>
        <v>0</v>
      </c>
      <c r="S95" s="413">
        <f t="shared" si="32"/>
        <v>96390000</v>
      </c>
      <c r="T95" s="403">
        <f t="shared" si="33"/>
        <v>9.8460000000000006E-3</v>
      </c>
      <c r="U95" s="413">
        <f t="shared" si="34"/>
        <v>1880000</v>
      </c>
      <c r="V95" s="413">
        <f t="shared" si="35"/>
        <v>1880000</v>
      </c>
      <c r="W95" s="413">
        <f t="shared" si="36"/>
        <v>98270000</v>
      </c>
      <c r="X95" s="401">
        <f t="shared" si="37"/>
        <v>0.93419642820799842</v>
      </c>
      <c r="Y95" s="412" t="str">
        <f t="shared" si="38"/>
        <v>TYPE_7</v>
      </c>
      <c r="Z95" s="399" t="str">
        <f t="shared" si="39"/>
        <v>TYPE_2</v>
      </c>
      <c r="AA95" s="414">
        <f>VLOOKUP(Z95,[11]調整參數1_116!A:J,10,0)</f>
        <v>1.1000000000000001</v>
      </c>
      <c r="AB95" s="415">
        <f t="shared" si="40"/>
        <v>100980000</v>
      </c>
      <c r="AC95" s="413">
        <f t="shared" si="41"/>
        <v>10230000</v>
      </c>
      <c r="AD95" s="401">
        <f t="shared" si="42"/>
        <v>0.11272727272727273</v>
      </c>
      <c r="AE95" s="413">
        <f t="shared" si="43"/>
        <v>9176517</v>
      </c>
      <c r="AF95" s="401">
        <f t="shared" si="44"/>
        <v>9.9958266289308428E-2</v>
      </c>
    </row>
    <row r="96" spans="1:32">
      <c r="A96" s="399">
        <v>243</v>
      </c>
      <c r="B96" s="399" t="s">
        <v>92</v>
      </c>
      <c r="C96" s="399" t="s">
        <v>526</v>
      </c>
      <c r="D96" s="399" t="s">
        <v>11</v>
      </c>
      <c r="E96" s="423">
        <v>43987890.359999999</v>
      </c>
      <c r="F96" s="423">
        <v>52208000</v>
      </c>
      <c r="G96" s="424">
        <f t="shared" si="23"/>
        <v>0.84255076539993867</v>
      </c>
      <c r="H96" s="400">
        <f t="shared" si="24"/>
        <v>55810563</v>
      </c>
      <c r="I96" s="400">
        <v>66240000</v>
      </c>
      <c r="J96" s="401">
        <f t="shared" si="25"/>
        <v>0.84255076992753619</v>
      </c>
      <c r="K96" s="412" t="str">
        <f t="shared" si="26"/>
        <v>TYPE_8</v>
      </c>
      <c r="L96" s="401">
        <f>VLOOKUP(J96,[11]原始參數_115!E:F,2,1)</f>
        <v>1</v>
      </c>
      <c r="M96" s="401">
        <f>VLOOKUP(J96,[11]原始參數_115!E:G,3,1)</f>
        <v>1.1000000000000001</v>
      </c>
      <c r="N96" s="413">
        <f t="shared" si="27"/>
        <v>72860000</v>
      </c>
      <c r="O96" s="403">
        <f t="shared" si="28"/>
        <v>5.3530000000000001E-3</v>
      </c>
      <c r="P96" s="401">
        <f t="shared" si="29"/>
        <v>1</v>
      </c>
      <c r="Q96" s="413">
        <f t="shared" si="30"/>
        <v>72860000</v>
      </c>
      <c r="R96" s="413">
        <f t="shared" si="31"/>
        <v>0</v>
      </c>
      <c r="S96" s="413">
        <f t="shared" si="32"/>
        <v>72860000</v>
      </c>
      <c r="T96" s="403">
        <f t="shared" si="33"/>
        <v>7.443E-3</v>
      </c>
      <c r="U96" s="413">
        <f t="shared" si="34"/>
        <v>1420000</v>
      </c>
      <c r="V96" s="413">
        <f t="shared" si="35"/>
        <v>1420000</v>
      </c>
      <c r="W96" s="413">
        <f t="shared" si="36"/>
        <v>74280000</v>
      </c>
      <c r="X96" s="401">
        <f t="shared" si="37"/>
        <v>0.75135383683360257</v>
      </c>
      <c r="Y96" s="412" t="str">
        <f t="shared" si="38"/>
        <v>TYPE_8</v>
      </c>
      <c r="Z96" s="399" t="str">
        <f t="shared" si="39"/>
        <v>TYPE_3</v>
      </c>
      <c r="AA96" s="414">
        <f>VLOOKUP(Z96,[11]調整參數1_116!A:J,10,0)</f>
        <v>1.1499999999999999</v>
      </c>
      <c r="AB96" s="415">
        <f t="shared" si="40"/>
        <v>64180000</v>
      </c>
      <c r="AC96" s="413">
        <f t="shared" si="41"/>
        <v>-2060000</v>
      </c>
      <c r="AD96" s="401">
        <f t="shared" si="42"/>
        <v>-3.109903381642512E-2</v>
      </c>
      <c r="AE96" s="413">
        <f t="shared" si="43"/>
        <v>8369437</v>
      </c>
      <c r="AF96" s="401">
        <f t="shared" si="44"/>
        <v>0.14996152251680386</v>
      </c>
    </row>
    <row r="97" spans="1:32">
      <c r="A97" s="399">
        <v>244</v>
      </c>
      <c r="B97" s="399" t="s">
        <v>29</v>
      </c>
      <c r="C97" s="399" t="s">
        <v>525</v>
      </c>
      <c r="D97" s="399" t="s">
        <v>11</v>
      </c>
      <c r="E97" s="423">
        <v>80158128.450000003</v>
      </c>
      <c r="F97" s="423">
        <v>68333000</v>
      </c>
      <c r="G97" s="424">
        <f t="shared" si="23"/>
        <v>1.1730515043975824</v>
      </c>
      <c r="H97" s="400">
        <f t="shared" si="24"/>
        <v>101727026</v>
      </c>
      <c r="I97" s="400">
        <v>86720000</v>
      </c>
      <c r="J97" s="401">
        <f t="shared" si="25"/>
        <v>1.1730514990774907</v>
      </c>
      <c r="K97" s="412" t="str">
        <f t="shared" si="26"/>
        <v>TYPE_5</v>
      </c>
      <c r="L97" s="401">
        <f>VLOOKUP(J97,[11]原始參數_115!E:F,2,1)</f>
        <v>1.03</v>
      </c>
      <c r="M97" s="401">
        <f>VLOOKUP(J97,[11]原始參數_115!E:G,3,1)</f>
        <v>1</v>
      </c>
      <c r="N97" s="413">
        <f t="shared" si="27"/>
        <v>104780000</v>
      </c>
      <c r="O97" s="403">
        <f t="shared" si="28"/>
        <v>7.6990000000000001E-3</v>
      </c>
      <c r="P97" s="401">
        <f t="shared" si="29"/>
        <v>1</v>
      </c>
      <c r="Q97" s="413">
        <f t="shared" si="30"/>
        <v>104780000</v>
      </c>
      <c r="R97" s="413">
        <f t="shared" si="31"/>
        <v>0</v>
      </c>
      <c r="S97" s="413">
        <f t="shared" si="32"/>
        <v>104780000</v>
      </c>
      <c r="T97" s="403">
        <f t="shared" si="33"/>
        <v>1.0703000000000001E-2</v>
      </c>
      <c r="U97" s="413">
        <f t="shared" si="34"/>
        <v>2050000</v>
      </c>
      <c r="V97" s="413">
        <f t="shared" si="35"/>
        <v>2050000</v>
      </c>
      <c r="W97" s="413">
        <f t="shared" si="36"/>
        <v>106830000</v>
      </c>
      <c r="X97" s="401">
        <f t="shared" si="37"/>
        <v>0.95223276233267806</v>
      </c>
      <c r="Y97" s="412" t="str">
        <f t="shared" si="38"/>
        <v>TYPE_7</v>
      </c>
      <c r="Z97" s="399" t="str">
        <f t="shared" si="39"/>
        <v>TYPE_2</v>
      </c>
      <c r="AA97" s="414">
        <f>VLOOKUP(Z97,[11]調整參數1_116!A:J,10,0)</f>
        <v>1.1000000000000001</v>
      </c>
      <c r="AB97" s="415">
        <f t="shared" si="40"/>
        <v>111900000</v>
      </c>
      <c r="AC97" s="413">
        <f t="shared" si="41"/>
        <v>25180000</v>
      </c>
      <c r="AD97" s="401">
        <f t="shared" si="42"/>
        <v>0.290359778597786</v>
      </c>
      <c r="AE97" s="413">
        <f t="shared" si="43"/>
        <v>10172974</v>
      </c>
      <c r="AF97" s="401">
        <f t="shared" si="44"/>
        <v>0.10000266792425447</v>
      </c>
    </row>
    <row r="98" spans="1:32">
      <c r="A98" s="399">
        <v>245</v>
      </c>
      <c r="B98" s="399" t="s">
        <v>93</v>
      </c>
      <c r="C98" s="399" t="s">
        <v>525</v>
      </c>
      <c r="D98" s="399" t="s">
        <v>11</v>
      </c>
      <c r="E98" s="423">
        <v>55100266.799999997</v>
      </c>
      <c r="F98" s="423">
        <v>42393000</v>
      </c>
      <c r="G98" s="424">
        <f t="shared" si="23"/>
        <v>1.2997491755714385</v>
      </c>
      <c r="H98" s="400">
        <f t="shared" si="24"/>
        <v>69926506</v>
      </c>
      <c r="I98" s="400">
        <v>53800000</v>
      </c>
      <c r="J98" s="401">
        <f t="shared" si="25"/>
        <v>1.2997491821561338</v>
      </c>
      <c r="K98" s="412" t="str">
        <f t="shared" si="26"/>
        <v>TYPE_4</v>
      </c>
      <c r="L98" s="401">
        <f>VLOOKUP(J98,[11]原始參數_115!E:F,2,1)</f>
        <v>1.01</v>
      </c>
      <c r="M98" s="401">
        <f>VLOOKUP(J98,[11]原始參數_115!E:G,3,1)</f>
        <v>1</v>
      </c>
      <c r="N98" s="413">
        <f t="shared" si="27"/>
        <v>70630000</v>
      </c>
      <c r="O98" s="403">
        <f t="shared" si="28"/>
        <v>5.189E-3</v>
      </c>
      <c r="P98" s="401">
        <f t="shared" si="29"/>
        <v>1.2</v>
      </c>
      <c r="Q98" s="413">
        <f t="shared" si="30"/>
        <v>64560000</v>
      </c>
      <c r="R98" s="413">
        <f t="shared" si="31"/>
        <v>-6070000</v>
      </c>
      <c r="S98" s="413">
        <f t="shared" si="32"/>
        <v>0</v>
      </c>
      <c r="T98" s="403">
        <f t="shared" si="33"/>
        <v>0</v>
      </c>
      <c r="U98" s="413">
        <f t="shared" si="34"/>
        <v>0</v>
      </c>
      <c r="V98" s="413">
        <f t="shared" si="35"/>
        <v>-6070000</v>
      </c>
      <c r="W98" s="413">
        <f t="shared" si="36"/>
        <v>64560000</v>
      </c>
      <c r="X98" s="401">
        <f t="shared" si="37"/>
        <v>1.0831243184634449</v>
      </c>
      <c r="Y98" s="412" t="str">
        <f t="shared" si="38"/>
        <v>TYPE_6</v>
      </c>
      <c r="Z98" s="399" t="str">
        <f t="shared" si="39"/>
        <v>TYPE_2</v>
      </c>
      <c r="AA98" s="414">
        <f>VLOOKUP(Z98,[11]調整參數1_116!A:J,10,0)</f>
        <v>1.1000000000000001</v>
      </c>
      <c r="AB98" s="415">
        <f t="shared" si="40"/>
        <v>76920000</v>
      </c>
      <c r="AC98" s="413">
        <f t="shared" si="41"/>
        <v>23120000</v>
      </c>
      <c r="AD98" s="401">
        <f t="shared" si="42"/>
        <v>0.42973977695167287</v>
      </c>
      <c r="AE98" s="413">
        <f t="shared" si="43"/>
        <v>6993494</v>
      </c>
      <c r="AF98" s="401">
        <f t="shared" si="44"/>
        <v>0.10001206123469118</v>
      </c>
    </row>
    <row r="99" spans="1:32">
      <c r="A99" s="399">
        <v>246</v>
      </c>
      <c r="B99" s="399" t="s">
        <v>178</v>
      </c>
      <c r="C99" s="399" t="s">
        <v>523</v>
      </c>
      <c r="D99" s="399" t="s">
        <v>11</v>
      </c>
      <c r="E99" s="423">
        <v>45224376.520000003</v>
      </c>
      <c r="F99" s="423">
        <v>46300000</v>
      </c>
      <c r="G99" s="424">
        <f t="shared" si="23"/>
        <v>0.97676839136069127</v>
      </c>
      <c r="H99" s="400">
        <f t="shared" si="24"/>
        <v>57385143</v>
      </c>
      <c r="I99" s="400">
        <v>58750000</v>
      </c>
      <c r="J99" s="401">
        <f t="shared" si="25"/>
        <v>0.97676839148936168</v>
      </c>
      <c r="K99" s="412" t="str">
        <f t="shared" si="26"/>
        <v>TYPE_7</v>
      </c>
      <c r="L99" s="401">
        <f>VLOOKUP(J99,[11]原始參數_115!E:F,2,1)</f>
        <v>1</v>
      </c>
      <c r="M99" s="401">
        <f>VLOOKUP(J99,[11]原始參數_115!E:G,3,1)</f>
        <v>1.05</v>
      </c>
      <c r="N99" s="413">
        <f t="shared" si="27"/>
        <v>61690000</v>
      </c>
      <c r="O99" s="403">
        <f t="shared" si="28"/>
        <v>4.5329999999999997E-3</v>
      </c>
      <c r="P99" s="401">
        <f t="shared" si="29"/>
        <v>1</v>
      </c>
      <c r="Q99" s="413">
        <f t="shared" si="30"/>
        <v>61690000</v>
      </c>
      <c r="R99" s="413">
        <f t="shared" si="31"/>
        <v>0</v>
      </c>
      <c r="S99" s="413">
        <f t="shared" si="32"/>
        <v>61690000</v>
      </c>
      <c r="T99" s="403">
        <f t="shared" si="33"/>
        <v>6.3020000000000003E-3</v>
      </c>
      <c r="U99" s="413">
        <f t="shared" si="34"/>
        <v>1210000</v>
      </c>
      <c r="V99" s="413">
        <f t="shared" si="35"/>
        <v>1210000</v>
      </c>
      <c r="W99" s="413">
        <f t="shared" si="36"/>
        <v>62900000</v>
      </c>
      <c r="X99" s="401">
        <f t="shared" si="37"/>
        <v>0.91232341812400641</v>
      </c>
      <c r="Y99" s="412" t="str">
        <f t="shared" si="38"/>
        <v>TYPE_7</v>
      </c>
      <c r="Z99" s="399" t="str">
        <f t="shared" si="39"/>
        <v>TYPE_3</v>
      </c>
      <c r="AA99" s="414">
        <f>VLOOKUP(Z99,[11]調整參數1_116!A:J,10,0)</f>
        <v>1.1499999999999999</v>
      </c>
      <c r="AB99" s="415">
        <f t="shared" si="40"/>
        <v>65990000</v>
      </c>
      <c r="AC99" s="413">
        <f t="shared" si="41"/>
        <v>7240000</v>
      </c>
      <c r="AD99" s="401">
        <f t="shared" si="42"/>
        <v>0.12323404255319149</v>
      </c>
      <c r="AE99" s="413">
        <f t="shared" si="43"/>
        <v>8604857</v>
      </c>
      <c r="AF99" s="401">
        <f t="shared" si="44"/>
        <v>0.14994921246427842</v>
      </c>
    </row>
    <row r="100" spans="1:32">
      <c r="A100" s="399">
        <v>247</v>
      </c>
      <c r="B100" s="399" t="s">
        <v>179</v>
      </c>
      <c r="C100" s="399" t="s">
        <v>523</v>
      </c>
      <c r="D100" s="399" t="s">
        <v>11</v>
      </c>
      <c r="E100" s="423">
        <v>64113268.82</v>
      </c>
      <c r="F100" s="423">
        <v>47115000</v>
      </c>
      <c r="G100" s="424">
        <f t="shared" si="23"/>
        <v>1.3607825282818635</v>
      </c>
      <c r="H100" s="400">
        <f t="shared" si="24"/>
        <v>81347580</v>
      </c>
      <c r="I100" s="400">
        <v>59780000</v>
      </c>
      <c r="J100" s="401">
        <f t="shared" si="25"/>
        <v>1.3607825359652057</v>
      </c>
      <c r="K100" s="412" t="str">
        <f t="shared" si="26"/>
        <v>TYPE_3</v>
      </c>
      <c r="L100" s="401">
        <f>VLOOKUP(J100,[11]原始參數_115!E:F,2,1)</f>
        <v>0.9</v>
      </c>
      <c r="M100" s="401">
        <f>VLOOKUP(J100,[11]原始參數_115!E:G,3,1)</f>
        <v>1</v>
      </c>
      <c r="N100" s="413">
        <f t="shared" si="27"/>
        <v>73210000</v>
      </c>
      <c r="O100" s="403">
        <f t="shared" si="28"/>
        <v>5.3790000000000001E-3</v>
      </c>
      <c r="P100" s="401">
        <f t="shared" si="29"/>
        <v>1.2</v>
      </c>
      <c r="Q100" s="413">
        <f t="shared" si="30"/>
        <v>71740000</v>
      </c>
      <c r="R100" s="413">
        <f t="shared" si="31"/>
        <v>-1470000</v>
      </c>
      <c r="S100" s="413">
        <f t="shared" si="32"/>
        <v>0</v>
      </c>
      <c r="T100" s="403">
        <f t="shared" si="33"/>
        <v>0</v>
      </c>
      <c r="U100" s="413">
        <f t="shared" si="34"/>
        <v>0</v>
      </c>
      <c r="V100" s="413">
        <f t="shared" si="35"/>
        <v>-1470000</v>
      </c>
      <c r="W100" s="413">
        <f t="shared" si="36"/>
        <v>71740000</v>
      </c>
      <c r="X100" s="401">
        <f t="shared" si="37"/>
        <v>1.1339222191246168</v>
      </c>
      <c r="Y100" s="412" t="str">
        <f t="shared" si="38"/>
        <v>TYPE_5</v>
      </c>
      <c r="Z100" s="399" t="str">
        <f t="shared" si="39"/>
        <v>TYPE_1</v>
      </c>
      <c r="AA100" s="414">
        <f>VLOOKUP(Z100,[11]調整參數1_116!A:J,10,0)</f>
        <v>0.9</v>
      </c>
      <c r="AB100" s="415">
        <f t="shared" si="40"/>
        <v>73210000</v>
      </c>
      <c r="AC100" s="413">
        <f t="shared" si="41"/>
        <v>13430000</v>
      </c>
      <c r="AD100" s="401">
        <f t="shared" si="42"/>
        <v>0.22465707594513215</v>
      </c>
      <c r="AE100" s="413">
        <f t="shared" si="43"/>
        <v>-8137580</v>
      </c>
      <c r="AF100" s="401">
        <f t="shared" si="44"/>
        <v>-0.10003469064476166</v>
      </c>
    </row>
    <row r="101" spans="1:32">
      <c r="A101" s="399">
        <v>248</v>
      </c>
      <c r="B101" s="399" t="s">
        <v>94</v>
      </c>
      <c r="C101" s="399" t="s">
        <v>525</v>
      </c>
      <c r="D101" s="399" t="s">
        <v>11</v>
      </c>
      <c r="E101" s="423">
        <v>59621802.659999996</v>
      </c>
      <c r="F101" s="423">
        <v>49333000</v>
      </c>
      <c r="G101" s="424">
        <f t="shared" si="23"/>
        <v>1.2085582198528368</v>
      </c>
      <c r="H101" s="400">
        <f t="shared" si="24"/>
        <v>75643659</v>
      </c>
      <c r="I101" s="400">
        <v>62590000</v>
      </c>
      <c r="J101" s="401">
        <f t="shared" si="25"/>
        <v>1.2085582201629654</v>
      </c>
      <c r="K101" s="412" t="str">
        <f t="shared" si="26"/>
        <v>TYPE_4</v>
      </c>
      <c r="L101" s="401">
        <f>VLOOKUP(J101,[11]原始參數_115!E:F,2,1)</f>
        <v>1.01</v>
      </c>
      <c r="M101" s="401">
        <f>VLOOKUP(J101,[11]原始參數_115!E:G,3,1)</f>
        <v>1</v>
      </c>
      <c r="N101" s="413">
        <f t="shared" si="27"/>
        <v>76400000</v>
      </c>
      <c r="O101" s="403">
        <f t="shared" si="28"/>
        <v>5.6129999999999999E-3</v>
      </c>
      <c r="P101" s="401">
        <f t="shared" si="29"/>
        <v>1.2</v>
      </c>
      <c r="Q101" s="413">
        <f t="shared" si="30"/>
        <v>75110000</v>
      </c>
      <c r="R101" s="413">
        <f t="shared" si="31"/>
        <v>-1290000</v>
      </c>
      <c r="S101" s="413">
        <f t="shared" si="32"/>
        <v>0</v>
      </c>
      <c r="T101" s="403">
        <f t="shared" si="33"/>
        <v>0</v>
      </c>
      <c r="U101" s="413">
        <f t="shared" si="34"/>
        <v>0</v>
      </c>
      <c r="V101" s="413">
        <f t="shared" si="35"/>
        <v>-1290000</v>
      </c>
      <c r="W101" s="413">
        <f t="shared" si="36"/>
        <v>75110000</v>
      </c>
      <c r="X101" s="401">
        <f t="shared" si="37"/>
        <v>1.0071050326188258</v>
      </c>
      <c r="Y101" s="412" t="str">
        <f t="shared" si="38"/>
        <v>TYPE_6</v>
      </c>
      <c r="Z101" s="399" t="str">
        <f t="shared" si="39"/>
        <v>TYPE_2</v>
      </c>
      <c r="AA101" s="414">
        <f>VLOOKUP(Z101,[11]調整參數1_116!A:J,10,0)</f>
        <v>1.1000000000000001</v>
      </c>
      <c r="AB101" s="415">
        <f t="shared" si="40"/>
        <v>83210000</v>
      </c>
      <c r="AC101" s="413">
        <f t="shared" si="41"/>
        <v>20620000</v>
      </c>
      <c r="AD101" s="401">
        <f t="shared" si="42"/>
        <v>0.32944559833839271</v>
      </c>
      <c r="AE101" s="413">
        <f t="shared" si="43"/>
        <v>7566341</v>
      </c>
      <c r="AF101" s="401">
        <f t="shared" si="44"/>
        <v>0.10002611058251426</v>
      </c>
    </row>
    <row r="102" spans="1:32">
      <c r="A102" s="399">
        <v>249</v>
      </c>
      <c r="B102" s="399" t="s">
        <v>30</v>
      </c>
      <c r="C102" s="399" t="s">
        <v>526</v>
      </c>
      <c r="D102" s="399" t="s">
        <v>11</v>
      </c>
      <c r="E102" s="423">
        <v>49839220.030000001</v>
      </c>
      <c r="F102" s="423">
        <v>38438000</v>
      </c>
      <c r="G102" s="424">
        <f t="shared" si="23"/>
        <v>1.2966132480878299</v>
      </c>
      <c r="H102" s="400">
        <f t="shared" si="24"/>
        <v>63209896</v>
      </c>
      <c r="I102" s="400">
        <v>48750000</v>
      </c>
      <c r="J102" s="401">
        <f t="shared" si="25"/>
        <v>1.2966132512820512</v>
      </c>
      <c r="K102" s="412" t="str">
        <f t="shared" si="26"/>
        <v>TYPE_4</v>
      </c>
      <c r="L102" s="401">
        <f>VLOOKUP(J102,[11]原始參數_115!E:F,2,1)</f>
        <v>1.01</v>
      </c>
      <c r="M102" s="401">
        <f>VLOOKUP(J102,[11]原始參數_115!E:G,3,1)</f>
        <v>1</v>
      </c>
      <c r="N102" s="413">
        <f t="shared" si="27"/>
        <v>63840000</v>
      </c>
      <c r="O102" s="403">
        <f t="shared" si="28"/>
        <v>4.6909999999999999E-3</v>
      </c>
      <c r="P102" s="401">
        <f t="shared" si="29"/>
        <v>1.2</v>
      </c>
      <c r="Q102" s="413">
        <f t="shared" si="30"/>
        <v>58500000</v>
      </c>
      <c r="R102" s="413">
        <f t="shared" si="31"/>
        <v>-5340000</v>
      </c>
      <c r="S102" s="413">
        <f t="shared" si="32"/>
        <v>0</v>
      </c>
      <c r="T102" s="403">
        <f t="shared" si="33"/>
        <v>0</v>
      </c>
      <c r="U102" s="413">
        <f t="shared" si="34"/>
        <v>0</v>
      </c>
      <c r="V102" s="413">
        <f t="shared" si="35"/>
        <v>-5340000</v>
      </c>
      <c r="W102" s="413">
        <f t="shared" si="36"/>
        <v>58500000</v>
      </c>
      <c r="X102" s="401">
        <f t="shared" si="37"/>
        <v>1.0805110427350428</v>
      </c>
      <c r="Y102" s="412" t="str">
        <f t="shared" si="38"/>
        <v>TYPE_6</v>
      </c>
      <c r="Z102" s="399" t="str">
        <f t="shared" si="39"/>
        <v>TYPE_2</v>
      </c>
      <c r="AA102" s="414">
        <f>VLOOKUP(Z102,[11]調整參數1_116!A:J,10,0)</f>
        <v>1.1000000000000001</v>
      </c>
      <c r="AB102" s="415">
        <f t="shared" si="40"/>
        <v>69530000</v>
      </c>
      <c r="AC102" s="413">
        <f t="shared" si="41"/>
        <v>20780000</v>
      </c>
      <c r="AD102" s="401">
        <f t="shared" si="42"/>
        <v>0.42625641025641026</v>
      </c>
      <c r="AE102" s="413">
        <f t="shared" si="43"/>
        <v>6320104</v>
      </c>
      <c r="AF102" s="401">
        <f t="shared" si="44"/>
        <v>9.9985989535562592E-2</v>
      </c>
    </row>
    <row r="103" spans="1:32">
      <c r="A103" s="399">
        <v>250</v>
      </c>
      <c r="B103" s="399" t="s">
        <v>180</v>
      </c>
      <c r="C103" s="399" t="s">
        <v>527</v>
      </c>
      <c r="D103" s="399" t="s">
        <v>11</v>
      </c>
      <c r="E103" s="423">
        <v>35088648.560000002</v>
      </c>
      <c r="F103" s="423">
        <v>28843000</v>
      </c>
      <c r="G103" s="424">
        <f t="shared" si="23"/>
        <v>1.2165394917310961</v>
      </c>
      <c r="H103" s="400">
        <f t="shared" si="24"/>
        <v>44525345</v>
      </c>
      <c r="I103" s="400">
        <v>36600000</v>
      </c>
      <c r="J103" s="401">
        <f t="shared" si="25"/>
        <v>1.2165394808743168</v>
      </c>
      <c r="K103" s="412" t="str">
        <f t="shared" si="26"/>
        <v>TYPE_4</v>
      </c>
      <c r="L103" s="401">
        <f>VLOOKUP(J103,[11]原始參數_115!E:F,2,1)</f>
        <v>1.01</v>
      </c>
      <c r="M103" s="401">
        <f>VLOOKUP(J103,[11]原始參數_115!E:G,3,1)</f>
        <v>1</v>
      </c>
      <c r="N103" s="413">
        <f t="shared" si="27"/>
        <v>44970000</v>
      </c>
      <c r="O103" s="403">
        <f t="shared" si="28"/>
        <v>3.3040000000000001E-3</v>
      </c>
      <c r="P103" s="401">
        <f t="shared" si="29"/>
        <v>1.2</v>
      </c>
      <c r="Q103" s="413">
        <f t="shared" si="30"/>
        <v>43920000</v>
      </c>
      <c r="R103" s="413">
        <f t="shared" si="31"/>
        <v>-1050000</v>
      </c>
      <c r="S103" s="413">
        <f t="shared" si="32"/>
        <v>0</v>
      </c>
      <c r="T103" s="403">
        <f t="shared" si="33"/>
        <v>0</v>
      </c>
      <c r="U103" s="413">
        <f t="shared" si="34"/>
        <v>0</v>
      </c>
      <c r="V103" s="413">
        <f t="shared" si="35"/>
        <v>-1050000</v>
      </c>
      <c r="W103" s="413">
        <f t="shared" si="36"/>
        <v>43920000</v>
      </c>
      <c r="X103" s="401">
        <f t="shared" si="37"/>
        <v>1.0137829007285974</v>
      </c>
      <c r="Y103" s="412" t="str">
        <f t="shared" si="38"/>
        <v>TYPE_6</v>
      </c>
      <c r="Z103" s="399" t="str">
        <f t="shared" si="39"/>
        <v>TYPE_2</v>
      </c>
      <c r="AA103" s="414">
        <f>VLOOKUP(Z103,[11]調整參數1_116!A:J,10,0)</f>
        <v>1.1000000000000001</v>
      </c>
      <c r="AB103" s="415">
        <f t="shared" si="40"/>
        <v>48980000</v>
      </c>
      <c r="AC103" s="413">
        <f t="shared" si="41"/>
        <v>12380000</v>
      </c>
      <c r="AD103" s="401">
        <f t="shared" si="42"/>
        <v>0.33825136612021856</v>
      </c>
      <c r="AE103" s="413">
        <f t="shared" si="43"/>
        <v>4454655</v>
      </c>
      <c r="AF103" s="401">
        <f t="shared" si="44"/>
        <v>0.1000476245607979</v>
      </c>
    </row>
    <row r="104" spans="1:32">
      <c r="A104" s="399">
        <v>251</v>
      </c>
      <c r="B104" s="399" t="s">
        <v>181</v>
      </c>
      <c r="C104" s="399" t="s">
        <v>526</v>
      </c>
      <c r="D104" s="399" t="s">
        <v>11</v>
      </c>
      <c r="E104" s="423">
        <v>36912972.960000001</v>
      </c>
      <c r="F104" s="423">
        <v>31925000</v>
      </c>
      <c r="G104" s="424">
        <f t="shared" si="23"/>
        <v>1.1562403433046202</v>
      </c>
      <c r="H104" s="400">
        <f t="shared" si="24"/>
        <v>46850859</v>
      </c>
      <c r="I104" s="400">
        <v>40520000</v>
      </c>
      <c r="J104" s="401">
        <f t="shared" si="25"/>
        <v>1.1562403504442251</v>
      </c>
      <c r="K104" s="412" t="str">
        <f t="shared" si="26"/>
        <v>TYPE_5</v>
      </c>
      <c r="L104" s="401">
        <f>VLOOKUP(J104,[11]原始參數_115!E:F,2,1)</f>
        <v>1.03</v>
      </c>
      <c r="M104" s="401">
        <f>VLOOKUP(J104,[11]原始參數_115!E:G,3,1)</f>
        <v>1</v>
      </c>
      <c r="N104" s="413">
        <f t="shared" si="27"/>
        <v>48260000</v>
      </c>
      <c r="O104" s="403">
        <f t="shared" si="28"/>
        <v>3.5460000000000001E-3</v>
      </c>
      <c r="P104" s="401">
        <f t="shared" si="29"/>
        <v>1</v>
      </c>
      <c r="Q104" s="413">
        <f t="shared" si="30"/>
        <v>48260000</v>
      </c>
      <c r="R104" s="413">
        <f t="shared" si="31"/>
        <v>0</v>
      </c>
      <c r="S104" s="413">
        <f t="shared" si="32"/>
        <v>48260000</v>
      </c>
      <c r="T104" s="403">
        <f t="shared" si="33"/>
        <v>4.9300000000000004E-3</v>
      </c>
      <c r="U104" s="413">
        <f t="shared" si="34"/>
        <v>940000</v>
      </c>
      <c r="V104" s="413">
        <f t="shared" si="35"/>
        <v>940000</v>
      </c>
      <c r="W104" s="413">
        <f t="shared" si="36"/>
        <v>49200000</v>
      </c>
      <c r="X104" s="401">
        <f t="shared" si="37"/>
        <v>0.95225323170731713</v>
      </c>
      <c r="Y104" s="412" t="str">
        <f t="shared" si="38"/>
        <v>TYPE_7</v>
      </c>
      <c r="Z104" s="399" t="str">
        <f t="shared" si="39"/>
        <v>TYPE_2</v>
      </c>
      <c r="AA104" s="414">
        <f>VLOOKUP(Z104,[11]調整參數1_116!A:J,10,0)</f>
        <v>1.1000000000000001</v>
      </c>
      <c r="AB104" s="415">
        <f t="shared" si="40"/>
        <v>51540000</v>
      </c>
      <c r="AC104" s="413">
        <f t="shared" si="41"/>
        <v>11020000</v>
      </c>
      <c r="AD104" s="401">
        <f t="shared" si="42"/>
        <v>0.27196446199407698</v>
      </c>
      <c r="AE104" s="413">
        <f t="shared" si="43"/>
        <v>4689141</v>
      </c>
      <c r="AF104" s="401">
        <f t="shared" si="44"/>
        <v>0.1000865533756809</v>
      </c>
    </row>
    <row r="105" spans="1:32">
      <c r="A105" s="399">
        <v>252</v>
      </c>
      <c r="B105" s="399" t="s">
        <v>95</v>
      </c>
      <c r="C105" s="399" t="s">
        <v>522</v>
      </c>
      <c r="D105" s="399" t="s">
        <v>11</v>
      </c>
      <c r="E105" s="423">
        <v>43679090.420000002</v>
      </c>
      <c r="F105" s="423">
        <v>48311000</v>
      </c>
      <c r="G105" s="424">
        <f t="shared" si="23"/>
        <v>0.90412308625364823</v>
      </c>
      <c r="H105" s="400">
        <f t="shared" si="24"/>
        <v>55431786</v>
      </c>
      <c r="I105" s="400">
        <v>61310000</v>
      </c>
      <c r="J105" s="401">
        <f t="shared" si="25"/>
        <v>0.90412307943239278</v>
      </c>
      <c r="K105" s="412" t="str">
        <f t="shared" si="26"/>
        <v>TYPE_7</v>
      </c>
      <c r="L105" s="401">
        <f>VLOOKUP(J105,[11]原始參數_115!E:F,2,1)</f>
        <v>1</v>
      </c>
      <c r="M105" s="401">
        <f>VLOOKUP(J105,[11]原始參數_115!E:G,3,1)</f>
        <v>1.05</v>
      </c>
      <c r="N105" s="413">
        <f t="shared" si="27"/>
        <v>64380000</v>
      </c>
      <c r="O105" s="403">
        <f t="shared" si="28"/>
        <v>4.7299999999999998E-3</v>
      </c>
      <c r="P105" s="401">
        <f t="shared" si="29"/>
        <v>1</v>
      </c>
      <c r="Q105" s="413">
        <f t="shared" si="30"/>
        <v>64380000</v>
      </c>
      <c r="R105" s="413">
        <f t="shared" si="31"/>
        <v>0</v>
      </c>
      <c r="S105" s="413">
        <f t="shared" si="32"/>
        <v>64380000</v>
      </c>
      <c r="T105" s="403">
        <f t="shared" si="33"/>
        <v>6.5760000000000002E-3</v>
      </c>
      <c r="U105" s="413">
        <f t="shared" si="34"/>
        <v>1260000</v>
      </c>
      <c r="V105" s="413">
        <f t="shared" si="35"/>
        <v>1260000</v>
      </c>
      <c r="W105" s="413">
        <f t="shared" si="36"/>
        <v>65640000</v>
      </c>
      <c r="X105" s="401">
        <f t="shared" si="37"/>
        <v>0.84448180987202925</v>
      </c>
      <c r="Y105" s="412" t="str">
        <f t="shared" si="38"/>
        <v>TYPE_8</v>
      </c>
      <c r="Z105" s="399" t="str">
        <f t="shared" si="39"/>
        <v>TYPE_3</v>
      </c>
      <c r="AA105" s="414">
        <f>VLOOKUP(Z105,[11]調整參數1_116!A:J,10,0)</f>
        <v>1.1499999999999999</v>
      </c>
      <c r="AB105" s="415">
        <f t="shared" si="40"/>
        <v>63750000</v>
      </c>
      <c r="AC105" s="413">
        <f t="shared" si="41"/>
        <v>2440000</v>
      </c>
      <c r="AD105" s="401">
        <f t="shared" si="42"/>
        <v>3.9797749143695972E-2</v>
      </c>
      <c r="AE105" s="413">
        <f t="shared" si="43"/>
        <v>8318214</v>
      </c>
      <c r="AF105" s="401">
        <f t="shared" si="44"/>
        <v>0.15006216830177543</v>
      </c>
    </row>
    <row r="106" spans="1:32">
      <c r="A106" s="399">
        <v>260</v>
      </c>
      <c r="B106" s="399" t="s">
        <v>96</v>
      </c>
      <c r="C106" s="399" t="s">
        <v>521</v>
      </c>
      <c r="D106" s="399" t="s">
        <v>11</v>
      </c>
      <c r="E106" s="423">
        <v>70101797.780000001</v>
      </c>
      <c r="F106" s="423">
        <v>61048000</v>
      </c>
      <c r="G106" s="424">
        <f t="shared" si="23"/>
        <v>1.1483062144542</v>
      </c>
      <c r="H106" s="400">
        <f t="shared" si="24"/>
        <v>88959282</v>
      </c>
      <c r="I106" s="400">
        <v>77470000</v>
      </c>
      <c r="J106" s="401">
        <f t="shared" si="25"/>
        <v>1.1483062088550406</v>
      </c>
      <c r="K106" s="412" t="str">
        <f t="shared" si="26"/>
        <v>TYPE_5</v>
      </c>
      <c r="L106" s="401">
        <f>VLOOKUP(J106,[11]原始參數_115!E:F,2,1)</f>
        <v>1.03</v>
      </c>
      <c r="M106" s="401">
        <f>VLOOKUP(J106,[11]原始參數_115!E:G,3,1)</f>
        <v>1</v>
      </c>
      <c r="N106" s="413">
        <f t="shared" si="27"/>
        <v>91630000</v>
      </c>
      <c r="O106" s="403">
        <f t="shared" si="28"/>
        <v>6.7320000000000001E-3</v>
      </c>
      <c r="P106" s="401">
        <f t="shared" si="29"/>
        <v>1</v>
      </c>
      <c r="Q106" s="413">
        <f t="shared" si="30"/>
        <v>91630000</v>
      </c>
      <c r="R106" s="413">
        <f t="shared" si="31"/>
        <v>0</v>
      </c>
      <c r="S106" s="413">
        <f t="shared" si="32"/>
        <v>91630000</v>
      </c>
      <c r="T106" s="403">
        <f t="shared" si="33"/>
        <v>9.3600000000000003E-3</v>
      </c>
      <c r="U106" s="413">
        <f t="shared" si="34"/>
        <v>1790000</v>
      </c>
      <c r="V106" s="413">
        <f t="shared" si="35"/>
        <v>1790000</v>
      </c>
      <c r="W106" s="413">
        <f t="shared" si="36"/>
        <v>93420000</v>
      </c>
      <c r="X106" s="401">
        <f t="shared" si="37"/>
        <v>0.9522509312780989</v>
      </c>
      <c r="Y106" s="412" t="str">
        <f t="shared" si="38"/>
        <v>TYPE_7</v>
      </c>
      <c r="Z106" s="399" t="str">
        <f t="shared" si="39"/>
        <v>TYPE_2</v>
      </c>
      <c r="AA106" s="414">
        <f>VLOOKUP(Z106,[11]調整參數1_116!A:J,10,0)</f>
        <v>1.1000000000000001</v>
      </c>
      <c r="AB106" s="415">
        <f t="shared" si="40"/>
        <v>97860000</v>
      </c>
      <c r="AC106" s="413">
        <f t="shared" si="41"/>
        <v>20390000</v>
      </c>
      <c r="AD106" s="401">
        <f t="shared" si="42"/>
        <v>0.26319865754485605</v>
      </c>
      <c r="AE106" s="413">
        <f t="shared" si="43"/>
        <v>8900718</v>
      </c>
      <c r="AF106" s="401">
        <f t="shared" si="44"/>
        <v>0.10005384261082503</v>
      </c>
    </row>
    <row r="107" spans="1:32">
      <c r="A107" s="399">
        <v>262</v>
      </c>
      <c r="B107" s="399" t="s">
        <v>97</v>
      </c>
      <c r="C107" s="399" t="s">
        <v>523</v>
      </c>
      <c r="D107" s="399" t="s">
        <v>11</v>
      </c>
      <c r="E107" s="423">
        <v>43379266.240000002</v>
      </c>
      <c r="F107" s="423">
        <v>46905000</v>
      </c>
      <c r="G107" s="424">
        <f t="shared" si="23"/>
        <v>0.92483245368297629</v>
      </c>
      <c r="H107" s="400">
        <f t="shared" si="24"/>
        <v>55046028</v>
      </c>
      <c r="I107" s="400">
        <v>59520000</v>
      </c>
      <c r="J107" s="401">
        <f t="shared" si="25"/>
        <v>0.92483245967741934</v>
      </c>
      <c r="K107" s="412" t="str">
        <f t="shared" si="26"/>
        <v>TYPE_7</v>
      </c>
      <c r="L107" s="401">
        <f>VLOOKUP(J107,[11]原始參數_115!E:F,2,1)</f>
        <v>1</v>
      </c>
      <c r="M107" s="401">
        <f>VLOOKUP(J107,[11]原始參數_115!E:G,3,1)</f>
        <v>1.05</v>
      </c>
      <c r="N107" s="413">
        <f t="shared" si="27"/>
        <v>62500000</v>
      </c>
      <c r="O107" s="403">
        <f t="shared" si="28"/>
        <v>4.5919999999999997E-3</v>
      </c>
      <c r="P107" s="401">
        <f t="shared" si="29"/>
        <v>1</v>
      </c>
      <c r="Q107" s="413">
        <f t="shared" si="30"/>
        <v>62500000</v>
      </c>
      <c r="R107" s="413">
        <f t="shared" si="31"/>
        <v>0</v>
      </c>
      <c r="S107" s="413">
        <f t="shared" si="32"/>
        <v>62500000</v>
      </c>
      <c r="T107" s="403">
        <f t="shared" si="33"/>
        <v>6.3839999999999999E-3</v>
      </c>
      <c r="U107" s="413">
        <f t="shared" si="34"/>
        <v>1220000</v>
      </c>
      <c r="V107" s="413">
        <f t="shared" si="35"/>
        <v>1220000</v>
      </c>
      <c r="W107" s="413">
        <f t="shared" si="36"/>
        <v>63720000</v>
      </c>
      <c r="X107" s="401">
        <f t="shared" si="37"/>
        <v>0.86387363465160072</v>
      </c>
      <c r="Y107" s="412" t="str">
        <f t="shared" si="38"/>
        <v>TYPE_8</v>
      </c>
      <c r="Z107" s="399" t="str">
        <f t="shared" si="39"/>
        <v>TYPE_3</v>
      </c>
      <c r="AA107" s="414">
        <f>VLOOKUP(Z107,[11]調整參數1_116!A:J,10,0)</f>
        <v>1.1499999999999999</v>
      </c>
      <c r="AB107" s="415">
        <f t="shared" si="40"/>
        <v>63300000</v>
      </c>
      <c r="AC107" s="413">
        <f t="shared" si="41"/>
        <v>3780000</v>
      </c>
      <c r="AD107" s="401">
        <f t="shared" si="42"/>
        <v>6.3508064516129031E-2</v>
      </c>
      <c r="AE107" s="413">
        <f t="shared" si="43"/>
        <v>8253972</v>
      </c>
      <c r="AF107" s="401">
        <f t="shared" si="44"/>
        <v>0.14994673185138807</v>
      </c>
    </row>
    <row r="108" spans="1:32">
      <c r="A108" s="399">
        <v>268</v>
      </c>
      <c r="B108" s="399" t="s">
        <v>1282</v>
      </c>
      <c r="C108" s="399" t="s">
        <v>527</v>
      </c>
      <c r="D108" s="399" t="s">
        <v>11</v>
      </c>
      <c r="E108" s="423">
        <v>30018345.789999999</v>
      </c>
      <c r="F108" s="423">
        <v>16533000</v>
      </c>
      <c r="G108" s="424">
        <f t="shared" si="23"/>
        <v>1.8156623595233774</v>
      </c>
      <c r="H108" s="400">
        <f t="shared" si="24"/>
        <v>38092596</v>
      </c>
      <c r="I108" s="400">
        <v>20980000</v>
      </c>
      <c r="J108" s="401">
        <f t="shared" si="25"/>
        <v>1.8156623450905625</v>
      </c>
      <c r="K108" s="412" t="str">
        <f t="shared" si="26"/>
        <v>TYPE_2</v>
      </c>
      <c r="L108" s="401">
        <f>VLOOKUP(J108,[11]原始參數_115!E:F,2,1)</f>
        <v>0.8</v>
      </c>
      <c r="M108" s="401">
        <f>VLOOKUP(J108,[11]原始參數_115!E:G,3,1)</f>
        <v>1</v>
      </c>
      <c r="N108" s="413">
        <f t="shared" si="27"/>
        <v>30470000</v>
      </c>
      <c r="O108" s="403">
        <f t="shared" si="28"/>
        <v>2.2390000000000001E-3</v>
      </c>
      <c r="P108" s="401">
        <f t="shared" si="29"/>
        <v>1.2</v>
      </c>
      <c r="Q108" s="413">
        <f t="shared" si="30"/>
        <v>25180000</v>
      </c>
      <c r="R108" s="413">
        <f t="shared" si="31"/>
        <v>-5290000</v>
      </c>
      <c r="S108" s="413">
        <f t="shared" si="32"/>
        <v>0</v>
      </c>
      <c r="T108" s="403">
        <f t="shared" si="33"/>
        <v>0</v>
      </c>
      <c r="U108" s="413">
        <f t="shared" si="34"/>
        <v>0</v>
      </c>
      <c r="V108" s="413">
        <f t="shared" si="35"/>
        <v>-5290000</v>
      </c>
      <c r="W108" s="413">
        <f t="shared" si="36"/>
        <v>25180000</v>
      </c>
      <c r="X108" s="401">
        <f t="shared" si="37"/>
        <v>1.5128115965051627</v>
      </c>
      <c r="Y108" s="412" t="str">
        <f t="shared" si="38"/>
        <v>TYPE_2</v>
      </c>
      <c r="Z108" s="399" t="str">
        <f t="shared" si="39"/>
        <v>TYPE_1</v>
      </c>
      <c r="AA108" s="414">
        <f>VLOOKUP(Z108,[11]調整參數1_116!A:J,10,0)</f>
        <v>0.9</v>
      </c>
      <c r="AB108" s="415">
        <f t="shared" si="40"/>
        <v>34280000</v>
      </c>
      <c r="AC108" s="413">
        <f t="shared" si="41"/>
        <v>13300000</v>
      </c>
      <c r="AD108" s="401">
        <f t="shared" si="42"/>
        <v>0.6339370829361296</v>
      </c>
      <c r="AE108" s="413">
        <f t="shared" si="43"/>
        <v>-3812596</v>
      </c>
      <c r="AF108" s="401">
        <f t="shared" si="44"/>
        <v>-0.10008758657456687</v>
      </c>
    </row>
    <row r="109" spans="1:32">
      <c r="A109" s="399">
        <v>300</v>
      </c>
      <c r="B109" s="399" t="s">
        <v>98</v>
      </c>
      <c r="C109" s="399" t="s">
        <v>519</v>
      </c>
      <c r="D109" s="399" t="s">
        <v>11</v>
      </c>
      <c r="E109" s="423">
        <v>53902913.420000002</v>
      </c>
      <c r="F109" s="423">
        <v>59908000</v>
      </c>
      <c r="G109" s="424">
        <f t="shared" si="23"/>
        <v>0.89976152467116244</v>
      </c>
      <c r="H109" s="400">
        <f t="shared" si="24"/>
        <v>68426864</v>
      </c>
      <c r="I109" s="400">
        <v>76050000</v>
      </c>
      <c r="J109" s="401">
        <f t="shared" si="25"/>
        <v>0.89976152531229459</v>
      </c>
      <c r="K109" s="412" t="str">
        <f t="shared" si="26"/>
        <v>TYPE_8</v>
      </c>
      <c r="L109" s="401">
        <f>VLOOKUP(J109,[11]原始參數_115!E:F,2,1)</f>
        <v>1</v>
      </c>
      <c r="M109" s="401">
        <f>VLOOKUP(J109,[11]原始參數_115!E:G,3,1)</f>
        <v>1.1000000000000001</v>
      </c>
      <c r="N109" s="413">
        <f t="shared" si="27"/>
        <v>83660000</v>
      </c>
      <c r="O109" s="403">
        <f t="shared" si="28"/>
        <v>6.1469999999999997E-3</v>
      </c>
      <c r="P109" s="401">
        <f t="shared" si="29"/>
        <v>1</v>
      </c>
      <c r="Q109" s="413">
        <f t="shared" si="30"/>
        <v>83660000</v>
      </c>
      <c r="R109" s="413">
        <f t="shared" si="31"/>
        <v>0</v>
      </c>
      <c r="S109" s="413">
        <f t="shared" si="32"/>
        <v>83660000</v>
      </c>
      <c r="T109" s="403">
        <f t="shared" si="33"/>
        <v>8.5459999999999998E-3</v>
      </c>
      <c r="U109" s="413">
        <f t="shared" si="34"/>
        <v>1630000</v>
      </c>
      <c r="V109" s="413">
        <f t="shared" si="35"/>
        <v>1630000</v>
      </c>
      <c r="W109" s="413">
        <f t="shared" si="36"/>
        <v>85290000</v>
      </c>
      <c r="X109" s="401">
        <f t="shared" si="37"/>
        <v>0.80228472271075157</v>
      </c>
      <c r="Y109" s="412" t="str">
        <f t="shared" si="38"/>
        <v>TYPE_8</v>
      </c>
      <c r="Z109" s="399" t="str">
        <f t="shared" si="39"/>
        <v>TYPE_3</v>
      </c>
      <c r="AA109" s="414">
        <f>VLOOKUP(Z109,[11]調整參數1_116!A:J,10,0)</f>
        <v>1.1499999999999999</v>
      </c>
      <c r="AB109" s="415">
        <f t="shared" si="40"/>
        <v>78690000</v>
      </c>
      <c r="AC109" s="413">
        <f t="shared" si="41"/>
        <v>2640000</v>
      </c>
      <c r="AD109" s="401">
        <f t="shared" si="42"/>
        <v>3.4714003944773177E-2</v>
      </c>
      <c r="AE109" s="413">
        <f t="shared" si="43"/>
        <v>10263136</v>
      </c>
      <c r="AF109" s="401">
        <f t="shared" si="44"/>
        <v>0.14998694080149574</v>
      </c>
    </row>
    <row r="110" spans="1:32">
      <c r="A110" s="399">
        <v>301</v>
      </c>
      <c r="B110" s="399" t="s">
        <v>99</v>
      </c>
      <c r="C110" s="399" t="s">
        <v>523</v>
      </c>
      <c r="D110" s="399" t="s">
        <v>11</v>
      </c>
      <c r="E110" s="423">
        <v>45711084.659999996</v>
      </c>
      <c r="F110" s="423">
        <v>49312000</v>
      </c>
      <c r="G110" s="424">
        <f t="shared" si="23"/>
        <v>0.92697689527903948</v>
      </c>
      <c r="H110" s="400">
        <f t="shared" si="24"/>
        <v>58000944</v>
      </c>
      <c r="I110" s="400">
        <v>62570000</v>
      </c>
      <c r="J110" s="401">
        <f t="shared" si="25"/>
        <v>0.92697688988333071</v>
      </c>
      <c r="K110" s="412" t="str">
        <f t="shared" si="26"/>
        <v>TYPE_7</v>
      </c>
      <c r="L110" s="401">
        <f>VLOOKUP(J110,[11]原始參數_115!E:F,2,1)</f>
        <v>1</v>
      </c>
      <c r="M110" s="401">
        <f>VLOOKUP(J110,[11]原始參數_115!E:G,3,1)</f>
        <v>1.05</v>
      </c>
      <c r="N110" s="413">
        <f t="shared" si="27"/>
        <v>65700000</v>
      </c>
      <c r="O110" s="403">
        <f t="shared" si="28"/>
        <v>4.8269999999999997E-3</v>
      </c>
      <c r="P110" s="401">
        <f t="shared" si="29"/>
        <v>1</v>
      </c>
      <c r="Q110" s="413">
        <f t="shared" si="30"/>
        <v>65700000</v>
      </c>
      <c r="R110" s="413">
        <f t="shared" si="31"/>
        <v>0</v>
      </c>
      <c r="S110" s="413">
        <f t="shared" si="32"/>
        <v>65700000</v>
      </c>
      <c r="T110" s="403">
        <f t="shared" si="33"/>
        <v>6.711E-3</v>
      </c>
      <c r="U110" s="413">
        <f t="shared" si="34"/>
        <v>1280000</v>
      </c>
      <c r="V110" s="413">
        <f t="shared" si="35"/>
        <v>1280000</v>
      </c>
      <c r="W110" s="413">
        <f t="shared" si="36"/>
        <v>66980000</v>
      </c>
      <c r="X110" s="401">
        <f t="shared" si="37"/>
        <v>0.86594422215586742</v>
      </c>
      <c r="Y110" s="412" t="str">
        <f t="shared" si="38"/>
        <v>TYPE_8</v>
      </c>
      <c r="Z110" s="399" t="str">
        <f t="shared" si="39"/>
        <v>TYPE_3</v>
      </c>
      <c r="AA110" s="414">
        <f>VLOOKUP(Z110,[11]調整參數1_116!A:J,10,0)</f>
        <v>1.1499999999999999</v>
      </c>
      <c r="AB110" s="415">
        <f t="shared" si="40"/>
        <v>66700000</v>
      </c>
      <c r="AC110" s="413">
        <f t="shared" si="41"/>
        <v>4130000</v>
      </c>
      <c r="AD110" s="401">
        <f t="shared" si="42"/>
        <v>6.6006073198018225E-2</v>
      </c>
      <c r="AE110" s="413">
        <f t="shared" si="43"/>
        <v>8699056</v>
      </c>
      <c r="AF110" s="401">
        <f t="shared" si="44"/>
        <v>0.14998128306325498</v>
      </c>
    </row>
    <row r="111" spans="1:32">
      <c r="A111" s="399">
        <v>302</v>
      </c>
      <c r="B111" s="399" t="s">
        <v>31</v>
      </c>
      <c r="C111" s="399" t="s">
        <v>521</v>
      </c>
      <c r="D111" s="399" t="s">
        <v>11</v>
      </c>
      <c r="E111" s="423">
        <v>29090045.940000001</v>
      </c>
      <c r="F111" s="423">
        <v>39418000</v>
      </c>
      <c r="G111" s="424">
        <f t="shared" si="23"/>
        <v>0.73798888680298347</v>
      </c>
      <c r="H111" s="400">
        <f t="shared" si="24"/>
        <v>36906824</v>
      </c>
      <c r="I111" s="400">
        <v>50010000</v>
      </c>
      <c r="J111" s="401">
        <f t="shared" si="25"/>
        <v>0.7379888822235553</v>
      </c>
      <c r="K111" s="412" t="str">
        <f t="shared" si="26"/>
        <v>TYPE_9</v>
      </c>
      <c r="L111" s="401">
        <f>VLOOKUP(J111,[11]原始參數_115!E:F,2,1)</f>
        <v>1</v>
      </c>
      <c r="M111" s="401">
        <f>VLOOKUP(J111,[11]原始參數_115!E:G,3,1)</f>
        <v>1.1499999999999999</v>
      </c>
      <c r="N111" s="413">
        <f t="shared" si="27"/>
        <v>57510000</v>
      </c>
      <c r="O111" s="403">
        <f t="shared" si="28"/>
        <v>4.2249999999999996E-3</v>
      </c>
      <c r="P111" s="401">
        <f t="shared" si="29"/>
        <v>1</v>
      </c>
      <c r="Q111" s="413">
        <f t="shared" si="30"/>
        <v>57510000</v>
      </c>
      <c r="R111" s="413">
        <f t="shared" si="31"/>
        <v>0</v>
      </c>
      <c r="S111" s="413">
        <f t="shared" si="32"/>
        <v>57510000</v>
      </c>
      <c r="T111" s="403">
        <f t="shared" si="33"/>
        <v>5.875E-3</v>
      </c>
      <c r="U111" s="413">
        <f t="shared" si="34"/>
        <v>1120000</v>
      </c>
      <c r="V111" s="413">
        <f t="shared" si="35"/>
        <v>1120000</v>
      </c>
      <c r="W111" s="413">
        <f t="shared" si="36"/>
        <v>58630000</v>
      </c>
      <c r="X111" s="401">
        <f t="shared" si="37"/>
        <v>0.62948702029677639</v>
      </c>
      <c r="Y111" s="412" t="str">
        <f t="shared" si="38"/>
        <v>TYPE_9</v>
      </c>
      <c r="Z111" s="399" t="str">
        <f t="shared" si="39"/>
        <v>TYPE_4</v>
      </c>
      <c r="AA111" s="414">
        <f>VLOOKUP(Z111,[11]調整參數1_116!A:J,10,0)</f>
        <v>1.2</v>
      </c>
      <c r="AB111" s="415">
        <f t="shared" si="40"/>
        <v>44290000</v>
      </c>
      <c r="AC111" s="413">
        <f t="shared" si="41"/>
        <v>-5720000</v>
      </c>
      <c r="AD111" s="401">
        <f t="shared" si="42"/>
        <v>-0.11437712457508498</v>
      </c>
      <c r="AE111" s="413">
        <f t="shared" si="43"/>
        <v>7383176</v>
      </c>
      <c r="AF111" s="401">
        <f t="shared" si="44"/>
        <v>0.20004907493530194</v>
      </c>
    </row>
    <row r="112" spans="1:32">
      <c r="A112" s="399">
        <v>310</v>
      </c>
      <c r="B112" s="399" t="s">
        <v>32</v>
      </c>
      <c r="C112" s="399" t="s">
        <v>526</v>
      </c>
      <c r="D112" s="399" t="s">
        <v>11</v>
      </c>
      <c r="E112" s="423">
        <v>46431666.109999999</v>
      </c>
      <c r="F112" s="423">
        <v>44800000</v>
      </c>
      <c r="G112" s="424">
        <f t="shared" si="23"/>
        <v>1.0364211185267858</v>
      </c>
      <c r="H112" s="400">
        <f t="shared" si="24"/>
        <v>58910176</v>
      </c>
      <c r="I112" s="400">
        <v>56840000</v>
      </c>
      <c r="J112" s="401">
        <f t="shared" si="25"/>
        <v>1.0364211118930331</v>
      </c>
      <c r="K112" s="412" t="str">
        <f t="shared" si="26"/>
        <v>TYPE_6</v>
      </c>
      <c r="L112" s="401">
        <f>VLOOKUP(J112,[11]原始參數_115!E:F,2,1)</f>
        <v>1.05</v>
      </c>
      <c r="M112" s="401">
        <f>VLOOKUP(J112,[11]原始參數_115!E:G,3,1)</f>
        <v>1</v>
      </c>
      <c r="N112" s="413">
        <f t="shared" si="27"/>
        <v>61860000</v>
      </c>
      <c r="O112" s="403">
        <f t="shared" si="28"/>
        <v>4.5450000000000004E-3</v>
      </c>
      <c r="P112" s="401">
        <f t="shared" si="29"/>
        <v>1</v>
      </c>
      <c r="Q112" s="413">
        <f t="shared" si="30"/>
        <v>61860000</v>
      </c>
      <c r="R112" s="413">
        <f t="shared" si="31"/>
        <v>0</v>
      </c>
      <c r="S112" s="413">
        <f t="shared" si="32"/>
        <v>61860000</v>
      </c>
      <c r="T112" s="403">
        <f t="shared" si="33"/>
        <v>6.319E-3</v>
      </c>
      <c r="U112" s="413">
        <f t="shared" si="34"/>
        <v>1210000</v>
      </c>
      <c r="V112" s="413">
        <f t="shared" si="35"/>
        <v>1210000</v>
      </c>
      <c r="W112" s="413">
        <f t="shared" si="36"/>
        <v>63070000</v>
      </c>
      <c r="X112" s="401">
        <f t="shared" si="37"/>
        <v>0.93404433169494216</v>
      </c>
      <c r="Y112" s="412" t="str">
        <f t="shared" si="38"/>
        <v>TYPE_7</v>
      </c>
      <c r="Z112" s="399" t="str">
        <f t="shared" si="39"/>
        <v>TYPE_2</v>
      </c>
      <c r="AA112" s="414">
        <f>VLOOKUP(Z112,[11]調整參數1_116!A:J,10,0)</f>
        <v>1.1000000000000001</v>
      </c>
      <c r="AB112" s="415">
        <f t="shared" si="40"/>
        <v>64800000</v>
      </c>
      <c r="AC112" s="413">
        <f t="shared" si="41"/>
        <v>7960000</v>
      </c>
      <c r="AD112" s="401">
        <f t="shared" si="42"/>
        <v>0.14004222378606615</v>
      </c>
      <c r="AE112" s="413">
        <f t="shared" si="43"/>
        <v>5889824</v>
      </c>
      <c r="AF112" s="401">
        <f t="shared" si="44"/>
        <v>9.9979738644814103E-2</v>
      </c>
    </row>
    <row r="113" spans="1:32">
      <c r="A113" s="399">
        <v>313</v>
      </c>
      <c r="B113" s="399" t="s">
        <v>182</v>
      </c>
      <c r="C113" s="399" t="s">
        <v>526</v>
      </c>
      <c r="D113" s="399" t="s">
        <v>11</v>
      </c>
      <c r="E113" s="423">
        <v>28269163.440000001</v>
      </c>
      <c r="F113" s="423">
        <v>24132000</v>
      </c>
      <c r="G113" s="424">
        <f t="shared" si="23"/>
        <v>1.1714388960716062</v>
      </c>
      <c r="H113" s="400">
        <f t="shared" si="24"/>
        <v>35869459</v>
      </c>
      <c r="I113" s="400">
        <v>30620000</v>
      </c>
      <c r="J113" s="401">
        <f t="shared" si="25"/>
        <v>1.1714388961463096</v>
      </c>
      <c r="K113" s="412" t="str">
        <f t="shared" si="26"/>
        <v>TYPE_5</v>
      </c>
      <c r="L113" s="401">
        <f>VLOOKUP(J113,[11]原始參數_115!E:F,2,1)</f>
        <v>1.03</v>
      </c>
      <c r="M113" s="401">
        <f>VLOOKUP(J113,[11]原始參數_115!E:G,3,1)</f>
        <v>1</v>
      </c>
      <c r="N113" s="413">
        <f t="shared" si="27"/>
        <v>36950000</v>
      </c>
      <c r="O113" s="403">
        <f t="shared" si="28"/>
        <v>2.715E-3</v>
      </c>
      <c r="P113" s="401">
        <f t="shared" si="29"/>
        <v>1</v>
      </c>
      <c r="Q113" s="413">
        <f t="shared" si="30"/>
        <v>36950000</v>
      </c>
      <c r="R113" s="413">
        <f t="shared" si="31"/>
        <v>0</v>
      </c>
      <c r="S113" s="413">
        <f t="shared" si="32"/>
        <v>36950000</v>
      </c>
      <c r="T113" s="403">
        <f t="shared" si="33"/>
        <v>3.774E-3</v>
      </c>
      <c r="U113" s="413">
        <f t="shared" si="34"/>
        <v>720000</v>
      </c>
      <c r="V113" s="413">
        <f t="shared" si="35"/>
        <v>720000</v>
      </c>
      <c r="W113" s="413">
        <f t="shared" si="36"/>
        <v>37670000</v>
      </c>
      <c r="X113" s="401">
        <f t="shared" si="37"/>
        <v>0.95220225643748346</v>
      </c>
      <c r="Y113" s="412" t="str">
        <f t="shared" si="38"/>
        <v>TYPE_7</v>
      </c>
      <c r="Z113" s="399" t="str">
        <f t="shared" si="39"/>
        <v>TYPE_2</v>
      </c>
      <c r="AA113" s="414">
        <f>VLOOKUP(Z113,[11]調整參數1_116!A:J,10,0)</f>
        <v>1.1000000000000001</v>
      </c>
      <c r="AB113" s="415">
        <f t="shared" si="40"/>
        <v>39460000</v>
      </c>
      <c r="AC113" s="413">
        <f t="shared" si="41"/>
        <v>8840000</v>
      </c>
      <c r="AD113" s="401">
        <f t="shared" si="42"/>
        <v>0.28870019595035923</v>
      </c>
      <c r="AE113" s="413">
        <f t="shared" si="43"/>
        <v>3590541</v>
      </c>
      <c r="AF113" s="401">
        <f t="shared" si="44"/>
        <v>0.1001002273270974</v>
      </c>
    </row>
    <row r="114" spans="1:32">
      <c r="A114" s="399">
        <v>320</v>
      </c>
      <c r="B114" s="399" t="s">
        <v>183</v>
      </c>
      <c r="C114" s="399" t="s">
        <v>523</v>
      </c>
      <c r="D114" s="399" t="s">
        <v>33</v>
      </c>
      <c r="E114" s="423">
        <v>59034569.030000001</v>
      </c>
      <c r="F114" s="423">
        <v>50498000</v>
      </c>
      <c r="G114" s="424">
        <f t="shared" si="23"/>
        <v>1.1690476658481523</v>
      </c>
      <c r="H114" s="400">
        <f t="shared" si="24"/>
        <v>74912574</v>
      </c>
      <c r="I114" s="400">
        <v>64080000</v>
      </c>
      <c r="J114" s="401">
        <f t="shared" si="25"/>
        <v>1.1690476591760299</v>
      </c>
      <c r="K114" s="412" t="str">
        <f t="shared" si="26"/>
        <v>TYPE_5</v>
      </c>
      <c r="L114" s="401">
        <f>VLOOKUP(J114,[11]原始參數_115!E:F,2,1)</f>
        <v>1.03</v>
      </c>
      <c r="M114" s="401">
        <f>VLOOKUP(J114,[11]原始參數_115!E:G,3,1)</f>
        <v>1</v>
      </c>
      <c r="N114" s="413">
        <f t="shared" si="27"/>
        <v>77160000</v>
      </c>
      <c r="O114" s="403">
        <f t="shared" si="28"/>
        <v>5.6690000000000004E-3</v>
      </c>
      <c r="P114" s="401">
        <f t="shared" si="29"/>
        <v>1</v>
      </c>
      <c r="Q114" s="413">
        <f t="shared" si="30"/>
        <v>77160000</v>
      </c>
      <c r="R114" s="413">
        <f t="shared" si="31"/>
        <v>0</v>
      </c>
      <c r="S114" s="413">
        <f t="shared" si="32"/>
        <v>77160000</v>
      </c>
      <c r="T114" s="403">
        <f t="shared" si="33"/>
        <v>7.8820000000000001E-3</v>
      </c>
      <c r="U114" s="413">
        <f t="shared" si="34"/>
        <v>1510000</v>
      </c>
      <c r="V114" s="413">
        <f t="shared" si="35"/>
        <v>1510000</v>
      </c>
      <c r="W114" s="413">
        <f t="shared" si="36"/>
        <v>78670000</v>
      </c>
      <c r="X114" s="401">
        <f t="shared" si="37"/>
        <v>0.95223813397737389</v>
      </c>
      <c r="Y114" s="412" t="str">
        <f t="shared" si="38"/>
        <v>TYPE_7</v>
      </c>
      <c r="Z114" s="399" t="str">
        <f t="shared" si="39"/>
        <v>TYPE_2</v>
      </c>
      <c r="AA114" s="414">
        <f>VLOOKUP(Z114,[11]調整參數1_116!A:J,10,0)</f>
        <v>1.1000000000000001</v>
      </c>
      <c r="AB114" s="415">
        <f t="shared" si="40"/>
        <v>82400000</v>
      </c>
      <c r="AC114" s="413">
        <f t="shared" si="41"/>
        <v>18320000</v>
      </c>
      <c r="AD114" s="401">
        <f t="shared" si="42"/>
        <v>0.28589263420724093</v>
      </c>
      <c r="AE114" s="413">
        <f t="shared" si="43"/>
        <v>7487426</v>
      </c>
      <c r="AF114" s="401">
        <f t="shared" si="44"/>
        <v>9.9948855048019036E-2</v>
      </c>
    </row>
    <row r="115" spans="1:32">
      <c r="A115" s="399">
        <v>321</v>
      </c>
      <c r="B115" s="399" t="s">
        <v>184</v>
      </c>
      <c r="C115" s="399" t="s">
        <v>522</v>
      </c>
      <c r="D115" s="399" t="s">
        <v>33</v>
      </c>
      <c r="E115" s="423">
        <v>37940637.340000004</v>
      </c>
      <c r="F115" s="423">
        <v>58616000</v>
      </c>
      <c r="G115" s="424">
        <f t="shared" si="23"/>
        <v>0.64727441892998505</v>
      </c>
      <c r="H115" s="400">
        <f t="shared" si="24"/>
        <v>48196053</v>
      </c>
      <c r="I115" s="400">
        <v>74460000</v>
      </c>
      <c r="J115" s="401">
        <f t="shared" si="25"/>
        <v>0.6472744157937147</v>
      </c>
      <c r="K115" s="412" t="str">
        <f t="shared" si="26"/>
        <v>TYPE_9</v>
      </c>
      <c r="L115" s="401">
        <f>VLOOKUP(J115,[11]原始參數_115!E:F,2,1)</f>
        <v>1</v>
      </c>
      <c r="M115" s="401">
        <f>VLOOKUP(J115,[11]原始參數_115!E:G,3,1)</f>
        <v>1.1499999999999999</v>
      </c>
      <c r="N115" s="413">
        <f t="shared" si="27"/>
        <v>85630000</v>
      </c>
      <c r="O115" s="403">
        <f t="shared" si="28"/>
        <v>6.2919999999999998E-3</v>
      </c>
      <c r="P115" s="401">
        <f t="shared" si="29"/>
        <v>1</v>
      </c>
      <c r="Q115" s="413">
        <f t="shared" si="30"/>
        <v>85630000</v>
      </c>
      <c r="R115" s="413">
        <f t="shared" si="31"/>
        <v>0</v>
      </c>
      <c r="S115" s="413">
        <f t="shared" si="32"/>
        <v>85630000</v>
      </c>
      <c r="T115" s="403">
        <f t="shared" si="33"/>
        <v>8.7469999999999996E-3</v>
      </c>
      <c r="U115" s="413">
        <f t="shared" si="34"/>
        <v>1670000</v>
      </c>
      <c r="V115" s="413">
        <f t="shared" si="35"/>
        <v>1670000</v>
      </c>
      <c r="W115" s="413">
        <f t="shared" si="36"/>
        <v>87300000</v>
      </c>
      <c r="X115" s="401">
        <f t="shared" si="37"/>
        <v>0.55207391752577317</v>
      </c>
      <c r="Y115" s="412" t="str">
        <f t="shared" si="38"/>
        <v>TYPE_9</v>
      </c>
      <c r="Z115" s="399" t="str">
        <f t="shared" si="39"/>
        <v>TYPE_4</v>
      </c>
      <c r="AA115" s="414">
        <f>VLOOKUP(Z115,[11]調整參數1_116!A:J,10,0)</f>
        <v>1.2</v>
      </c>
      <c r="AB115" s="415">
        <f t="shared" si="40"/>
        <v>57840000</v>
      </c>
      <c r="AC115" s="413">
        <f t="shared" si="41"/>
        <v>-16620000</v>
      </c>
      <c r="AD115" s="401">
        <f t="shared" si="42"/>
        <v>-0.22320709105560033</v>
      </c>
      <c r="AE115" s="413">
        <f t="shared" si="43"/>
        <v>9643947</v>
      </c>
      <c r="AF115" s="401">
        <f t="shared" si="44"/>
        <v>0.20009827360759189</v>
      </c>
    </row>
    <row r="116" spans="1:32">
      <c r="A116" s="399">
        <v>322</v>
      </c>
      <c r="B116" s="399" t="s">
        <v>34</v>
      </c>
      <c r="C116" s="399" t="s">
        <v>524</v>
      </c>
      <c r="D116" s="399" t="s">
        <v>33</v>
      </c>
      <c r="E116" s="423">
        <v>32477815.629999999</v>
      </c>
      <c r="F116" s="423">
        <v>35803000</v>
      </c>
      <c r="G116" s="424">
        <f t="shared" si="23"/>
        <v>0.90712553780409455</v>
      </c>
      <c r="H116" s="400">
        <f t="shared" si="24"/>
        <v>41210713</v>
      </c>
      <c r="I116" s="400">
        <v>45430000</v>
      </c>
      <c r="J116" s="401">
        <f t="shared" si="25"/>
        <v>0.90712553378824567</v>
      </c>
      <c r="K116" s="412" t="str">
        <f t="shared" si="26"/>
        <v>TYPE_7</v>
      </c>
      <c r="L116" s="401">
        <f>VLOOKUP(J116,[11]原始參數_115!E:F,2,1)</f>
        <v>1</v>
      </c>
      <c r="M116" s="401">
        <f>VLOOKUP(J116,[11]原始參數_115!E:G,3,1)</f>
        <v>1.05</v>
      </c>
      <c r="N116" s="413">
        <f t="shared" si="27"/>
        <v>47700000</v>
      </c>
      <c r="O116" s="403">
        <f t="shared" si="28"/>
        <v>3.5049999999999999E-3</v>
      </c>
      <c r="P116" s="401">
        <f t="shared" si="29"/>
        <v>1</v>
      </c>
      <c r="Q116" s="413">
        <f t="shared" si="30"/>
        <v>47700000</v>
      </c>
      <c r="R116" s="413">
        <f t="shared" si="31"/>
        <v>0</v>
      </c>
      <c r="S116" s="413">
        <f t="shared" si="32"/>
        <v>47700000</v>
      </c>
      <c r="T116" s="403">
        <f t="shared" si="33"/>
        <v>4.8729999999999997E-3</v>
      </c>
      <c r="U116" s="413">
        <f t="shared" si="34"/>
        <v>930000</v>
      </c>
      <c r="V116" s="413">
        <f t="shared" si="35"/>
        <v>930000</v>
      </c>
      <c r="W116" s="413">
        <f t="shared" si="36"/>
        <v>48630000</v>
      </c>
      <c r="X116" s="401">
        <f t="shared" si="37"/>
        <v>0.84743395023647949</v>
      </c>
      <c r="Y116" s="412" t="str">
        <f t="shared" si="38"/>
        <v>TYPE_8</v>
      </c>
      <c r="Z116" s="399" t="str">
        <f t="shared" si="39"/>
        <v>TYPE_3</v>
      </c>
      <c r="AA116" s="414">
        <f>VLOOKUP(Z116,[11]調整參數1_116!A:J,10,0)</f>
        <v>1.1499999999999999</v>
      </c>
      <c r="AB116" s="415">
        <f t="shared" si="40"/>
        <v>47390000</v>
      </c>
      <c r="AC116" s="413">
        <f t="shared" si="41"/>
        <v>1960000</v>
      </c>
      <c r="AD116" s="401">
        <f t="shared" si="42"/>
        <v>4.3143297380585519E-2</v>
      </c>
      <c r="AE116" s="413">
        <f t="shared" si="43"/>
        <v>6179287</v>
      </c>
      <c r="AF116" s="401">
        <f t="shared" si="44"/>
        <v>0.14994370517200223</v>
      </c>
    </row>
    <row r="117" spans="1:32">
      <c r="A117" s="399">
        <v>323</v>
      </c>
      <c r="B117" s="399" t="s">
        <v>185</v>
      </c>
      <c r="C117" s="399" t="s">
        <v>525</v>
      </c>
      <c r="D117" s="399" t="s">
        <v>11</v>
      </c>
      <c r="E117" s="423">
        <v>38814012.130000003</v>
      </c>
      <c r="F117" s="423">
        <v>37458000</v>
      </c>
      <c r="G117" s="424">
        <f t="shared" si="23"/>
        <v>1.0362008684393187</v>
      </c>
      <c r="H117" s="400">
        <f t="shared" si="24"/>
        <v>49260989</v>
      </c>
      <c r="I117" s="400">
        <v>47540000</v>
      </c>
      <c r="J117" s="401">
        <f t="shared" si="25"/>
        <v>1.0362008624316366</v>
      </c>
      <c r="K117" s="412" t="str">
        <f t="shared" si="26"/>
        <v>TYPE_6</v>
      </c>
      <c r="L117" s="401">
        <f>VLOOKUP(J117,[11]原始參數_115!E:F,2,1)</f>
        <v>1.05</v>
      </c>
      <c r="M117" s="401">
        <f>VLOOKUP(J117,[11]原始參數_115!E:G,3,1)</f>
        <v>1</v>
      </c>
      <c r="N117" s="413">
        <f t="shared" si="27"/>
        <v>51720000</v>
      </c>
      <c r="O117" s="403">
        <f t="shared" si="28"/>
        <v>3.8E-3</v>
      </c>
      <c r="P117" s="401">
        <f t="shared" si="29"/>
        <v>1</v>
      </c>
      <c r="Q117" s="413">
        <f t="shared" si="30"/>
        <v>51720000</v>
      </c>
      <c r="R117" s="413">
        <f t="shared" si="31"/>
        <v>0</v>
      </c>
      <c r="S117" s="413">
        <f t="shared" si="32"/>
        <v>51720000</v>
      </c>
      <c r="T117" s="403">
        <f t="shared" si="33"/>
        <v>5.2830000000000004E-3</v>
      </c>
      <c r="U117" s="413">
        <f t="shared" si="34"/>
        <v>1010000</v>
      </c>
      <c r="V117" s="413">
        <f t="shared" si="35"/>
        <v>1010000</v>
      </c>
      <c r="W117" s="413">
        <f t="shared" si="36"/>
        <v>52730000</v>
      </c>
      <c r="X117" s="401">
        <f t="shared" si="37"/>
        <v>0.93421181490612559</v>
      </c>
      <c r="Y117" s="412" t="str">
        <f t="shared" si="38"/>
        <v>TYPE_7</v>
      </c>
      <c r="Z117" s="399" t="str">
        <f t="shared" si="39"/>
        <v>TYPE_2</v>
      </c>
      <c r="AA117" s="414">
        <f>VLOOKUP(Z117,[11]調整參數1_116!A:J,10,0)</f>
        <v>1.1000000000000001</v>
      </c>
      <c r="AB117" s="415">
        <f t="shared" si="40"/>
        <v>54190000</v>
      </c>
      <c r="AC117" s="413">
        <f t="shared" si="41"/>
        <v>6650000</v>
      </c>
      <c r="AD117" s="401">
        <f t="shared" si="42"/>
        <v>0.13988220445940261</v>
      </c>
      <c r="AE117" s="413">
        <f t="shared" si="43"/>
        <v>4929011</v>
      </c>
      <c r="AF117" s="401">
        <f t="shared" si="44"/>
        <v>0.10005911574369732</v>
      </c>
    </row>
    <row r="118" spans="1:32">
      <c r="A118" s="399">
        <v>351</v>
      </c>
      <c r="B118" s="399" t="s">
        <v>100</v>
      </c>
      <c r="C118" s="399" t="s">
        <v>527</v>
      </c>
      <c r="D118" s="399" t="s">
        <v>11</v>
      </c>
      <c r="E118" s="423">
        <v>42263554.189999998</v>
      </c>
      <c r="F118" s="423">
        <v>37489000</v>
      </c>
      <c r="G118" s="424">
        <f t="shared" si="23"/>
        <v>1.1273588036490703</v>
      </c>
      <c r="H118" s="400">
        <f t="shared" si="24"/>
        <v>53651005</v>
      </c>
      <c r="I118" s="400">
        <v>47590000</v>
      </c>
      <c r="J118" s="401">
        <f t="shared" si="25"/>
        <v>1.1273587938642573</v>
      </c>
      <c r="K118" s="412" t="str">
        <f t="shared" si="26"/>
        <v>TYPE_5</v>
      </c>
      <c r="L118" s="401">
        <f>VLOOKUP(J118,[11]原始參數_115!E:F,2,1)</f>
        <v>1.03</v>
      </c>
      <c r="M118" s="401">
        <f>VLOOKUP(J118,[11]原始參數_115!E:G,3,1)</f>
        <v>1</v>
      </c>
      <c r="N118" s="413">
        <f t="shared" si="27"/>
        <v>55260000</v>
      </c>
      <c r="O118" s="403">
        <f t="shared" si="28"/>
        <v>4.0600000000000002E-3</v>
      </c>
      <c r="P118" s="401">
        <f t="shared" si="29"/>
        <v>1</v>
      </c>
      <c r="Q118" s="413">
        <f t="shared" si="30"/>
        <v>55260000</v>
      </c>
      <c r="R118" s="413">
        <f t="shared" si="31"/>
        <v>0</v>
      </c>
      <c r="S118" s="413">
        <f t="shared" si="32"/>
        <v>55260000</v>
      </c>
      <c r="T118" s="403">
        <f t="shared" si="33"/>
        <v>5.6449999999999998E-3</v>
      </c>
      <c r="U118" s="413">
        <f t="shared" si="34"/>
        <v>1080000</v>
      </c>
      <c r="V118" s="413">
        <f t="shared" si="35"/>
        <v>1080000</v>
      </c>
      <c r="W118" s="413">
        <f t="shared" si="36"/>
        <v>56340000</v>
      </c>
      <c r="X118" s="401">
        <f t="shared" si="37"/>
        <v>0.95227200922967692</v>
      </c>
      <c r="Y118" s="412" t="str">
        <f t="shared" si="38"/>
        <v>TYPE_7</v>
      </c>
      <c r="Z118" s="399" t="str">
        <f t="shared" si="39"/>
        <v>TYPE_2</v>
      </c>
      <c r="AA118" s="414">
        <f>VLOOKUP(Z118,[11]調整參數1_116!A:J,10,0)</f>
        <v>1.1000000000000001</v>
      </c>
      <c r="AB118" s="415">
        <f t="shared" si="40"/>
        <v>59020000</v>
      </c>
      <c r="AC118" s="413">
        <f t="shared" si="41"/>
        <v>11430000</v>
      </c>
      <c r="AD118" s="401">
        <f t="shared" si="42"/>
        <v>0.24017650766967849</v>
      </c>
      <c r="AE118" s="413">
        <f t="shared" si="43"/>
        <v>5368995</v>
      </c>
      <c r="AF118" s="401">
        <f t="shared" si="44"/>
        <v>0.100072589506944</v>
      </c>
    </row>
    <row r="119" spans="1:32">
      <c r="A119" s="399">
        <v>400</v>
      </c>
      <c r="B119" s="399" t="s">
        <v>35</v>
      </c>
      <c r="C119" s="399" t="s">
        <v>522</v>
      </c>
      <c r="D119" s="399" t="s">
        <v>33</v>
      </c>
      <c r="E119" s="423">
        <v>76188550.739999995</v>
      </c>
      <c r="F119" s="423">
        <v>80075000</v>
      </c>
      <c r="G119" s="424">
        <f t="shared" si="23"/>
        <v>0.95146488591945044</v>
      </c>
      <c r="H119" s="400">
        <f t="shared" si="24"/>
        <v>96687862</v>
      </c>
      <c r="I119" s="400">
        <v>101620000</v>
      </c>
      <c r="J119" s="401">
        <f t="shared" si="25"/>
        <v>0.951464888801417</v>
      </c>
      <c r="K119" s="412" t="str">
        <f t="shared" si="26"/>
        <v>TYPE_7</v>
      </c>
      <c r="L119" s="401">
        <f>VLOOKUP(J119,[11]原始參數_115!E:F,2,1)</f>
        <v>1</v>
      </c>
      <c r="M119" s="401">
        <f>VLOOKUP(J119,[11]原始參數_115!E:G,3,1)</f>
        <v>1.05</v>
      </c>
      <c r="N119" s="413">
        <f t="shared" si="27"/>
        <v>106700000</v>
      </c>
      <c r="O119" s="403">
        <f t="shared" si="28"/>
        <v>7.8399999999999997E-3</v>
      </c>
      <c r="P119" s="401">
        <f t="shared" si="29"/>
        <v>1</v>
      </c>
      <c r="Q119" s="413">
        <f t="shared" si="30"/>
        <v>106700000</v>
      </c>
      <c r="R119" s="413">
        <f t="shared" si="31"/>
        <v>0</v>
      </c>
      <c r="S119" s="413">
        <f t="shared" si="32"/>
        <v>106700000</v>
      </c>
      <c r="T119" s="403">
        <f t="shared" si="33"/>
        <v>1.0899000000000001E-2</v>
      </c>
      <c r="U119" s="413">
        <f t="shared" si="34"/>
        <v>2090000</v>
      </c>
      <c r="V119" s="413">
        <f t="shared" si="35"/>
        <v>2090000</v>
      </c>
      <c r="W119" s="413">
        <f t="shared" si="36"/>
        <v>108790000</v>
      </c>
      <c r="X119" s="401">
        <f t="shared" si="37"/>
        <v>0.88875688941998343</v>
      </c>
      <c r="Y119" s="412" t="str">
        <f t="shared" si="38"/>
        <v>TYPE_8</v>
      </c>
      <c r="Z119" s="399" t="str">
        <f t="shared" si="39"/>
        <v>TYPE_3</v>
      </c>
      <c r="AA119" s="414">
        <f>VLOOKUP(Z119,[11]調整參數1_116!A:J,10,0)</f>
        <v>1.1499999999999999</v>
      </c>
      <c r="AB119" s="415">
        <f t="shared" si="40"/>
        <v>111190000</v>
      </c>
      <c r="AC119" s="413">
        <f t="shared" si="41"/>
        <v>9570000</v>
      </c>
      <c r="AD119" s="401">
        <f t="shared" si="42"/>
        <v>9.4174375123007276E-2</v>
      </c>
      <c r="AE119" s="413">
        <f t="shared" si="43"/>
        <v>14502138</v>
      </c>
      <c r="AF119" s="401">
        <f t="shared" si="44"/>
        <v>0.14998923029242284</v>
      </c>
    </row>
    <row r="120" spans="1:32">
      <c r="A120" s="399">
        <v>401</v>
      </c>
      <c r="B120" s="399" t="s">
        <v>36</v>
      </c>
      <c r="C120" s="399" t="s">
        <v>526</v>
      </c>
      <c r="D120" s="399" t="s">
        <v>33</v>
      </c>
      <c r="E120" s="423">
        <v>43650434.950000003</v>
      </c>
      <c r="F120" s="423">
        <v>48460000</v>
      </c>
      <c r="G120" s="424">
        <f t="shared" si="23"/>
        <v>0.90075185617003717</v>
      </c>
      <c r="H120" s="400">
        <f t="shared" si="24"/>
        <v>55405247</v>
      </c>
      <c r="I120" s="400">
        <v>61510000</v>
      </c>
      <c r="J120" s="401">
        <f t="shared" si="25"/>
        <v>0.90075186148593722</v>
      </c>
      <c r="K120" s="412" t="str">
        <f t="shared" si="26"/>
        <v>TYPE_7</v>
      </c>
      <c r="L120" s="401">
        <f>VLOOKUP(J120,[11]原始參數_115!E:F,2,1)</f>
        <v>1</v>
      </c>
      <c r="M120" s="401">
        <f>VLOOKUP(J120,[11]原始參數_115!E:G,3,1)</f>
        <v>1.05</v>
      </c>
      <c r="N120" s="413">
        <f t="shared" si="27"/>
        <v>64590000</v>
      </c>
      <c r="O120" s="403">
        <f t="shared" si="28"/>
        <v>4.7460000000000002E-3</v>
      </c>
      <c r="P120" s="401">
        <f t="shared" si="29"/>
        <v>1</v>
      </c>
      <c r="Q120" s="413">
        <f t="shared" si="30"/>
        <v>64590000</v>
      </c>
      <c r="R120" s="413">
        <f t="shared" si="31"/>
        <v>0</v>
      </c>
      <c r="S120" s="413">
        <f t="shared" si="32"/>
        <v>64590000</v>
      </c>
      <c r="T120" s="403">
        <f t="shared" si="33"/>
        <v>6.5979999999999997E-3</v>
      </c>
      <c r="U120" s="413">
        <f t="shared" si="34"/>
        <v>1260000</v>
      </c>
      <c r="V120" s="413">
        <f t="shared" si="35"/>
        <v>1260000</v>
      </c>
      <c r="W120" s="413">
        <f t="shared" si="36"/>
        <v>65850000</v>
      </c>
      <c r="X120" s="401">
        <f t="shared" si="37"/>
        <v>0.84138567957479116</v>
      </c>
      <c r="Y120" s="412" t="str">
        <f t="shared" si="38"/>
        <v>TYPE_8</v>
      </c>
      <c r="Z120" s="399" t="str">
        <f t="shared" si="39"/>
        <v>TYPE_3</v>
      </c>
      <c r="AA120" s="414">
        <f>VLOOKUP(Z120,[11]調整參數1_116!A:J,10,0)</f>
        <v>1.1499999999999999</v>
      </c>
      <c r="AB120" s="415">
        <f t="shared" si="40"/>
        <v>63720000</v>
      </c>
      <c r="AC120" s="413">
        <f t="shared" si="41"/>
        <v>2210000</v>
      </c>
      <c r="AD120" s="401">
        <f t="shared" si="42"/>
        <v>3.5929117216712728E-2</v>
      </c>
      <c r="AE120" s="413">
        <f t="shared" si="43"/>
        <v>8314753</v>
      </c>
      <c r="AF120" s="401">
        <f t="shared" si="44"/>
        <v>0.15007158076562677</v>
      </c>
    </row>
    <row r="121" spans="1:32">
      <c r="A121" s="399">
        <v>402</v>
      </c>
      <c r="B121" s="399" t="s">
        <v>37</v>
      </c>
      <c r="C121" s="399" t="s">
        <v>525</v>
      </c>
      <c r="D121" s="399" t="s">
        <v>33</v>
      </c>
      <c r="E121" s="423">
        <v>74782945.629999995</v>
      </c>
      <c r="F121" s="423">
        <v>60661000</v>
      </c>
      <c r="G121" s="424">
        <f t="shared" si="23"/>
        <v>1.2328010687261997</v>
      </c>
      <c r="H121" s="400">
        <f t="shared" si="24"/>
        <v>94901026</v>
      </c>
      <c r="I121" s="400">
        <v>76980000</v>
      </c>
      <c r="J121" s="401">
        <f t="shared" si="25"/>
        <v>1.2328010652117434</v>
      </c>
      <c r="K121" s="412" t="str">
        <f t="shared" si="26"/>
        <v>TYPE_4</v>
      </c>
      <c r="L121" s="401">
        <f>VLOOKUP(J121,[11]原始參數_115!E:F,2,1)</f>
        <v>1.01</v>
      </c>
      <c r="M121" s="401">
        <f>VLOOKUP(J121,[11]原始參數_115!E:G,3,1)</f>
        <v>1</v>
      </c>
      <c r="N121" s="413">
        <f t="shared" si="27"/>
        <v>95850000</v>
      </c>
      <c r="O121" s="403">
        <f t="shared" si="28"/>
        <v>7.0419999999999996E-3</v>
      </c>
      <c r="P121" s="401">
        <f t="shared" si="29"/>
        <v>1.2</v>
      </c>
      <c r="Q121" s="413">
        <f t="shared" si="30"/>
        <v>92380000</v>
      </c>
      <c r="R121" s="413">
        <f t="shared" si="31"/>
        <v>-3470000</v>
      </c>
      <c r="S121" s="413">
        <f t="shared" si="32"/>
        <v>0</v>
      </c>
      <c r="T121" s="403">
        <f t="shared" si="33"/>
        <v>0</v>
      </c>
      <c r="U121" s="413">
        <f t="shared" si="34"/>
        <v>0</v>
      </c>
      <c r="V121" s="413">
        <f t="shared" si="35"/>
        <v>-3470000</v>
      </c>
      <c r="W121" s="413">
        <f t="shared" si="36"/>
        <v>92380000</v>
      </c>
      <c r="X121" s="401">
        <f t="shared" si="37"/>
        <v>1.0272897380385364</v>
      </c>
      <c r="Y121" s="412" t="str">
        <f t="shared" si="38"/>
        <v>TYPE_6</v>
      </c>
      <c r="Z121" s="399" t="str">
        <f t="shared" si="39"/>
        <v>TYPE_2</v>
      </c>
      <c r="AA121" s="414">
        <f>VLOOKUP(Z121,[11]調整參數1_116!A:J,10,0)</f>
        <v>1.1000000000000001</v>
      </c>
      <c r="AB121" s="415">
        <f t="shared" si="40"/>
        <v>104390000</v>
      </c>
      <c r="AC121" s="413">
        <f t="shared" si="41"/>
        <v>27410000</v>
      </c>
      <c r="AD121" s="401">
        <f t="shared" si="42"/>
        <v>0.35606651078202128</v>
      </c>
      <c r="AE121" s="413">
        <f t="shared" si="43"/>
        <v>9488974</v>
      </c>
      <c r="AF121" s="401">
        <f t="shared" si="44"/>
        <v>9.9988107610132687E-2</v>
      </c>
    </row>
    <row r="122" spans="1:32">
      <c r="A122" s="399">
        <v>403</v>
      </c>
      <c r="B122" s="399" t="s">
        <v>186</v>
      </c>
      <c r="C122" s="399" t="s">
        <v>525</v>
      </c>
      <c r="D122" s="399" t="s">
        <v>33</v>
      </c>
      <c r="E122" s="423">
        <v>54145385.280000001</v>
      </c>
      <c r="F122" s="423">
        <v>56656000</v>
      </c>
      <c r="G122" s="424">
        <f t="shared" si="23"/>
        <v>0.95568669302456932</v>
      </c>
      <c r="H122" s="400">
        <f t="shared" si="24"/>
        <v>68713873</v>
      </c>
      <c r="I122" s="400">
        <v>71900000</v>
      </c>
      <c r="J122" s="401">
        <f t="shared" si="25"/>
        <v>0.95568668984700977</v>
      </c>
      <c r="K122" s="412" t="str">
        <f t="shared" si="26"/>
        <v>TYPE_7</v>
      </c>
      <c r="L122" s="401">
        <f>VLOOKUP(J122,[11]原始參數_115!E:F,2,1)</f>
        <v>1</v>
      </c>
      <c r="M122" s="401">
        <f>VLOOKUP(J122,[11]原始參數_115!E:G,3,1)</f>
        <v>1.05</v>
      </c>
      <c r="N122" s="413">
        <f t="shared" si="27"/>
        <v>75500000</v>
      </c>
      <c r="O122" s="403">
        <f t="shared" si="28"/>
        <v>5.5469999999999998E-3</v>
      </c>
      <c r="P122" s="401">
        <f t="shared" si="29"/>
        <v>1</v>
      </c>
      <c r="Q122" s="413">
        <f t="shared" si="30"/>
        <v>75500000</v>
      </c>
      <c r="R122" s="413">
        <f t="shared" si="31"/>
        <v>0</v>
      </c>
      <c r="S122" s="413">
        <f t="shared" si="32"/>
        <v>75500000</v>
      </c>
      <c r="T122" s="403">
        <f t="shared" si="33"/>
        <v>7.7120000000000001E-3</v>
      </c>
      <c r="U122" s="413">
        <f t="shared" si="34"/>
        <v>1480000</v>
      </c>
      <c r="V122" s="413">
        <f t="shared" si="35"/>
        <v>1480000</v>
      </c>
      <c r="W122" s="413">
        <f t="shared" si="36"/>
        <v>76980000</v>
      </c>
      <c r="X122" s="401">
        <f t="shared" si="37"/>
        <v>0.8926198103403481</v>
      </c>
      <c r="Y122" s="412" t="str">
        <f t="shared" si="38"/>
        <v>TYPE_8</v>
      </c>
      <c r="Z122" s="399" t="str">
        <f t="shared" si="39"/>
        <v>TYPE_3</v>
      </c>
      <c r="AA122" s="414">
        <f>VLOOKUP(Z122,[11]調整參數1_116!A:J,10,0)</f>
        <v>1.1499999999999999</v>
      </c>
      <c r="AB122" s="415">
        <f t="shared" si="40"/>
        <v>79020000</v>
      </c>
      <c r="AC122" s="413">
        <f t="shared" si="41"/>
        <v>7120000</v>
      </c>
      <c r="AD122" s="401">
        <f t="shared" si="42"/>
        <v>9.9026425591098755E-2</v>
      </c>
      <c r="AE122" s="413">
        <f t="shared" si="43"/>
        <v>10306127</v>
      </c>
      <c r="AF122" s="401">
        <f t="shared" si="44"/>
        <v>0.14998611706838297</v>
      </c>
    </row>
    <row r="123" spans="1:32">
      <c r="A123" s="399">
        <v>420</v>
      </c>
      <c r="B123" s="399" t="s">
        <v>38</v>
      </c>
      <c r="C123" s="399" t="s">
        <v>519</v>
      </c>
      <c r="D123" s="399" t="s">
        <v>33</v>
      </c>
      <c r="E123" s="423">
        <v>107974974.19</v>
      </c>
      <c r="F123" s="423">
        <v>95516000</v>
      </c>
      <c r="G123" s="424">
        <f t="shared" si="23"/>
        <v>1.1304386091335483</v>
      </c>
      <c r="H123" s="400">
        <f t="shared" si="24"/>
        <v>136975246</v>
      </c>
      <c r="I123" s="400">
        <v>121170000</v>
      </c>
      <c r="J123" s="401">
        <f t="shared" si="25"/>
        <v>1.1304386069159034</v>
      </c>
      <c r="K123" s="412" t="str">
        <f t="shared" si="26"/>
        <v>TYPE_5</v>
      </c>
      <c r="L123" s="401">
        <f>VLOOKUP(J123,[11]原始參數_115!E:F,2,1)</f>
        <v>1.03</v>
      </c>
      <c r="M123" s="401">
        <f>VLOOKUP(J123,[11]原始參數_115!E:G,3,1)</f>
        <v>1</v>
      </c>
      <c r="N123" s="413">
        <f t="shared" si="27"/>
        <v>141080000</v>
      </c>
      <c r="O123" s="403">
        <f t="shared" si="28"/>
        <v>1.0366E-2</v>
      </c>
      <c r="P123" s="401">
        <f t="shared" si="29"/>
        <v>1</v>
      </c>
      <c r="Q123" s="413">
        <f t="shared" si="30"/>
        <v>141080000</v>
      </c>
      <c r="R123" s="413">
        <f t="shared" si="31"/>
        <v>0</v>
      </c>
      <c r="S123" s="413">
        <f t="shared" si="32"/>
        <v>141080000</v>
      </c>
      <c r="T123" s="403">
        <f t="shared" si="33"/>
        <v>1.4411E-2</v>
      </c>
      <c r="U123" s="413">
        <f t="shared" si="34"/>
        <v>2760000</v>
      </c>
      <c r="V123" s="413">
        <f t="shared" si="35"/>
        <v>2760000</v>
      </c>
      <c r="W123" s="413">
        <f t="shared" si="36"/>
        <v>143840000</v>
      </c>
      <c r="X123" s="401">
        <f t="shared" si="37"/>
        <v>0.95227506952169072</v>
      </c>
      <c r="Y123" s="412" t="str">
        <f t="shared" si="38"/>
        <v>TYPE_7</v>
      </c>
      <c r="Z123" s="399" t="str">
        <f t="shared" si="39"/>
        <v>TYPE_2</v>
      </c>
      <c r="AA123" s="414">
        <f>VLOOKUP(Z123,[11]調整參數1_116!A:J,10,0)</f>
        <v>1.1000000000000001</v>
      </c>
      <c r="AB123" s="415">
        <f t="shared" si="40"/>
        <v>150670000</v>
      </c>
      <c r="AC123" s="413">
        <f t="shared" si="41"/>
        <v>29500000</v>
      </c>
      <c r="AD123" s="401">
        <f t="shared" si="42"/>
        <v>0.2434596022117686</v>
      </c>
      <c r="AE123" s="413">
        <f t="shared" si="43"/>
        <v>13694754</v>
      </c>
      <c r="AF123" s="401">
        <f t="shared" si="44"/>
        <v>9.9979772987595139E-2</v>
      </c>
    </row>
    <row r="124" spans="1:32">
      <c r="A124" s="399">
        <v>422</v>
      </c>
      <c r="B124" s="399" t="s">
        <v>101</v>
      </c>
      <c r="C124" s="399" t="s">
        <v>524</v>
      </c>
      <c r="D124" s="399" t="s">
        <v>33</v>
      </c>
      <c r="E124" s="423">
        <v>105381013.13</v>
      </c>
      <c r="F124" s="423">
        <v>64534000</v>
      </c>
      <c r="G124" s="424">
        <f t="shared" si="23"/>
        <v>1.6329533754300058</v>
      </c>
      <c r="H124" s="400">
        <f t="shared" si="24"/>
        <v>133722552</v>
      </c>
      <c r="I124" s="400">
        <v>81890000</v>
      </c>
      <c r="J124" s="401">
        <f t="shared" si="25"/>
        <v>1.6329533764806448</v>
      </c>
      <c r="K124" s="412" t="str">
        <f t="shared" si="26"/>
        <v>TYPE_2</v>
      </c>
      <c r="L124" s="401">
        <f>VLOOKUP(J124,[11]原始參數_115!E:F,2,1)</f>
        <v>0.8</v>
      </c>
      <c r="M124" s="401">
        <f>VLOOKUP(J124,[11]原始參數_115!E:G,3,1)</f>
        <v>1</v>
      </c>
      <c r="N124" s="413">
        <f t="shared" si="27"/>
        <v>106980000</v>
      </c>
      <c r="O124" s="403">
        <f t="shared" si="28"/>
        <v>7.8600000000000007E-3</v>
      </c>
      <c r="P124" s="401">
        <f t="shared" si="29"/>
        <v>1.2</v>
      </c>
      <c r="Q124" s="413">
        <f t="shared" si="30"/>
        <v>98270000</v>
      </c>
      <c r="R124" s="413">
        <f t="shared" si="31"/>
        <v>-8710000</v>
      </c>
      <c r="S124" s="413">
        <f t="shared" si="32"/>
        <v>0</v>
      </c>
      <c r="T124" s="403">
        <f t="shared" si="33"/>
        <v>0</v>
      </c>
      <c r="U124" s="413">
        <f t="shared" si="34"/>
        <v>0</v>
      </c>
      <c r="V124" s="413">
        <f t="shared" si="35"/>
        <v>-8710000</v>
      </c>
      <c r="W124" s="413">
        <f t="shared" si="36"/>
        <v>98270000</v>
      </c>
      <c r="X124" s="401">
        <f t="shared" si="37"/>
        <v>1.3607667853871985</v>
      </c>
      <c r="Y124" s="412" t="str">
        <f t="shared" si="38"/>
        <v>TYPE_3</v>
      </c>
      <c r="Z124" s="399" t="str">
        <f t="shared" si="39"/>
        <v>TYPE_1</v>
      </c>
      <c r="AA124" s="414">
        <f>VLOOKUP(Z124,[11]調整參數1_116!A:J,10,0)</f>
        <v>0.9</v>
      </c>
      <c r="AB124" s="415">
        <f t="shared" si="40"/>
        <v>120350000</v>
      </c>
      <c r="AC124" s="413">
        <f t="shared" si="41"/>
        <v>38460000</v>
      </c>
      <c r="AD124" s="401">
        <f t="shared" si="42"/>
        <v>0.46965441445841982</v>
      </c>
      <c r="AE124" s="413">
        <f t="shared" si="43"/>
        <v>-13372552</v>
      </c>
      <c r="AF124" s="401">
        <f t="shared" si="44"/>
        <v>-0.10000221952090774</v>
      </c>
    </row>
    <row r="125" spans="1:32">
      <c r="A125" s="399">
        <v>423</v>
      </c>
      <c r="B125" s="399" t="s">
        <v>187</v>
      </c>
      <c r="C125" s="399" t="s">
        <v>523</v>
      </c>
      <c r="D125" s="399" t="s">
        <v>33</v>
      </c>
      <c r="E125" s="423">
        <v>49319261.149999999</v>
      </c>
      <c r="F125" s="423">
        <v>47855000</v>
      </c>
      <c r="G125" s="424">
        <f t="shared" si="23"/>
        <v>1.0305978716957476</v>
      </c>
      <c r="H125" s="400">
        <f t="shared" si="24"/>
        <v>62577903</v>
      </c>
      <c r="I125" s="400">
        <v>60720000</v>
      </c>
      <c r="J125" s="401">
        <f t="shared" si="25"/>
        <v>1.0305978754940712</v>
      </c>
      <c r="K125" s="412" t="str">
        <f t="shared" si="26"/>
        <v>TYPE_6</v>
      </c>
      <c r="L125" s="401">
        <f>VLOOKUP(J125,[11]原始參數_115!E:F,2,1)</f>
        <v>1.05</v>
      </c>
      <c r="M125" s="401">
        <f>VLOOKUP(J125,[11]原始參數_115!E:G,3,1)</f>
        <v>1</v>
      </c>
      <c r="N125" s="413">
        <f t="shared" si="27"/>
        <v>65710000</v>
      </c>
      <c r="O125" s="403">
        <f t="shared" si="28"/>
        <v>4.8279999999999998E-3</v>
      </c>
      <c r="P125" s="401">
        <f t="shared" si="29"/>
        <v>1</v>
      </c>
      <c r="Q125" s="413">
        <f t="shared" si="30"/>
        <v>65710000</v>
      </c>
      <c r="R125" s="413">
        <f t="shared" si="31"/>
        <v>0</v>
      </c>
      <c r="S125" s="413">
        <f t="shared" si="32"/>
        <v>65710000</v>
      </c>
      <c r="T125" s="403">
        <f t="shared" si="33"/>
        <v>6.7120000000000001E-3</v>
      </c>
      <c r="U125" s="413">
        <f t="shared" si="34"/>
        <v>1280000</v>
      </c>
      <c r="V125" s="413">
        <f t="shared" si="35"/>
        <v>1280000</v>
      </c>
      <c r="W125" s="413">
        <f t="shared" si="36"/>
        <v>66990000</v>
      </c>
      <c r="X125" s="401">
        <f t="shared" si="37"/>
        <v>0.93413797581728619</v>
      </c>
      <c r="Y125" s="412" t="str">
        <f t="shared" si="38"/>
        <v>TYPE_7</v>
      </c>
      <c r="Z125" s="399" t="str">
        <f t="shared" si="39"/>
        <v>TYPE_2</v>
      </c>
      <c r="AA125" s="414">
        <f>VLOOKUP(Z125,[11]調整參數1_116!A:J,10,0)</f>
        <v>1.1000000000000001</v>
      </c>
      <c r="AB125" s="415">
        <f t="shared" si="40"/>
        <v>68840000</v>
      </c>
      <c r="AC125" s="413">
        <f t="shared" si="41"/>
        <v>8120000</v>
      </c>
      <c r="AD125" s="401">
        <f t="shared" si="42"/>
        <v>0.13372859025032938</v>
      </c>
      <c r="AE125" s="413">
        <f t="shared" si="43"/>
        <v>6262097</v>
      </c>
      <c r="AF125" s="401">
        <f t="shared" si="44"/>
        <v>0.10006882141768157</v>
      </c>
    </row>
    <row r="126" spans="1:32">
      <c r="A126" s="399">
        <v>424</v>
      </c>
      <c r="B126" s="399" t="s">
        <v>188</v>
      </c>
      <c r="C126" s="399" t="s">
        <v>519</v>
      </c>
      <c r="D126" s="399" t="s">
        <v>33</v>
      </c>
      <c r="E126" s="423">
        <v>97997589.859999999</v>
      </c>
      <c r="F126" s="423">
        <v>85674000</v>
      </c>
      <c r="G126" s="424">
        <f t="shared" si="23"/>
        <v>1.1438428211592782</v>
      </c>
      <c r="H126" s="400">
        <f t="shared" si="24"/>
        <v>124347153</v>
      </c>
      <c r="I126" s="400">
        <v>108710000</v>
      </c>
      <c r="J126" s="401">
        <f t="shared" si="25"/>
        <v>1.143842820347714</v>
      </c>
      <c r="K126" s="412" t="str">
        <f t="shared" si="26"/>
        <v>TYPE_5</v>
      </c>
      <c r="L126" s="401">
        <f>VLOOKUP(J126,[11]原始參數_115!E:F,2,1)</f>
        <v>1.03</v>
      </c>
      <c r="M126" s="401">
        <f>VLOOKUP(J126,[11]原始參數_115!E:G,3,1)</f>
        <v>1</v>
      </c>
      <c r="N126" s="413">
        <f t="shared" si="27"/>
        <v>128080000</v>
      </c>
      <c r="O126" s="403">
        <f t="shared" si="28"/>
        <v>9.4109999999999992E-3</v>
      </c>
      <c r="P126" s="401">
        <f t="shared" si="29"/>
        <v>1</v>
      </c>
      <c r="Q126" s="413">
        <f t="shared" si="30"/>
        <v>128080000</v>
      </c>
      <c r="R126" s="413">
        <f t="shared" si="31"/>
        <v>0</v>
      </c>
      <c r="S126" s="413">
        <f t="shared" si="32"/>
        <v>128080000</v>
      </c>
      <c r="T126" s="403">
        <f t="shared" si="33"/>
        <v>1.3082999999999999E-2</v>
      </c>
      <c r="U126" s="413">
        <f t="shared" si="34"/>
        <v>2500000</v>
      </c>
      <c r="V126" s="413">
        <f t="shared" si="35"/>
        <v>2500000</v>
      </c>
      <c r="W126" s="413">
        <f t="shared" si="36"/>
        <v>130580000</v>
      </c>
      <c r="X126" s="401">
        <f t="shared" si="37"/>
        <v>0.95226798131413692</v>
      </c>
      <c r="Y126" s="412" t="str">
        <f t="shared" si="38"/>
        <v>TYPE_7</v>
      </c>
      <c r="Z126" s="399" t="str">
        <f t="shared" si="39"/>
        <v>TYPE_2</v>
      </c>
      <c r="AA126" s="414">
        <f>VLOOKUP(Z126,[11]調整參數1_116!A:J,10,0)</f>
        <v>1.1000000000000001</v>
      </c>
      <c r="AB126" s="415">
        <f t="shared" si="40"/>
        <v>136780000</v>
      </c>
      <c r="AC126" s="413">
        <f t="shared" si="41"/>
        <v>28070000</v>
      </c>
      <c r="AD126" s="401">
        <f t="shared" si="42"/>
        <v>0.25820991629104956</v>
      </c>
      <c r="AE126" s="413">
        <f t="shared" si="43"/>
        <v>12432847</v>
      </c>
      <c r="AF126" s="401">
        <f t="shared" si="44"/>
        <v>9.9984975128461523E-2</v>
      </c>
    </row>
    <row r="127" spans="1:32">
      <c r="A127" s="399">
        <v>425</v>
      </c>
      <c r="B127" s="399" t="s">
        <v>39</v>
      </c>
      <c r="C127" s="399" t="s">
        <v>525</v>
      </c>
      <c r="D127" s="399" t="s">
        <v>33</v>
      </c>
      <c r="E127" s="423">
        <v>51545791.140000001</v>
      </c>
      <c r="F127" s="423">
        <v>64270000</v>
      </c>
      <c r="G127" s="424">
        <f t="shared" si="23"/>
        <v>0.80201946693636228</v>
      </c>
      <c r="H127" s="400">
        <f t="shared" si="24"/>
        <v>65420728</v>
      </c>
      <c r="I127" s="400">
        <v>81570000</v>
      </c>
      <c r="J127" s="401">
        <f t="shared" si="25"/>
        <v>0.80201946794164525</v>
      </c>
      <c r="K127" s="412" t="str">
        <f t="shared" si="26"/>
        <v>TYPE_8</v>
      </c>
      <c r="L127" s="401">
        <f>VLOOKUP(J127,[11]原始參數_115!E:F,2,1)</f>
        <v>1</v>
      </c>
      <c r="M127" s="401">
        <f>VLOOKUP(J127,[11]原始參數_115!E:G,3,1)</f>
        <v>1.1000000000000001</v>
      </c>
      <c r="N127" s="413">
        <f t="shared" si="27"/>
        <v>89730000</v>
      </c>
      <c r="O127" s="403">
        <f t="shared" si="28"/>
        <v>6.5929999999999999E-3</v>
      </c>
      <c r="P127" s="401">
        <f t="shared" si="29"/>
        <v>1</v>
      </c>
      <c r="Q127" s="413">
        <f t="shared" si="30"/>
        <v>89730000</v>
      </c>
      <c r="R127" s="413">
        <f t="shared" si="31"/>
        <v>0</v>
      </c>
      <c r="S127" s="413">
        <f t="shared" si="32"/>
        <v>89730000</v>
      </c>
      <c r="T127" s="403">
        <f t="shared" si="33"/>
        <v>9.1660000000000005E-3</v>
      </c>
      <c r="U127" s="413">
        <f t="shared" si="34"/>
        <v>1750000</v>
      </c>
      <c r="V127" s="413">
        <f t="shared" si="35"/>
        <v>1750000</v>
      </c>
      <c r="W127" s="413">
        <f t="shared" si="36"/>
        <v>91480000</v>
      </c>
      <c r="X127" s="401">
        <f t="shared" si="37"/>
        <v>0.71513694796676874</v>
      </c>
      <c r="Y127" s="412" t="str">
        <f t="shared" si="38"/>
        <v>TYPE_9</v>
      </c>
      <c r="Z127" s="399" t="str">
        <f t="shared" si="39"/>
        <v>TYPE_3</v>
      </c>
      <c r="AA127" s="414">
        <f>VLOOKUP(Z127,[11]調整參數1_116!A:J,10,0)</f>
        <v>1.1499999999999999</v>
      </c>
      <c r="AB127" s="415">
        <f t="shared" si="40"/>
        <v>75230000</v>
      </c>
      <c r="AC127" s="413">
        <f t="shared" si="41"/>
        <v>-6340000</v>
      </c>
      <c r="AD127" s="401">
        <f t="shared" si="42"/>
        <v>-7.7724653671693025E-2</v>
      </c>
      <c r="AE127" s="413">
        <f t="shared" si="43"/>
        <v>9809272</v>
      </c>
      <c r="AF127" s="401">
        <f t="shared" si="44"/>
        <v>0.1499413458070965</v>
      </c>
    </row>
    <row r="128" spans="1:32">
      <c r="A128" s="399">
        <v>426</v>
      </c>
      <c r="B128" s="399" t="s">
        <v>189</v>
      </c>
      <c r="C128" s="399" t="s">
        <v>524</v>
      </c>
      <c r="D128" s="399" t="s">
        <v>33</v>
      </c>
      <c r="E128" s="423">
        <v>41365570.18</v>
      </c>
      <c r="F128" s="423">
        <v>47647000</v>
      </c>
      <c r="G128" s="424">
        <f t="shared" si="23"/>
        <v>0.86816735953995006</v>
      </c>
      <c r="H128" s="400">
        <f t="shared" si="24"/>
        <v>52489399</v>
      </c>
      <c r="I128" s="400">
        <v>60460000</v>
      </c>
      <c r="J128" s="401">
        <f t="shared" si="25"/>
        <v>0.86816736685411844</v>
      </c>
      <c r="K128" s="412" t="str">
        <f t="shared" si="26"/>
        <v>TYPE_8</v>
      </c>
      <c r="L128" s="401">
        <f>VLOOKUP(J128,[11]原始參數_115!E:F,2,1)</f>
        <v>1</v>
      </c>
      <c r="M128" s="401">
        <f>VLOOKUP(J128,[11]原始參數_115!E:G,3,1)</f>
        <v>1.1000000000000001</v>
      </c>
      <c r="N128" s="413">
        <f t="shared" si="27"/>
        <v>66510000</v>
      </c>
      <c r="O128" s="403">
        <f t="shared" si="28"/>
        <v>4.8869999999999999E-3</v>
      </c>
      <c r="P128" s="401">
        <f t="shared" si="29"/>
        <v>1</v>
      </c>
      <c r="Q128" s="413">
        <f t="shared" si="30"/>
        <v>66510000</v>
      </c>
      <c r="R128" s="413">
        <f t="shared" si="31"/>
        <v>0</v>
      </c>
      <c r="S128" s="413">
        <f t="shared" si="32"/>
        <v>66510000</v>
      </c>
      <c r="T128" s="403">
        <f t="shared" si="33"/>
        <v>6.7939999999999997E-3</v>
      </c>
      <c r="U128" s="413">
        <f t="shared" si="34"/>
        <v>1300000</v>
      </c>
      <c r="V128" s="413">
        <f t="shared" si="35"/>
        <v>1300000</v>
      </c>
      <c r="W128" s="413">
        <f t="shared" si="36"/>
        <v>67810000</v>
      </c>
      <c r="X128" s="401">
        <f t="shared" si="37"/>
        <v>0.77406575726294058</v>
      </c>
      <c r="Y128" s="412" t="str">
        <f t="shared" si="38"/>
        <v>TYPE_8</v>
      </c>
      <c r="Z128" s="399" t="str">
        <f t="shared" si="39"/>
        <v>TYPE_3</v>
      </c>
      <c r="AA128" s="414">
        <f>VLOOKUP(Z128,[11]調整參數1_116!A:J,10,0)</f>
        <v>1.1499999999999999</v>
      </c>
      <c r="AB128" s="415">
        <f t="shared" si="40"/>
        <v>60360000</v>
      </c>
      <c r="AC128" s="413">
        <f t="shared" si="41"/>
        <v>-100000</v>
      </c>
      <c r="AD128" s="401">
        <f t="shared" si="42"/>
        <v>-1.6539861065167053E-3</v>
      </c>
      <c r="AE128" s="413">
        <f t="shared" si="43"/>
        <v>7870601</v>
      </c>
      <c r="AF128" s="401">
        <f t="shared" si="44"/>
        <v>0.14994648728974777</v>
      </c>
    </row>
    <row r="129" spans="1:32">
      <c r="A129" s="399">
        <v>427</v>
      </c>
      <c r="B129" s="399" t="s">
        <v>190</v>
      </c>
      <c r="C129" s="399" t="s">
        <v>524</v>
      </c>
      <c r="D129" s="399" t="s">
        <v>33</v>
      </c>
      <c r="E129" s="423">
        <v>51990126.229999997</v>
      </c>
      <c r="F129" s="423">
        <v>53601000</v>
      </c>
      <c r="G129" s="424">
        <f t="shared" si="23"/>
        <v>0.96994694557937344</v>
      </c>
      <c r="H129" s="400">
        <f t="shared" si="24"/>
        <v>65975791</v>
      </c>
      <c r="I129" s="400">
        <v>68020000</v>
      </c>
      <c r="J129" s="401">
        <f t="shared" si="25"/>
        <v>0.96994694207586007</v>
      </c>
      <c r="K129" s="412" t="str">
        <f t="shared" si="26"/>
        <v>TYPE_7</v>
      </c>
      <c r="L129" s="401">
        <f>VLOOKUP(J129,[11]原始參數_115!E:F,2,1)</f>
        <v>1</v>
      </c>
      <c r="M129" s="401">
        <f>VLOOKUP(J129,[11]原始參數_115!E:G,3,1)</f>
        <v>1.05</v>
      </c>
      <c r="N129" s="413">
        <f t="shared" si="27"/>
        <v>71420000</v>
      </c>
      <c r="O129" s="403">
        <f t="shared" si="28"/>
        <v>5.2480000000000001E-3</v>
      </c>
      <c r="P129" s="401">
        <f t="shared" si="29"/>
        <v>1</v>
      </c>
      <c r="Q129" s="413">
        <f t="shared" si="30"/>
        <v>71420000</v>
      </c>
      <c r="R129" s="413">
        <f t="shared" si="31"/>
        <v>0</v>
      </c>
      <c r="S129" s="413">
        <f t="shared" si="32"/>
        <v>71420000</v>
      </c>
      <c r="T129" s="403">
        <f t="shared" si="33"/>
        <v>7.2960000000000004E-3</v>
      </c>
      <c r="U129" s="413">
        <f t="shared" si="34"/>
        <v>1400000</v>
      </c>
      <c r="V129" s="413">
        <f t="shared" si="35"/>
        <v>1400000</v>
      </c>
      <c r="W129" s="413">
        <f t="shared" si="36"/>
        <v>72820000</v>
      </c>
      <c r="X129" s="401">
        <f t="shared" si="37"/>
        <v>0.90601196099972536</v>
      </c>
      <c r="Y129" s="412" t="str">
        <f t="shared" si="38"/>
        <v>TYPE_7</v>
      </c>
      <c r="Z129" s="399" t="str">
        <f t="shared" si="39"/>
        <v>TYPE_3</v>
      </c>
      <c r="AA129" s="414">
        <f>VLOOKUP(Z129,[11]調整參數1_116!A:J,10,0)</f>
        <v>1.1499999999999999</v>
      </c>
      <c r="AB129" s="415">
        <f t="shared" si="40"/>
        <v>75870000</v>
      </c>
      <c r="AC129" s="413">
        <f t="shared" si="41"/>
        <v>7850000</v>
      </c>
      <c r="AD129" s="401">
        <f t="shared" si="42"/>
        <v>0.11540723316671567</v>
      </c>
      <c r="AE129" s="413">
        <f t="shared" si="43"/>
        <v>9894209</v>
      </c>
      <c r="AF129" s="401">
        <f t="shared" si="44"/>
        <v>0.1499672660233812</v>
      </c>
    </row>
    <row r="130" spans="1:32">
      <c r="A130" s="399">
        <v>429</v>
      </c>
      <c r="B130" s="399" t="s">
        <v>191</v>
      </c>
      <c r="C130" s="399" t="s">
        <v>526</v>
      </c>
      <c r="D130" s="399" t="s">
        <v>33</v>
      </c>
      <c r="E130" s="423">
        <v>54152024.420000002</v>
      </c>
      <c r="F130" s="423">
        <v>42150000</v>
      </c>
      <c r="G130" s="424">
        <f t="shared" si="23"/>
        <v>1.2847455378410439</v>
      </c>
      <c r="H130" s="400">
        <f t="shared" si="24"/>
        <v>68618259</v>
      </c>
      <c r="I130" s="400">
        <v>53410000</v>
      </c>
      <c r="J130" s="401">
        <f t="shared" si="25"/>
        <v>1.2847455345440928</v>
      </c>
      <c r="K130" s="412" t="str">
        <f t="shared" si="26"/>
        <v>TYPE_4</v>
      </c>
      <c r="L130" s="401">
        <f>VLOOKUP(J130,[11]原始參數_115!E:F,2,1)</f>
        <v>1.01</v>
      </c>
      <c r="M130" s="401">
        <f>VLOOKUP(J130,[11]原始參數_115!E:G,3,1)</f>
        <v>1</v>
      </c>
      <c r="N130" s="413">
        <f t="shared" si="27"/>
        <v>69300000</v>
      </c>
      <c r="O130" s="403">
        <f t="shared" si="28"/>
        <v>5.0920000000000002E-3</v>
      </c>
      <c r="P130" s="401">
        <f t="shared" si="29"/>
        <v>1.2</v>
      </c>
      <c r="Q130" s="413">
        <f t="shared" si="30"/>
        <v>64090000</v>
      </c>
      <c r="R130" s="413">
        <f t="shared" si="31"/>
        <v>-5210000</v>
      </c>
      <c r="S130" s="413">
        <f t="shared" si="32"/>
        <v>0</v>
      </c>
      <c r="T130" s="403">
        <f t="shared" si="33"/>
        <v>0</v>
      </c>
      <c r="U130" s="413">
        <f t="shared" si="34"/>
        <v>0</v>
      </c>
      <c r="V130" s="413">
        <f t="shared" si="35"/>
        <v>-5210000</v>
      </c>
      <c r="W130" s="413">
        <f t="shared" si="36"/>
        <v>64090000</v>
      </c>
      <c r="X130" s="401">
        <f t="shared" si="37"/>
        <v>1.0706546887189889</v>
      </c>
      <c r="Y130" s="412" t="str">
        <f t="shared" si="38"/>
        <v>TYPE_6</v>
      </c>
      <c r="Z130" s="399" t="str">
        <f t="shared" si="39"/>
        <v>TYPE_2</v>
      </c>
      <c r="AA130" s="414">
        <f>VLOOKUP(Z130,[11]調整參數1_116!A:J,10,0)</f>
        <v>1.1000000000000001</v>
      </c>
      <c r="AB130" s="415">
        <f t="shared" si="40"/>
        <v>75480000</v>
      </c>
      <c r="AC130" s="413">
        <f t="shared" si="41"/>
        <v>22070000</v>
      </c>
      <c r="AD130" s="401">
        <f t="shared" si="42"/>
        <v>0.41321849840853775</v>
      </c>
      <c r="AE130" s="413">
        <f t="shared" si="43"/>
        <v>6861741</v>
      </c>
      <c r="AF130" s="401">
        <f t="shared" si="44"/>
        <v>9.9998762719992654E-2</v>
      </c>
    </row>
    <row r="131" spans="1:32">
      <c r="A131" s="399">
        <v>430</v>
      </c>
      <c r="B131" s="399" t="s">
        <v>40</v>
      </c>
      <c r="C131" s="399" t="s">
        <v>527</v>
      </c>
      <c r="D131" s="399" t="s">
        <v>33</v>
      </c>
      <c r="E131" s="423">
        <v>26101544.780000001</v>
      </c>
      <c r="F131" s="423">
        <v>35667000</v>
      </c>
      <c r="G131" s="424">
        <f t="shared" si="23"/>
        <v>0.73181217315726022</v>
      </c>
      <c r="H131" s="400">
        <f t="shared" si="24"/>
        <v>33136455</v>
      </c>
      <c r="I131" s="400">
        <v>45280000</v>
      </c>
      <c r="J131" s="401">
        <f t="shared" si="25"/>
        <v>0.73181216872791521</v>
      </c>
      <c r="K131" s="412" t="str">
        <f t="shared" si="26"/>
        <v>TYPE_9</v>
      </c>
      <c r="L131" s="401">
        <f>VLOOKUP(J131,[11]原始參數_115!E:F,2,1)</f>
        <v>1</v>
      </c>
      <c r="M131" s="401">
        <f>VLOOKUP(J131,[11]原始參數_115!E:G,3,1)</f>
        <v>1.1499999999999999</v>
      </c>
      <c r="N131" s="413">
        <f t="shared" si="27"/>
        <v>52070000</v>
      </c>
      <c r="O131" s="403">
        <f t="shared" si="28"/>
        <v>3.826E-3</v>
      </c>
      <c r="P131" s="401">
        <f t="shared" si="29"/>
        <v>1</v>
      </c>
      <c r="Q131" s="413">
        <f t="shared" si="30"/>
        <v>52070000</v>
      </c>
      <c r="R131" s="413">
        <f t="shared" si="31"/>
        <v>0</v>
      </c>
      <c r="S131" s="413">
        <f t="shared" si="32"/>
        <v>52070000</v>
      </c>
      <c r="T131" s="403">
        <f t="shared" si="33"/>
        <v>5.3189999999999999E-3</v>
      </c>
      <c r="U131" s="413">
        <f t="shared" si="34"/>
        <v>1020000</v>
      </c>
      <c r="V131" s="413">
        <f t="shared" si="35"/>
        <v>1020000</v>
      </c>
      <c r="W131" s="413">
        <f t="shared" si="36"/>
        <v>53090000</v>
      </c>
      <c r="X131" s="401">
        <f t="shared" si="37"/>
        <v>0.62415624411376902</v>
      </c>
      <c r="Y131" s="412" t="str">
        <f t="shared" si="38"/>
        <v>TYPE_9</v>
      </c>
      <c r="Z131" s="399" t="str">
        <f t="shared" si="39"/>
        <v>TYPE_4</v>
      </c>
      <c r="AA131" s="414">
        <f>VLOOKUP(Z131,[11]調整參數1_116!A:J,10,0)</f>
        <v>1.2</v>
      </c>
      <c r="AB131" s="415">
        <f t="shared" si="40"/>
        <v>39760000</v>
      </c>
      <c r="AC131" s="413">
        <f t="shared" si="41"/>
        <v>-5520000</v>
      </c>
      <c r="AD131" s="401">
        <f t="shared" si="42"/>
        <v>-0.12190812720848057</v>
      </c>
      <c r="AE131" s="413">
        <f t="shared" si="43"/>
        <v>6623545</v>
      </c>
      <c r="AF131" s="401">
        <f t="shared" si="44"/>
        <v>0.19988695230072137</v>
      </c>
    </row>
    <row r="132" spans="1:32">
      <c r="A132" s="399">
        <v>431</v>
      </c>
      <c r="B132" s="399" t="s">
        <v>102</v>
      </c>
      <c r="C132" s="399" t="s">
        <v>524</v>
      </c>
      <c r="D132" s="399" t="s">
        <v>33</v>
      </c>
      <c r="E132" s="423">
        <v>34065197.859999999</v>
      </c>
      <c r="F132" s="423">
        <v>29759000</v>
      </c>
      <c r="G132" s="424">
        <f t="shared" ref="G132:G185" si="45">E132/F132</f>
        <v>1.1447023710474142</v>
      </c>
      <c r="H132" s="400">
        <f t="shared" ref="H132:H185" si="46">ROUND(G132*I132, 0)</f>
        <v>43223962</v>
      </c>
      <c r="I132" s="400">
        <v>37760000</v>
      </c>
      <c r="J132" s="401">
        <f t="shared" ref="J132:J185" si="47">H132/I132</f>
        <v>1.1447023834745762</v>
      </c>
      <c r="K132" s="412" t="str">
        <f t="shared" ref="K132:K185" si="48">IF(J132&gt;=2, "TYPE_1", IF(J132&gt;=1.5, "TYPE_2", IF(J132&gt;=1.3, "TYPE_3", IF(J132&gt;=1.2, "TYPE_4", IF(J132 &gt;=1.1, "TYPE_5", IF(J132 &gt;=1, "TYPE_6", IF(J132&gt;=0.9, "TYPE_7", IF(J132&gt;= 0.75, "TYPE_8", "TYPE_9"))))))))</f>
        <v>TYPE_5</v>
      </c>
      <c r="L132" s="401">
        <f>VLOOKUP(J132,[11]原始參數_115!E:F,2,1)</f>
        <v>1.03</v>
      </c>
      <c r="M132" s="401">
        <f>VLOOKUP(J132,[11]原始參數_115!E:G,3,1)</f>
        <v>1</v>
      </c>
      <c r="N132" s="413">
        <f t="shared" ref="N132:N185" si="49">IF(L132&lt;&gt;1,ROUND(H132*L132,-4),ROUND(I132*M132,-4))</f>
        <v>44520000</v>
      </c>
      <c r="O132" s="403">
        <f t="shared" ref="O132:O185" si="50">ROUND(N132/$N$1, 6)</f>
        <v>3.271E-3</v>
      </c>
      <c r="P132" s="401">
        <f t="shared" ref="P132:P185" si="51">IF(J132&gt;=1.2, 1.2,1)</f>
        <v>1</v>
      </c>
      <c r="Q132" s="413">
        <f t="shared" ref="Q132:Q185" si="52">IF(J132&gt;=1.2, ROUND(I132*P132, -4), N132)</f>
        <v>44520000</v>
      </c>
      <c r="R132" s="413">
        <f t="shared" ref="R132:R185" si="53">Q132-N132</f>
        <v>0</v>
      </c>
      <c r="S132" s="413">
        <f t="shared" ref="S132:S185" si="54">IF(P132 = 1.2, 0, Q132)</f>
        <v>44520000</v>
      </c>
      <c r="T132" s="403">
        <f t="shared" ref="T132:T185" si="55">ROUND(S132/$S$1, 6)</f>
        <v>4.548E-3</v>
      </c>
      <c r="U132" s="413">
        <f t="shared" ref="U132:U185" si="56">ROUND($R$1*T132, -4)*(-1)</f>
        <v>870000</v>
      </c>
      <c r="V132" s="413">
        <f t="shared" ref="V132:V185" si="57">R132+U132</f>
        <v>870000</v>
      </c>
      <c r="W132" s="413">
        <f t="shared" ref="W132:W185" si="58">Q132+U132</f>
        <v>45390000</v>
      </c>
      <c r="X132" s="401">
        <f t="shared" ref="X132:X185" si="59">H132/W132</f>
        <v>0.9522794007490637</v>
      </c>
      <c r="Y132" s="412" t="str">
        <f t="shared" ref="Y132:Y185" si="60">IF(X132&gt;=2, "TYPE_1", IF(X132&gt;=1.5, "TYPE_2", IF(X132&gt;=1.3, "TYPE_3", IF(X132&gt;=1.2, "TYPE_4", IF(X132 &gt;=1.1, "TYPE_5", IF(X132 &gt;=1, "TYPE_6", IF(X132&gt;=0.9, "TYPE_7", IF(X132&gt;= 0.75, "TYPE_8", "TYPE_9"))))))))</f>
        <v>TYPE_7</v>
      </c>
      <c r="Z132" s="399" t="str">
        <f t="shared" ref="Z132:Z185" si="61">IF(J132&gt;=1.35, "TYPE_1", IF(J132&gt;= 1, "TYPE_2", IF(J132&gt;=0.75, "TYPE_3", "TYPE_4")))</f>
        <v>TYPE_2</v>
      </c>
      <c r="AA132" s="414">
        <f>VLOOKUP(Z132,[11]調整參數1_116!A:J,10,0)</f>
        <v>1.1000000000000001</v>
      </c>
      <c r="AB132" s="415">
        <f t="shared" ref="AB132:AB185" si="62">ROUND(H132*AA132, -4)</f>
        <v>47550000</v>
      </c>
      <c r="AC132" s="413">
        <f t="shared" ref="AC132:AC185" si="63">AB132-I132</f>
        <v>9790000</v>
      </c>
      <c r="AD132" s="401">
        <f t="shared" ref="AD132:AD185" si="64">AC132/I132</f>
        <v>0.25926906779661019</v>
      </c>
      <c r="AE132" s="413">
        <f t="shared" ref="AE132:AE185" si="65">AB132-H132</f>
        <v>4326038</v>
      </c>
      <c r="AF132" s="401">
        <f t="shared" ref="AF132:AF185" si="66">AE132/H132</f>
        <v>0.10008425419215387</v>
      </c>
    </row>
    <row r="133" spans="1:32">
      <c r="A133" s="399">
        <v>451</v>
      </c>
      <c r="B133" s="399" t="s">
        <v>103</v>
      </c>
      <c r="C133" s="399" t="s">
        <v>527</v>
      </c>
      <c r="D133" s="399" t="s">
        <v>33</v>
      </c>
      <c r="E133" s="423">
        <v>32140951.34</v>
      </c>
      <c r="F133" s="423">
        <v>44323000</v>
      </c>
      <c r="G133" s="424">
        <f t="shared" si="45"/>
        <v>0.72515288540938116</v>
      </c>
      <c r="H133" s="400">
        <f t="shared" si="46"/>
        <v>40782598</v>
      </c>
      <c r="I133" s="400">
        <v>56240000</v>
      </c>
      <c r="J133" s="401">
        <f t="shared" si="47"/>
        <v>0.72515288051209104</v>
      </c>
      <c r="K133" s="412" t="str">
        <f t="shared" si="48"/>
        <v>TYPE_9</v>
      </c>
      <c r="L133" s="401">
        <f>VLOOKUP(J133,[11]原始參數_115!E:F,2,1)</f>
        <v>1</v>
      </c>
      <c r="M133" s="401">
        <f>VLOOKUP(J133,[11]原始參數_115!E:G,3,1)</f>
        <v>1.1499999999999999</v>
      </c>
      <c r="N133" s="413">
        <f t="shared" si="49"/>
        <v>64680000</v>
      </c>
      <c r="O133" s="403">
        <f t="shared" si="50"/>
        <v>4.7520000000000001E-3</v>
      </c>
      <c r="P133" s="401">
        <f t="shared" si="51"/>
        <v>1</v>
      </c>
      <c r="Q133" s="413">
        <f t="shared" si="52"/>
        <v>64680000</v>
      </c>
      <c r="R133" s="413">
        <f t="shared" si="53"/>
        <v>0</v>
      </c>
      <c r="S133" s="413">
        <f t="shared" si="54"/>
        <v>64680000</v>
      </c>
      <c r="T133" s="403">
        <f t="shared" si="55"/>
        <v>6.607E-3</v>
      </c>
      <c r="U133" s="413">
        <f t="shared" si="56"/>
        <v>1260000</v>
      </c>
      <c r="V133" s="413">
        <f t="shared" si="57"/>
        <v>1260000</v>
      </c>
      <c r="W133" s="413">
        <f t="shared" si="58"/>
        <v>65940000</v>
      </c>
      <c r="X133" s="401">
        <f t="shared" si="59"/>
        <v>0.61848040643008795</v>
      </c>
      <c r="Y133" s="412" t="str">
        <f t="shared" si="60"/>
        <v>TYPE_9</v>
      </c>
      <c r="Z133" s="399" t="str">
        <f t="shared" si="61"/>
        <v>TYPE_4</v>
      </c>
      <c r="AA133" s="414">
        <f>VLOOKUP(Z133,[11]調整參數1_116!A:J,10,0)</f>
        <v>1.2</v>
      </c>
      <c r="AB133" s="415">
        <f t="shared" si="62"/>
        <v>48940000</v>
      </c>
      <c r="AC133" s="413">
        <f t="shared" si="63"/>
        <v>-7300000</v>
      </c>
      <c r="AD133" s="401">
        <f t="shared" si="64"/>
        <v>-0.12980085348506401</v>
      </c>
      <c r="AE133" s="413">
        <f t="shared" si="65"/>
        <v>8157402</v>
      </c>
      <c r="AF133" s="401">
        <f t="shared" si="66"/>
        <v>0.20002163667944842</v>
      </c>
    </row>
    <row r="134" spans="1:32">
      <c r="A134" s="399">
        <v>500</v>
      </c>
      <c r="B134" s="399" t="s">
        <v>41</v>
      </c>
      <c r="C134" s="399" t="s">
        <v>526</v>
      </c>
      <c r="D134" s="399" t="s">
        <v>33</v>
      </c>
      <c r="E134" s="423">
        <v>57207255.119999997</v>
      </c>
      <c r="F134" s="423">
        <v>49402000</v>
      </c>
      <c r="G134" s="424">
        <f t="shared" si="45"/>
        <v>1.1579947192421358</v>
      </c>
      <c r="H134" s="400">
        <f t="shared" si="46"/>
        <v>72594689</v>
      </c>
      <c r="I134" s="400">
        <v>62690000</v>
      </c>
      <c r="J134" s="401">
        <f t="shared" si="47"/>
        <v>1.1579947200510448</v>
      </c>
      <c r="K134" s="412" t="str">
        <f t="shared" si="48"/>
        <v>TYPE_5</v>
      </c>
      <c r="L134" s="401">
        <f>VLOOKUP(J134,[11]原始參數_115!E:F,2,1)</f>
        <v>1.03</v>
      </c>
      <c r="M134" s="401">
        <f>VLOOKUP(J134,[11]原始參數_115!E:G,3,1)</f>
        <v>1</v>
      </c>
      <c r="N134" s="413">
        <f t="shared" si="49"/>
        <v>74770000</v>
      </c>
      <c r="O134" s="403">
        <f t="shared" si="50"/>
        <v>5.4939999999999998E-3</v>
      </c>
      <c r="P134" s="401">
        <f t="shared" si="51"/>
        <v>1</v>
      </c>
      <c r="Q134" s="413">
        <f t="shared" si="52"/>
        <v>74770000</v>
      </c>
      <c r="R134" s="413">
        <f t="shared" si="53"/>
        <v>0</v>
      </c>
      <c r="S134" s="413">
        <f t="shared" si="54"/>
        <v>74770000</v>
      </c>
      <c r="T134" s="403">
        <f t="shared" si="55"/>
        <v>7.6379999999999998E-3</v>
      </c>
      <c r="U134" s="413">
        <f t="shared" si="56"/>
        <v>1460000</v>
      </c>
      <c r="V134" s="413">
        <f t="shared" si="57"/>
        <v>1460000</v>
      </c>
      <c r="W134" s="413">
        <f t="shared" si="58"/>
        <v>76230000</v>
      </c>
      <c r="X134" s="401">
        <f t="shared" si="59"/>
        <v>0.95231128164764534</v>
      </c>
      <c r="Y134" s="412" t="str">
        <f t="shared" si="60"/>
        <v>TYPE_7</v>
      </c>
      <c r="Z134" s="399" t="str">
        <f t="shared" si="61"/>
        <v>TYPE_2</v>
      </c>
      <c r="AA134" s="414">
        <f>VLOOKUP(Z134,[11]調整參數1_116!A:J,10,0)</f>
        <v>1.1000000000000001</v>
      </c>
      <c r="AB134" s="415">
        <f t="shared" si="62"/>
        <v>79850000</v>
      </c>
      <c r="AC134" s="413">
        <f t="shared" si="63"/>
        <v>17160000</v>
      </c>
      <c r="AD134" s="401">
        <f t="shared" si="64"/>
        <v>0.27372786728345827</v>
      </c>
      <c r="AE134" s="413">
        <f t="shared" si="65"/>
        <v>7255311</v>
      </c>
      <c r="AF134" s="401">
        <f t="shared" si="66"/>
        <v>9.994272446018744E-2</v>
      </c>
    </row>
    <row r="135" spans="1:32">
      <c r="A135" s="399">
        <v>501</v>
      </c>
      <c r="B135" s="399" t="s">
        <v>192</v>
      </c>
      <c r="C135" s="399" t="s">
        <v>526</v>
      </c>
      <c r="D135" s="399" t="s">
        <v>33</v>
      </c>
      <c r="E135" s="423">
        <v>32579696.77</v>
      </c>
      <c r="F135" s="423">
        <v>42701000</v>
      </c>
      <c r="G135" s="424">
        <f t="shared" si="45"/>
        <v>0.76297268846162847</v>
      </c>
      <c r="H135" s="400">
        <f t="shared" si="46"/>
        <v>41345490</v>
      </c>
      <c r="I135" s="400">
        <v>54190000</v>
      </c>
      <c r="J135" s="401">
        <f t="shared" si="47"/>
        <v>0.76297268868794976</v>
      </c>
      <c r="K135" s="412" t="str">
        <f t="shared" si="48"/>
        <v>TYPE_8</v>
      </c>
      <c r="L135" s="401">
        <f>VLOOKUP(J135,[11]原始參數_115!E:F,2,1)</f>
        <v>1</v>
      </c>
      <c r="M135" s="401">
        <f>VLOOKUP(J135,[11]原始參數_115!E:G,3,1)</f>
        <v>1.1000000000000001</v>
      </c>
      <c r="N135" s="413">
        <f t="shared" si="49"/>
        <v>59610000</v>
      </c>
      <c r="O135" s="403">
        <f t="shared" si="50"/>
        <v>4.3800000000000002E-3</v>
      </c>
      <c r="P135" s="401">
        <f t="shared" si="51"/>
        <v>1</v>
      </c>
      <c r="Q135" s="413">
        <f t="shared" si="52"/>
        <v>59610000</v>
      </c>
      <c r="R135" s="413">
        <f t="shared" si="53"/>
        <v>0</v>
      </c>
      <c r="S135" s="413">
        <f t="shared" si="54"/>
        <v>59610000</v>
      </c>
      <c r="T135" s="403">
        <f t="shared" si="55"/>
        <v>6.0889999999999998E-3</v>
      </c>
      <c r="U135" s="413">
        <f t="shared" si="56"/>
        <v>1160000</v>
      </c>
      <c r="V135" s="413">
        <f t="shared" si="57"/>
        <v>1160000</v>
      </c>
      <c r="W135" s="413">
        <f t="shared" si="58"/>
        <v>60770000</v>
      </c>
      <c r="X135" s="401">
        <f t="shared" si="59"/>
        <v>0.68036021063024521</v>
      </c>
      <c r="Y135" s="412" t="str">
        <f t="shared" si="60"/>
        <v>TYPE_9</v>
      </c>
      <c r="Z135" s="399" t="str">
        <f t="shared" si="61"/>
        <v>TYPE_3</v>
      </c>
      <c r="AA135" s="414">
        <f>VLOOKUP(Z135,[11]調整參數1_116!A:J,10,0)</f>
        <v>1.1499999999999999</v>
      </c>
      <c r="AB135" s="415">
        <f t="shared" si="62"/>
        <v>47550000</v>
      </c>
      <c r="AC135" s="413">
        <f t="shared" si="63"/>
        <v>-6640000</v>
      </c>
      <c r="AD135" s="401">
        <f t="shared" si="64"/>
        <v>-0.12253183244140986</v>
      </c>
      <c r="AE135" s="413">
        <f t="shared" si="65"/>
        <v>6204510</v>
      </c>
      <c r="AF135" s="401">
        <f t="shared" si="66"/>
        <v>0.15006497685720982</v>
      </c>
    </row>
    <row r="136" spans="1:32">
      <c r="A136" s="399">
        <v>520</v>
      </c>
      <c r="B136" s="399" t="s">
        <v>193</v>
      </c>
      <c r="C136" s="399" t="s">
        <v>522</v>
      </c>
      <c r="D136" s="399" t="s">
        <v>33</v>
      </c>
      <c r="E136" s="423">
        <v>72553683.390000001</v>
      </c>
      <c r="F136" s="423">
        <v>72236000</v>
      </c>
      <c r="G136" s="424">
        <f t="shared" si="45"/>
        <v>1.0043978541170608</v>
      </c>
      <c r="H136" s="400">
        <f t="shared" si="46"/>
        <v>92073151</v>
      </c>
      <c r="I136" s="400">
        <v>91670000</v>
      </c>
      <c r="J136" s="401">
        <f t="shared" si="47"/>
        <v>1.0043978509872369</v>
      </c>
      <c r="K136" s="412" t="str">
        <f t="shared" si="48"/>
        <v>TYPE_6</v>
      </c>
      <c r="L136" s="401">
        <f>VLOOKUP(J136,[11]原始參數_115!E:F,2,1)</f>
        <v>1.05</v>
      </c>
      <c r="M136" s="401">
        <f>VLOOKUP(J136,[11]原始參數_115!E:G,3,1)</f>
        <v>1</v>
      </c>
      <c r="N136" s="413">
        <f t="shared" si="49"/>
        <v>96680000</v>
      </c>
      <c r="O136" s="403">
        <f t="shared" si="50"/>
        <v>7.1029999999999999E-3</v>
      </c>
      <c r="P136" s="401">
        <f t="shared" si="51"/>
        <v>1</v>
      </c>
      <c r="Q136" s="413">
        <f t="shared" si="52"/>
        <v>96680000</v>
      </c>
      <c r="R136" s="413">
        <f t="shared" si="53"/>
        <v>0</v>
      </c>
      <c r="S136" s="413">
        <f t="shared" si="54"/>
        <v>96680000</v>
      </c>
      <c r="T136" s="403">
        <f t="shared" si="55"/>
        <v>9.8759999999999994E-3</v>
      </c>
      <c r="U136" s="413">
        <f t="shared" si="56"/>
        <v>1890000</v>
      </c>
      <c r="V136" s="413">
        <f t="shared" si="57"/>
        <v>1890000</v>
      </c>
      <c r="W136" s="413">
        <f t="shared" si="58"/>
        <v>98570000</v>
      </c>
      <c r="X136" s="401">
        <f t="shared" si="59"/>
        <v>0.93408898244902105</v>
      </c>
      <c r="Y136" s="412" t="str">
        <f t="shared" si="60"/>
        <v>TYPE_7</v>
      </c>
      <c r="Z136" s="399" t="str">
        <f t="shared" si="61"/>
        <v>TYPE_2</v>
      </c>
      <c r="AA136" s="414">
        <f>VLOOKUP(Z136,[11]調整參數1_116!A:J,10,0)</f>
        <v>1.1000000000000001</v>
      </c>
      <c r="AB136" s="415">
        <f t="shared" si="62"/>
        <v>101280000</v>
      </c>
      <c r="AC136" s="413">
        <f t="shared" si="63"/>
        <v>9610000</v>
      </c>
      <c r="AD136" s="401">
        <f t="shared" si="64"/>
        <v>0.10483255154358023</v>
      </c>
      <c r="AE136" s="413">
        <f t="shared" si="65"/>
        <v>9206849</v>
      </c>
      <c r="AF136" s="401">
        <f t="shared" si="66"/>
        <v>9.9994937720769436E-2</v>
      </c>
    </row>
    <row r="137" spans="1:32">
      <c r="A137" s="399">
        <v>521</v>
      </c>
      <c r="B137" s="399" t="s">
        <v>194</v>
      </c>
      <c r="C137" s="399" t="s">
        <v>522</v>
      </c>
      <c r="D137" s="399" t="s">
        <v>33</v>
      </c>
      <c r="E137" s="423">
        <v>122274495.48999999</v>
      </c>
      <c r="F137" s="423">
        <v>93001000</v>
      </c>
      <c r="G137" s="424">
        <f t="shared" si="45"/>
        <v>1.3147653841356544</v>
      </c>
      <c r="H137" s="400">
        <f t="shared" si="46"/>
        <v>155168611</v>
      </c>
      <c r="I137" s="400">
        <v>118020000</v>
      </c>
      <c r="J137" s="401">
        <f t="shared" si="47"/>
        <v>1.3147653872225047</v>
      </c>
      <c r="K137" s="412" t="str">
        <f t="shared" si="48"/>
        <v>TYPE_3</v>
      </c>
      <c r="L137" s="401">
        <f>VLOOKUP(J137,[11]原始參數_115!E:F,2,1)</f>
        <v>0.9</v>
      </c>
      <c r="M137" s="401">
        <f>VLOOKUP(J137,[11]原始參數_115!E:G,3,1)</f>
        <v>1</v>
      </c>
      <c r="N137" s="413">
        <f t="shared" si="49"/>
        <v>139650000</v>
      </c>
      <c r="O137" s="403">
        <f t="shared" si="50"/>
        <v>1.0260999999999999E-2</v>
      </c>
      <c r="P137" s="401">
        <f t="shared" si="51"/>
        <v>1.2</v>
      </c>
      <c r="Q137" s="413">
        <f t="shared" si="52"/>
        <v>141620000</v>
      </c>
      <c r="R137" s="413">
        <f t="shared" si="53"/>
        <v>1970000</v>
      </c>
      <c r="S137" s="413">
        <f t="shared" si="54"/>
        <v>0</v>
      </c>
      <c r="T137" s="403">
        <f t="shared" si="55"/>
        <v>0</v>
      </c>
      <c r="U137" s="413">
        <f t="shared" si="56"/>
        <v>0</v>
      </c>
      <c r="V137" s="413">
        <f t="shared" si="57"/>
        <v>1970000</v>
      </c>
      <c r="W137" s="413">
        <f t="shared" si="58"/>
        <v>141620000</v>
      </c>
      <c r="X137" s="401">
        <f t="shared" si="59"/>
        <v>1.0956687685355175</v>
      </c>
      <c r="Y137" s="412" t="str">
        <f t="shared" si="60"/>
        <v>TYPE_6</v>
      </c>
      <c r="Z137" s="399" t="str">
        <f t="shared" si="61"/>
        <v>TYPE_2</v>
      </c>
      <c r="AA137" s="414">
        <f>VLOOKUP(Z137,[11]調整參數1_116!A:J,10,0)</f>
        <v>1.1000000000000001</v>
      </c>
      <c r="AB137" s="415">
        <f t="shared" si="62"/>
        <v>170690000</v>
      </c>
      <c r="AC137" s="413">
        <f t="shared" si="63"/>
        <v>52670000</v>
      </c>
      <c r="AD137" s="401">
        <f t="shared" si="64"/>
        <v>0.446280291476021</v>
      </c>
      <c r="AE137" s="413">
        <f t="shared" si="65"/>
        <v>15521389</v>
      </c>
      <c r="AF137" s="401">
        <f t="shared" si="66"/>
        <v>0.10002918051512365</v>
      </c>
    </row>
    <row r="138" spans="1:32">
      <c r="A138" s="399">
        <v>522</v>
      </c>
      <c r="B138" s="399" t="s">
        <v>42</v>
      </c>
      <c r="C138" s="399" t="s">
        <v>519</v>
      </c>
      <c r="D138" s="399" t="s">
        <v>33</v>
      </c>
      <c r="E138" s="423">
        <v>108040405.39</v>
      </c>
      <c r="F138" s="423">
        <v>91662000</v>
      </c>
      <c r="G138" s="424">
        <f t="shared" si="45"/>
        <v>1.1786826099146865</v>
      </c>
      <c r="H138" s="400">
        <f t="shared" si="46"/>
        <v>137092574</v>
      </c>
      <c r="I138" s="400">
        <v>116310000</v>
      </c>
      <c r="J138" s="401">
        <f t="shared" si="47"/>
        <v>1.1786826068265841</v>
      </c>
      <c r="K138" s="412" t="str">
        <f t="shared" si="48"/>
        <v>TYPE_5</v>
      </c>
      <c r="L138" s="401">
        <f>VLOOKUP(J138,[11]原始參數_115!E:F,2,1)</f>
        <v>1.03</v>
      </c>
      <c r="M138" s="401">
        <f>VLOOKUP(J138,[11]原始參數_115!E:G,3,1)</f>
        <v>1</v>
      </c>
      <c r="N138" s="413">
        <f t="shared" si="49"/>
        <v>141210000</v>
      </c>
      <c r="O138" s="403">
        <f t="shared" si="50"/>
        <v>1.0375000000000001E-2</v>
      </c>
      <c r="P138" s="401">
        <f t="shared" si="51"/>
        <v>1</v>
      </c>
      <c r="Q138" s="413">
        <f t="shared" si="52"/>
        <v>141210000</v>
      </c>
      <c r="R138" s="413">
        <f t="shared" si="53"/>
        <v>0</v>
      </c>
      <c r="S138" s="413">
        <f t="shared" si="54"/>
        <v>141210000</v>
      </c>
      <c r="T138" s="403">
        <f t="shared" si="55"/>
        <v>1.4425E-2</v>
      </c>
      <c r="U138" s="413">
        <f t="shared" si="56"/>
        <v>2760000</v>
      </c>
      <c r="V138" s="413">
        <f t="shared" si="57"/>
        <v>2760000</v>
      </c>
      <c r="W138" s="413">
        <f t="shared" si="58"/>
        <v>143970000</v>
      </c>
      <c r="X138" s="401">
        <f t="shared" si="59"/>
        <v>0.95223014516913251</v>
      </c>
      <c r="Y138" s="412" t="str">
        <f t="shared" si="60"/>
        <v>TYPE_7</v>
      </c>
      <c r="Z138" s="399" t="str">
        <f t="shared" si="61"/>
        <v>TYPE_2</v>
      </c>
      <c r="AA138" s="414">
        <f>VLOOKUP(Z138,[11]調整參數1_116!A:J,10,0)</f>
        <v>1.1000000000000001</v>
      </c>
      <c r="AB138" s="415">
        <f t="shared" si="62"/>
        <v>150800000</v>
      </c>
      <c r="AC138" s="413">
        <f t="shared" si="63"/>
        <v>34490000</v>
      </c>
      <c r="AD138" s="401">
        <f t="shared" si="64"/>
        <v>0.29653512165763907</v>
      </c>
      <c r="AE138" s="413">
        <f t="shared" si="65"/>
        <v>13707426</v>
      </c>
      <c r="AF138" s="401">
        <f t="shared" si="66"/>
        <v>9.9986641143669827E-2</v>
      </c>
    </row>
    <row r="139" spans="1:32">
      <c r="A139" s="399">
        <v>523</v>
      </c>
      <c r="B139" s="399" t="s">
        <v>104</v>
      </c>
      <c r="C139" s="399" t="s">
        <v>524</v>
      </c>
      <c r="D139" s="399" t="s">
        <v>33</v>
      </c>
      <c r="E139" s="423">
        <v>47324705.579999998</v>
      </c>
      <c r="F139" s="423">
        <v>54667000</v>
      </c>
      <c r="G139" s="424">
        <f t="shared" si="45"/>
        <v>0.86569055517954152</v>
      </c>
      <c r="H139" s="400">
        <f t="shared" si="46"/>
        <v>60052954</v>
      </c>
      <c r="I139" s="400">
        <v>69370000</v>
      </c>
      <c r="J139" s="401">
        <f t="shared" si="47"/>
        <v>0.86569055787804527</v>
      </c>
      <c r="K139" s="412" t="str">
        <f t="shared" si="48"/>
        <v>TYPE_8</v>
      </c>
      <c r="L139" s="401">
        <f>VLOOKUP(J139,[11]原始參數_115!E:F,2,1)</f>
        <v>1</v>
      </c>
      <c r="M139" s="401">
        <f>VLOOKUP(J139,[11]原始參數_115!E:G,3,1)</f>
        <v>1.1000000000000001</v>
      </c>
      <c r="N139" s="413">
        <f t="shared" si="49"/>
        <v>76310000</v>
      </c>
      <c r="O139" s="403">
        <f t="shared" si="50"/>
        <v>5.607E-3</v>
      </c>
      <c r="P139" s="401">
        <f t="shared" si="51"/>
        <v>1</v>
      </c>
      <c r="Q139" s="413">
        <f t="shared" si="52"/>
        <v>76310000</v>
      </c>
      <c r="R139" s="413">
        <f t="shared" si="53"/>
        <v>0</v>
      </c>
      <c r="S139" s="413">
        <f t="shared" si="54"/>
        <v>76310000</v>
      </c>
      <c r="T139" s="403">
        <f t="shared" si="55"/>
        <v>7.7949999999999998E-3</v>
      </c>
      <c r="U139" s="413">
        <f t="shared" si="56"/>
        <v>1490000</v>
      </c>
      <c r="V139" s="413">
        <f t="shared" si="57"/>
        <v>1490000</v>
      </c>
      <c r="W139" s="413">
        <f t="shared" si="58"/>
        <v>77800000</v>
      </c>
      <c r="X139" s="401">
        <f t="shared" si="59"/>
        <v>0.77188886889460151</v>
      </c>
      <c r="Y139" s="412" t="str">
        <f t="shared" si="60"/>
        <v>TYPE_8</v>
      </c>
      <c r="Z139" s="399" t="str">
        <f t="shared" si="61"/>
        <v>TYPE_3</v>
      </c>
      <c r="AA139" s="414">
        <f>VLOOKUP(Z139,[11]調整參數1_116!A:J,10,0)</f>
        <v>1.1499999999999999</v>
      </c>
      <c r="AB139" s="415">
        <f t="shared" si="62"/>
        <v>69060000</v>
      </c>
      <c r="AC139" s="413">
        <f t="shared" si="63"/>
        <v>-310000</v>
      </c>
      <c r="AD139" s="401">
        <f t="shared" si="64"/>
        <v>-4.468790543462592E-3</v>
      </c>
      <c r="AE139" s="413">
        <f t="shared" si="65"/>
        <v>9007046</v>
      </c>
      <c r="AF139" s="401">
        <f t="shared" si="66"/>
        <v>0.14998506151754001</v>
      </c>
    </row>
    <row r="140" spans="1:32">
      <c r="A140" s="399">
        <v>524</v>
      </c>
      <c r="B140" s="399" t="s">
        <v>43</v>
      </c>
      <c r="C140" s="399" t="s">
        <v>526</v>
      </c>
      <c r="D140" s="399" t="s">
        <v>33</v>
      </c>
      <c r="E140" s="423">
        <v>40002476.509999998</v>
      </c>
      <c r="F140" s="423">
        <v>44881000</v>
      </c>
      <c r="G140" s="424">
        <f t="shared" si="45"/>
        <v>0.89130091820592228</v>
      </c>
      <c r="H140" s="400">
        <f t="shared" si="46"/>
        <v>50759587</v>
      </c>
      <c r="I140" s="400">
        <v>56950000</v>
      </c>
      <c r="J140" s="401">
        <f t="shared" si="47"/>
        <v>0.8913009130816506</v>
      </c>
      <c r="K140" s="412" t="str">
        <f t="shared" si="48"/>
        <v>TYPE_8</v>
      </c>
      <c r="L140" s="401">
        <f>VLOOKUP(J140,[11]原始參數_115!E:F,2,1)</f>
        <v>1</v>
      </c>
      <c r="M140" s="401">
        <f>VLOOKUP(J140,[11]原始參數_115!E:G,3,1)</f>
        <v>1.1000000000000001</v>
      </c>
      <c r="N140" s="413">
        <f t="shared" si="49"/>
        <v>62650000</v>
      </c>
      <c r="O140" s="403">
        <f t="shared" si="50"/>
        <v>4.6030000000000003E-3</v>
      </c>
      <c r="P140" s="401">
        <f t="shared" si="51"/>
        <v>1</v>
      </c>
      <c r="Q140" s="413">
        <f t="shared" si="52"/>
        <v>62650000</v>
      </c>
      <c r="R140" s="413">
        <f t="shared" si="53"/>
        <v>0</v>
      </c>
      <c r="S140" s="413">
        <f t="shared" si="54"/>
        <v>62650000</v>
      </c>
      <c r="T140" s="403">
        <f t="shared" si="55"/>
        <v>6.4000000000000003E-3</v>
      </c>
      <c r="U140" s="413">
        <f t="shared" si="56"/>
        <v>1220000</v>
      </c>
      <c r="V140" s="413">
        <f t="shared" si="57"/>
        <v>1220000</v>
      </c>
      <c r="W140" s="413">
        <f t="shared" si="58"/>
        <v>63870000</v>
      </c>
      <c r="X140" s="401">
        <f t="shared" si="59"/>
        <v>0.79473284797244403</v>
      </c>
      <c r="Y140" s="412" t="str">
        <f t="shared" si="60"/>
        <v>TYPE_8</v>
      </c>
      <c r="Z140" s="399" t="str">
        <f t="shared" si="61"/>
        <v>TYPE_3</v>
      </c>
      <c r="AA140" s="414">
        <f>VLOOKUP(Z140,[11]調整參數1_116!A:J,10,0)</f>
        <v>1.1499999999999999</v>
      </c>
      <c r="AB140" s="415">
        <f t="shared" si="62"/>
        <v>58370000</v>
      </c>
      <c r="AC140" s="413">
        <f t="shared" si="63"/>
        <v>1420000</v>
      </c>
      <c r="AD140" s="401">
        <f t="shared" si="64"/>
        <v>2.4934152765583844E-2</v>
      </c>
      <c r="AE140" s="413">
        <f t="shared" si="65"/>
        <v>7610413</v>
      </c>
      <c r="AF140" s="401">
        <f t="shared" si="66"/>
        <v>0.1499305540054926</v>
      </c>
    </row>
    <row r="141" spans="1:32">
      <c r="A141" s="399">
        <v>540</v>
      </c>
      <c r="B141" s="399" t="s">
        <v>44</v>
      </c>
      <c r="C141" s="399" t="s">
        <v>526</v>
      </c>
      <c r="D141" s="399" t="s">
        <v>33</v>
      </c>
      <c r="E141" s="423">
        <v>28045579.800000001</v>
      </c>
      <c r="F141" s="423">
        <v>35286000</v>
      </c>
      <c r="G141" s="424">
        <f t="shared" si="45"/>
        <v>0.79480756674035025</v>
      </c>
      <c r="H141" s="400">
        <f t="shared" si="46"/>
        <v>35583535</v>
      </c>
      <c r="I141" s="400">
        <v>44770000</v>
      </c>
      <c r="J141" s="401">
        <f t="shared" si="47"/>
        <v>0.79480757203484476</v>
      </c>
      <c r="K141" s="412" t="str">
        <f t="shared" si="48"/>
        <v>TYPE_8</v>
      </c>
      <c r="L141" s="401">
        <f>VLOOKUP(J141,[11]原始參數_115!E:F,2,1)</f>
        <v>1</v>
      </c>
      <c r="M141" s="401">
        <f>VLOOKUP(J141,[11]原始參數_115!E:G,3,1)</f>
        <v>1.1000000000000001</v>
      </c>
      <c r="N141" s="413">
        <f t="shared" si="49"/>
        <v>49250000</v>
      </c>
      <c r="O141" s="403">
        <f t="shared" si="50"/>
        <v>3.6189999999999998E-3</v>
      </c>
      <c r="P141" s="401">
        <f t="shared" si="51"/>
        <v>1</v>
      </c>
      <c r="Q141" s="413">
        <f t="shared" si="52"/>
        <v>49250000</v>
      </c>
      <c r="R141" s="413">
        <f t="shared" si="53"/>
        <v>0</v>
      </c>
      <c r="S141" s="413">
        <f t="shared" si="54"/>
        <v>49250000</v>
      </c>
      <c r="T141" s="403">
        <f t="shared" si="55"/>
        <v>5.0309999999999999E-3</v>
      </c>
      <c r="U141" s="413">
        <f t="shared" si="56"/>
        <v>960000</v>
      </c>
      <c r="V141" s="413">
        <f t="shared" si="57"/>
        <v>960000</v>
      </c>
      <c r="W141" s="413">
        <f t="shared" si="58"/>
        <v>50210000</v>
      </c>
      <c r="X141" s="401">
        <f t="shared" si="59"/>
        <v>0.70869418442541321</v>
      </c>
      <c r="Y141" s="412" t="str">
        <f t="shared" si="60"/>
        <v>TYPE_9</v>
      </c>
      <c r="Z141" s="399" t="str">
        <f t="shared" si="61"/>
        <v>TYPE_3</v>
      </c>
      <c r="AA141" s="414">
        <f>VLOOKUP(Z141,[11]調整參數1_116!A:J,10,0)</f>
        <v>1.1499999999999999</v>
      </c>
      <c r="AB141" s="415">
        <f t="shared" si="62"/>
        <v>40920000</v>
      </c>
      <c r="AC141" s="413">
        <f t="shared" si="63"/>
        <v>-3850000</v>
      </c>
      <c r="AD141" s="401">
        <f t="shared" si="64"/>
        <v>-8.5995085995085999E-2</v>
      </c>
      <c r="AE141" s="413">
        <f t="shared" si="65"/>
        <v>5336465</v>
      </c>
      <c r="AF141" s="401">
        <f t="shared" si="66"/>
        <v>0.14997006340151423</v>
      </c>
    </row>
    <row r="142" spans="1:32">
      <c r="A142" s="399">
        <v>541</v>
      </c>
      <c r="B142" s="399" t="s">
        <v>105</v>
      </c>
      <c r="C142" s="399" t="s">
        <v>523</v>
      </c>
      <c r="D142" s="399" t="s">
        <v>33</v>
      </c>
      <c r="E142" s="423">
        <v>55686876.359999999</v>
      </c>
      <c r="F142" s="423">
        <v>54911000</v>
      </c>
      <c r="G142" s="424">
        <f t="shared" si="45"/>
        <v>1.0141297073446123</v>
      </c>
      <c r="H142" s="400">
        <f t="shared" si="46"/>
        <v>70664558</v>
      </c>
      <c r="I142" s="400">
        <v>69680000</v>
      </c>
      <c r="J142" s="401">
        <f t="shared" si="47"/>
        <v>1.0141297072330655</v>
      </c>
      <c r="K142" s="412" t="str">
        <f t="shared" si="48"/>
        <v>TYPE_6</v>
      </c>
      <c r="L142" s="401">
        <f>VLOOKUP(J142,[11]原始參數_115!E:F,2,1)</f>
        <v>1.05</v>
      </c>
      <c r="M142" s="401">
        <f>VLOOKUP(J142,[11]原始參數_115!E:G,3,1)</f>
        <v>1</v>
      </c>
      <c r="N142" s="413">
        <f t="shared" si="49"/>
        <v>74200000</v>
      </c>
      <c r="O142" s="403">
        <f t="shared" si="50"/>
        <v>5.4520000000000002E-3</v>
      </c>
      <c r="P142" s="401">
        <f t="shared" si="51"/>
        <v>1</v>
      </c>
      <c r="Q142" s="413">
        <f t="shared" si="52"/>
        <v>74200000</v>
      </c>
      <c r="R142" s="413">
        <f t="shared" si="53"/>
        <v>0</v>
      </c>
      <c r="S142" s="413">
        <f t="shared" si="54"/>
        <v>74200000</v>
      </c>
      <c r="T142" s="403">
        <f t="shared" si="55"/>
        <v>7.5789999999999998E-3</v>
      </c>
      <c r="U142" s="413">
        <f t="shared" si="56"/>
        <v>1450000</v>
      </c>
      <c r="V142" s="413">
        <f t="shared" si="57"/>
        <v>1450000</v>
      </c>
      <c r="W142" s="413">
        <f t="shared" si="58"/>
        <v>75650000</v>
      </c>
      <c r="X142" s="401">
        <f t="shared" si="59"/>
        <v>0.93409858559154002</v>
      </c>
      <c r="Y142" s="412" t="str">
        <f t="shared" si="60"/>
        <v>TYPE_7</v>
      </c>
      <c r="Z142" s="399" t="str">
        <f t="shared" si="61"/>
        <v>TYPE_2</v>
      </c>
      <c r="AA142" s="414">
        <f>VLOOKUP(Z142,[11]調整參數1_116!A:J,10,0)</f>
        <v>1.1000000000000001</v>
      </c>
      <c r="AB142" s="415">
        <f t="shared" si="62"/>
        <v>77730000</v>
      </c>
      <c r="AC142" s="413">
        <f t="shared" si="63"/>
        <v>8050000</v>
      </c>
      <c r="AD142" s="401">
        <f t="shared" si="64"/>
        <v>0.11552812858783008</v>
      </c>
      <c r="AE142" s="413">
        <f t="shared" si="65"/>
        <v>7065442</v>
      </c>
      <c r="AF142" s="401">
        <f t="shared" si="66"/>
        <v>9.9985653345486147E-2</v>
      </c>
    </row>
    <row r="143" spans="1:32">
      <c r="A143" s="399">
        <v>542</v>
      </c>
      <c r="B143" s="399" t="s">
        <v>45</v>
      </c>
      <c r="C143" s="399" t="s">
        <v>527</v>
      </c>
      <c r="D143" s="399" t="s">
        <v>33</v>
      </c>
      <c r="E143" s="423">
        <v>28590442.07</v>
      </c>
      <c r="F143" s="423">
        <v>37072000</v>
      </c>
      <c r="G143" s="424">
        <f t="shared" si="45"/>
        <v>0.77121390995899874</v>
      </c>
      <c r="H143" s="400">
        <f t="shared" si="46"/>
        <v>36285614</v>
      </c>
      <c r="I143" s="400">
        <v>47050000</v>
      </c>
      <c r="J143" s="401">
        <f t="shared" si="47"/>
        <v>0.77121390010626989</v>
      </c>
      <c r="K143" s="412" t="str">
        <f t="shared" si="48"/>
        <v>TYPE_8</v>
      </c>
      <c r="L143" s="401">
        <f>VLOOKUP(J143,[11]原始參數_115!E:F,2,1)</f>
        <v>1</v>
      </c>
      <c r="M143" s="401">
        <f>VLOOKUP(J143,[11]原始參數_115!E:G,3,1)</f>
        <v>1.1000000000000001</v>
      </c>
      <c r="N143" s="413">
        <f t="shared" si="49"/>
        <v>51760000</v>
      </c>
      <c r="O143" s="403">
        <f t="shared" si="50"/>
        <v>3.803E-3</v>
      </c>
      <c r="P143" s="401">
        <f t="shared" si="51"/>
        <v>1</v>
      </c>
      <c r="Q143" s="413">
        <f t="shared" si="52"/>
        <v>51760000</v>
      </c>
      <c r="R143" s="413">
        <f t="shared" si="53"/>
        <v>0</v>
      </c>
      <c r="S143" s="413">
        <f t="shared" si="54"/>
        <v>51760000</v>
      </c>
      <c r="T143" s="403">
        <f t="shared" si="55"/>
        <v>5.287E-3</v>
      </c>
      <c r="U143" s="413">
        <f t="shared" si="56"/>
        <v>1010000</v>
      </c>
      <c r="V143" s="413">
        <f t="shared" si="57"/>
        <v>1010000</v>
      </c>
      <c r="W143" s="413">
        <f t="shared" si="58"/>
        <v>52770000</v>
      </c>
      <c r="X143" s="401">
        <f t="shared" si="59"/>
        <v>0.68761823005495548</v>
      </c>
      <c r="Y143" s="412" t="str">
        <f t="shared" si="60"/>
        <v>TYPE_9</v>
      </c>
      <c r="Z143" s="399" t="str">
        <f t="shared" si="61"/>
        <v>TYPE_3</v>
      </c>
      <c r="AA143" s="414">
        <f>VLOOKUP(Z143,[11]調整參數1_116!A:J,10,0)</f>
        <v>1.1499999999999999</v>
      </c>
      <c r="AB143" s="415">
        <f t="shared" si="62"/>
        <v>41730000</v>
      </c>
      <c r="AC143" s="413">
        <f t="shared" si="63"/>
        <v>-5320000</v>
      </c>
      <c r="AD143" s="401">
        <f t="shared" si="64"/>
        <v>-0.11307120085015941</v>
      </c>
      <c r="AE143" s="413">
        <f t="shared" si="65"/>
        <v>5444386</v>
      </c>
      <c r="AF143" s="401">
        <f t="shared" si="66"/>
        <v>0.15004254854279164</v>
      </c>
    </row>
    <row r="144" spans="1:32">
      <c r="A144" s="399">
        <v>600</v>
      </c>
      <c r="B144" s="399" t="s">
        <v>46</v>
      </c>
      <c r="C144" s="399" t="s">
        <v>525</v>
      </c>
      <c r="D144" s="399" t="s">
        <v>33</v>
      </c>
      <c r="E144" s="423">
        <v>62844724.380000003</v>
      </c>
      <c r="F144" s="423">
        <v>59318000</v>
      </c>
      <c r="G144" s="424">
        <f t="shared" si="45"/>
        <v>1.0594545396001214</v>
      </c>
      <c r="H144" s="400">
        <f t="shared" si="46"/>
        <v>79745143</v>
      </c>
      <c r="I144" s="400">
        <v>75270000</v>
      </c>
      <c r="J144" s="401">
        <f t="shared" si="47"/>
        <v>1.0594545370001329</v>
      </c>
      <c r="K144" s="412" t="str">
        <f t="shared" si="48"/>
        <v>TYPE_6</v>
      </c>
      <c r="L144" s="401">
        <f>VLOOKUP(J144,[11]原始參數_115!E:F,2,1)</f>
        <v>1.05</v>
      </c>
      <c r="M144" s="401">
        <f>VLOOKUP(J144,[11]原始參數_115!E:G,3,1)</f>
        <v>1</v>
      </c>
      <c r="N144" s="413">
        <f t="shared" si="49"/>
        <v>83730000</v>
      </c>
      <c r="O144" s="403">
        <f t="shared" si="50"/>
        <v>6.1520000000000004E-3</v>
      </c>
      <c r="P144" s="401">
        <f t="shared" si="51"/>
        <v>1</v>
      </c>
      <c r="Q144" s="413">
        <f t="shared" si="52"/>
        <v>83730000</v>
      </c>
      <c r="R144" s="413">
        <f t="shared" si="53"/>
        <v>0</v>
      </c>
      <c r="S144" s="413">
        <f t="shared" si="54"/>
        <v>83730000</v>
      </c>
      <c r="T144" s="403">
        <f t="shared" si="55"/>
        <v>8.5529999999999998E-3</v>
      </c>
      <c r="U144" s="413">
        <f t="shared" si="56"/>
        <v>1640000</v>
      </c>
      <c r="V144" s="413">
        <f t="shared" si="57"/>
        <v>1640000</v>
      </c>
      <c r="W144" s="413">
        <f t="shared" si="58"/>
        <v>85370000</v>
      </c>
      <c r="X144" s="401">
        <f t="shared" si="59"/>
        <v>0.93411201827339818</v>
      </c>
      <c r="Y144" s="412" t="str">
        <f t="shared" si="60"/>
        <v>TYPE_7</v>
      </c>
      <c r="Z144" s="399" t="str">
        <f t="shared" si="61"/>
        <v>TYPE_2</v>
      </c>
      <c r="AA144" s="414">
        <f>VLOOKUP(Z144,[11]調整參數1_116!A:J,10,0)</f>
        <v>1.1000000000000001</v>
      </c>
      <c r="AB144" s="415">
        <f t="shared" si="62"/>
        <v>87720000</v>
      </c>
      <c r="AC144" s="413">
        <f t="shared" si="63"/>
        <v>12450000</v>
      </c>
      <c r="AD144" s="401">
        <f t="shared" si="64"/>
        <v>0.16540454364288562</v>
      </c>
      <c r="AE144" s="413">
        <f t="shared" si="65"/>
        <v>7974857</v>
      </c>
      <c r="AF144" s="401">
        <f t="shared" si="66"/>
        <v>0.10000429744040963</v>
      </c>
    </row>
    <row r="145" spans="1:32">
      <c r="A145" s="399">
        <v>601</v>
      </c>
      <c r="B145" s="399" t="s">
        <v>195</v>
      </c>
      <c r="C145" s="399" t="s">
        <v>523</v>
      </c>
      <c r="D145" s="399" t="s">
        <v>33</v>
      </c>
      <c r="E145" s="423">
        <v>57105973.049999997</v>
      </c>
      <c r="F145" s="423">
        <v>55833000</v>
      </c>
      <c r="G145" s="424">
        <f t="shared" si="45"/>
        <v>1.0227996534307666</v>
      </c>
      <c r="H145" s="400">
        <f t="shared" si="46"/>
        <v>72465355</v>
      </c>
      <c r="I145" s="400">
        <v>70850000</v>
      </c>
      <c r="J145" s="401">
        <f t="shared" si="47"/>
        <v>1.022799647141849</v>
      </c>
      <c r="K145" s="412" t="str">
        <f t="shared" si="48"/>
        <v>TYPE_6</v>
      </c>
      <c r="L145" s="401">
        <f>VLOOKUP(J145,[11]原始參數_115!E:F,2,1)</f>
        <v>1.05</v>
      </c>
      <c r="M145" s="401">
        <f>VLOOKUP(J145,[11]原始參數_115!E:G,3,1)</f>
        <v>1</v>
      </c>
      <c r="N145" s="413">
        <f t="shared" si="49"/>
        <v>76090000</v>
      </c>
      <c r="O145" s="403">
        <f t="shared" si="50"/>
        <v>5.5909999999999996E-3</v>
      </c>
      <c r="P145" s="401">
        <f t="shared" si="51"/>
        <v>1</v>
      </c>
      <c r="Q145" s="413">
        <f t="shared" si="52"/>
        <v>76090000</v>
      </c>
      <c r="R145" s="413">
        <f t="shared" si="53"/>
        <v>0</v>
      </c>
      <c r="S145" s="413">
        <f t="shared" si="54"/>
        <v>76090000</v>
      </c>
      <c r="T145" s="403">
        <f t="shared" si="55"/>
        <v>7.7730000000000004E-3</v>
      </c>
      <c r="U145" s="413">
        <f t="shared" si="56"/>
        <v>1490000</v>
      </c>
      <c r="V145" s="413">
        <f t="shared" si="57"/>
        <v>1490000</v>
      </c>
      <c r="W145" s="413">
        <f t="shared" si="58"/>
        <v>77580000</v>
      </c>
      <c r="X145" s="401">
        <f t="shared" si="59"/>
        <v>0.93407263469966484</v>
      </c>
      <c r="Y145" s="412" t="str">
        <f t="shared" si="60"/>
        <v>TYPE_7</v>
      </c>
      <c r="Z145" s="399" t="str">
        <f t="shared" si="61"/>
        <v>TYPE_2</v>
      </c>
      <c r="AA145" s="414">
        <f>VLOOKUP(Z145,[11]調整參數1_116!A:J,10,0)</f>
        <v>1.1000000000000001</v>
      </c>
      <c r="AB145" s="415">
        <f t="shared" si="62"/>
        <v>79710000</v>
      </c>
      <c r="AC145" s="413">
        <f t="shared" si="63"/>
        <v>8860000</v>
      </c>
      <c r="AD145" s="401">
        <f t="shared" si="64"/>
        <v>0.1250529287226535</v>
      </c>
      <c r="AE145" s="413">
        <f t="shared" si="65"/>
        <v>7244645</v>
      </c>
      <c r="AF145" s="401">
        <f t="shared" si="66"/>
        <v>9.9973911671308313E-2</v>
      </c>
    </row>
    <row r="146" spans="1:32">
      <c r="A146" s="399">
        <v>602</v>
      </c>
      <c r="B146" s="399" t="s">
        <v>47</v>
      </c>
      <c r="C146" s="399" t="s">
        <v>527</v>
      </c>
      <c r="D146" s="399" t="s">
        <v>33</v>
      </c>
      <c r="E146" s="423">
        <v>35863212.380000003</v>
      </c>
      <c r="F146" s="423">
        <v>38221000</v>
      </c>
      <c r="G146" s="424">
        <f t="shared" si="45"/>
        <v>0.93831172339813196</v>
      </c>
      <c r="H146" s="400">
        <f t="shared" si="46"/>
        <v>45508119</v>
      </c>
      <c r="I146" s="400">
        <v>48500000</v>
      </c>
      <c r="J146" s="401">
        <f t="shared" si="47"/>
        <v>0.93831173195876294</v>
      </c>
      <c r="K146" s="412" t="str">
        <f t="shared" si="48"/>
        <v>TYPE_7</v>
      </c>
      <c r="L146" s="401">
        <f>VLOOKUP(J146,[11]原始參數_115!E:F,2,1)</f>
        <v>1</v>
      </c>
      <c r="M146" s="401">
        <f>VLOOKUP(J146,[11]原始參數_115!E:G,3,1)</f>
        <v>1.05</v>
      </c>
      <c r="N146" s="413">
        <f t="shared" si="49"/>
        <v>50930000</v>
      </c>
      <c r="O146" s="403">
        <f t="shared" si="50"/>
        <v>3.7420000000000001E-3</v>
      </c>
      <c r="P146" s="401">
        <f t="shared" si="51"/>
        <v>1</v>
      </c>
      <c r="Q146" s="413">
        <f t="shared" si="52"/>
        <v>50930000</v>
      </c>
      <c r="R146" s="413">
        <f t="shared" si="53"/>
        <v>0</v>
      </c>
      <c r="S146" s="413">
        <f t="shared" si="54"/>
        <v>50930000</v>
      </c>
      <c r="T146" s="403">
        <f t="shared" si="55"/>
        <v>5.202E-3</v>
      </c>
      <c r="U146" s="413">
        <f t="shared" si="56"/>
        <v>1000000</v>
      </c>
      <c r="V146" s="413">
        <f t="shared" si="57"/>
        <v>1000000</v>
      </c>
      <c r="W146" s="413">
        <f t="shared" si="58"/>
        <v>51930000</v>
      </c>
      <c r="X146" s="401">
        <f t="shared" si="59"/>
        <v>0.87633581744656264</v>
      </c>
      <c r="Y146" s="412" t="str">
        <f t="shared" si="60"/>
        <v>TYPE_8</v>
      </c>
      <c r="Z146" s="399" t="str">
        <f t="shared" si="61"/>
        <v>TYPE_3</v>
      </c>
      <c r="AA146" s="414">
        <f>VLOOKUP(Z146,[11]調整參數1_116!A:J,10,0)</f>
        <v>1.1499999999999999</v>
      </c>
      <c r="AB146" s="415">
        <f t="shared" si="62"/>
        <v>52330000</v>
      </c>
      <c r="AC146" s="413">
        <f t="shared" si="63"/>
        <v>3830000</v>
      </c>
      <c r="AD146" s="401">
        <f t="shared" si="64"/>
        <v>7.8969072164948459E-2</v>
      </c>
      <c r="AE146" s="413">
        <f t="shared" si="65"/>
        <v>6821881</v>
      </c>
      <c r="AF146" s="401">
        <f t="shared" si="66"/>
        <v>0.14990470162038558</v>
      </c>
    </row>
    <row r="147" spans="1:32">
      <c r="A147" s="399">
        <v>620</v>
      </c>
      <c r="B147" s="399" t="s">
        <v>106</v>
      </c>
      <c r="C147" s="399" t="s">
        <v>525</v>
      </c>
      <c r="D147" s="399" t="s">
        <v>48</v>
      </c>
      <c r="E147" s="423">
        <v>60299610.450000003</v>
      </c>
      <c r="F147" s="423">
        <v>48823000</v>
      </c>
      <c r="G147" s="424">
        <f t="shared" si="45"/>
        <v>1.235065654507097</v>
      </c>
      <c r="H147" s="400">
        <f t="shared" si="46"/>
        <v>76512317</v>
      </c>
      <c r="I147" s="400">
        <v>61950000</v>
      </c>
      <c r="J147" s="401">
        <f t="shared" si="47"/>
        <v>1.2350656497175141</v>
      </c>
      <c r="K147" s="412" t="str">
        <f t="shared" si="48"/>
        <v>TYPE_4</v>
      </c>
      <c r="L147" s="401">
        <f>VLOOKUP(J147,[11]原始參數_115!E:F,2,1)</f>
        <v>1.01</v>
      </c>
      <c r="M147" s="401">
        <f>VLOOKUP(J147,[11]原始參數_115!E:G,3,1)</f>
        <v>1</v>
      </c>
      <c r="N147" s="413">
        <f t="shared" si="49"/>
        <v>77280000</v>
      </c>
      <c r="O147" s="403">
        <f t="shared" si="50"/>
        <v>5.6779999999999999E-3</v>
      </c>
      <c r="P147" s="401">
        <f t="shared" si="51"/>
        <v>1.2</v>
      </c>
      <c r="Q147" s="413">
        <f t="shared" si="52"/>
        <v>74340000</v>
      </c>
      <c r="R147" s="413">
        <f t="shared" si="53"/>
        <v>-2940000</v>
      </c>
      <c r="S147" s="413">
        <f t="shared" si="54"/>
        <v>0</v>
      </c>
      <c r="T147" s="403">
        <f t="shared" si="55"/>
        <v>0</v>
      </c>
      <c r="U147" s="413">
        <f t="shared" si="56"/>
        <v>0</v>
      </c>
      <c r="V147" s="413">
        <f t="shared" si="57"/>
        <v>-2940000</v>
      </c>
      <c r="W147" s="413">
        <f t="shared" si="58"/>
        <v>74340000</v>
      </c>
      <c r="X147" s="401">
        <f t="shared" si="59"/>
        <v>1.0292213747645951</v>
      </c>
      <c r="Y147" s="412" t="str">
        <f t="shared" si="60"/>
        <v>TYPE_6</v>
      </c>
      <c r="Z147" s="399" t="str">
        <f t="shared" si="61"/>
        <v>TYPE_2</v>
      </c>
      <c r="AA147" s="414">
        <f>VLOOKUP(Z147,[11]調整參數1_116!A:J,10,0)</f>
        <v>1.1000000000000001</v>
      </c>
      <c r="AB147" s="415">
        <f t="shared" si="62"/>
        <v>84160000</v>
      </c>
      <c r="AC147" s="413">
        <f t="shared" si="63"/>
        <v>22210000</v>
      </c>
      <c r="AD147" s="401">
        <f t="shared" si="64"/>
        <v>0.35851493139628732</v>
      </c>
      <c r="AE147" s="413">
        <f t="shared" si="65"/>
        <v>7647683</v>
      </c>
      <c r="AF147" s="401">
        <f t="shared" si="66"/>
        <v>9.9953619232312621E-2</v>
      </c>
    </row>
    <row r="148" spans="1:32">
      <c r="A148" s="399">
        <v>621</v>
      </c>
      <c r="B148" s="399" t="s">
        <v>49</v>
      </c>
      <c r="C148" s="399" t="s">
        <v>521</v>
      </c>
      <c r="D148" s="399" t="s">
        <v>48</v>
      </c>
      <c r="E148" s="423">
        <v>47494114.060000002</v>
      </c>
      <c r="F148" s="423">
        <v>67126000</v>
      </c>
      <c r="G148" s="424">
        <f t="shared" si="45"/>
        <v>0.70753678246879004</v>
      </c>
      <c r="H148" s="400">
        <f t="shared" si="46"/>
        <v>60267983</v>
      </c>
      <c r="I148" s="400">
        <v>85180000</v>
      </c>
      <c r="J148" s="401">
        <f t="shared" si="47"/>
        <v>0.70753678093449168</v>
      </c>
      <c r="K148" s="412" t="str">
        <f t="shared" si="48"/>
        <v>TYPE_9</v>
      </c>
      <c r="L148" s="401">
        <f>VLOOKUP(J148,[11]原始參數_115!E:F,2,1)</f>
        <v>1</v>
      </c>
      <c r="M148" s="401">
        <f>VLOOKUP(J148,[11]原始參數_115!E:G,3,1)</f>
        <v>1.1499999999999999</v>
      </c>
      <c r="N148" s="413">
        <f t="shared" si="49"/>
        <v>97960000</v>
      </c>
      <c r="O148" s="403">
        <f t="shared" si="50"/>
        <v>7.1980000000000004E-3</v>
      </c>
      <c r="P148" s="401">
        <f t="shared" si="51"/>
        <v>1</v>
      </c>
      <c r="Q148" s="413">
        <f t="shared" si="52"/>
        <v>97960000</v>
      </c>
      <c r="R148" s="413">
        <f t="shared" si="53"/>
        <v>0</v>
      </c>
      <c r="S148" s="413">
        <f t="shared" si="54"/>
        <v>97960000</v>
      </c>
      <c r="T148" s="403">
        <f t="shared" si="55"/>
        <v>1.0007E-2</v>
      </c>
      <c r="U148" s="413">
        <f t="shared" si="56"/>
        <v>1910000</v>
      </c>
      <c r="V148" s="413">
        <f t="shared" si="57"/>
        <v>1910000</v>
      </c>
      <c r="W148" s="413">
        <f t="shared" si="58"/>
        <v>99870000</v>
      </c>
      <c r="X148" s="401">
        <f t="shared" si="59"/>
        <v>0.60346433363372387</v>
      </c>
      <c r="Y148" s="412" t="str">
        <f t="shared" si="60"/>
        <v>TYPE_9</v>
      </c>
      <c r="Z148" s="399" t="str">
        <f t="shared" si="61"/>
        <v>TYPE_4</v>
      </c>
      <c r="AA148" s="414">
        <f>VLOOKUP(Z148,[11]調整參數1_116!A:J,10,0)</f>
        <v>1.2</v>
      </c>
      <c r="AB148" s="415">
        <f t="shared" si="62"/>
        <v>72320000</v>
      </c>
      <c r="AC148" s="413">
        <f t="shared" si="63"/>
        <v>-12860000</v>
      </c>
      <c r="AD148" s="401">
        <f t="shared" si="64"/>
        <v>-0.15097440713782578</v>
      </c>
      <c r="AE148" s="413">
        <f t="shared" si="65"/>
        <v>12052017</v>
      </c>
      <c r="AF148" s="401">
        <f t="shared" si="66"/>
        <v>0.19997379039547417</v>
      </c>
    </row>
    <row r="149" spans="1:32">
      <c r="A149" s="399">
        <v>622</v>
      </c>
      <c r="B149" s="399" t="s">
        <v>107</v>
      </c>
      <c r="C149" s="399" t="s">
        <v>523</v>
      </c>
      <c r="D149" s="399" t="s">
        <v>48</v>
      </c>
      <c r="E149" s="423">
        <v>59086026.590000004</v>
      </c>
      <c r="F149" s="423">
        <v>59458000</v>
      </c>
      <c r="G149" s="424">
        <f t="shared" si="45"/>
        <v>0.99374393000100913</v>
      </c>
      <c r="H149" s="400">
        <f t="shared" si="46"/>
        <v>74977980</v>
      </c>
      <c r="I149" s="400">
        <v>75450000</v>
      </c>
      <c r="J149" s="401">
        <f t="shared" si="47"/>
        <v>0.99374393638170977</v>
      </c>
      <c r="K149" s="412" t="str">
        <f t="shared" si="48"/>
        <v>TYPE_7</v>
      </c>
      <c r="L149" s="401">
        <f>VLOOKUP(J149,[11]原始參數_115!E:F,2,1)</f>
        <v>1</v>
      </c>
      <c r="M149" s="401">
        <f>VLOOKUP(J149,[11]原始參數_115!E:G,3,1)</f>
        <v>1.05</v>
      </c>
      <c r="N149" s="413">
        <f t="shared" si="49"/>
        <v>79220000</v>
      </c>
      <c r="O149" s="403">
        <f t="shared" si="50"/>
        <v>5.8209999999999998E-3</v>
      </c>
      <c r="P149" s="401">
        <f t="shared" si="51"/>
        <v>1</v>
      </c>
      <c r="Q149" s="413">
        <f t="shared" si="52"/>
        <v>79220000</v>
      </c>
      <c r="R149" s="413">
        <f t="shared" si="53"/>
        <v>0</v>
      </c>
      <c r="S149" s="413">
        <f t="shared" si="54"/>
        <v>79220000</v>
      </c>
      <c r="T149" s="403">
        <f t="shared" si="55"/>
        <v>8.0920000000000002E-3</v>
      </c>
      <c r="U149" s="413">
        <f t="shared" si="56"/>
        <v>1550000</v>
      </c>
      <c r="V149" s="413">
        <f t="shared" si="57"/>
        <v>1550000</v>
      </c>
      <c r="W149" s="413">
        <f t="shared" si="58"/>
        <v>80770000</v>
      </c>
      <c r="X149" s="401">
        <f t="shared" si="59"/>
        <v>0.9282899591432463</v>
      </c>
      <c r="Y149" s="412" t="str">
        <f t="shared" si="60"/>
        <v>TYPE_7</v>
      </c>
      <c r="Z149" s="399" t="str">
        <f t="shared" si="61"/>
        <v>TYPE_3</v>
      </c>
      <c r="AA149" s="414">
        <f>VLOOKUP(Z149,[11]調整參數1_116!A:J,10,0)</f>
        <v>1.1499999999999999</v>
      </c>
      <c r="AB149" s="415">
        <f t="shared" si="62"/>
        <v>86220000</v>
      </c>
      <c r="AC149" s="413">
        <f t="shared" si="63"/>
        <v>10770000</v>
      </c>
      <c r="AD149" s="401">
        <f t="shared" si="64"/>
        <v>0.14274353876739562</v>
      </c>
      <c r="AE149" s="413">
        <f t="shared" si="65"/>
        <v>11242020</v>
      </c>
      <c r="AF149" s="401">
        <f t="shared" si="66"/>
        <v>0.14993762168572694</v>
      </c>
    </row>
    <row r="150" spans="1:32">
      <c r="A150" s="399">
        <v>640</v>
      </c>
      <c r="B150" s="399" t="s">
        <v>50</v>
      </c>
      <c r="C150" s="399" t="s">
        <v>519</v>
      </c>
      <c r="D150" s="399" t="s">
        <v>48</v>
      </c>
      <c r="E150" s="423">
        <v>95631421.5</v>
      </c>
      <c r="F150" s="423">
        <v>79935000</v>
      </c>
      <c r="G150" s="424">
        <f t="shared" si="45"/>
        <v>1.1963648151623194</v>
      </c>
      <c r="H150" s="400">
        <f t="shared" si="46"/>
        <v>121347283</v>
      </c>
      <c r="I150" s="400">
        <v>101430000</v>
      </c>
      <c r="J150" s="401">
        <f t="shared" si="47"/>
        <v>1.1963648131716456</v>
      </c>
      <c r="K150" s="412" t="str">
        <f t="shared" si="48"/>
        <v>TYPE_5</v>
      </c>
      <c r="L150" s="401">
        <f>VLOOKUP(J150,[11]原始參數_115!E:F,2,1)</f>
        <v>1.03</v>
      </c>
      <c r="M150" s="401">
        <f>VLOOKUP(J150,[11]原始參數_115!E:G,3,1)</f>
        <v>1</v>
      </c>
      <c r="N150" s="413">
        <f t="shared" si="49"/>
        <v>124990000</v>
      </c>
      <c r="O150" s="403">
        <f t="shared" si="50"/>
        <v>9.1839999999999995E-3</v>
      </c>
      <c r="P150" s="401">
        <f t="shared" si="51"/>
        <v>1</v>
      </c>
      <c r="Q150" s="413">
        <f t="shared" si="52"/>
        <v>124990000</v>
      </c>
      <c r="R150" s="413">
        <f t="shared" si="53"/>
        <v>0</v>
      </c>
      <c r="S150" s="413">
        <f t="shared" si="54"/>
        <v>124990000</v>
      </c>
      <c r="T150" s="403">
        <f t="shared" si="55"/>
        <v>1.2768E-2</v>
      </c>
      <c r="U150" s="413">
        <f t="shared" si="56"/>
        <v>2440000</v>
      </c>
      <c r="V150" s="413">
        <f t="shared" si="57"/>
        <v>2440000</v>
      </c>
      <c r="W150" s="413">
        <f t="shared" si="58"/>
        <v>127430000</v>
      </c>
      <c r="X150" s="401">
        <f t="shared" si="59"/>
        <v>0.95226620889900337</v>
      </c>
      <c r="Y150" s="412" t="str">
        <f t="shared" si="60"/>
        <v>TYPE_7</v>
      </c>
      <c r="Z150" s="399" t="str">
        <f t="shared" si="61"/>
        <v>TYPE_2</v>
      </c>
      <c r="AA150" s="414">
        <f>VLOOKUP(Z150,[11]調整參數1_116!A:J,10,0)</f>
        <v>1.1000000000000001</v>
      </c>
      <c r="AB150" s="415">
        <f t="shared" si="62"/>
        <v>133480000</v>
      </c>
      <c r="AC150" s="413">
        <f t="shared" si="63"/>
        <v>32050000</v>
      </c>
      <c r="AD150" s="401">
        <f t="shared" si="64"/>
        <v>0.31598146504978802</v>
      </c>
      <c r="AE150" s="413">
        <f t="shared" si="65"/>
        <v>12132717</v>
      </c>
      <c r="AF150" s="401">
        <f t="shared" si="66"/>
        <v>9.9983425257242881E-2</v>
      </c>
    </row>
    <row r="151" spans="1:32">
      <c r="A151" s="399">
        <v>642</v>
      </c>
      <c r="B151" s="399" t="s">
        <v>196</v>
      </c>
      <c r="C151" s="399" t="s">
        <v>522</v>
      </c>
      <c r="D151" s="399" t="s">
        <v>48</v>
      </c>
      <c r="E151" s="423">
        <v>58447238.990000002</v>
      </c>
      <c r="F151" s="423">
        <v>75609000</v>
      </c>
      <c r="G151" s="424">
        <f t="shared" si="45"/>
        <v>0.77301960070891029</v>
      </c>
      <c r="H151" s="400">
        <f t="shared" si="46"/>
        <v>74163500</v>
      </c>
      <c r="I151" s="400">
        <v>95940000</v>
      </c>
      <c r="J151" s="401">
        <f t="shared" si="47"/>
        <v>0.77301959558057121</v>
      </c>
      <c r="K151" s="412" t="str">
        <f t="shared" si="48"/>
        <v>TYPE_8</v>
      </c>
      <c r="L151" s="401">
        <f>VLOOKUP(J151,[11]原始參數_115!E:F,2,1)</f>
        <v>1</v>
      </c>
      <c r="M151" s="401">
        <f>VLOOKUP(J151,[11]原始參數_115!E:G,3,1)</f>
        <v>1.1000000000000001</v>
      </c>
      <c r="N151" s="413">
        <f t="shared" si="49"/>
        <v>105530000</v>
      </c>
      <c r="O151" s="403">
        <f t="shared" si="50"/>
        <v>7.7539999999999996E-3</v>
      </c>
      <c r="P151" s="401">
        <f t="shared" si="51"/>
        <v>1</v>
      </c>
      <c r="Q151" s="413">
        <f t="shared" si="52"/>
        <v>105530000</v>
      </c>
      <c r="R151" s="413">
        <f t="shared" si="53"/>
        <v>0</v>
      </c>
      <c r="S151" s="413">
        <f t="shared" si="54"/>
        <v>105530000</v>
      </c>
      <c r="T151" s="403">
        <f t="shared" si="55"/>
        <v>1.078E-2</v>
      </c>
      <c r="U151" s="413">
        <f t="shared" si="56"/>
        <v>2060000</v>
      </c>
      <c r="V151" s="413">
        <f t="shared" si="57"/>
        <v>2060000</v>
      </c>
      <c r="W151" s="413">
        <f t="shared" si="58"/>
        <v>107590000</v>
      </c>
      <c r="X151" s="401">
        <f t="shared" si="59"/>
        <v>0.68931592155404775</v>
      </c>
      <c r="Y151" s="412" t="str">
        <f t="shared" si="60"/>
        <v>TYPE_9</v>
      </c>
      <c r="Z151" s="399" t="str">
        <f t="shared" si="61"/>
        <v>TYPE_3</v>
      </c>
      <c r="AA151" s="414">
        <f>VLOOKUP(Z151,[11]調整參數1_116!A:J,10,0)</f>
        <v>1.1499999999999999</v>
      </c>
      <c r="AB151" s="415">
        <f t="shared" si="62"/>
        <v>85290000</v>
      </c>
      <c r="AC151" s="413">
        <f t="shared" si="63"/>
        <v>-10650000</v>
      </c>
      <c r="AD151" s="401">
        <f t="shared" si="64"/>
        <v>-0.11100687929956222</v>
      </c>
      <c r="AE151" s="413">
        <f t="shared" si="65"/>
        <v>11126500</v>
      </c>
      <c r="AF151" s="401">
        <f t="shared" si="66"/>
        <v>0.15002663035050934</v>
      </c>
    </row>
    <row r="152" spans="1:32">
      <c r="A152" s="399">
        <v>643</v>
      </c>
      <c r="B152" s="399" t="s">
        <v>197</v>
      </c>
      <c r="C152" s="399" t="s">
        <v>524</v>
      </c>
      <c r="D152" s="399" t="s">
        <v>48</v>
      </c>
      <c r="E152" s="423">
        <v>43869377.380000003</v>
      </c>
      <c r="F152" s="423">
        <v>40147000</v>
      </c>
      <c r="G152" s="424">
        <f t="shared" si="45"/>
        <v>1.0927186933021147</v>
      </c>
      <c r="H152" s="400">
        <f t="shared" si="46"/>
        <v>55674017</v>
      </c>
      <c r="I152" s="400">
        <v>50950000</v>
      </c>
      <c r="J152" s="401">
        <f t="shared" si="47"/>
        <v>1.0927186849852797</v>
      </c>
      <c r="K152" s="412" t="str">
        <f t="shared" si="48"/>
        <v>TYPE_6</v>
      </c>
      <c r="L152" s="401">
        <f>VLOOKUP(J152,[11]原始參數_115!E:F,2,1)</f>
        <v>1.05</v>
      </c>
      <c r="M152" s="401">
        <f>VLOOKUP(J152,[11]原始參數_115!E:G,3,1)</f>
        <v>1</v>
      </c>
      <c r="N152" s="413">
        <f t="shared" si="49"/>
        <v>58460000</v>
      </c>
      <c r="O152" s="403">
        <f t="shared" si="50"/>
        <v>4.2950000000000002E-3</v>
      </c>
      <c r="P152" s="401">
        <f t="shared" si="51"/>
        <v>1</v>
      </c>
      <c r="Q152" s="413">
        <f t="shared" si="52"/>
        <v>58460000</v>
      </c>
      <c r="R152" s="413">
        <f t="shared" si="53"/>
        <v>0</v>
      </c>
      <c r="S152" s="413">
        <f t="shared" si="54"/>
        <v>58460000</v>
      </c>
      <c r="T152" s="403">
        <f t="shared" si="55"/>
        <v>5.9719999999999999E-3</v>
      </c>
      <c r="U152" s="413">
        <f t="shared" si="56"/>
        <v>1140000</v>
      </c>
      <c r="V152" s="413">
        <f t="shared" si="57"/>
        <v>1140000</v>
      </c>
      <c r="W152" s="413">
        <f t="shared" si="58"/>
        <v>59600000</v>
      </c>
      <c r="X152" s="401">
        <f t="shared" si="59"/>
        <v>0.93412780201342283</v>
      </c>
      <c r="Y152" s="412" t="str">
        <f t="shared" si="60"/>
        <v>TYPE_7</v>
      </c>
      <c r="Z152" s="399" t="str">
        <f t="shared" si="61"/>
        <v>TYPE_2</v>
      </c>
      <c r="AA152" s="414">
        <f>VLOOKUP(Z152,[11]調整參數1_116!A:J,10,0)</f>
        <v>1.1000000000000001</v>
      </c>
      <c r="AB152" s="415">
        <f t="shared" si="62"/>
        <v>61240000</v>
      </c>
      <c r="AC152" s="413">
        <f t="shared" si="63"/>
        <v>10290000</v>
      </c>
      <c r="AD152" s="401">
        <f t="shared" si="64"/>
        <v>0.20196270853778214</v>
      </c>
      <c r="AE152" s="413">
        <f t="shared" si="65"/>
        <v>5565983</v>
      </c>
      <c r="AF152" s="401">
        <f t="shared" si="66"/>
        <v>9.9974517735984453E-2</v>
      </c>
    </row>
    <row r="153" spans="1:32">
      <c r="A153" s="399">
        <v>644</v>
      </c>
      <c r="B153" s="399" t="s">
        <v>51</v>
      </c>
      <c r="C153" s="399" t="s">
        <v>523</v>
      </c>
      <c r="D153" s="399" t="s">
        <v>48</v>
      </c>
      <c r="E153" s="423">
        <v>37160777.189999998</v>
      </c>
      <c r="F153" s="423">
        <v>56662000</v>
      </c>
      <c r="G153" s="424">
        <f t="shared" si="45"/>
        <v>0.65583243072958941</v>
      </c>
      <c r="H153" s="400">
        <f t="shared" si="46"/>
        <v>47154352</v>
      </c>
      <c r="I153" s="400">
        <v>71900000</v>
      </c>
      <c r="J153" s="401">
        <f t="shared" si="47"/>
        <v>0.65583243393602231</v>
      </c>
      <c r="K153" s="412" t="str">
        <f t="shared" si="48"/>
        <v>TYPE_9</v>
      </c>
      <c r="L153" s="401">
        <f>VLOOKUP(J153,[11]原始參數_115!E:F,2,1)</f>
        <v>1</v>
      </c>
      <c r="M153" s="401">
        <f>VLOOKUP(J153,[11]原始參數_115!E:G,3,1)</f>
        <v>1.1499999999999999</v>
      </c>
      <c r="N153" s="413">
        <f t="shared" si="49"/>
        <v>82690000</v>
      </c>
      <c r="O153" s="403">
        <f t="shared" si="50"/>
        <v>6.0759999999999998E-3</v>
      </c>
      <c r="P153" s="401">
        <f t="shared" si="51"/>
        <v>1</v>
      </c>
      <c r="Q153" s="413">
        <f t="shared" si="52"/>
        <v>82690000</v>
      </c>
      <c r="R153" s="413">
        <f t="shared" si="53"/>
        <v>0</v>
      </c>
      <c r="S153" s="413">
        <f t="shared" si="54"/>
        <v>82690000</v>
      </c>
      <c r="T153" s="403">
        <f t="shared" si="55"/>
        <v>8.4469999999999996E-3</v>
      </c>
      <c r="U153" s="413">
        <f t="shared" si="56"/>
        <v>1620000</v>
      </c>
      <c r="V153" s="413">
        <f t="shared" si="57"/>
        <v>1620000</v>
      </c>
      <c r="W153" s="413">
        <f t="shared" si="58"/>
        <v>84310000</v>
      </c>
      <c r="X153" s="401">
        <f t="shared" si="59"/>
        <v>0.55929726011149328</v>
      </c>
      <c r="Y153" s="412" t="str">
        <f t="shared" si="60"/>
        <v>TYPE_9</v>
      </c>
      <c r="Z153" s="399" t="str">
        <f t="shared" si="61"/>
        <v>TYPE_4</v>
      </c>
      <c r="AA153" s="414">
        <f>VLOOKUP(Z153,[11]調整參數1_116!A:J,10,0)</f>
        <v>1.2</v>
      </c>
      <c r="AB153" s="415">
        <f t="shared" si="62"/>
        <v>56590000</v>
      </c>
      <c r="AC153" s="413">
        <f t="shared" si="63"/>
        <v>-15310000</v>
      </c>
      <c r="AD153" s="401">
        <f t="shared" si="64"/>
        <v>-0.21293463143254521</v>
      </c>
      <c r="AE153" s="413">
        <f t="shared" si="65"/>
        <v>9435648</v>
      </c>
      <c r="AF153" s="401">
        <f t="shared" si="66"/>
        <v>0.20010131832582495</v>
      </c>
    </row>
    <row r="154" spans="1:32">
      <c r="A154" s="399">
        <v>645</v>
      </c>
      <c r="B154" s="399" t="s">
        <v>198</v>
      </c>
      <c r="C154" s="399" t="s">
        <v>522</v>
      </c>
      <c r="D154" s="399" t="s">
        <v>48</v>
      </c>
      <c r="E154" s="423">
        <v>57439785.810000002</v>
      </c>
      <c r="F154" s="423">
        <v>56369000</v>
      </c>
      <c r="G154" s="424">
        <f t="shared" si="45"/>
        <v>1.0189960050737108</v>
      </c>
      <c r="H154" s="400">
        <f t="shared" si="46"/>
        <v>72888784</v>
      </c>
      <c r="I154" s="400">
        <v>71530000</v>
      </c>
      <c r="J154" s="401">
        <f t="shared" si="47"/>
        <v>1.0189960016776178</v>
      </c>
      <c r="K154" s="412" t="str">
        <f t="shared" si="48"/>
        <v>TYPE_6</v>
      </c>
      <c r="L154" s="401">
        <f>VLOOKUP(J154,[11]原始參數_115!E:F,2,1)</f>
        <v>1.05</v>
      </c>
      <c r="M154" s="401">
        <f>VLOOKUP(J154,[11]原始參數_115!E:G,3,1)</f>
        <v>1</v>
      </c>
      <c r="N154" s="413">
        <f t="shared" si="49"/>
        <v>76530000</v>
      </c>
      <c r="O154" s="403">
        <f t="shared" si="50"/>
        <v>5.6230000000000004E-3</v>
      </c>
      <c r="P154" s="401">
        <f t="shared" si="51"/>
        <v>1</v>
      </c>
      <c r="Q154" s="413">
        <f t="shared" si="52"/>
        <v>76530000</v>
      </c>
      <c r="R154" s="413">
        <f t="shared" si="53"/>
        <v>0</v>
      </c>
      <c r="S154" s="413">
        <f t="shared" si="54"/>
        <v>76530000</v>
      </c>
      <c r="T154" s="403">
        <f t="shared" si="55"/>
        <v>7.8180000000000003E-3</v>
      </c>
      <c r="U154" s="413">
        <f t="shared" si="56"/>
        <v>1500000</v>
      </c>
      <c r="V154" s="413">
        <f t="shared" si="57"/>
        <v>1500000</v>
      </c>
      <c r="W154" s="413">
        <f t="shared" si="58"/>
        <v>78030000</v>
      </c>
      <c r="X154" s="401">
        <f t="shared" si="59"/>
        <v>0.93411231577598364</v>
      </c>
      <c r="Y154" s="412" t="str">
        <f t="shared" si="60"/>
        <v>TYPE_7</v>
      </c>
      <c r="Z154" s="399" t="str">
        <f t="shared" si="61"/>
        <v>TYPE_2</v>
      </c>
      <c r="AA154" s="414">
        <f>VLOOKUP(Z154,[11]調整參數1_116!A:J,10,0)</f>
        <v>1.1000000000000001</v>
      </c>
      <c r="AB154" s="415">
        <f t="shared" si="62"/>
        <v>80180000</v>
      </c>
      <c r="AC154" s="413">
        <f t="shared" si="63"/>
        <v>8650000</v>
      </c>
      <c r="AD154" s="401">
        <f t="shared" si="64"/>
        <v>0.1209282818397875</v>
      </c>
      <c r="AE154" s="413">
        <f t="shared" si="65"/>
        <v>7291216</v>
      </c>
      <c r="AF154" s="401">
        <f t="shared" si="66"/>
        <v>0.10003207077785795</v>
      </c>
    </row>
    <row r="155" spans="1:32">
      <c r="A155" s="399">
        <v>646</v>
      </c>
      <c r="B155" s="399" t="s">
        <v>199</v>
      </c>
      <c r="C155" s="399" t="s">
        <v>526</v>
      </c>
      <c r="D155" s="399" t="s">
        <v>48</v>
      </c>
      <c r="E155" s="423">
        <v>29672615.699999999</v>
      </c>
      <c r="F155" s="423">
        <v>38060000</v>
      </c>
      <c r="G155" s="424">
        <f t="shared" si="45"/>
        <v>0.77962731739358904</v>
      </c>
      <c r="H155" s="400">
        <f t="shared" si="46"/>
        <v>37655999</v>
      </c>
      <c r="I155" s="400">
        <v>48300000</v>
      </c>
      <c r="J155" s="401">
        <f t="shared" si="47"/>
        <v>0.77962730848861284</v>
      </c>
      <c r="K155" s="412" t="str">
        <f t="shared" si="48"/>
        <v>TYPE_8</v>
      </c>
      <c r="L155" s="401">
        <f>VLOOKUP(J155,[11]原始參數_115!E:F,2,1)</f>
        <v>1</v>
      </c>
      <c r="M155" s="401">
        <f>VLOOKUP(J155,[11]原始參數_115!E:G,3,1)</f>
        <v>1.1000000000000001</v>
      </c>
      <c r="N155" s="413">
        <f t="shared" si="49"/>
        <v>53130000</v>
      </c>
      <c r="O155" s="403">
        <f t="shared" si="50"/>
        <v>3.9039999999999999E-3</v>
      </c>
      <c r="P155" s="401">
        <f t="shared" si="51"/>
        <v>1</v>
      </c>
      <c r="Q155" s="413">
        <f t="shared" si="52"/>
        <v>53130000</v>
      </c>
      <c r="R155" s="413">
        <f t="shared" si="53"/>
        <v>0</v>
      </c>
      <c r="S155" s="413">
        <f t="shared" si="54"/>
        <v>53130000</v>
      </c>
      <c r="T155" s="403">
        <f t="shared" si="55"/>
        <v>5.4270000000000004E-3</v>
      </c>
      <c r="U155" s="413">
        <f t="shared" si="56"/>
        <v>1040000</v>
      </c>
      <c r="V155" s="413">
        <f t="shared" si="57"/>
        <v>1040000</v>
      </c>
      <c r="W155" s="413">
        <f t="shared" si="58"/>
        <v>54170000</v>
      </c>
      <c r="X155" s="401">
        <f t="shared" si="59"/>
        <v>0.69514489569872628</v>
      </c>
      <c r="Y155" s="412" t="str">
        <f t="shared" si="60"/>
        <v>TYPE_9</v>
      </c>
      <c r="Z155" s="399" t="str">
        <f t="shared" si="61"/>
        <v>TYPE_3</v>
      </c>
      <c r="AA155" s="414">
        <f>VLOOKUP(Z155,[11]調整參數1_116!A:J,10,0)</f>
        <v>1.1499999999999999</v>
      </c>
      <c r="AB155" s="415">
        <f t="shared" si="62"/>
        <v>43300000</v>
      </c>
      <c r="AC155" s="413">
        <f t="shared" si="63"/>
        <v>-5000000</v>
      </c>
      <c r="AD155" s="401">
        <f t="shared" si="64"/>
        <v>-0.10351966873706005</v>
      </c>
      <c r="AE155" s="413">
        <f t="shared" si="65"/>
        <v>5644001</v>
      </c>
      <c r="AF155" s="401">
        <f t="shared" si="66"/>
        <v>0.14988318328774122</v>
      </c>
    </row>
    <row r="156" spans="1:32">
      <c r="A156" s="399">
        <v>647</v>
      </c>
      <c r="B156" s="399" t="s">
        <v>108</v>
      </c>
      <c r="C156" s="399" t="s">
        <v>523</v>
      </c>
      <c r="D156" s="399" t="s">
        <v>48</v>
      </c>
      <c r="E156" s="423">
        <v>50731530.609999999</v>
      </c>
      <c r="F156" s="423">
        <v>50408000</v>
      </c>
      <c r="G156" s="424">
        <f t="shared" si="45"/>
        <v>1.0064182393667671</v>
      </c>
      <c r="H156" s="400">
        <f t="shared" si="46"/>
        <v>64370511</v>
      </c>
      <c r="I156" s="400">
        <v>63960000</v>
      </c>
      <c r="J156" s="401">
        <f t="shared" si="47"/>
        <v>1.0064182457786117</v>
      </c>
      <c r="K156" s="412" t="str">
        <f t="shared" si="48"/>
        <v>TYPE_6</v>
      </c>
      <c r="L156" s="401">
        <f>VLOOKUP(J156,[11]原始參數_115!E:F,2,1)</f>
        <v>1.05</v>
      </c>
      <c r="M156" s="401">
        <f>VLOOKUP(J156,[11]原始參數_115!E:G,3,1)</f>
        <v>1</v>
      </c>
      <c r="N156" s="413">
        <f t="shared" si="49"/>
        <v>67590000</v>
      </c>
      <c r="O156" s="403">
        <f t="shared" si="50"/>
        <v>4.9659999999999999E-3</v>
      </c>
      <c r="P156" s="401">
        <f t="shared" si="51"/>
        <v>1</v>
      </c>
      <c r="Q156" s="413">
        <f t="shared" si="52"/>
        <v>67590000</v>
      </c>
      <c r="R156" s="413">
        <f t="shared" si="53"/>
        <v>0</v>
      </c>
      <c r="S156" s="413">
        <f t="shared" si="54"/>
        <v>67590000</v>
      </c>
      <c r="T156" s="403">
        <f t="shared" si="55"/>
        <v>6.9040000000000004E-3</v>
      </c>
      <c r="U156" s="413">
        <f t="shared" si="56"/>
        <v>1320000</v>
      </c>
      <c r="V156" s="413">
        <f t="shared" si="57"/>
        <v>1320000</v>
      </c>
      <c r="W156" s="413">
        <f t="shared" si="58"/>
        <v>68910000</v>
      </c>
      <c r="X156" s="401">
        <f t="shared" si="59"/>
        <v>0.93412437962559858</v>
      </c>
      <c r="Y156" s="412" t="str">
        <f t="shared" si="60"/>
        <v>TYPE_7</v>
      </c>
      <c r="Z156" s="399" t="str">
        <f t="shared" si="61"/>
        <v>TYPE_2</v>
      </c>
      <c r="AA156" s="414">
        <f>VLOOKUP(Z156,[11]調整參數1_116!A:J,10,0)</f>
        <v>1.1000000000000001</v>
      </c>
      <c r="AB156" s="415">
        <f t="shared" si="62"/>
        <v>70810000</v>
      </c>
      <c r="AC156" s="413">
        <f t="shared" si="63"/>
        <v>6850000</v>
      </c>
      <c r="AD156" s="401">
        <f t="shared" si="64"/>
        <v>0.10709818636647905</v>
      </c>
      <c r="AE156" s="413">
        <f t="shared" si="65"/>
        <v>6439489</v>
      </c>
      <c r="AF156" s="401">
        <f t="shared" si="66"/>
        <v>0.10003787293221891</v>
      </c>
    </row>
    <row r="157" spans="1:32">
      <c r="A157" s="399">
        <v>648</v>
      </c>
      <c r="B157" s="399" t="s">
        <v>200</v>
      </c>
      <c r="C157" s="399" t="s">
        <v>526</v>
      </c>
      <c r="D157" s="399" t="s">
        <v>48</v>
      </c>
      <c r="E157" s="423">
        <v>52364583.619999997</v>
      </c>
      <c r="F157" s="423">
        <v>39211000</v>
      </c>
      <c r="G157" s="424">
        <f t="shared" si="45"/>
        <v>1.3354564693580881</v>
      </c>
      <c r="H157" s="400">
        <f t="shared" si="46"/>
        <v>66452314</v>
      </c>
      <c r="I157" s="400">
        <v>49760000</v>
      </c>
      <c r="J157" s="401">
        <f t="shared" si="47"/>
        <v>1.3354564710610932</v>
      </c>
      <c r="K157" s="412" t="str">
        <f t="shared" si="48"/>
        <v>TYPE_3</v>
      </c>
      <c r="L157" s="401">
        <f>VLOOKUP(J157,[11]原始參數_115!E:F,2,1)</f>
        <v>0.9</v>
      </c>
      <c r="M157" s="401">
        <f>VLOOKUP(J157,[11]原始參數_115!E:G,3,1)</f>
        <v>1</v>
      </c>
      <c r="N157" s="413">
        <f t="shared" si="49"/>
        <v>59810000</v>
      </c>
      <c r="O157" s="403">
        <f t="shared" si="50"/>
        <v>4.3940000000000003E-3</v>
      </c>
      <c r="P157" s="401">
        <f t="shared" si="51"/>
        <v>1.2</v>
      </c>
      <c r="Q157" s="413">
        <f t="shared" si="52"/>
        <v>59710000</v>
      </c>
      <c r="R157" s="413">
        <f t="shared" si="53"/>
        <v>-100000</v>
      </c>
      <c r="S157" s="413">
        <f t="shared" si="54"/>
        <v>0</v>
      </c>
      <c r="T157" s="403">
        <f t="shared" si="55"/>
        <v>0</v>
      </c>
      <c r="U157" s="413">
        <f t="shared" si="56"/>
        <v>0</v>
      </c>
      <c r="V157" s="413">
        <f t="shared" si="57"/>
        <v>-100000</v>
      </c>
      <c r="W157" s="413">
        <f t="shared" si="58"/>
        <v>59710000</v>
      </c>
      <c r="X157" s="401">
        <f t="shared" si="59"/>
        <v>1.1129176687322058</v>
      </c>
      <c r="Y157" s="412" t="str">
        <f t="shared" si="60"/>
        <v>TYPE_5</v>
      </c>
      <c r="Z157" s="399" t="str">
        <f t="shared" si="61"/>
        <v>TYPE_2</v>
      </c>
      <c r="AA157" s="414">
        <f>VLOOKUP(Z157,[11]調整參數1_116!A:J,10,0)</f>
        <v>1.1000000000000001</v>
      </c>
      <c r="AB157" s="415">
        <f t="shared" si="62"/>
        <v>73100000</v>
      </c>
      <c r="AC157" s="413">
        <f t="shared" si="63"/>
        <v>23340000</v>
      </c>
      <c r="AD157" s="401">
        <f t="shared" si="64"/>
        <v>0.46905144694533762</v>
      </c>
      <c r="AE157" s="413">
        <f t="shared" si="65"/>
        <v>6647686</v>
      </c>
      <c r="AF157" s="401">
        <f t="shared" si="66"/>
        <v>0.10003693776562844</v>
      </c>
    </row>
    <row r="158" spans="1:32">
      <c r="A158" s="399">
        <v>681</v>
      </c>
      <c r="B158" s="399" t="s">
        <v>52</v>
      </c>
      <c r="C158" s="399" t="s">
        <v>523</v>
      </c>
      <c r="D158" s="399" t="s">
        <v>48</v>
      </c>
      <c r="E158" s="423">
        <v>30391504.93</v>
      </c>
      <c r="F158" s="423">
        <v>43947000</v>
      </c>
      <c r="G158" s="424">
        <f t="shared" si="45"/>
        <v>0.69154902336905821</v>
      </c>
      <c r="H158" s="400">
        <f t="shared" si="46"/>
        <v>38567689</v>
      </c>
      <c r="I158" s="400">
        <v>55770000</v>
      </c>
      <c r="J158" s="401">
        <f t="shared" si="47"/>
        <v>0.69154902277209973</v>
      </c>
      <c r="K158" s="412" t="str">
        <f t="shared" si="48"/>
        <v>TYPE_9</v>
      </c>
      <c r="L158" s="401">
        <f>VLOOKUP(J158,[11]原始參數_115!E:F,2,1)</f>
        <v>1</v>
      </c>
      <c r="M158" s="401">
        <f>VLOOKUP(J158,[11]原始參數_115!E:G,3,1)</f>
        <v>1.1499999999999999</v>
      </c>
      <c r="N158" s="413">
        <f t="shared" si="49"/>
        <v>64140000</v>
      </c>
      <c r="O158" s="403">
        <f t="shared" si="50"/>
        <v>4.7130000000000002E-3</v>
      </c>
      <c r="P158" s="401">
        <f t="shared" si="51"/>
        <v>1</v>
      </c>
      <c r="Q158" s="413">
        <f t="shared" si="52"/>
        <v>64140000</v>
      </c>
      <c r="R158" s="413">
        <f t="shared" si="53"/>
        <v>0</v>
      </c>
      <c r="S158" s="413">
        <f t="shared" si="54"/>
        <v>64140000</v>
      </c>
      <c r="T158" s="403">
        <f t="shared" si="55"/>
        <v>6.5519999999999997E-3</v>
      </c>
      <c r="U158" s="413">
        <f t="shared" si="56"/>
        <v>1250000</v>
      </c>
      <c r="V158" s="413">
        <f t="shared" si="57"/>
        <v>1250000</v>
      </c>
      <c r="W158" s="413">
        <f t="shared" si="58"/>
        <v>65390000</v>
      </c>
      <c r="X158" s="401">
        <f t="shared" si="59"/>
        <v>0.58981020033644294</v>
      </c>
      <c r="Y158" s="412" t="str">
        <f t="shared" si="60"/>
        <v>TYPE_9</v>
      </c>
      <c r="Z158" s="399" t="str">
        <f t="shared" si="61"/>
        <v>TYPE_4</v>
      </c>
      <c r="AA158" s="414">
        <f>VLOOKUP(Z158,[11]調整參數1_116!A:J,10,0)</f>
        <v>1.2</v>
      </c>
      <c r="AB158" s="415">
        <f t="shared" si="62"/>
        <v>46280000</v>
      </c>
      <c r="AC158" s="413">
        <f t="shared" si="63"/>
        <v>-9490000</v>
      </c>
      <c r="AD158" s="401">
        <f t="shared" si="64"/>
        <v>-0.17016317016317017</v>
      </c>
      <c r="AE158" s="413">
        <f t="shared" si="65"/>
        <v>7712311</v>
      </c>
      <c r="AF158" s="401">
        <f t="shared" si="66"/>
        <v>0.19996819099013166</v>
      </c>
    </row>
    <row r="159" spans="1:32">
      <c r="A159" s="399">
        <v>700</v>
      </c>
      <c r="B159" s="399" t="s">
        <v>201</v>
      </c>
      <c r="C159" s="399" t="s">
        <v>519</v>
      </c>
      <c r="D159" s="399" t="s">
        <v>48</v>
      </c>
      <c r="E159" s="423">
        <v>86552176.090000004</v>
      </c>
      <c r="F159" s="423">
        <v>70922000</v>
      </c>
      <c r="G159" s="424">
        <f t="shared" si="45"/>
        <v>1.2203854387919122</v>
      </c>
      <c r="H159" s="400">
        <f t="shared" si="46"/>
        <v>109846893</v>
      </c>
      <c r="I159" s="400">
        <v>90010000</v>
      </c>
      <c r="J159" s="401">
        <f t="shared" si="47"/>
        <v>1.2203854349516721</v>
      </c>
      <c r="K159" s="412" t="str">
        <f t="shared" si="48"/>
        <v>TYPE_4</v>
      </c>
      <c r="L159" s="401">
        <f>VLOOKUP(J159,[11]原始參數_115!E:F,2,1)</f>
        <v>1.01</v>
      </c>
      <c r="M159" s="401">
        <f>VLOOKUP(J159,[11]原始參數_115!E:G,3,1)</f>
        <v>1</v>
      </c>
      <c r="N159" s="413">
        <f t="shared" si="49"/>
        <v>110950000</v>
      </c>
      <c r="O159" s="403">
        <f t="shared" si="50"/>
        <v>8.1519999999999995E-3</v>
      </c>
      <c r="P159" s="401">
        <f t="shared" si="51"/>
        <v>1.2</v>
      </c>
      <c r="Q159" s="413">
        <f t="shared" si="52"/>
        <v>108010000</v>
      </c>
      <c r="R159" s="413">
        <f t="shared" si="53"/>
        <v>-2940000</v>
      </c>
      <c r="S159" s="413">
        <f t="shared" si="54"/>
        <v>0</v>
      </c>
      <c r="T159" s="403">
        <f t="shared" si="55"/>
        <v>0</v>
      </c>
      <c r="U159" s="413">
        <f t="shared" si="56"/>
        <v>0</v>
      </c>
      <c r="V159" s="413">
        <f t="shared" si="57"/>
        <v>-2940000</v>
      </c>
      <c r="W159" s="413">
        <f t="shared" si="58"/>
        <v>108010000</v>
      </c>
      <c r="X159" s="401">
        <f t="shared" si="59"/>
        <v>1.0170066938246458</v>
      </c>
      <c r="Y159" s="412" t="str">
        <f t="shared" si="60"/>
        <v>TYPE_6</v>
      </c>
      <c r="Z159" s="399" t="str">
        <f t="shared" si="61"/>
        <v>TYPE_2</v>
      </c>
      <c r="AA159" s="414">
        <f>VLOOKUP(Z159,[11]調整參數1_116!A:J,10,0)</f>
        <v>1.1000000000000001</v>
      </c>
      <c r="AB159" s="415">
        <f t="shared" si="62"/>
        <v>120830000</v>
      </c>
      <c r="AC159" s="413">
        <f t="shared" si="63"/>
        <v>30820000</v>
      </c>
      <c r="AD159" s="401">
        <f t="shared" si="64"/>
        <v>0.34240639928896788</v>
      </c>
      <c r="AE159" s="413">
        <f t="shared" si="65"/>
        <v>10983107</v>
      </c>
      <c r="AF159" s="401">
        <f t="shared" si="66"/>
        <v>9.9985595405051642E-2</v>
      </c>
    </row>
    <row r="160" spans="1:32">
      <c r="A160" s="399">
        <v>701</v>
      </c>
      <c r="B160" s="399" t="s">
        <v>202</v>
      </c>
      <c r="C160" s="399" t="s">
        <v>521</v>
      </c>
      <c r="D160" s="399" t="s">
        <v>48</v>
      </c>
      <c r="E160" s="423">
        <v>45300341.520000003</v>
      </c>
      <c r="F160" s="423">
        <v>36746000</v>
      </c>
      <c r="G160" s="424">
        <f t="shared" si="45"/>
        <v>1.2327965362216295</v>
      </c>
      <c r="H160" s="400">
        <f t="shared" si="46"/>
        <v>57485302</v>
      </c>
      <c r="I160" s="400">
        <v>46630000</v>
      </c>
      <c r="J160" s="401">
        <f t="shared" si="47"/>
        <v>1.2327965258417328</v>
      </c>
      <c r="K160" s="412" t="str">
        <f t="shared" si="48"/>
        <v>TYPE_4</v>
      </c>
      <c r="L160" s="401">
        <f>VLOOKUP(J160,[11]原始參數_115!E:F,2,1)</f>
        <v>1.01</v>
      </c>
      <c r="M160" s="401">
        <f>VLOOKUP(J160,[11]原始參數_115!E:G,3,1)</f>
        <v>1</v>
      </c>
      <c r="N160" s="413">
        <f t="shared" si="49"/>
        <v>58060000</v>
      </c>
      <c r="O160" s="403">
        <f t="shared" si="50"/>
        <v>4.2659999999999998E-3</v>
      </c>
      <c r="P160" s="401">
        <f t="shared" si="51"/>
        <v>1.2</v>
      </c>
      <c r="Q160" s="413">
        <f t="shared" si="52"/>
        <v>55960000</v>
      </c>
      <c r="R160" s="413">
        <f t="shared" si="53"/>
        <v>-2100000</v>
      </c>
      <c r="S160" s="413">
        <f t="shared" si="54"/>
        <v>0</v>
      </c>
      <c r="T160" s="403">
        <f t="shared" si="55"/>
        <v>0</v>
      </c>
      <c r="U160" s="413">
        <f t="shared" si="56"/>
        <v>0</v>
      </c>
      <c r="V160" s="413">
        <f t="shared" si="57"/>
        <v>-2100000</v>
      </c>
      <c r="W160" s="413">
        <f t="shared" si="58"/>
        <v>55960000</v>
      </c>
      <c r="X160" s="401">
        <f t="shared" si="59"/>
        <v>1.0272570050035741</v>
      </c>
      <c r="Y160" s="412" t="str">
        <f t="shared" si="60"/>
        <v>TYPE_6</v>
      </c>
      <c r="Z160" s="399" t="str">
        <f t="shared" si="61"/>
        <v>TYPE_2</v>
      </c>
      <c r="AA160" s="414">
        <f>VLOOKUP(Z160,[11]調整參數1_116!A:J,10,0)</f>
        <v>1.1000000000000001</v>
      </c>
      <c r="AB160" s="415">
        <f t="shared" si="62"/>
        <v>63230000</v>
      </c>
      <c r="AC160" s="413">
        <f t="shared" si="63"/>
        <v>16600000</v>
      </c>
      <c r="AD160" s="401">
        <f t="shared" si="64"/>
        <v>0.35599399528200731</v>
      </c>
      <c r="AE160" s="413">
        <f t="shared" si="65"/>
        <v>5744698</v>
      </c>
      <c r="AF160" s="401">
        <f t="shared" si="66"/>
        <v>9.993333600300125E-2</v>
      </c>
    </row>
    <row r="161" spans="1:32">
      <c r="A161" s="399">
        <v>702</v>
      </c>
      <c r="B161" s="399" t="s">
        <v>203</v>
      </c>
      <c r="C161" s="399" t="s">
        <v>521</v>
      </c>
      <c r="D161" s="399" t="s">
        <v>48</v>
      </c>
      <c r="E161" s="423">
        <v>115594231.33</v>
      </c>
      <c r="F161" s="423">
        <v>53895000</v>
      </c>
      <c r="G161" s="424">
        <f t="shared" si="45"/>
        <v>2.1448043664532888</v>
      </c>
      <c r="H161" s="400">
        <f t="shared" si="46"/>
        <v>146683171</v>
      </c>
      <c r="I161" s="400">
        <v>68390000</v>
      </c>
      <c r="J161" s="401">
        <f t="shared" si="47"/>
        <v>2.144804371984208</v>
      </c>
      <c r="K161" s="412" t="str">
        <f t="shared" si="48"/>
        <v>TYPE_1</v>
      </c>
      <c r="L161" s="401">
        <f>VLOOKUP(J161,[11]原始參數_115!E:F,2,1)</f>
        <v>0.7</v>
      </c>
      <c r="M161" s="401">
        <f>VLOOKUP(J161,[11]原始參數_115!E:G,3,1)</f>
        <v>1</v>
      </c>
      <c r="N161" s="413">
        <f t="shared" si="49"/>
        <v>102680000</v>
      </c>
      <c r="O161" s="403">
        <f t="shared" si="50"/>
        <v>7.5440000000000004E-3</v>
      </c>
      <c r="P161" s="401">
        <f t="shared" si="51"/>
        <v>1.2</v>
      </c>
      <c r="Q161" s="413">
        <f t="shared" si="52"/>
        <v>82070000</v>
      </c>
      <c r="R161" s="413">
        <f t="shared" si="53"/>
        <v>-20610000</v>
      </c>
      <c r="S161" s="413">
        <f t="shared" si="54"/>
        <v>0</v>
      </c>
      <c r="T161" s="403">
        <f t="shared" si="55"/>
        <v>0</v>
      </c>
      <c r="U161" s="413">
        <f t="shared" si="56"/>
        <v>0</v>
      </c>
      <c r="V161" s="413">
        <f t="shared" si="57"/>
        <v>-20610000</v>
      </c>
      <c r="W161" s="413">
        <f t="shared" si="58"/>
        <v>82070000</v>
      </c>
      <c r="X161" s="401">
        <f t="shared" si="59"/>
        <v>1.7872934202510053</v>
      </c>
      <c r="Y161" s="412" t="str">
        <f t="shared" si="60"/>
        <v>TYPE_2</v>
      </c>
      <c r="Z161" s="399" t="str">
        <f t="shared" si="61"/>
        <v>TYPE_1</v>
      </c>
      <c r="AA161" s="414">
        <f>VLOOKUP(Z161,[11]調整參數1_116!A:J,10,0)</f>
        <v>0.9</v>
      </c>
      <c r="AB161" s="415">
        <f t="shared" si="62"/>
        <v>132010000</v>
      </c>
      <c r="AC161" s="413">
        <f t="shared" si="63"/>
        <v>63620000</v>
      </c>
      <c r="AD161" s="401">
        <f t="shared" si="64"/>
        <v>0.93025296095920451</v>
      </c>
      <c r="AE161" s="413">
        <f t="shared" si="65"/>
        <v>-14673171</v>
      </c>
      <c r="AF161" s="401">
        <f t="shared" si="66"/>
        <v>-0.10003309104900657</v>
      </c>
    </row>
    <row r="162" spans="1:32">
      <c r="A162" s="399">
        <v>703</v>
      </c>
      <c r="B162" s="399" t="s">
        <v>53</v>
      </c>
      <c r="C162" s="399" t="s">
        <v>524</v>
      </c>
      <c r="D162" s="399" t="s">
        <v>48</v>
      </c>
      <c r="E162" s="423">
        <v>24699283.420000002</v>
      </c>
      <c r="F162" s="423">
        <v>38463000</v>
      </c>
      <c r="G162" s="424">
        <f t="shared" si="45"/>
        <v>0.6421569669552557</v>
      </c>
      <c r="H162" s="400">
        <f t="shared" si="46"/>
        <v>31343682</v>
      </c>
      <c r="I162" s="400">
        <v>48810000</v>
      </c>
      <c r="J162" s="401">
        <f t="shared" si="47"/>
        <v>0.64215697602950217</v>
      </c>
      <c r="K162" s="412" t="str">
        <f t="shared" si="48"/>
        <v>TYPE_9</v>
      </c>
      <c r="L162" s="401">
        <f>VLOOKUP(J162,[11]原始參數_115!E:F,2,1)</f>
        <v>1</v>
      </c>
      <c r="M162" s="401">
        <f>VLOOKUP(J162,[11]原始參數_115!E:G,3,1)</f>
        <v>1.1499999999999999</v>
      </c>
      <c r="N162" s="413">
        <f t="shared" si="49"/>
        <v>56130000</v>
      </c>
      <c r="O162" s="403">
        <f t="shared" si="50"/>
        <v>4.1240000000000001E-3</v>
      </c>
      <c r="P162" s="401">
        <f t="shared" si="51"/>
        <v>1</v>
      </c>
      <c r="Q162" s="413">
        <f t="shared" si="52"/>
        <v>56130000</v>
      </c>
      <c r="R162" s="413">
        <f t="shared" si="53"/>
        <v>0</v>
      </c>
      <c r="S162" s="413">
        <f t="shared" si="54"/>
        <v>56130000</v>
      </c>
      <c r="T162" s="403">
        <f t="shared" si="55"/>
        <v>5.7340000000000004E-3</v>
      </c>
      <c r="U162" s="413">
        <f t="shared" si="56"/>
        <v>1100000</v>
      </c>
      <c r="V162" s="413">
        <f t="shared" si="57"/>
        <v>1100000</v>
      </c>
      <c r="W162" s="413">
        <f t="shared" si="58"/>
        <v>57230000</v>
      </c>
      <c r="X162" s="401">
        <f t="shared" si="59"/>
        <v>0.54767922418312076</v>
      </c>
      <c r="Y162" s="412" t="str">
        <f t="shared" si="60"/>
        <v>TYPE_9</v>
      </c>
      <c r="Z162" s="399" t="str">
        <f t="shared" si="61"/>
        <v>TYPE_4</v>
      </c>
      <c r="AA162" s="414">
        <f>VLOOKUP(Z162,[11]調整參數1_116!A:J,10,0)</f>
        <v>1.2</v>
      </c>
      <c r="AB162" s="415">
        <f t="shared" si="62"/>
        <v>37610000</v>
      </c>
      <c r="AC162" s="413">
        <f t="shared" si="63"/>
        <v>-11200000</v>
      </c>
      <c r="AD162" s="401">
        <f t="shared" si="64"/>
        <v>-0.22946117598852694</v>
      </c>
      <c r="AE162" s="413">
        <f t="shared" si="65"/>
        <v>6266318</v>
      </c>
      <c r="AF162" s="401">
        <f t="shared" si="66"/>
        <v>0.19992284250459152</v>
      </c>
    </row>
    <row r="163" spans="1:32">
      <c r="A163" s="399">
        <v>704</v>
      </c>
      <c r="B163" s="399" t="s">
        <v>54</v>
      </c>
      <c r="C163" s="399" t="s">
        <v>524</v>
      </c>
      <c r="D163" s="399" t="s">
        <v>48</v>
      </c>
      <c r="E163" s="423">
        <v>40555585.140000001</v>
      </c>
      <c r="F163" s="423">
        <v>36287000</v>
      </c>
      <c r="G163" s="424">
        <f t="shared" si="45"/>
        <v>1.1176340050155704</v>
      </c>
      <c r="H163" s="400">
        <f t="shared" si="46"/>
        <v>51467046</v>
      </c>
      <c r="I163" s="400">
        <v>46050000</v>
      </c>
      <c r="J163" s="401">
        <f t="shared" si="47"/>
        <v>1.1176340065146579</v>
      </c>
      <c r="K163" s="412" t="str">
        <f t="shared" si="48"/>
        <v>TYPE_5</v>
      </c>
      <c r="L163" s="401">
        <f>VLOOKUP(J163,[11]原始參數_115!E:F,2,1)</f>
        <v>1.03</v>
      </c>
      <c r="M163" s="401">
        <f>VLOOKUP(J163,[11]原始參數_115!E:G,3,1)</f>
        <v>1</v>
      </c>
      <c r="N163" s="413">
        <f t="shared" si="49"/>
        <v>53010000</v>
      </c>
      <c r="O163" s="403">
        <f t="shared" si="50"/>
        <v>3.895E-3</v>
      </c>
      <c r="P163" s="401">
        <f t="shared" si="51"/>
        <v>1</v>
      </c>
      <c r="Q163" s="413">
        <f t="shared" si="52"/>
        <v>53010000</v>
      </c>
      <c r="R163" s="413">
        <f t="shared" si="53"/>
        <v>0</v>
      </c>
      <c r="S163" s="413">
        <f t="shared" si="54"/>
        <v>53010000</v>
      </c>
      <c r="T163" s="403">
        <f t="shared" si="55"/>
        <v>5.4149999999999997E-3</v>
      </c>
      <c r="U163" s="413">
        <f t="shared" si="56"/>
        <v>1040000</v>
      </c>
      <c r="V163" s="413">
        <f t="shared" si="57"/>
        <v>1040000</v>
      </c>
      <c r="W163" s="413">
        <f t="shared" si="58"/>
        <v>54050000</v>
      </c>
      <c r="X163" s="401">
        <f t="shared" si="59"/>
        <v>0.95221176688251619</v>
      </c>
      <c r="Y163" s="412" t="str">
        <f t="shared" si="60"/>
        <v>TYPE_7</v>
      </c>
      <c r="Z163" s="399" t="str">
        <f t="shared" si="61"/>
        <v>TYPE_2</v>
      </c>
      <c r="AA163" s="414">
        <f>VLOOKUP(Z163,[11]調整參數1_116!A:J,10,0)</f>
        <v>1.1000000000000001</v>
      </c>
      <c r="AB163" s="415">
        <f t="shared" si="62"/>
        <v>56610000</v>
      </c>
      <c r="AC163" s="413">
        <f t="shared" si="63"/>
        <v>10560000</v>
      </c>
      <c r="AD163" s="401">
        <f t="shared" si="64"/>
        <v>0.22931596091205211</v>
      </c>
      <c r="AE163" s="413">
        <f t="shared" si="65"/>
        <v>5142954</v>
      </c>
      <c r="AF163" s="401">
        <f t="shared" si="66"/>
        <v>9.9927126184782389E-2</v>
      </c>
    </row>
    <row r="164" spans="1:32">
      <c r="A164" s="399">
        <v>705</v>
      </c>
      <c r="B164" s="399" t="s">
        <v>109</v>
      </c>
      <c r="C164" s="399" t="s">
        <v>527</v>
      </c>
      <c r="D164" s="399" t="s">
        <v>48</v>
      </c>
      <c r="E164" s="423">
        <v>33504152.059999999</v>
      </c>
      <c r="F164" s="423">
        <v>31933000</v>
      </c>
      <c r="G164" s="424">
        <f t="shared" si="45"/>
        <v>1.0492015175523752</v>
      </c>
      <c r="H164" s="400">
        <f t="shared" si="46"/>
        <v>42513645</v>
      </c>
      <c r="I164" s="400">
        <v>40520000</v>
      </c>
      <c r="J164" s="401">
        <f t="shared" si="47"/>
        <v>1.0492015054294175</v>
      </c>
      <c r="K164" s="412" t="str">
        <f t="shared" si="48"/>
        <v>TYPE_6</v>
      </c>
      <c r="L164" s="401">
        <f>VLOOKUP(J164,[11]原始參數_115!E:F,2,1)</f>
        <v>1.05</v>
      </c>
      <c r="M164" s="401">
        <f>VLOOKUP(J164,[11]原始參數_115!E:G,3,1)</f>
        <v>1</v>
      </c>
      <c r="N164" s="413">
        <f t="shared" si="49"/>
        <v>44640000</v>
      </c>
      <c r="O164" s="403">
        <f t="shared" si="50"/>
        <v>3.2799999999999999E-3</v>
      </c>
      <c r="P164" s="401">
        <f t="shared" si="51"/>
        <v>1</v>
      </c>
      <c r="Q164" s="413">
        <f t="shared" si="52"/>
        <v>44640000</v>
      </c>
      <c r="R164" s="413">
        <f t="shared" si="53"/>
        <v>0</v>
      </c>
      <c r="S164" s="413">
        <f t="shared" si="54"/>
        <v>44640000</v>
      </c>
      <c r="T164" s="403">
        <f t="shared" si="55"/>
        <v>4.5599999999999998E-3</v>
      </c>
      <c r="U164" s="413">
        <f t="shared" si="56"/>
        <v>870000</v>
      </c>
      <c r="V164" s="413">
        <f t="shared" si="57"/>
        <v>870000</v>
      </c>
      <c r="W164" s="413">
        <f t="shared" si="58"/>
        <v>45510000</v>
      </c>
      <c r="X164" s="401">
        <f t="shared" si="59"/>
        <v>0.93416051417270929</v>
      </c>
      <c r="Y164" s="412" t="str">
        <f t="shared" si="60"/>
        <v>TYPE_7</v>
      </c>
      <c r="Z164" s="399" t="str">
        <f t="shared" si="61"/>
        <v>TYPE_2</v>
      </c>
      <c r="AA164" s="414">
        <f>VLOOKUP(Z164,[11]調整參數1_116!A:J,10,0)</f>
        <v>1.1000000000000001</v>
      </c>
      <c r="AB164" s="415">
        <f t="shared" si="62"/>
        <v>46770000</v>
      </c>
      <c r="AC164" s="413">
        <f t="shared" si="63"/>
        <v>6250000</v>
      </c>
      <c r="AD164" s="401">
        <f t="shared" si="64"/>
        <v>0.15424481737413623</v>
      </c>
      <c r="AE164" s="413">
        <f t="shared" si="65"/>
        <v>4256355</v>
      </c>
      <c r="AF164" s="401">
        <f t="shared" si="66"/>
        <v>0.10011738584165154</v>
      </c>
    </row>
    <row r="165" spans="1:32">
      <c r="A165" s="399">
        <v>706</v>
      </c>
      <c r="B165" s="399" t="s">
        <v>55</v>
      </c>
      <c r="C165" s="399" t="s">
        <v>525</v>
      </c>
      <c r="D165" s="399" t="s">
        <v>48</v>
      </c>
      <c r="E165" s="423">
        <v>40155392.030000001</v>
      </c>
      <c r="F165" s="423">
        <v>50086000</v>
      </c>
      <c r="G165" s="424">
        <f t="shared" si="45"/>
        <v>0.80172886694884804</v>
      </c>
      <c r="H165" s="400">
        <f t="shared" si="46"/>
        <v>50941852</v>
      </c>
      <c r="I165" s="400">
        <v>63540000</v>
      </c>
      <c r="J165" s="401">
        <f t="shared" si="47"/>
        <v>0.80172886370790053</v>
      </c>
      <c r="K165" s="412" t="str">
        <f t="shared" si="48"/>
        <v>TYPE_8</v>
      </c>
      <c r="L165" s="401">
        <f>VLOOKUP(J165,[11]原始參數_115!E:F,2,1)</f>
        <v>1</v>
      </c>
      <c r="M165" s="401">
        <f>VLOOKUP(J165,[11]原始參數_115!E:G,3,1)</f>
        <v>1.1000000000000001</v>
      </c>
      <c r="N165" s="413">
        <f t="shared" si="49"/>
        <v>69890000</v>
      </c>
      <c r="O165" s="403">
        <f t="shared" si="50"/>
        <v>5.1349999999999998E-3</v>
      </c>
      <c r="P165" s="401">
        <f t="shared" si="51"/>
        <v>1</v>
      </c>
      <c r="Q165" s="413">
        <f t="shared" si="52"/>
        <v>69890000</v>
      </c>
      <c r="R165" s="413">
        <f t="shared" si="53"/>
        <v>0</v>
      </c>
      <c r="S165" s="413">
        <f t="shared" si="54"/>
        <v>69890000</v>
      </c>
      <c r="T165" s="403">
        <f t="shared" si="55"/>
        <v>7.1390000000000004E-3</v>
      </c>
      <c r="U165" s="413">
        <f t="shared" si="56"/>
        <v>1370000</v>
      </c>
      <c r="V165" s="413">
        <f t="shared" si="57"/>
        <v>1370000</v>
      </c>
      <c r="W165" s="413">
        <f t="shared" si="58"/>
        <v>71260000</v>
      </c>
      <c r="X165" s="401">
        <f t="shared" si="59"/>
        <v>0.7148730283468987</v>
      </c>
      <c r="Y165" s="412" t="str">
        <f t="shared" si="60"/>
        <v>TYPE_9</v>
      </c>
      <c r="Z165" s="399" t="str">
        <f t="shared" si="61"/>
        <v>TYPE_3</v>
      </c>
      <c r="AA165" s="414">
        <f>VLOOKUP(Z165,[11]調整參數1_116!A:J,10,0)</f>
        <v>1.1499999999999999</v>
      </c>
      <c r="AB165" s="415">
        <f t="shared" si="62"/>
        <v>58580000</v>
      </c>
      <c r="AC165" s="413">
        <f t="shared" si="63"/>
        <v>-4960000</v>
      </c>
      <c r="AD165" s="401">
        <f t="shared" si="64"/>
        <v>-7.8061063896757946E-2</v>
      </c>
      <c r="AE165" s="413">
        <f t="shared" si="65"/>
        <v>7638148</v>
      </c>
      <c r="AF165" s="401">
        <f t="shared" si="66"/>
        <v>0.1499385613228196</v>
      </c>
    </row>
    <row r="166" spans="1:32">
      <c r="A166" s="399">
        <v>707</v>
      </c>
      <c r="B166" s="399" t="s">
        <v>110</v>
      </c>
      <c r="C166" s="399" t="s">
        <v>527</v>
      </c>
      <c r="D166" s="399" t="s">
        <v>48</v>
      </c>
      <c r="E166" s="423">
        <v>25677681.350000001</v>
      </c>
      <c r="F166" s="423">
        <v>29910000</v>
      </c>
      <c r="G166" s="424">
        <f t="shared" si="45"/>
        <v>0.85849820628552331</v>
      </c>
      <c r="H166" s="400">
        <f t="shared" si="46"/>
        <v>32597177</v>
      </c>
      <c r="I166" s="400">
        <v>37970000</v>
      </c>
      <c r="J166" s="401">
        <f t="shared" si="47"/>
        <v>0.85849820911245722</v>
      </c>
      <c r="K166" s="412" t="str">
        <f t="shared" si="48"/>
        <v>TYPE_8</v>
      </c>
      <c r="L166" s="401">
        <f>VLOOKUP(J166,[11]原始參數_115!E:F,2,1)</f>
        <v>1</v>
      </c>
      <c r="M166" s="401">
        <f>VLOOKUP(J166,[11]原始參數_115!E:G,3,1)</f>
        <v>1.1000000000000001</v>
      </c>
      <c r="N166" s="413">
        <f t="shared" si="49"/>
        <v>41770000</v>
      </c>
      <c r="O166" s="403">
        <f t="shared" si="50"/>
        <v>3.0690000000000001E-3</v>
      </c>
      <c r="P166" s="401">
        <f t="shared" si="51"/>
        <v>1</v>
      </c>
      <c r="Q166" s="413">
        <f t="shared" si="52"/>
        <v>41770000</v>
      </c>
      <c r="R166" s="413">
        <f t="shared" si="53"/>
        <v>0</v>
      </c>
      <c r="S166" s="413">
        <f t="shared" si="54"/>
        <v>41770000</v>
      </c>
      <c r="T166" s="403">
        <f t="shared" si="55"/>
        <v>4.267E-3</v>
      </c>
      <c r="U166" s="413">
        <f t="shared" si="56"/>
        <v>820000</v>
      </c>
      <c r="V166" s="413">
        <f t="shared" si="57"/>
        <v>820000</v>
      </c>
      <c r="W166" s="413">
        <f t="shared" si="58"/>
        <v>42590000</v>
      </c>
      <c r="X166" s="401">
        <f t="shared" si="59"/>
        <v>0.76537161305470769</v>
      </c>
      <c r="Y166" s="412" t="str">
        <f t="shared" si="60"/>
        <v>TYPE_8</v>
      </c>
      <c r="Z166" s="399" t="str">
        <f t="shared" si="61"/>
        <v>TYPE_3</v>
      </c>
      <c r="AA166" s="414">
        <f>VLOOKUP(Z166,[11]調整參數1_116!A:J,10,0)</f>
        <v>1.1499999999999999</v>
      </c>
      <c r="AB166" s="415">
        <f t="shared" si="62"/>
        <v>37490000</v>
      </c>
      <c r="AC166" s="413">
        <f t="shared" si="63"/>
        <v>-480000</v>
      </c>
      <c r="AD166" s="401">
        <f t="shared" si="64"/>
        <v>-1.2641559125625495E-2</v>
      </c>
      <c r="AE166" s="413">
        <f t="shared" si="65"/>
        <v>4892823</v>
      </c>
      <c r="AF166" s="401">
        <f t="shared" si="66"/>
        <v>0.15009959298009148</v>
      </c>
    </row>
    <row r="167" spans="1:32">
      <c r="A167" s="399">
        <v>708</v>
      </c>
      <c r="B167" s="399" t="s">
        <v>56</v>
      </c>
      <c r="C167" s="399" t="s">
        <v>523</v>
      </c>
      <c r="D167" s="399" t="s">
        <v>48</v>
      </c>
      <c r="E167" s="423">
        <v>26237412.899999999</v>
      </c>
      <c r="F167" s="423">
        <v>41972000</v>
      </c>
      <c r="G167" s="424">
        <f t="shared" si="45"/>
        <v>0.6251170518440865</v>
      </c>
      <c r="H167" s="400">
        <f t="shared" si="46"/>
        <v>33281232</v>
      </c>
      <c r="I167" s="400">
        <v>53240000</v>
      </c>
      <c r="J167" s="401">
        <f t="shared" si="47"/>
        <v>0.62511705484598046</v>
      </c>
      <c r="K167" s="412" t="str">
        <f t="shared" si="48"/>
        <v>TYPE_9</v>
      </c>
      <c r="L167" s="401">
        <f>VLOOKUP(J167,[11]原始參數_115!E:F,2,1)</f>
        <v>1</v>
      </c>
      <c r="M167" s="401">
        <f>VLOOKUP(J167,[11]原始參數_115!E:G,3,1)</f>
        <v>1.1499999999999999</v>
      </c>
      <c r="N167" s="413">
        <f t="shared" si="49"/>
        <v>61230000</v>
      </c>
      <c r="O167" s="403">
        <f t="shared" si="50"/>
        <v>4.4990000000000004E-3</v>
      </c>
      <c r="P167" s="401">
        <f t="shared" si="51"/>
        <v>1</v>
      </c>
      <c r="Q167" s="413">
        <f t="shared" si="52"/>
        <v>61230000</v>
      </c>
      <c r="R167" s="413">
        <f t="shared" si="53"/>
        <v>0</v>
      </c>
      <c r="S167" s="413">
        <f t="shared" si="54"/>
        <v>61230000</v>
      </c>
      <c r="T167" s="403">
        <f t="shared" si="55"/>
        <v>6.2550000000000001E-3</v>
      </c>
      <c r="U167" s="413">
        <f t="shared" si="56"/>
        <v>1200000</v>
      </c>
      <c r="V167" s="413">
        <f t="shared" si="57"/>
        <v>1200000</v>
      </c>
      <c r="W167" s="413">
        <f t="shared" si="58"/>
        <v>62430000</v>
      </c>
      <c r="X167" s="401">
        <f t="shared" si="59"/>
        <v>0.53309678039404129</v>
      </c>
      <c r="Y167" s="412" t="str">
        <f t="shared" si="60"/>
        <v>TYPE_9</v>
      </c>
      <c r="Z167" s="399" t="str">
        <f t="shared" si="61"/>
        <v>TYPE_4</v>
      </c>
      <c r="AA167" s="414">
        <f>VLOOKUP(Z167,[11]調整參數1_116!A:J,10,0)</f>
        <v>1.2</v>
      </c>
      <c r="AB167" s="415">
        <f t="shared" si="62"/>
        <v>39940000</v>
      </c>
      <c r="AC167" s="413">
        <f t="shared" si="63"/>
        <v>-13300000</v>
      </c>
      <c r="AD167" s="401">
        <f t="shared" si="64"/>
        <v>-0.24981217129977459</v>
      </c>
      <c r="AE167" s="413">
        <f t="shared" si="65"/>
        <v>6658768</v>
      </c>
      <c r="AF167" s="401">
        <f t="shared" si="66"/>
        <v>0.20007576642595443</v>
      </c>
    </row>
    <row r="168" spans="1:32">
      <c r="A168" s="399">
        <v>709</v>
      </c>
      <c r="B168" s="399" t="s">
        <v>204</v>
      </c>
      <c r="C168" s="399" t="s">
        <v>526</v>
      </c>
      <c r="D168" s="399" t="s">
        <v>48</v>
      </c>
      <c r="E168" s="423">
        <v>54836512.810000002</v>
      </c>
      <c r="F168" s="423">
        <v>46640000</v>
      </c>
      <c r="G168" s="424">
        <f t="shared" si="45"/>
        <v>1.1757399830617496</v>
      </c>
      <c r="H168" s="400">
        <f t="shared" si="46"/>
        <v>69568535</v>
      </c>
      <c r="I168" s="400">
        <v>59170000</v>
      </c>
      <c r="J168" s="401">
        <f t="shared" si="47"/>
        <v>1.175739986479635</v>
      </c>
      <c r="K168" s="412" t="str">
        <f t="shared" si="48"/>
        <v>TYPE_5</v>
      </c>
      <c r="L168" s="401">
        <f>VLOOKUP(J168,[11]原始參數_115!E:F,2,1)</f>
        <v>1.03</v>
      </c>
      <c r="M168" s="401">
        <f>VLOOKUP(J168,[11]原始參數_115!E:G,3,1)</f>
        <v>1</v>
      </c>
      <c r="N168" s="413">
        <f t="shared" si="49"/>
        <v>71660000</v>
      </c>
      <c r="O168" s="403">
        <f t="shared" si="50"/>
        <v>5.2649999999999997E-3</v>
      </c>
      <c r="P168" s="401">
        <f t="shared" si="51"/>
        <v>1</v>
      </c>
      <c r="Q168" s="413">
        <f t="shared" si="52"/>
        <v>71660000</v>
      </c>
      <c r="R168" s="413">
        <f t="shared" si="53"/>
        <v>0</v>
      </c>
      <c r="S168" s="413">
        <f t="shared" si="54"/>
        <v>71660000</v>
      </c>
      <c r="T168" s="403">
        <f t="shared" si="55"/>
        <v>7.3200000000000001E-3</v>
      </c>
      <c r="U168" s="413">
        <f t="shared" si="56"/>
        <v>1400000</v>
      </c>
      <c r="V168" s="413">
        <f t="shared" si="57"/>
        <v>1400000</v>
      </c>
      <c r="W168" s="413">
        <f t="shared" si="58"/>
        <v>73060000</v>
      </c>
      <c r="X168" s="401">
        <f t="shared" si="59"/>
        <v>0.952210990966329</v>
      </c>
      <c r="Y168" s="412" t="str">
        <f t="shared" si="60"/>
        <v>TYPE_7</v>
      </c>
      <c r="Z168" s="399" t="str">
        <f t="shared" si="61"/>
        <v>TYPE_2</v>
      </c>
      <c r="AA168" s="414">
        <f>VLOOKUP(Z168,[11]調整參數1_116!A:J,10,0)</f>
        <v>1.1000000000000001</v>
      </c>
      <c r="AB168" s="415">
        <f t="shared" si="62"/>
        <v>76530000</v>
      </c>
      <c r="AC168" s="413">
        <f t="shared" si="63"/>
        <v>17360000</v>
      </c>
      <c r="AD168" s="401">
        <f t="shared" si="64"/>
        <v>0.29339192158188271</v>
      </c>
      <c r="AE168" s="413">
        <f t="shared" si="65"/>
        <v>6961465</v>
      </c>
      <c r="AF168" s="401">
        <f t="shared" si="66"/>
        <v>0.10006628715122433</v>
      </c>
    </row>
    <row r="169" spans="1:32">
      <c r="A169" s="399">
        <v>710</v>
      </c>
      <c r="B169" s="399" t="s">
        <v>111</v>
      </c>
      <c r="C169" s="399" t="s">
        <v>521</v>
      </c>
      <c r="D169" s="399" t="s">
        <v>48</v>
      </c>
      <c r="E169" s="423">
        <v>73205386.209999993</v>
      </c>
      <c r="F169" s="423">
        <v>53823000</v>
      </c>
      <c r="G169" s="424">
        <f t="shared" si="45"/>
        <v>1.3601134498262824</v>
      </c>
      <c r="H169" s="400">
        <f t="shared" si="46"/>
        <v>92895749</v>
      </c>
      <c r="I169" s="400">
        <v>68300000</v>
      </c>
      <c r="J169" s="401">
        <f t="shared" si="47"/>
        <v>1.3601134553440704</v>
      </c>
      <c r="K169" s="412" t="str">
        <f t="shared" si="48"/>
        <v>TYPE_3</v>
      </c>
      <c r="L169" s="401">
        <f>VLOOKUP(J169,[11]原始參數_115!E:F,2,1)</f>
        <v>0.9</v>
      </c>
      <c r="M169" s="401">
        <f>VLOOKUP(J169,[11]原始參數_115!E:G,3,1)</f>
        <v>1</v>
      </c>
      <c r="N169" s="413">
        <f t="shared" si="49"/>
        <v>83610000</v>
      </c>
      <c r="O169" s="403">
        <f t="shared" si="50"/>
        <v>6.143E-3</v>
      </c>
      <c r="P169" s="401">
        <f t="shared" si="51"/>
        <v>1.2</v>
      </c>
      <c r="Q169" s="413">
        <f t="shared" si="52"/>
        <v>81960000</v>
      </c>
      <c r="R169" s="413">
        <f t="shared" si="53"/>
        <v>-1650000</v>
      </c>
      <c r="S169" s="413">
        <f t="shared" si="54"/>
        <v>0</v>
      </c>
      <c r="T169" s="403">
        <f t="shared" si="55"/>
        <v>0</v>
      </c>
      <c r="U169" s="413">
        <f t="shared" si="56"/>
        <v>0</v>
      </c>
      <c r="V169" s="413">
        <f t="shared" si="57"/>
        <v>-1650000</v>
      </c>
      <c r="W169" s="413">
        <f t="shared" si="58"/>
        <v>81960000</v>
      </c>
      <c r="X169" s="401">
        <f t="shared" si="59"/>
        <v>1.1334278794533919</v>
      </c>
      <c r="Y169" s="412" t="str">
        <f t="shared" si="60"/>
        <v>TYPE_5</v>
      </c>
      <c r="Z169" s="399" t="str">
        <f t="shared" si="61"/>
        <v>TYPE_1</v>
      </c>
      <c r="AA169" s="414">
        <f>VLOOKUP(Z169,[11]調整參數1_116!A:J,10,0)</f>
        <v>0.9</v>
      </c>
      <c r="AB169" s="415">
        <f t="shared" si="62"/>
        <v>83610000</v>
      </c>
      <c r="AC169" s="413">
        <f t="shared" si="63"/>
        <v>15310000</v>
      </c>
      <c r="AD169" s="401">
        <f t="shared" si="64"/>
        <v>0.22415812591508052</v>
      </c>
      <c r="AE169" s="413">
        <f t="shared" si="65"/>
        <v>-9285749</v>
      </c>
      <c r="AF169" s="401">
        <f t="shared" si="66"/>
        <v>-9.995881512296112E-2</v>
      </c>
    </row>
    <row r="170" spans="1:32">
      <c r="A170" s="399">
        <v>711</v>
      </c>
      <c r="B170" s="399" t="s">
        <v>205</v>
      </c>
      <c r="C170" s="399" t="s">
        <v>525</v>
      </c>
      <c r="D170" s="399" t="s">
        <v>48</v>
      </c>
      <c r="E170" s="423">
        <v>41698291.469999999</v>
      </c>
      <c r="F170" s="423">
        <v>41489000</v>
      </c>
      <c r="G170" s="424">
        <f t="shared" si="45"/>
        <v>1.0050445050495311</v>
      </c>
      <c r="H170" s="400">
        <f t="shared" si="46"/>
        <v>52915593</v>
      </c>
      <c r="I170" s="400">
        <v>52650000</v>
      </c>
      <c r="J170" s="401">
        <f t="shared" si="47"/>
        <v>1.0050445014245015</v>
      </c>
      <c r="K170" s="412" t="str">
        <f t="shared" si="48"/>
        <v>TYPE_6</v>
      </c>
      <c r="L170" s="401">
        <f>VLOOKUP(J170,[11]原始參數_115!E:F,2,1)</f>
        <v>1.05</v>
      </c>
      <c r="M170" s="401">
        <f>VLOOKUP(J170,[11]原始參數_115!E:G,3,1)</f>
        <v>1</v>
      </c>
      <c r="N170" s="413">
        <f t="shared" si="49"/>
        <v>55560000</v>
      </c>
      <c r="O170" s="403">
        <f t="shared" si="50"/>
        <v>4.0819999999999997E-3</v>
      </c>
      <c r="P170" s="401">
        <f t="shared" si="51"/>
        <v>1</v>
      </c>
      <c r="Q170" s="413">
        <f t="shared" si="52"/>
        <v>55560000</v>
      </c>
      <c r="R170" s="413">
        <f t="shared" si="53"/>
        <v>0</v>
      </c>
      <c r="S170" s="413">
        <f t="shared" si="54"/>
        <v>55560000</v>
      </c>
      <c r="T170" s="403">
        <f t="shared" si="55"/>
        <v>5.6750000000000004E-3</v>
      </c>
      <c r="U170" s="413">
        <f t="shared" si="56"/>
        <v>1090000</v>
      </c>
      <c r="V170" s="413">
        <f t="shared" si="57"/>
        <v>1090000</v>
      </c>
      <c r="W170" s="413">
        <f t="shared" si="58"/>
        <v>56650000</v>
      </c>
      <c r="X170" s="401">
        <f t="shared" si="59"/>
        <v>0.93407931156222423</v>
      </c>
      <c r="Y170" s="412" t="str">
        <f t="shared" si="60"/>
        <v>TYPE_7</v>
      </c>
      <c r="Z170" s="399" t="str">
        <f t="shared" si="61"/>
        <v>TYPE_2</v>
      </c>
      <c r="AA170" s="414">
        <f>VLOOKUP(Z170,[11]調整參數1_116!A:J,10,0)</f>
        <v>1.1000000000000001</v>
      </c>
      <c r="AB170" s="415">
        <f t="shared" si="62"/>
        <v>58210000</v>
      </c>
      <c r="AC170" s="413">
        <f t="shared" si="63"/>
        <v>5560000</v>
      </c>
      <c r="AD170" s="401">
        <f t="shared" si="64"/>
        <v>0.10560303893637227</v>
      </c>
      <c r="AE170" s="413">
        <f t="shared" si="65"/>
        <v>5294407</v>
      </c>
      <c r="AF170" s="401">
        <f t="shared" si="66"/>
        <v>0.1000538158950614</v>
      </c>
    </row>
    <row r="171" spans="1:32">
      <c r="A171" s="399">
        <v>712</v>
      </c>
      <c r="B171" s="399" t="s">
        <v>206</v>
      </c>
      <c r="C171" s="399" t="s">
        <v>527</v>
      </c>
      <c r="D171" s="399" t="s">
        <v>48</v>
      </c>
      <c r="E171" s="423">
        <v>15641799.52</v>
      </c>
      <c r="F171" s="423">
        <v>17613000</v>
      </c>
      <c r="G171" s="424">
        <f t="shared" si="45"/>
        <v>0.88808263895985917</v>
      </c>
      <c r="H171" s="400">
        <f t="shared" si="46"/>
        <v>19857528</v>
      </c>
      <c r="I171" s="400">
        <v>22360000</v>
      </c>
      <c r="J171" s="401">
        <f t="shared" si="47"/>
        <v>0.88808264758497313</v>
      </c>
      <c r="K171" s="412" t="str">
        <f t="shared" si="48"/>
        <v>TYPE_8</v>
      </c>
      <c r="L171" s="401">
        <f>VLOOKUP(J171,[11]原始參數_115!E:F,2,1)</f>
        <v>1</v>
      </c>
      <c r="M171" s="401">
        <f>VLOOKUP(J171,[11]原始參數_115!E:G,3,1)</f>
        <v>1.1000000000000001</v>
      </c>
      <c r="N171" s="413">
        <f t="shared" si="49"/>
        <v>24600000</v>
      </c>
      <c r="O171" s="403">
        <f t="shared" si="50"/>
        <v>1.807E-3</v>
      </c>
      <c r="P171" s="401">
        <f t="shared" si="51"/>
        <v>1</v>
      </c>
      <c r="Q171" s="413">
        <f t="shared" si="52"/>
        <v>24600000</v>
      </c>
      <c r="R171" s="413">
        <f t="shared" si="53"/>
        <v>0</v>
      </c>
      <c r="S171" s="413">
        <f t="shared" si="54"/>
        <v>24600000</v>
      </c>
      <c r="T171" s="403">
        <f t="shared" si="55"/>
        <v>2.513E-3</v>
      </c>
      <c r="U171" s="413">
        <f t="shared" si="56"/>
        <v>480000</v>
      </c>
      <c r="V171" s="413">
        <f t="shared" si="57"/>
        <v>480000</v>
      </c>
      <c r="W171" s="413">
        <f t="shared" si="58"/>
        <v>25080000</v>
      </c>
      <c r="X171" s="401">
        <f t="shared" si="59"/>
        <v>0.79176746411483256</v>
      </c>
      <c r="Y171" s="412" t="str">
        <f t="shared" si="60"/>
        <v>TYPE_8</v>
      </c>
      <c r="Z171" s="399" t="str">
        <f t="shared" si="61"/>
        <v>TYPE_3</v>
      </c>
      <c r="AA171" s="414">
        <f>VLOOKUP(Z171,[11]調整參數1_116!A:J,10,0)</f>
        <v>1.1499999999999999</v>
      </c>
      <c r="AB171" s="415">
        <f t="shared" si="62"/>
        <v>22840000</v>
      </c>
      <c r="AC171" s="413">
        <f t="shared" si="63"/>
        <v>480000</v>
      </c>
      <c r="AD171" s="401">
        <f t="shared" si="64"/>
        <v>2.1466905187835419E-2</v>
      </c>
      <c r="AE171" s="413">
        <f t="shared" si="65"/>
        <v>2982472</v>
      </c>
      <c r="AF171" s="401">
        <f t="shared" si="66"/>
        <v>0.15019351854873375</v>
      </c>
    </row>
    <row r="172" spans="1:32">
      <c r="A172" s="399">
        <v>719</v>
      </c>
      <c r="B172" s="399" t="s">
        <v>59</v>
      </c>
      <c r="C172" s="399" t="s">
        <v>522</v>
      </c>
      <c r="D172" s="399" t="s">
        <v>48</v>
      </c>
      <c r="E172" s="423">
        <v>65603097.380000003</v>
      </c>
      <c r="F172" s="423">
        <v>60291000</v>
      </c>
      <c r="G172" s="424">
        <f t="shared" si="45"/>
        <v>1.0881076343069447</v>
      </c>
      <c r="H172" s="400">
        <f t="shared" si="46"/>
        <v>83251115</v>
      </c>
      <c r="I172" s="400">
        <v>76510000</v>
      </c>
      <c r="J172" s="401">
        <f t="shared" si="47"/>
        <v>1.0881076329891517</v>
      </c>
      <c r="K172" s="412" t="str">
        <f t="shared" si="48"/>
        <v>TYPE_6</v>
      </c>
      <c r="L172" s="401">
        <f>VLOOKUP(J172,[11]原始參數_115!E:F,2,1)</f>
        <v>1.05</v>
      </c>
      <c r="M172" s="401">
        <f>VLOOKUP(J172,[11]原始參數_115!E:G,3,1)</f>
        <v>1</v>
      </c>
      <c r="N172" s="413">
        <f t="shared" si="49"/>
        <v>87410000</v>
      </c>
      <c r="O172" s="403">
        <f t="shared" si="50"/>
        <v>6.4219999999999998E-3</v>
      </c>
      <c r="P172" s="401">
        <f t="shared" si="51"/>
        <v>1</v>
      </c>
      <c r="Q172" s="413">
        <f t="shared" si="52"/>
        <v>87410000</v>
      </c>
      <c r="R172" s="413">
        <f t="shared" si="53"/>
        <v>0</v>
      </c>
      <c r="S172" s="413">
        <f t="shared" si="54"/>
        <v>87410000</v>
      </c>
      <c r="T172" s="403">
        <f t="shared" si="55"/>
        <v>8.9289999999999994E-3</v>
      </c>
      <c r="U172" s="413">
        <f t="shared" si="56"/>
        <v>1710000</v>
      </c>
      <c r="V172" s="413">
        <f t="shared" si="57"/>
        <v>1710000</v>
      </c>
      <c r="W172" s="413">
        <f t="shared" si="58"/>
        <v>89120000</v>
      </c>
      <c r="X172" s="401">
        <f t="shared" si="59"/>
        <v>0.93414626346499108</v>
      </c>
      <c r="Y172" s="412" t="str">
        <f t="shared" si="60"/>
        <v>TYPE_7</v>
      </c>
      <c r="Z172" s="399" t="str">
        <f t="shared" si="61"/>
        <v>TYPE_2</v>
      </c>
      <c r="AA172" s="414">
        <f>VLOOKUP(Z172,[11]調整參數1_116!A:J,10,0)</f>
        <v>1.1000000000000001</v>
      </c>
      <c r="AB172" s="415">
        <f t="shared" si="62"/>
        <v>91580000</v>
      </c>
      <c r="AC172" s="413">
        <f t="shared" si="63"/>
        <v>15070000</v>
      </c>
      <c r="AD172" s="401">
        <f t="shared" si="64"/>
        <v>0.19696771663834792</v>
      </c>
      <c r="AE172" s="413">
        <f t="shared" si="65"/>
        <v>8328885</v>
      </c>
      <c r="AF172" s="401">
        <f t="shared" si="66"/>
        <v>0.10004532672024873</v>
      </c>
    </row>
    <row r="173" spans="1:32">
      <c r="A173" s="399">
        <v>720</v>
      </c>
      <c r="B173" s="399" t="s">
        <v>112</v>
      </c>
      <c r="C173" s="399" t="s">
        <v>524</v>
      </c>
      <c r="D173" s="399" t="s">
        <v>48</v>
      </c>
      <c r="E173" s="423">
        <v>54689286.159999996</v>
      </c>
      <c r="F173" s="423">
        <v>51920000</v>
      </c>
      <c r="G173" s="424">
        <f t="shared" si="45"/>
        <v>1.0533375608628659</v>
      </c>
      <c r="H173" s="400">
        <f t="shared" si="46"/>
        <v>69404412</v>
      </c>
      <c r="I173" s="400">
        <v>65890000</v>
      </c>
      <c r="J173" s="401">
        <f t="shared" si="47"/>
        <v>1.0533375626043406</v>
      </c>
      <c r="K173" s="412" t="str">
        <f t="shared" si="48"/>
        <v>TYPE_6</v>
      </c>
      <c r="L173" s="401">
        <f>VLOOKUP(J173,[11]原始參數_115!E:F,2,1)</f>
        <v>1.05</v>
      </c>
      <c r="M173" s="401">
        <f>VLOOKUP(J173,[11]原始參數_115!E:G,3,1)</f>
        <v>1</v>
      </c>
      <c r="N173" s="413">
        <f t="shared" si="49"/>
        <v>72870000</v>
      </c>
      <c r="O173" s="403">
        <f t="shared" si="50"/>
        <v>5.3540000000000003E-3</v>
      </c>
      <c r="P173" s="401">
        <f t="shared" si="51"/>
        <v>1</v>
      </c>
      <c r="Q173" s="413">
        <f t="shared" si="52"/>
        <v>72870000</v>
      </c>
      <c r="R173" s="413">
        <f t="shared" si="53"/>
        <v>0</v>
      </c>
      <c r="S173" s="413">
        <f t="shared" si="54"/>
        <v>72870000</v>
      </c>
      <c r="T173" s="403">
        <f t="shared" si="55"/>
        <v>7.4440000000000001E-3</v>
      </c>
      <c r="U173" s="413">
        <f t="shared" si="56"/>
        <v>1420000</v>
      </c>
      <c r="V173" s="413">
        <f t="shared" si="57"/>
        <v>1420000</v>
      </c>
      <c r="W173" s="413">
        <f t="shared" si="58"/>
        <v>74290000</v>
      </c>
      <c r="X173" s="401">
        <f t="shared" si="59"/>
        <v>0.93423626329250231</v>
      </c>
      <c r="Y173" s="412" t="str">
        <f t="shared" si="60"/>
        <v>TYPE_7</v>
      </c>
      <c r="Z173" s="399" t="str">
        <f t="shared" si="61"/>
        <v>TYPE_2</v>
      </c>
      <c r="AA173" s="414">
        <f>VLOOKUP(Z173,[11]調整參數1_116!A:J,10,0)</f>
        <v>1.1000000000000001</v>
      </c>
      <c r="AB173" s="415">
        <f t="shared" si="62"/>
        <v>76340000</v>
      </c>
      <c r="AC173" s="413">
        <f t="shared" si="63"/>
        <v>10450000</v>
      </c>
      <c r="AD173" s="401">
        <f t="shared" si="64"/>
        <v>0.15859766277128548</v>
      </c>
      <c r="AE173" s="413">
        <f t="shared" si="65"/>
        <v>6935588</v>
      </c>
      <c r="AF173" s="401">
        <f t="shared" si="66"/>
        <v>9.9930073609729594E-2</v>
      </c>
    </row>
    <row r="174" spans="1:32">
      <c r="A174" s="399">
        <v>721</v>
      </c>
      <c r="B174" s="399" t="s">
        <v>60</v>
      </c>
      <c r="C174" s="399" t="s">
        <v>524</v>
      </c>
      <c r="D174" s="399" t="s">
        <v>48</v>
      </c>
      <c r="E174" s="423">
        <v>34147039.240000002</v>
      </c>
      <c r="F174" s="423">
        <v>43242000</v>
      </c>
      <c r="G174" s="424">
        <f t="shared" si="45"/>
        <v>0.78967298552333387</v>
      </c>
      <c r="H174" s="400">
        <f t="shared" si="46"/>
        <v>43329357</v>
      </c>
      <c r="I174" s="400">
        <v>54870000</v>
      </c>
      <c r="J174" s="401">
        <f t="shared" si="47"/>
        <v>0.78967299070530339</v>
      </c>
      <c r="K174" s="412" t="str">
        <f t="shared" si="48"/>
        <v>TYPE_8</v>
      </c>
      <c r="L174" s="401">
        <f>VLOOKUP(J174,[11]原始參數_115!E:F,2,1)</f>
        <v>1</v>
      </c>
      <c r="M174" s="401">
        <f>VLOOKUP(J174,[11]原始參數_115!E:G,3,1)</f>
        <v>1.1000000000000001</v>
      </c>
      <c r="N174" s="413">
        <f t="shared" si="49"/>
        <v>60360000</v>
      </c>
      <c r="O174" s="403">
        <f t="shared" si="50"/>
        <v>4.4349999999999997E-3</v>
      </c>
      <c r="P174" s="401">
        <f t="shared" si="51"/>
        <v>1</v>
      </c>
      <c r="Q174" s="413">
        <f t="shared" si="52"/>
        <v>60360000</v>
      </c>
      <c r="R174" s="413">
        <f t="shared" si="53"/>
        <v>0</v>
      </c>
      <c r="S174" s="413">
        <f t="shared" si="54"/>
        <v>60360000</v>
      </c>
      <c r="T174" s="403">
        <f t="shared" si="55"/>
        <v>6.1659999999999996E-3</v>
      </c>
      <c r="U174" s="413">
        <f t="shared" si="56"/>
        <v>1180000</v>
      </c>
      <c r="V174" s="413">
        <f t="shared" si="57"/>
        <v>1180000</v>
      </c>
      <c r="W174" s="413">
        <f t="shared" si="58"/>
        <v>61540000</v>
      </c>
      <c r="X174" s="401">
        <f t="shared" si="59"/>
        <v>0.70408444913877155</v>
      </c>
      <c r="Y174" s="412" t="str">
        <f t="shared" si="60"/>
        <v>TYPE_9</v>
      </c>
      <c r="Z174" s="399" t="str">
        <f t="shared" si="61"/>
        <v>TYPE_3</v>
      </c>
      <c r="AA174" s="414">
        <f>VLOOKUP(Z174,[11]調整參數1_116!A:J,10,0)</f>
        <v>1.1499999999999999</v>
      </c>
      <c r="AB174" s="415">
        <f t="shared" si="62"/>
        <v>49830000</v>
      </c>
      <c r="AC174" s="413">
        <f t="shared" si="63"/>
        <v>-5040000</v>
      </c>
      <c r="AD174" s="401">
        <f t="shared" si="64"/>
        <v>-9.1853471842536907E-2</v>
      </c>
      <c r="AE174" s="413">
        <f t="shared" si="65"/>
        <v>6500643</v>
      </c>
      <c r="AF174" s="401">
        <f t="shared" si="66"/>
        <v>0.1500286053171756</v>
      </c>
    </row>
    <row r="175" spans="1:32">
      <c r="A175" s="399">
        <v>722</v>
      </c>
      <c r="B175" s="399" t="s">
        <v>61</v>
      </c>
      <c r="C175" s="399" t="s">
        <v>526</v>
      </c>
      <c r="D175" s="399" t="s">
        <v>48</v>
      </c>
      <c r="E175" s="423">
        <v>25679663.510000002</v>
      </c>
      <c r="F175" s="423">
        <v>26378000</v>
      </c>
      <c r="G175" s="424">
        <f t="shared" si="45"/>
        <v>0.97352579839260001</v>
      </c>
      <c r="H175" s="400">
        <f t="shared" si="46"/>
        <v>32593644</v>
      </c>
      <c r="I175" s="400">
        <v>33480000</v>
      </c>
      <c r="J175" s="401">
        <f t="shared" si="47"/>
        <v>0.97352580645161291</v>
      </c>
      <c r="K175" s="412" t="str">
        <f t="shared" si="48"/>
        <v>TYPE_7</v>
      </c>
      <c r="L175" s="401">
        <f>VLOOKUP(J175,[11]原始參數_115!E:F,2,1)</f>
        <v>1</v>
      </c>
      <c r="M175" s="401">
        <f>VLOOKUP(J175,[11]原始參數_115!E:G,3,1)</f>
        <v>1.05</v>
      </c>
      <c r="N175" s="413">
        <f t="shared" si="49"/>
        <v>35150000</v>
      </c>
      <c r="O175" s="403">
        <f t="shared" si="50"/>
        <v>2.5829999999999998E-3</v>
      </c>
      <c r="P175" s="401">
        <f t="shared" si="51"/>
        <v>1</v>
      </c>
      <c r="Q175" s="413">
        <f t="shared" si="52"/>
        <v>35150000</v>
      </c>
      <c r="R175" s="413">
        <f t="shared" si="53"/>
        <v>0</v>
      </c>
      <c r="S175" s="413">
        <f t="shared" si="54"/>
        <v>35150000</v>
      </c>
      <c r="T175" s="403">
        <f t="shared" si="55"/>
        <v>3.591E-3</v>
      </c>
      <c r="U175" s="413">
        <f t="shared" si="56"/>
        <v>690000</v>
      </c>
      <c r="V175" s="413">
        <f t="shared" si="57"/>
        <v>690000</v>
      </c>
      <c r="W175" s="413">
        <f t="shared" si="58"/>
        <v>35840000</v>
      </c>
      <c r="X175" s="401">
        <f t="shared" si="59"/>
        <v>0.9094208705357143</v>
      </c>
      <c r="Y175" s="412" t="str">
        <f t="shared" si="60"/>
        <v>TYPE_7</v>
      </c>
      <c r="Z175" s="399" t="str">
        <f t="shared" si="61"/>
        <v>TYPE_3</v>
      </c>
      <c r="AA175" s="414">
        <f>VLOOKUP(Z175,[11]調整參數1_116!A:J,10,0)</f>
        <v>1.1499999999999999</v>
      </c>
      <c r="AB175" s="415">
        <f t="shared" si="62"/>
        <v>37480000</v>
      </c>
      <c r="AC175" s="413">
        <f t="shared" si="63"/>
        <v>4000000</v>
      </c>
      <c r="AD175" s="401">
        <f t="shared" si="64"/>
        <v>0.11947431302270012</v>
      </c>
      <c r="AE175" s="413">
        <f t="shared" si="65"/>
        <v>4886356</v>
      </c>
      <c r="AF175" s="401">
        <f t="shared" si="66"/>
        <v>0.14991745016298269</v>
      </c>
    </row>
    <row r="176" spans="1:32">
      <c r="A176" s="399">
        <v>751</v>
      </c>
      <c r="B176" s="399" t="s">
        <v>62</v>
      </c>
      <c r="C176" s="399" t="s">
        <v>526</v>
      </c>
      <c r="D176" s="399" t="s">
        <v>48</v>
      </c>
      <c r="E176" s="423">
        <v>30826153.140000001</v>
      </c>
      <c r="F176" s="423">
        <v>34066000</v>
      </c>
      <c r="G176" s="424">
        <f t="shared" si="45"/>
        <v>0.90489500205483475</v>
      </c>
      <c r="H176" s="400">
        <f t="shared" si="46"/>
        <v>39118611</v>
      </c>
      <c r="I176" s="400">
        <v>43230000</v>
      </c>
      <c r="J176" s="401">
        <f t="shared" si="47"/>
        <v>0.90489500346981266</v>
      </c>
      <c r="K176" s="412" t="str">
        <f t="shared" si="48"/>
        <v>TYPE_7</v>
      </c>
      <c r="L176" s="401">
        <f>VLOOKUP(J176,[11]原始參數_115!E:F,2,1)</f>
        <v>1</v>
      </c>
      <c r="M176" s="401">
        <f>VLOOKUP(J176,[11]原始參數_115!E:G,3,1)</f>
        <v>1.05</v>
      </c>
      <c r="N176" s="413">
        <f t="shared" si="49"/>
        <v>45390000</v>
      </c>
      <c r="O176" s="403">
        <f t="shared" si="50"/>
        <v>3.3349999999999999E-3</v>
      </c>
      <c r="P176" s="401">
        <f t="shared" si="51"/>
        <v>1</v>
      </c>
      <c r="Q176" s="413">
        <f t="shared" si="52"/>
        <v>45390000</v>
      </c>
      <c r="R176" s="413">
        <f t="shared" si="53"/>
        <v>0</v>
      </c>
      <c r="S176" s="413">
        <f t="shared" si="54"/>
        <v>45390000</v>
      </c>
      <c r="T176" s="403">
        <f t="shared" si="55"/>
        <v>4.6369999999999996E-3</v>
      </c>
      <c r="U176" s="413">
        <f t="shared" si="56"/>
        <v>890000</v>
      </c>
      <c r="V176" s="413">
        <f t="shared" si="57"/>
        <v>890000</v>
      </c>
      <c r="W176" s="413">
        <f t="shared" si="58"/>
        <v>46280000</v>
      </c>
      <c r="X176" s="401">
        <f t="shared" si="59"/>
        <v>0.84525952895419187</v>
      </c>
      <c r="Y176" s="412" t="str">
        <f t="shared" si="60"/>
        <v>TYPE_8</v>
      </c>
      <c r="Z176" s="399" t="str">
        <f t="shared" si="61"/>
        <v>TYPE_3</v>
      </c>
      <c r="AA176" s="414">
        <f>VLOOKUP(Z176,[11]調整參數1_116!A:J,10,0)</f>
        <v>1.1499999999999999</v>
      </c>
      <c r="AB176" s="415">
        <f t="shared" si="62"/>
        <v>44990000</v>
      </c>
      <c r="AC176" s="413">
        <f t="shared" si="63"/>
        <v>1760000</v>
      </c>
      <c r="AD176" s="401">
        <f t="shared" si="64"/>
        <v>4.0712468193384227E-2</v>
      </c>
      <c r="AE176" s="413">
        <f t="shared" si="65"/>
        <v>5871389</v>
      </c>
      <c r="AF176" s="401">
        <f t="shared" si="66"/>
        <v>0.15009196006473746</v>
      </c>
    </row>
    <row r="177" spans="1:32">
      <c r="A177" s="399">
        <v>752</v>
      </c>
      <c r="B177" s="399" t="s">
        <v>63</v>
      </c>
      <c r="C177" s="399" t="s">
        <v>524</v>
      </c>
      <c r="D177" s="399" t="s">
        <v>48</v>
      </c>
      <c r="E177" s="423">
        <v>54101980.310000002</v>
      </c>
      <c r="F177" s="423">
        <v>47658000</v>
      </c>
      <c r="G177" s="424">
        <f t="shared" si="45"/>
        <v>1.1352129822904864</v>
      </c>
      <c r="H177" s="400">
        <f t="shared" si="46"/>
        <v>68646329</v>
      </c>
      <c r="I177" s="400">
        <v>60470000</v>
      </c>
      <c r="J177" s="401">
        <f t="shared" si="47"/>
        <v>1.1352129816437904</v>
      </c>
      <c r="K177" s="412" t="str">
        <f t="shared" si="48"/>
        <v>TYPE_5</v>
      </c>
      <c r="L177" s="401">
        <f>VLOOKUP(J177,[11]原始參數_115!E:F,2,1)</f>
        <v>1.03</v>
      </c>
      <c r="M177" s="401">
        <f>VLOOKUP(J177,[11]原始參數_115!E:G,3,1)</f>
        <v>1</v>
      </c>
      <c r="N177" s="413">
        <f t="shared" si="49"/>
        <v>70710000</v>
      </c>
      <c r="O177" s="403">
        <f t="shared" si="50"/>
        <v>5.195E-3</v>
      </c>
      <c r="P177" s="401">
        <f t="shared" si="51"/>
        <v>1</v>
      </c>
      <c r="Q177" s="413">
        <f t="shared" si="52"/>
        <v>70710000</v>
      </c>
      <c r="R177" s="413">
        <f t="shared" si="53"/>
        <v>0</v>
      </c>
      <c r="S177" s="413">
        <f t="shared" si="54"/>
        <v>70710000</v>
      </c>
      <c r="T177" s="403">
        <f t="shared" si="55"/>
        <v>7.2230000000000003E-3</v>
      </c>
      <c r="U177" s="413">
        <f t="shared" si="56"/>
        <v>1380000</v>
      </c>
      <c r="V177" s="413">
        <f t="shared" si="57"/>
        <v>1380000</v>
      </c>
      <c r="W177" s="413">
        <f t="shared" si="58"/>
        <v>72090000</v>
      </c>
      <c r="X177" s="401">
        <f t="shared" si="59"/>
        <v>0.95223094742682757</v>
      </c>
      <c r="Y177" s="412" t="str">
        <f t="shared" si="60"/>
        <v>TYPE_7</v>
      </c>
      <c r="Z177" s="399" t="str">
        <f t="shared" si="61"/>
        <v>TYPE_2</v>
      </c>
      <c r="AA177" s="414">
        <f>VLOOKUP(Z177,[11]調整參數1_116!A:J,10,0)</f>
        <v>1.1000000000000001</v>
      </c>
      <c r="AB177" s="415">
        <f t="shared" si="62"/>
        <v>75510000</v>
      </c>
      <c r="AC177" s="413">
        <f t="shared" si="63"/>
        <v>15040000</v>
      </c>
      <c r="AD177" s="401">
        <f t="shared" si="64"/>
        <v>0.2487183727468166</v>
      </c>
      <c r="AE177" s="413">
        <f t="shared" si="65"/>
        <v>6863671</v>
      </c>
      <c r="AF177" s="401">
        <f t="shared" si="66"/>
        <v>9.9985987597384848E-2</v>
      </c>
    </row>
    <row r="178" spans="1:32">
      <c r="A178" s="399">
        <v>753</v>
      </c>
      <c r="B178" s="399" t="s">
        <v>207</v>
      </c>
      <c r="C178" s="399" t="s">
        <v>526</v>
      </c>
      <c r="D178" s="399" t="s">
        <v>48</v>
      </c>
      <c r="E178" s="423">
        <v>49130182.369999997</v>
      </c>
      <c r="F178" s="423">
        <v>33590000</v>
      </c>
      <c r="G178" s="424">
        <f t="shared" si="45"/>
        <v>1.4626431190830604</v>
      </c>
      <c r="H178" s="400">
        <f t="shared" si="46"/>
        <v>62337850</v>
      </c>
      <c r="I178" s="400">
        <v>42620000</v>
      </c>
      <c r="J178" s="401">
        <f t="shared" si="47"/>
        <v>1.4626431252932894</v>
      </c>
      <c r="K178" s="412" t="str">
        <f t="shared" si="48"/>
        <v>TYPE_3</v>
      </c>
      <c r="L178" s="401">
        <f>VLOOKUP(J178,[11]原始參數_115!E:F,2,1)</f>
        <v>0.9</v>
      </c>
      <c r="M178" s="401">
        <f>VLOOKUP(J178,[11]原始參數_115!E:G,3,1)</f>
        <v>1</v>
      </c>
      <c r="N178" s="413">
        <f t="shared" si="49"/>
        <v>56100000</v>
      </c>
      <c r="O178" s="403">
        <f t="shared" si="50"/>
        <v>4.1219999999999998E-3</v>
      </c>
      <c r="P178" s="401">
        <f t="shared" si="51"/>
        <v>1.2</v>
      </c>
      <c r="Q178" s="413">
        <f t="shared" si="52"/>
        <v>51140000</v>
      </c>
      <c r="R178" s="413">
        <f t="shared" si="53"/>
        <v>-4960000</v>
      </c>
      <c r="S178" s="413">
        <f t="shared" si="54"/>
        <v>0</v>
      </c>
      <c r="T178" s="403">
        <f t="shared" si="55"/>
        <v>0</v>
      </c>
      <c r="U178" s="413">
        <f t="shared" si="56"/>
        <v>0</v>
      </c>
      <c r="V178" s="413">
        <f t="shared" si="57"/>
        <v>-4960000</v>
      </c>
      <c r="W178" s="413">
        <f t="shared" si="58"/>
        <v>51140000</v>
      </c>
      <c r="X178" s="401">
        <f t="shared" si="59"/>
        <v>1.2189646069612827</v>
      </c>
      <c r="Y178" s="412" t="str">
        <f t="shared" si="60"/>
        <v>TYPE_4</v>
      </c>
      <c r="Z178" s="399" t="str">
        <f t="shared" si="61"/>
        <v>TYPE_1</v>
      </c>
      <c r="AA178" s="414">
        <f>VLOOKUP(Z178,[11]調整參數1_116!A:J,10,0)</f>
        <v>0.9</v>
      </c>
      <c r="AB178" s="415">
        <f t="shared" si="62"/>
        <v>56100000</v>
      </c>
      <c r="AC178" s="413">
        <f t="shared" si="63"/>
        <v>13480000</v>
      </c>
      <c r="AD178" s="401">
        <f t="shared" si="64"/>
        <v>0.31628343500703893</v>
      </c>
      <c r="AE178" s="413">
        <f t="shared" si="65"/>
        <v>-6237850</v>
      </c>
      <c r="AF178" s="401">
        <f t="shared" si="66"/>
        <v>-0.1000652091786932</v>
      </c>
    </row>
    <row r="179" spans="1:32" s="422" customFormat="1">
      <c r="A179" s="416">
        <v>760</v>
      </c>
      <c r="B179" s="416" t="s">
        <v>64</v>
      </c>
      <c r="C179" s="416" t="s">
        <v>524</v>
      </c>
      <c r="D179" s="416" t="s">
        <v>48</v>
      </c>
      <c r="E179" s="423">
        <f>E191+E192</f>
        <v>57869506.700000003</v>
      </c>
      <c r="F179" s="423">
        <f>F191+F192</f>
        <v>69695000</v>
      </c>
      <c r="G179" s="424">
        <f t="shared" si="45"/>
        <v>0.83032508357844903</v>
      </c>
      <c r="H179" s="417">
        <f t="shared" si="46"/>
        <v>73417344</v>
      </c>
      <c r="I179" s="417">
        <f>I191+I192</f>
        <v>88420000</v>
      </c>
      <c r="J179" s="418">
        <f t="shared" si="47"/>
        <v>0.83032508482243839</v>
      </c>
      <c r="K179" s="419" t="str">
        <f t="shared" si="48"/>
        <v>TYPE_8</v>
      </c>
      <c r="L179" s="418">
        <f>VLOOKUP(J179,[11]原始參數_115!E:F,2,1)</f>
        <v>1</v>
      </c>
      <c r="M179" s="418">
        <f>VLOOKUP(J179,[11]原始參數_115!E:G,3,1)</f>
        <v>1.1000000000000001</v>
      </c>
      <c r="N179" s="420">
        <f t="shared" si="49"/>
        <v>97260000</v>
      </c>
      <c r="O179" s="421">
        <f t="shared" si="50"/>
        <v>7.1459999999999996E-3</v>
      </c>
      <c r="P179" s="418">
        <f t="shared" si="51"/>
        <v>1</v>
      </c>
      <c r="Q179" s="420">
        <f t="shared" si="52"/>
        <v>97260000</v>
      </c>
      <c r="R179" s="420">
        <f t="shared" si="53"/>
        <v>0</v>
      </c>
      <c r="S179" s="420">
        <f t="shared" si="54"/>
        <v>97260000</v>
      </c>
      <c r="T179" s="421">
        <f t="shared" si="55"/>
        <v>9.9349999999999994E-3</v>
      </c>
      <c r="U179" s="420">
        <f t="shared" si="56"/>
        <v>1900000</v>
      </c>
      <c r="V179" s="420">
        <f t="shared" si="57"/>
        <v>1900000</v>
      </c>
      <c r="W179" s="420">
        <f t="shared" si="58"/>
        <v>99160000</v>
      </c>
      <c r="X179" s="418">
        <f t="shared" si="59"/>
        <v>0.74039273900766434</v>
      </c>
      <c r="Y179" s="419" t="str">
        <f t="shared" si="60"/>
        <v>TYPE_9</v>
      </c>
      <c r="Z179" s="416" t="str">
        <f t="shared" si="61"/>
        <v>TYPE_3</v>
      </c>
      <c r="AA179" s="414">
        <f>VLOOKUP(Z179,[11]調整參數1_116!A:J,10,0)</f>
        <v>1.1499999999999999</v>
      </c>
      <c r="AB179" s="415">
        <f t="shared" si="62"/>
        <v>84430000</v>
      </c>
      <c r="AC179" s="413">
        <f t="shared" si="63"/>
        <v>-3990000</v>
      </c>
      <c r="AD179" s="401">
        <f t="shared" si="64"/>
        <v>-4.5125537208776295E-2</v>
      </c>
      <c r="AE179" s="413">
        <f t="shared" si="65"/>
        <v>11012656</v>
      </c>
      <c r="AF179" s="401">
        <f t="shared" si="66"/>
        <v>0.15000074096932736</v>
      </c>
    </row>
    <row r="180" spans="1:32">
      <c r="A180" s="399">
        <v>800</v>
      </c>
      <c r="B180" s="399" t="s">
        <v>66</v>
      </c>
      <c r="C180" s="399" t="s">
        <v>526</v>
      </c>
      <c r="D180" s="399" t="s">
        <v>48</v>
      </c>
      <c r="E180" s="423">
        <v>53995804.490000002</v>
      </c>
      <c r="F180" s="423">
        <v>48534000</v>
      </c>
      <c r="G180" s="424">
        <f t="shared" si="45"/>
        <v>1.1125356346066675</v>
      </c>
      <c r="H180" s="400">
        <f t="shared" si="46"/>
        <v>68532195</v>
      </c>
      <c r="I180" s="400">
        <v>61600000</v>
      </c>
      <c r="J180" s="401">
        <f t="shared" si="47"/>
        <v>1.1125356331168832</v>
      </c>
      <c r="K180" s="412" t="str">
        <f t="shared" si="48"/>
        <v>TYPE_5</v>
      </c>
      <c r="L180" s="401">
        <f>VLOOKUP(J180,[11]原始參數_115!E:F,2,1)</f>
        <v>1.03</v>
      </c>
      <c r="M180" s="401">
        <f>VLOOKUP(J180,[11]原始參數_115!E:G,3,1)</f>
        <v>1</v>
      </c>
      <c r="N180" s="413">
        <f t="shared" si="49"/>
        <v>70590000</v>
      </c>
      <c r="O180" s="403">
        <f t="shared" si="50"/>
        <v>5.1869999999999998E-3</v>
      </c>
      <c r="P180" s="401">
        <f t="shared" si="51"/>
        <v>1</v>
      </c>
      <c r="Q180" s="413">
        <f t="shared" si="52"/>
        <v>70590000</v>
      </c>
      <c r="R180" s="413">
        <f t="shared" si="53"/>
        <v>0</v>
      </c>
      <c r="S180" s="413">
        <f t="shared" si="54"/>
        <v>70590000</v>
      </c>
      <c r="T180" s="403">
        <f t="shared" si="55"/>
        <v>7.2110000000000004E-3</v>
      </c>
      <c r="U180" s="413">
        <f t="shared" si="56"/>
        <v>1380000</v>
      </c>
      <c r="V180" s="413">
        <f t="shared" si="57"/>
        <v>1380000</v>
      </c>
      <c r="W180" s="413">
        <f t="shared" si="58"/>
        <v>71970000</v>
      </c>
      <c r="X180" s="401">
        <f t="shared" si="59"/>
        <v>0.95223280533555643</v>
      </c>
      <c r="Y180" s="412" t="str">
        <f t="shared" si="60"/>
        <v>TYPE_7</v>
      </c>
      <c r="Z180" s="399" t="str">
        <f t="shared" si="61"/>
        <v>TYPE_2</v>
      </c>
      <c r="AA180" s="414">
        <f>VLOOKUP(Z180,[11]調整參數1_116!A:J,10,0)</f>
        <v>1.1000000000000001</v>
      </c>
      <c r="AB180" s="415">
        <f t="shared" si="62"/>
        <v>75390000</v>
      </c>
      <c r="AC180" s="413">
        <f t="shared" si="63"/>
        <v>13790000</v>
      </c>
      <c r="AD180" s="401">
        <f t="shared" si="64"/>
        <v>0.22386363636363638</v>
      </c>
      <c r="AE180" s="413">
        <f t="shared" si="65"/>
        <v>6857805</v>
      </c>
      <c r="AF180" s="401">
        <f t="shared" si="66"/>
        <v>0.10006691015806513</v>
      </c>
    </row>
    <row r="181" spans="1:32">
      <c r="A181" s="399">
        <v>801</v>
      </c>
      <c r="B181" s="399" t="s">
        <v>67</v>
      </c>
      <c r="C181" s="399" t="s">
        <v>525</v>
      </c>
      <c r="D181" s="399" t="s">
        <v>48</v>
      </c>
      <c r="E181" s="423">
        <v>82143707.390000001</v>
      </c>
      <c r="F181" s="423">
        <v>71126000</v>
      </c>
      <c r="G181" s="424">
        <f t="shared" si="45"/>
        <v>1.1549040771307257</v>
      </c>
      <c r="H181" s="400">
        <f t="shared" si="46"/>
        <v>104230093</v>
      </c>
      <c r="I181" s="400">
        <v>90250000</v>
      </c>
      <c r="J181" s="401">
        <f t="shared" si="47"/>
        <v>1.1549040775623269</v>
      </c>
      <c r="K181" s="412" t="str">
        <f t="shared" si="48"/>
        <v>TYPE_5</v>
      </c>
      <c r="L181" s="401">
        <f>VLOOKUP(J181,[11]原始參數_115!E:F,2,1)</f>
        <v>1.03</v>
      </c>
      <c r="M181" s="401">
        <f>VLOOKUP(J181,[11]原始參數_115!E:G,3,1)</f>
        <v>1</v>
      </c>
      <c r="N181" s="413">
        <f t="shared" si="49"/>
        <v>107360000</v>
      </c>
      <c r="O181" s="403">
        <f t="shared" si="50"/>
        <v>7.8879999999999992E-3</v>
      </c>
      <c r="P181" s="401">
        <f t="shared" si="51"/>
        <v>1</v>
      </c>
      <c r="Q181" s="413">
        <f t="shared" si="52"/>
        <v>107360000</v>
      </c>
      <c r="R181" s="413">
        <f t="shared" si="53"/>
        <v>0</v>
      </c>
      <c r="S181" s="413">
        <f t="shared" si="54"/>
        <v>107360000</v>
      </c>
      <c r="T181" s="403">
        <f t="shared" si="55"/>
        <v>1.0966999999999999E-2</v>
      </c>
      <c r="U181" s="413">
        <f t="shared" si="56"/>
        <v>2100000</v>
      </c>
      <c r="V181" s="413">
        <f t="shared" si="57"/>
        <v>2100000</v>
      </c>
      <c r="W181" s="413">
        <f t="shared" si="58"/>
        <v>109460000</v>
      </c>
      <c r="X181" s="401">
        <f t="shared" si="59"/>
        <v>0.95222083866252516</v>
      </c>
      <c r="Y181" s="412" t="str">
        <f t="shared" si="60"/>
        <v>TYPE_7</v>
      </c>
      <c r="Z181" s="399" t="str">
        <f t="shared" si="61"/>
        <v>TYPE_2</v>
      </c>
      <c r="AA181" s="414">
        <f>VLOOKUP(Z181,[11]調整參數1_116!A:J,10,0)</f>
        <v>1.1000000000000001</v>
      </c>
      <c r="AB181" s="415">
        <f t="shared" si="62"/>
        <v>114650000</v>
      </c>
      <c r="AC181" s="413">
        <f t="shared" si="63"/>
        <v>24400000</v>
      </c>
      <c r="AD181" s="401">
        <f t="shared" si="64"/>
        <v>0.27036011080332412</v>
      </c>
      <c r="AE181" s="413">
        <f t="shared" si="65"/>
        <v>10419907</v>
      </c>
      <c r="AF181" s="401">
        <f t="shared" si="66"/>
        <v>9.9970236043059074E-2</v>
      </c>
    </row>
    <row r="182" spans="1:32" s="422" customFormat="1">
      <c r="A182" s="416">
        <v>802</v>
      </c>
      <c r="B182" s="416" t="s">
        <v>68</v>
      </c>
      <c r="C182" s="416" t="s">
        <v>527</v>
      </c>
      <c r="D182" s="416" t="s">
        <v>48</v>
      </c>
      <c r="E182" s="423">
        <f>E188+E189</f>
        <v>59159596.790000007</v>
      </c>
      <c r="F182" s="423">
        <f>F188+F189</f>
        <v>76075000</v>
      </c>
      <c r="G182" s="424">
        <f t="shared" si="45"/>
        <v>0.77764833112060472</v>
      </c>
      <c r="H182" s="417">
        <f t="shared" si="46"/>
        <v>75058617</v>
      </c>
      <c r="I182" s="417">
        <f>I188+I189</f>
        <v>96520000</v>
      </c>
      <c r="J182" s="418">
        <f t="shared" si="47"/>
        <v>0.77764833195192706</v>
      </c>
      <c r="K182" s="419" t="str">
        <f t="shared" si="48"/>
        <v>TYPE_8</v>
      </c>
      <c r="L182" s="418">
        <f>VLOOKUP(J182,[11]原始參數_115!E:F,2,1)</f>
        <v>1</v>
      </c>
      <c r="M182" s="418">
        <f>VLOOKUP(J182,[11]原始參數_115!E:G,3,1)</f>
        <v>1.1000000000000001</v>
      </c>
      <c r="N182" s="420">
        <f t="shared" si="49"/>
        <v>106170000</v>
      </c>
      <c r="O182" s="421">
        <f t="shared" si="50"/>
        <v>7.8009999999999998E-3</v>
      </c>
      <c r="P182" s="418">
        <f t="shared" si="51"/>
        <v>1</v>
      </c>
      <c r="Q182" s="420">
        <f t="shared" si="52"/>
        <v>106170000</v>
      </c>
      <c r="R182" s="420">
        <f t="shared" si="53"/>
        <v>0</v>
      </c>
      <c r="S182" s="420">
        <f t="shared" si="54"/>
        <v>106170000</v>
      </c>
      <c r="T182" s="421">
        <f t="shared" si="55"/>
        <v>1.0845E-2</v>
      </c>
      <c r="U182" s="420">
        <f t="shared" si="56"/>
        <v>2070000</v>
      </c>
      <c r="V182" s="420">
        <f t="shared" si="57"/>
        <v>2070000</v>
      </c>
      <c r="W182" s="420">
        <f t="shared" si="58"/>
        <v>108240000</v>
      </c>
      <c r="X182" s="418">
        <f t="shared" si="59"/>
        <v>0.69344620288248338</v>
      </c>
      <c r="Y182" s="419" t="str">
        <f t="shared" si="60"/>
        <v>TYPE_9</v>
      </c>
      <c r="Z182" s="416" t="str">
        <f t="shared" si="61"/>
        <v>TYPE_3</v>
      </c>
      <c r="AA182" s="414">
        <f>VLOOKUP(Z182,[11]調整參數1_116!A:J,10,0)</f>
        <v>1.1499999999999999</v>
      </c>
      <c r="AB182" s="415">
        <f t="shared" si="62"/>
        <v>86320000</v>
      </c>
      <c r="AC182" s="413">
        <f t="shared" si="63"/>
        <v>-10200000</v>
      </c>
      <c r="AD182" s="401">
        <f t="shared" si="64"/>
        <v>-0.10567757977621219</v>
      </c>
      <c r="AE182" s="413">
        <f t="shared" si="65"/>
        <v>11261383</v>
      </c>
      <c r="AF182" s="401">
        <f t="shared" si="66"/>
        <v>0.15003451235985338</v>
      </c>
    </row>
    <row r="183" spans="1:32">
      <c r="A183" s="399">
        <v>820</v>
      </c>
      <c r="B183" s="399" t="s">
        <v>70</v>
      </c>
      <c r="C183" s="399" t="s">
        <v>526</v>
      </c>
      <c r="D183" s="399" t="s">
        <v>7</v>
      </c>
      <c r="E183" s="423">
        <v>54872587.729999997</v>
      </c>
      <c r="F183" s="423">
        <v>45614000</v>
      </c>
      <c r="G183" s="424">
        <f t="shared" si="45"/>
        <v>1.2029768871399131</v>
      </c>
      <c r="H183" s="400">
        <f t="shared" si="46"/>
        <v>69628302</v>
      </c>
      <c r="I183" s="400">
        <v>57880000</v>
      </c>
      <c r="J183" s="401">
        <f t="shared" si="47"/>
        <v>1.2029768832066343</v>
      </c>
      <c r="K183" s="412" t="str">
        <f t="shared" si="48"/>
        <v>TYPE_4</v>
      </c>
      <c r="L183" s="401">
        <f>VLOOKUP(J183,[11]原始參數_115!E:F,2,1)</f>
        <v>1.01</v>
      </c>
      <c r="M183" s="401">
        <f>VLOOKUP(J183,[11]原始參數_115!E:G,3,1)</f>
        <v>1</v>
      </c>
      <c r="N183" s="413">
        <f t="shared" si="49"/>
        <v>70320000</v>
      </c>
      <c r="O183" s="403">
        <f t="shared" si="50"/>
        <v>5.1669999999999997E-3</v>
      </c>
      <c r="P183" s="401">
        <f t="shared" si="51"/>
        <v>1.2</v>
      </c>
      <c r="Q183" s="413">
        <f t="shared" si="52"/>
        <v>69460000</v>
      </c>
      <c r="R183" s="413">
        <f t="shared" si="53"/>
        <v>-860000</v>
      </c>
      <c r="S183" s="413">
        <f t="shared" si="54"/>
        <v>0</v>
      </c>
      <c r="T183" s="403">
        <f t="shared" si="55"/>
        <v>0</v>
      </c>
      <c r="U183" s="413">
        <f t="shared" si="56"/>
        <v>0</v>
      </c>
      <c r="V183" s="413">
        <f t="shared" si="57"/>
        <v>-860000</v>
      </c>
      <c r="W183" s="413">
        <f t="shared" si="58"/>
        <v>69460000</v>
      </c>
      <c r="X183" s="401">
        <f t="shared" si="59"/>
        <v>1.0024230060466455</v>
      </c>
      <c r="Y183" s="412" t="str">
        <f t="shared" si="60"/>
        <v>TYPE_6</v>
      </c>
      <c r="Z183" s="399" t="str">
        <f t="shared" si="61"/>
        <v>TYPE_2</v>
      </c>
      <c r="AA183" s="414">
        <f>VLOOKUP(Z183,[11]調整參數1_116!A:J,10,0)</f>
        <v>1.1000000000000001</v>
      </c>
      <c r="AB183" s="415">
        <f t="shared" si="62"/>
        <v>76590000</v>
      </c>
      <c r="AC183" s="413">
        <f t="shared" si="63"/>
        <v>18710000</v>
      </c>
      <c r="AD183" s="401">
        <f t="shared" si="64"/>
        <v>0.32325501036627508</v>
      </c>
      <c r="AE183" s="413">
        <f t="shared" si="65"/>
        <v>6961698</v>
      </c>
      <c r="AF183" s="401">
        <f t="shared" si="66"/>
        <v>9.9983739370809302E-2</v>
      </c>
    </row>
    <row r="184" spans="1:32">
      <c r="A184" s="399">
        <v>830</v>
      </c>
      <c r="B184" s="399" t="s">
        <v>71</v>
      </c>
      <c r="C184" s="399" t="s">
        <v>526</v>
      </c>
      <c r="D184" s="399" t="s">
        <v>48</v>
      </c>
      <c r="E184" s="423">
        <v>17561372.579999998</v>
      </c>
      <c r="F184" s="423">
        <v>30025000</v>
      </c>
      <c r="G184" s="424">
        <f t="shared" si="45"/>
        <v>0.58489167626977512</v>
      </c>
      <c r="H184" s="400">
        <f t="shared" si="46"/>
        <v>22284373</v>
      </c>
      <c r="I184" s="400">
        <v>38100000</v>
      </c>
      <c r="J184" s="401">
        <f t="shared" si="47"/>
        <v>0.58489167979002621</v>
      </c>
      <c r="K184" s="412" t="str">
        <f t="shared" si="48"/>
        <v>TYPE_9</v>
      </c>
      <c r="L184" s="401">
        <f>VLOOKUP(J184,[11]原始參數_115!E:F,2,1)</f>
        <v>1</v>
      </c>
      <c r="M184" s="401">
        <f>VLOOKUP(J184,[11]原始參數_115!E:G,3,1)</f>
        <v>1.1499999999999999</v>
      </c>
      <c r="N184" s="413">
        <f t="shared" si="49"/>
        <v>43820000</v>
      </c>
      <c r="O184" s="403">
        <f t="shared" si="50"/>
        <v>3.2200000000000002E-3</v>
      </c>
      <c r="P184" s="401">
        <f t="shared" si="51"/>
        <v>1</v>
      </c>
      <c r="Q184" s="413">
        <f t="shared" si="52"/>
        <v>43820000</v>
      </c>
      <c r="R184" s="413">
        <f t="shared" si="53"/>
        <v>0</v>
      </c>
      <c r="S184" s="413">
        <f t="shared" si="54"/>
        <v>43820000</v>
      </c>
      <c r="T184" s="403">
        <f t="shared" si="55"/>
        <v>4.4759999999999999E-3</v>
      </c>
      <c r="U184" s="413">
        <f t="shared" si="56"/>
        <v>860000</v>
      </c>
      <c r="V184" s="413">
        <f t="shared" si="57"/>
        <v>860000</v>
      </c>
      <c r="W184" s="413">
        <f t="shared" si="58"/>
        <v>44680000</v>
      </c>
      <c r="X184" s="401">
        <f t="shared" si="59"/>
        <v>0.49875499104744853</v>
      </c>
      <c r="Y184" s="412" t="str">
        <f t="shared" si="60"/>
        <v>TYPE_9</v>
      </c>
      <c r="Z184" s="399" t="str">
        <f t="shared" si="61"/>
        <v>TYPE_4</v>
      </c>
      <c r="AA184" s="414">
        <f>VLOOKUP(Z184,[11]調整參數1_116!A:J,10,0)</f>
        <v>1.2</v>
      </c>
      <c r="AB184" s="415">
        <f t="shared" si="62"/>
        <v>26740000</v>
      </c>
      <c r="AC184" s="413">
        <f t="shared" si="63"/>
        <v>-11360000</v>
      </c>
      <c r="AD184" s="401">
        <f t="shared" si="64"/>
        <v>-0.29816272965879265</v>
      </c>
      <c r="AE184" s="413">
        <f t="shared" si="65"/>
        <v>4455627</v>
      </c>
      <c r="AF184" s="401">
        <f t="shared" si="66"/>
        <v>0.19994401457918515</v>
      </c>
    </row>
    <row r="185" spans="1:32">
      <c r="A185" s="399">
        <v>888</v>
      </c>
      <c r="B185" s="399" t="s">
        <v>209</v>
      </c>
      <c r="C185" s="399" t="s">
        <v>527</v>
      </c>
      <c r="D185" s="399" t="s">
        <v>0</v>
      </c>
      <c r="E185" s="423">
        <v>18354272.850000001</v>
      </c>
      <c r="F185" s="423">
        <v>13535000</v>
      </c>
      <c r="G185" s="424">
        <f t="shared" si="45"/>
        <v>1.3560600554118951</v>
      </c>
      <c r="H185" s="400">
        <f t="shared" si="46"/>
        <v>23269991</v>
      </c>
      <c r="I185" s="400">
        <v>17160000</v>
      </c>
      <c r="J185" s="401">
        <f t="shared" si="47"/>
        <v>1.3560600815850816</v>
      </c>
      <c r="K185" s="412" t="str">
        <f t="shared" si="48"/>
        <v>TYPE_3</v>
      </c>
      <c r="L185" s="401">
        <f>VLOOKUP(J185,[11]原始參數_115!E:F,2,1)</f>
        <v>0.9</v>
      </c>
      <c r="M185" s="401">
        <f>VLOOKUP(J185,[11]原始參數_115!E:G,3,1)</f>
        <v>1</v>
      </c>
      <c r="N185" s="413">
        <f t="shared" si="49"/>
        <v>20940000</v>
      </c>
      <c r="O185" s="403">
        <f t="shared" si="50"/>
        <v>1.539E-3</v>
      </c>
      <c r="P185" s="401">
        <f t="shared" si="51"/>
        <v>1.2</v>
      </c>
      <c r="Q185" s="413">
        <f t="shared" si="52"/>
        <v>20590000</v>
      </c>
      <c r="R185" s="413">
        <f t="shared" si="53"/>
        <v>-350000</v>
      </c>
      <c r="S185" s="413">
        <f t="shared" si="54"/>
        <v>0</v>
      </c>
      <c r="T185" s="403">
        <f t="shared" si="55"/>
        <v>0</v>
      </c>
      <c r="U185" s="413">
        <f t="shared" si="56"/>
        <v>0</v>
      </c>
      <c r="V185" s="413">
        <f t="shared" si="57"/>
        <v>-350000</v>
      </c>
      <c r="W185" s="413">
        <f t="shared" si="58"/>
        <v>20590000</v>
      </c>
      <c r="X185" s="401">
        <f t="shared" si="59"/>
        <v>1.1301598348712967</v>
      </c>
      <c r="Y185" s="412" t="str">
        <f t="shared" si="60"/>
        <v>TYPE_5</v>
      </c>
      <c r="Z185" s="399" t="str">
        <f t="shared" si="61"/>
        <v>TYPE_1</v>
      </c>
      <c r="AA185" s="414">
        <f>VLOOKUP(Z185,[11]調整參數1_116!A:J,10,0)</f>
        <v>0.9</v>
      </c>
      <c r="AB185" s="415">
        <f t="shared" si="62"/>
        <v>20940000</v>
      </c>
      <c r="AC185" s="413">
        <f t="shared" si="63"/>
        <v>3780000</v>
      </c>
      <c r="AD185" s="401">
        <f t="shared" si="64"/>
        <v>0.22027972027972029</v>
      </c>
      <c r="AE185" s="413">
        <f t="shared" si="65"/>
        <v>-2329991</v>
      </c>
      <c r="AF185" s="401">
        <f t="shared" si="66"/>
        <v>-0.10012857332003265</v>
      </c>
    </row>
    <row r="188" spans="1:32">
      <c r="A188" s="399">
        <v>802</v>
      </c>
      <c r="B188" s="399" t="s">
        <v>68</v>
      </c>
      <c r="C188" s="399" t="s">
        <v>527</v>
      </c>
      <c r="D188" s="399" t="s">
        <v>48</v>
      </c>
      <c r="E188" s="423">
        <v>34490761.670000002</v>
      </c>
      <c r="F188" s="423">
        <v>43821000</v>
      </c>
      <c r="G188" s="424">
        <f t="shared" ref="G188:G189" si="67">E188/F188</f>
        <v>0.78708294356587027</v>
      </c>
      <c r="H188" s="400">
        <f t="shared" ref="H188:H189" si="68">ROUND(G188*I188, 0)</f>
        <v>43761812</v>
      </c>
      <c r="I188" s="400">
        <v>55600000</v>
      </c>
      <c r="J188" s="401">
        <f t="shared" ref="J188:J189" si="69">H188/I188</f>
        <v>0.7870829496402878</v>
      </c>
      <c r="K188" s="412" t="str">
        <f t="shared" ref="K188:K189" si="70">IF(J188&gt;=2, "TYPE_1", IF(J188&gt;=1.5, "TYPE_2", IF(J188&gt;=1.3, "TYPE_3", IF(J188&gt;=1.2, "TYPE_4", IF(J188 &gt;=1.1, "TYPE_5", IF(J188 &gt;=1, "TYPE_6", IF(J188&gt;=0.9, "TYPE_7", IF(J188&gt;= 0.75, "TYPE_8", "TYPE_9"))))))))</f>
        <v>TYPE_8</v>
      </c>
      <c r="L188" s="401">
        <f>VLOOKUP(J188,[11]原始參數_115!E:F,2,1)</f>
        <v>1</v>
      </c>
      <c r="M188" s="401">
        <f>VLOOKUP(J188,[11]原始參數_115!E:G,3,1)</f>
        <v>1.1000000000000001</v>
      </c>
      <c r="N188" s="413">
        <f t="shared" ref="N188:N189" si="71">IF(L188&lt;&gt;1,ROUND(H188*L188,-4),ROUND(I188*M188,-4))</f>
        <v>61160000</v>
      </c>
      <c r="O188" s="403">
        <f t="shared" ref="O188:O189" si="72">ROUND(N188/$N$1, 6)</f>
        <v>4.4939999999999997E-3</v>
      </c>
      <c r="P188" s="401">
        <f t="shared" ref="P188:P189" si="73">IF(J188&gt;=1.2, 1.2,1)</f>
        <v>1</v>
      </c>
      <c r="Q188" s="413">
        <f t="shared" ref="Q188:Q189" si="74">IF(J188&gt;=1.2, ROUND(I188*P188, -4), N188)</f>
        <v>61160000</v>
      </c>
      <c r="R188" s="413">
        <f t="shared" ref="R188:R189" si="75">Q188-N188</f>
        <v>0</v>
      </c>
      <c r="S188" s="413">
        <f t="shared" ref="S188:S189" si="76">IF(P188 = 1.2, 0, Q188)</f>
        <v>61160000</v>
      </c>
      <c r="T188" s="403">
        <f t="shared" ref="T188:T189" si="77">ROUND(S188/$S$1, 6)</f>
        <v>6.2469999999999999E-3</v>
      </c>
      <c r="U188" s="413">
        <f t="shared" ref="U188:U189" si="78">ROUND($R$1*T188, -4)*(-1)</f>
        <v>1200000</v>
      </c>
      <c r="V188" s="413">
        <f t="shared" ref="V188:V189" si="79">R188+U188</f>
        <v>1200000</v>
      </c>
      <c r="W188" s="413">
        <f t="shared" ref="W188:W189" si="80">Q188+U188</f>
        <v>62360000</v>
      </c>
      <c r="X188" s="401">
        <f t="shared" ref="X188:X189" si="81">H188/W188</f>
        <v>0.70176093649775495</v>
      </c>
      <c r="Y188" s="412" t="str">
        <f t="shared" ref="Y188:Y189" si="82">IF(X188&gt;=2, "TYPE_1", IF(X188&gt;=1.5, "TYPE_2", IF(X188&gt;=1.3, "TYPE_3", IF(X188&gt;=1.2, "TYPE_4", IF(X188 &gt;=1.1, "TYPE_5", IF(X188 &gt;=1, "TYPE_6", IF(X188&gt;=0.9, "TYPE_7", IF(X188&gt;= 0.75, "TYPE_8", "TYPE_9"))))))))</f>
        <v>TYPE_9</v>
      </c>
      <c r="Z188" s="399" t="str">
        <f t="shared" ref="Z188:Z189" si="83">IF(J188&gt;=1.35, "TYPE_1", IF(J188&gt;= 1, "TYPE_2", IF(J188&gt;=0.75, "TYPE_3", "TYPE_4")))</f>
        <v>TYPE_3</v>
      </c>
    </row>
    <row r="189" spans="1:32">
      <c r="A189" s="399">
        <v>813</v>
      </c>
      <c r="B189" s="399" t="s">
        <v>69</v>
      </c>
      <c r="C189" s="399" t="s">
        <v>527</v>
      </c>
      <c r="D189" s="399" t="s">
        <v>48</v>
      </c>
      <c r="E189" s="423">
        <v>24668835.120000001</v>
      </c>
      <c r="F189" s="423">
        <v>32254000</v>
      </c>
      <c r="G189" s="424">
        <f t="shared" si="67"/>
        <v>0.76483025733242394</v>
      </c>
      <c r="H189" s="400">
        <f t="shared" si="68"/>
        <v>31296854</v>
      </c>
      <c r="I189" s="400">
        <v>40920000</v>
      </c>
      <c r="J189" s="401">
        <f t="shared" si="69"/>
        <v>0.76483025415444772</v>
      </c>
      <c r="K189" s="412" t="str">
        <f t="shared" si="70"/>
        <v>TYPE_8</v>
      </c>
      <c r="L189" s="401">
        <f>VLOOKUP(J189,[11]原始參數_115!E:F,2,1)</f>
        <v>1</v>
      </c>
      <c r="M189" s="401">
        <f>VLOOKUP(J189,[11]原始參數_115!E:G,3,1)</f>
        <v>1.1000000000000001</v>
      </c>
      <c r="N189" s="413">
        <f t="shared" si="71"/>
        <v>45010000</v>
      </c>
      <c r="O189" s="403">
        <f t="shared" si="72"/>
        <v>3.307E-3</v>
      </c>
      <c r="P189" s="401">
        <f t="shared" si="73"/>
        <v>1</v>
      </c>
      <c r="Q189" s="413">
        <f t="shared" si="74"/>
        <v>45010000</v>
      </c>
      <c r="R189" s="413">
        <f t="shared" si="75"/>
        <v>0</v>
      </c>
      <c r="S189" s="413">
        <f t="shared" si="76"/>
        <v>45010000</v>
      </c>
      <c r="T189" s="403">
        <f t="shared" si="77"/>
        <v>4.5979999999999997E-3</v>
      </c>
      <c r="U189" s="413">
        <f t="shared" si="78"/>
        <v>880000</v>
      </c>
      <c r="V189" s="413">
        <f t="shared" si="79"/>
        <v>880000</v>
      </c>
      <c r="W189" s="413">
        <f t="shared" si="80"/>
        <v>45890000</v>
      </c>
      <c r="X189" s="401">
        <f t="shared" si="81"/>
        <v>0.6819972543037699</v>
      </c>
      <c r="Y189" s="412" t="str">
        <f t="shared" si="82"/>
        <v>TYPE_9</v>
      </c>
      <c r="Z189" s="399" t="str">
        <f t="shared" si="83"/>
        <v>TYPE_3</v>
      </c>
    </row>
    <row r="191" spans="1:32">
      <c r="A191" s="399">
        <v>760</v>
      </c>
      <c r="B191" s="399" t="s">
        <v>64</v>
      </c>
      <c r="C191" s="399" t="s">
        <v>524</v>
      </c>
      <c r="D191" s="399" t="s">
        <v>48</v>
      </c>
      <c r="E191" s="423">
        <v>28309252.43</v>
      </c>
      <c r="F191" s="423">
        <v>39490000</v>
      </c>
      <c r="G191" s="424">
        <f t="shared" ref="G191:G192" si="84">E191/F191</f>
        <v>0.71687142137249937</v>
      </c>
      <c r="H191" s="400">
        <f t="shared" ref="H191:H192" si="85">ROUND(G191*I191, 0)</f>
        <v>35908089</v>
      </c>
      <c r="I191" s="400">
        <v>50090000</v>
      </c>
      <c r="J191" s="401">
        <f t="shared" ref="J191:J192" si="86">H191/I191</f>
        <v>0.71687141145937316</v>
      </c>
      <c r="K191" s="412" t="str">
        <f t="shared" ref="K191:K192" si="87">IF(J191&gt;=2, "TYPE_1", IF(J191&gt;=1.5, "TYPE_2", IF(J191&gt;=1.3, "TYPE_3", IF(J191&gt;=1.2, "TYPE_4", IF(J191 &gt;=1.1, "TYPE_5", IF(J191 &gt;=1, "TYPE_6", IF(J191&gt;=0.9, "TYPE_7", IF(J191&gt;= 0.75, "TYPE_8", "TYPE_9"))))))))</f>
        <v>TYPE_9</v>
      </c>
      <c r="L191" s="401">
        <f>VLOOKUP(J191,[11]原始參數_115!E:F,2,1)</f>
        <v>1</v>
      </c>
      <c r="M191" s="401">
        <f>VLOOKUP(J191,[11]原始參數_115!E:G,3,1)</f>
        <v>1.1499999999999999</v>
      </c>
      <c r="N191" s="413">
        <f t="shared" ref="N191:N192" si="88">IF(L191&lt;&gt;1,ROUND(H191*L191,-4),ROUND(I191*M191,-4))</f>
        <v>57600000</v>
      </c>
      <c r="O191" s="403">
        <f t="shared" ref="O191:O192" si="89">ROUND(N191/$N$1, 6)</f>
        <v>4.2319999999999997E-3</v>
      </c>
      <c r="P191" s="401">
        <f t="shared" ref="P191:P192" si="90">IF(J191&gt;=1.2, 1.2,1)</f>
        <v>1</v>
      </c>
      <c r="Q191" s="413">
        <f t="shared" ref="Q191:Q192" si="91">IF(J191&gt;=1.2, ROUND(I191*P191, -4), N191)</f>
        <v>57600000</v>
      </c>
      <c r="R191" s="413">
        <f t="shared" ref="R191:R192" si="92">Q191-N191</f>
        <v>0</v>
      </c>
      <c r="S191" s="413">
        <f t="shared" ref="S191:S192" si="93">IF(P191 = 1.2, 0, Q191)</f>
        <v>57600000</v>
      </c>
      <c r="T191" s="403">
        <f t="shared" ref="T191:T192" si="94">ROUND(S191/$S$1, 6)</f>
        <v>5.8840000000000003E-3</v>
      </c>
      <c r="U191" s="413">
        <f t="shared" ref="U191:U192" si="95">ROUND($R$1*T191, -4)*(-1)</f>
        <v>1130000</v>
      </c>
      <c r="V191" s="413">
        <f t="shared" ref="V191:V192" si="96">R191+U191</f>
        <v>1130000</v>
      </c>
      <c r="W191" s="413">
        <f t="shared" ref="W191:W192" si="97">Q191+U191</f>
        <v>58730000</v>
      </c>
      <c r="X191" s="401">
        <f t="shared" ref="X191:X192" si="98">H191/W191</f>
        <v>0.61140965435041716</v>
      </c>
      <c r="Y191" s="412" t="str">
        <f t="shared" ref="Y191:Y192" si="99">IF(X191&gt;=2, "TYPE_1", IF(X191&gt;=1.5, "TYPE_2", IF(X191&gt;=1.3, "TYPE_3", IF(X191&gt;=1.2, "TYPE_4", IF(X191 &gt;=1.1, "TYPE_5", IF(X191 &gt;=1, "TYPE_6", IF(X191&gt;=0.9, "TYPE_7", IF(X191&gt;= 0.75, "TYPE_8", "TYPE_9"))))))))</f>
        <v>TYPE_9</v>
      </c>
      <c r="Z191" s="399" t="str">
        <f t="shared" ref="Z191:Z192" si="100">IF(J191&gt;=1.35, "TYPE_1", IF(J191&gt;= 1, "TYPE_2", IF(J191&gt;=0.75, "TYPE_3", "TYPE_4")))</f>
        <v>TYPE_4</v>
      </c>
    </row>
    <row r="192" spans="1:32">
      <c r="A192" s="399">
        <v>765</v>
      </c>
      <c r="B192" s="399" t="s">
        <v>65</v>
      </c>
      <c r="C192" s="399" t="s">
        <v>527</v>
      </c>
      <c r="D192" s="399" t="s">
        <v>48</v>
      </c>
      <c r="E192" s="423">
        <v>29560254.27</v>
      </c>
      <c r="F192" s="423">
        <v>30205000</v>
      </c>
      <c r="G192" s="424">
        <f t="shared" si="84"/>
        <v>0.97865433769243504</v>
      </c>
      <c r="H192" s="400">
        <f t="shared" si="85"/>
        <v>37511821</v>
      </c>
      <c r="I192" s="400">
        <v>38330000</v>
      </c>
      <c r="J192" s="401">
        <f t="shared" si="86"/>
        <v>0.97865434385598749</v>
      </c>
      <c r="K192" s="412" t="str">
        <f t="shared" si="87"/>
        <v>TYPE_7</v>
      </c>
      <c r="L192" s="401">
        <f>VLOOKUP(J192,[11]原始參數_115!E:F,2,1)</f>
        <v>1</v>
      </c>
      <c r="M192" s="401">
        <f>VLOOKUP(J192,[11]原始參數_115!E:G,3,1)</f>
        <v>1.05</v>
      </c>
      <c r="N192" s="413">
        <f t="shared" si="88"/>
        <v>40250000</v>
      </c>
      <c r="O192" s="403">
        <f t="shared" si="89"/>
        <v>2.957E-3</v>
      </c>
      <c r="P192" s="401">
        <f t="shared" si="90"/>
        <v>1</v>
      </c>
      <c r="Q192" s="413">
        <f t="shared" si="91"/>
        <v>40250000</v>
      </c>
      <c r="R192" s="413">
        <f t="shared" si="92"/>
        <v>0</v>
      </c>
      <c r="S192" s="413">
        <f t="shared" si="93"/>
        <v>40250000</v>
      </c>
      <c r="T192" s="403">
        <f t="shared" si="94"/>
        <v>4.1120000000000002E-3</v>
      </c>
      <c r="U192" s="413">
        <f t="shared" si="95"/>
        <v>790000</v>
      </c>
      <c r="V192" s="413">
        <f t="shared" si="96"/>
        <v>790000</v>
      </c>
      <c r="W192" s="413">
        <f t="shared" si="97"/>
        <v>41040000</v>
      </c>
      <c r="X192" s="401">
        <f t="shared" si="98"/>
        <v>0.91403072612085767</v>
      </c>
      <c r="Y192" s="412" t="str">
        <f t="shared" si="99"/>
        <v>TYPE_7</v>
      </c>
      <c r="Z192" s="399" t="str">
        <f t="shared" si="100"/>
        <v>TYPE_3</v>
      </c>
    </row>
  </sheetData>
  <phoneticPr fontId="13" type="noConversion"/>
  <pageMargins left="0.70866141732283472" right="0.70866141732283472" top="0.74803149606299213" bottom="0.74803149606299213" header="0.31496062992125984" footer="0.31496062992125984"/>
  <pageSetup paperSize="8" scale="24"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pageSetUpPr fitToPage="1"/>
  </sheetPr>
  <dimension ref="A1:S195"/>
  <sheetViews>
    <sheetView view="pageBreakPreview" topLeftCell="A175" zoomScaleNormal="100" zoomScaleSheetLayoutView="100" workbookViewId="0">
      <selection activeCell="J197" sqref="J197"/>
    </sheetView>
  </sheetViews>
  <sheetFormatPr defaultRowHeight="16.5"/>
  <cols>
    <col min="1" max="1" width="10.5" style="322" bestFit="1" customWidth="1"/>
    <col min="2" max="2" width="18.625" style="38" customWidth="1"/>
    <col min="3" max="4" width="22.625" style="38" bestFit="1" customWidth="1"/>
    <col min="5" max="5" width="20" style="38" bestFit="1" customWidth="1"/>
    <col min="6" max="6" width="18.625" style="38" bestFit="1" customWidth="1"/>
    <col min="8" max="8" width="9" style="93"/>
    <col min="9" max="9" width="9.5" bestFit="1" customWidth="1"/>
    <col min="10" max="10" width="22.75" bestFit="1" customWidth="1"/>
    <col min="11" max="12" width="20.5" bestFit="1" customWidth="1"/>
    <col min="15" max="15" width="10.5" style="93" bestFit="1" customWidth="1"/>
    <col min="18" max="19" width="20.5" bestFit="1" customWidth="1"/>
  </cols>
  <sheetData>
    <row r="1" spans="1:19">
      <c r="A1" s="322" t="s">
        <v>453</v>
      </c>
      <c r="B1" s="38">
        <v>2</v>
      </c>
      <c r="C1" s="38" t="s">
        <v>454</v>
      </c>
      <c r="D1" s="38">
        <v>4</v>
      </c>
      <c r="E1" s="38" t="s">
        <v>455</v>
      </c>
      <c r="F1" s="38">
        <v>6</v>
      </c>
    </row>
    <row r="2" spans="1:19">
      <c r="A2" s="322" t="s">
        <v>1662</v>
      </c>
      <c r="C2" s="321">
        <v>0.6</v>
      </c>
      <c r="D2" s="321">
        <v>1.4</v>
      </c>
      <c r="F2" s="249">
        <f>'116年參數表'!C19</f>
        <v>108950000</v>
      </c>
    </row>
    <row r="3" spans="1:19">
      <c r="A3" s="70" t="s">
        <v>212</v>
      </c>
      <c r="B3" s="43" t="s">
        <v>213</v>
      </c>
      <c r="C3" s="98" t="s">
        <v>402</v>
      </c>
      <c r="D3" s="98" t="s">
        <v>214</v>
      </c>
      <c r="E3" s="71" t="s">
        <v>403</v>
      </c>
      <c r="F3" s="250" t="s">
        <v>417</v>
      </c>
      <c r="H3" s="93" t="s">
        <v>895</v>
      </c>
      <c r="I3" t="s">
        <v>212</v>
      </c>
      <c r="J3" t="s">
        <v>213</v>
      </c>
      <c r="K3" t="s">
        <v>402</v>
      </c>
      <c r="L3" t="s">
        <v>214</v>
      </c>
      <c r="O3" s="93" t="s">
        <v>1273</v>
      </c>
      <c r="P3" t="s">
        <v>212</v>
      </c>
      <c r="Q3" t="s">
        <v>213</v>
      </c>
      <c r="R3" t="s">
        <v>402</v>
      </c>
      <c r="S3" t="s">
        <v>214</v>
      </c>
    </row>
    <row r="4" spans="1:19">
      <c r="A4" s="70">
        <v>100</v>
      </c>
      <c r="B4" s="42" t="s">
        <v>215</v>
      </c>
      <c r="C4" s="251">
        <f t="shared" ref="C4:C35" si="0">VLOOKUP(A4,H:L,4,0)+(0.5*VLOOKUP(A4,O:S,4,0))</f>
        <v>5284774002.9099998</v>
      </c>
      <c r="D4" s="251">
        <f t="shared" ref="D4:D35" si="1">VLOOKUP(A4,H:L,5,0)+(0.5*VLOOKUP(A4,O:S,5,0))</f>
        <v>6386268973.085</v>
      </c>
      <c r="E4" s="252">
        <f t="shared" ref="E4:E67" si="2">(C4*$C$2)+(D4*$D$2)</f>
        <v>12111640964.065001</v>
      </c>
      <c r="F4" s="253">
        <f t="shared" ref="F4:F35" si="3">ROUND(E4*F$2/$E$187, 0)</f>
        <v>1187744</v>
      </c>
      <c r="H4" s="93">
        <f>I4/10</f>
        <v>100</v>
      </c>
      <c r="I4">
        <v>1000</v>
      </c>
      <c r="J4" t="s">
        <v>215</v>
      </c>
      <c r="K4" s="38">
        <v>4223663624.27</v>
      </c>
      <c r="L4" s="38">
        <v>4712743195.6599998</v>
      </c>
      <c r="O4" s="93">
        <f>P4/10</f>
        <v>100</v>
      </c>
      <c r="P4">
        <v>1000</v>
      </c>
      <c r="Q4" t="s">
        <v>215</v>
      </c>
      <c r="R4" s="38">
        <v>2122220757.28</v>
      </c>
      <c r="S4" s="38">
        <v>3347051554.8499999</v>
      </c>
    </row>
    <row r="5" spans="1:19">
      <c r="A5" s="70">
        <v>101</v>
      </c>
      <c r="B5" s="42" t="s">
        <v>216</v>
      </c>
      <c r="C5" s="251">
        <f t="shared" si="0"/>
        <v>2891201820.9049997</v>
      </c>
      <c r="D5" s="251">
        <f t="shared" si="1"/>
        <v>2362966756.73</v>
      </c>
      <c r="E5" s="252">
        <f t="shared" si="2"/>
        <v>5042874551.9650002</v>
      </c>
      <c r="F5" s="253">
        <f t="shared" si="3"/>
        <v>494536</v>
      </c>
      <c r="H5" s="93">
        <f t="shared" ref="H5:H68" si="4">I5/10</f>
        <v>101</v>
      </c>
      <c r="I5">
        <v>1010</v>
      </c>
      <c r="J5" t="s">
        <v>216</v>
      </c>
      <c r="K5" s="38">
        <v>2195976206.8499999</v>
      </c>
      <c r="L5" s="38">
        <v>1827757175.3599999</v>
      </c>
      <c r="O5" s="93">
        <f t="shared" ref="O5:O67" si="5">P5/10</f>
        <v>101</v>
      </c>
      <c r="P5">
        <v>1010</v>
      </c>
      <c r="Q5" t="s">
        <v>216</v>
      </c>
      <c r="R5" s="38">
        <v>1390451228.1099999</v>
      </c>
      <c r="S5" s="38">
        <v>1070419162.74</v>
      </c>
    </row>
    <row r="6" spans="1:19">
      <c r="A6" s="70">
        <v>103</v>
      </c>
      <c r="B6" s="42" t="s">
        <v>217</v>
      </c>
      <c r="C6" s="251">
        <f t="shared" si="0"/>
        <v>2622683367.5899997</v>
      </c>
      <c r="D6" s="251">
        <f t="shared" si="1"/>
        <v>1596448430.7800002</v>
      </c>
      <c r="E6" s="252">
        <f t="shared" si="2"/>
        <v>3808637823.6459999</v>
      </c>
      <c r="F6" s="253">
        <f t="shared" si="3"/>
        <v>373499</v>
      </c>
      <c r="H6" s="93">
        <f t="shared" si="4"/>
        <v>103</v>
      </c>
      <c r="I6">
        <v>1030</v>
      </c>
      <c r="J6" t="s">
        <v>217</v>
      </c>
      <c r="K6" s="38">
        <v>2237206218.6399999</v>
      </c>
      <c r="L6" s="38">
        <v>1233100552.3900001</v>
      </c>
      <c r="O6" s="93">
        <f t="shared" si="5"/>
        <v>103</v>
      </c>
      <c r="P6">
        <v>1030</v>
      </c>
      <c r="Q6" t="s">
        <v>217</v>
      </c>
      <c r="R6" s="38">
        <v>770954297.89999998</v>
      </c>
      <c r="S6" s="38">
        <v>726695756.77999997</v>
      </c>
    </row>
    <row r="7" spans="1:19">
      <c r="A7" s="70">
        <v>104</v>
      </c>
      <c r="B7" s="42" t="s">
        <v>218</v>
      </c>
      <c r="C7" s="251">
        <f t="shared" si="0"/>
        <v>4081584125.0699997</v>
      </c>
      <c r="D7" s="251">
        <f t="shared" si="1"/>
        <v>4095596171.4200001</v>
      </c>
      <c r="E7" s="252">
        <f t="shared" si="2"/>
        <v>8182785115.0299997</v>
      </c>
      <c r="F7" s="253">
        <f t="shared" si="3"/>
        <v>802456</v>
      </c>
      <c r="H7" s="93">
        <f t="shared" si="4"/>
        <v>104</v>
      </c>
      <c r="I7">
        <v>1040</v>
      </c>
      <c r="J7" t="s">
        <v>218</v>
      </c>
      <c r="K7" s="38">
        <v>2886743532.1999998</v>
      </c>
      <c r="L7" s="38">
        <v>2806017398.8200002</v>
      </c>
      <c r="O7" s="93">
        <f t="shared" si="5"/>
        <v>104</v>
      </c>
      <c r="P7">
        <v>1040</v>
      </c>
      <c r="Q7" t="s">
        <v>218</v>
      </c>
      <c r="R7" s="38">
        <v>2389681185.7399998</v>
      </c>
      <c r="S7" s="38">
        <v>2579157545.1999998</v>
      </c>
    </row>
    <row r="8" spans="1:19">
      <c r="A8" s="70">
        <v>105</v>
      </c>
      <c r="B8" s="42" t="s">
        <v>219</v>
      </c>
      <c r="C8" s="251">
        <f t="shared" si="0"/>
        <v>3228763402.125</v>
      </c>
      <c r="D8" s="251">
        <f t="shared" si="1"/>
        <v>2675567590.125</v>
      </c>
      <c r="E8" s="252">
        <f t="shared" si="2"/>
        <v>5683052667.4499998</v>
      </c>
      <c r="F8" s="253">
        <f t="shared" si="3"/>
        <v>557316</v>
      </c>
      <c r="H8" s="93">
        <f t="shared" si="4"/>
        <v>105</v>
      </c>
      <c r="I8">
        <v>1050</v>
      </c>
      <c r="J8" t="s">
        <v>219</v>
      </c>
      <c r="K8" s="38">
        <v>2457693018.8499999</v>
      </c>
      <c r="L8" s="38">
        <v>1838187578.1099999</v>
      </c>
      <c r="O8" s="93">
        <f t="shared" si="5"/>
        <v>105</v>
      </c>
      <c r="P8">
        <v>1050</v>
      </c>
      <c r="Q8" t="s">
        <v>219</v>
      </c>
      <c r="R8" s="38">
        <v>1542140766.55</v>
      </c>
      <c r="S8" s="38">
        <v>1674760024.03</v>
      </c>
    </row>
    <row r="9" spans="1:19">
      <c r="A9" s="70">
        <v>106</v>
      </c>
      <c r="B9" s="42" t="s">
        <v>220</v>
      </c>
      <c r="C9" s="251">
        <f t="shared" si="0"/>
        <v>4887985189.8400002</v>
      </c>
      <c r="D9" s="251">
        <f t="shared" si="1"/>
        <v>4118281784.77</v>
      </c>
      <c r="E9" s="252">
        <f t="shared" si="2"/>
        <v>8698385612.5819988</v>
      </c>
      <c r="F9" s="253">
        <f t="shared" si="3"/>
        <v>853019</v>
      </c>
      <c r="H9" s="93">
        <f t="shared" si="4"/>
        <v>106</v>
      </c>
      <c r="I9">
        <v>1060</v>
      </c>
      <c r="J9" t="s">
        <v>220</v>
      </c>
      <c r="K9" s="38">
        <v>3838749651.3299999</v>
      </c>
      <c r="L9" s="38">
        <v>3137074369.0599999</v>
      </c>
      <c r="O9" s="93">
        <f t="shared" si="5"/>
        <v>106</v>
      </c>
      <c r="P9">
        <v>1060</v>
      </c>
      <c r="Q9" t="s">
        <v>220</v>
      </c>
      <c r="R9" s="38">
        <v>2098471077.02</v>
      </c>
      <c r="S9" s="38">
        <v>1962414831.4200001</v>
      </c>
    </row>
    <row r="10" spans="1:19">
      <c r="A10" s="70">
        <v>107</v>
      </c>
      <c r="B10" s="42" t="s">
        <v>221</v>
      </c>
      <c r="C10" s="251">
        <f t="shared" si="0"/>
        <v>5923978044.7250004</v>
      </c>
      <c r="D10" s="251">
        <f t="shared" si="1"/>
        <v>5131558433.1800003</v>
      </c>
      <c r="E10" s="252">
        <f t="shared" si="2"/>
        <v>10738568633.286999</v>
      </c>
      <c r="F10" s="253">
        <f t="shared" si="3"/>
        <v>1053092</v>
      </c>
      <c r="H10" s="93">
        <f t="shared" si="4"/>
        <v>107</v>
      </c>
      <c r="I10">
        <v>1070</v>
      </c>
      <c r="J10" t="s">
        <v>221</v>
      </c>
      <c r="K10" s="38">
        <v>4348243478.9499998</v>
      </c>
      <c r="L10" s="38">
        <v>3585741898.6100001</v>
      </c>
      <c r="O10" s="93">
        <f t="shared" si="5"/>
        <v>107</v>
      </c>
      <c r="P10">
        <v>1070</v>
      </c>
      <c r="Q10" t="s">
        <v>221</v>
      </c>
      <c r="R10" s="38">
        <v>3151469131.5500002</v>
      </c>
      <c r="S10" s="38">
        <v>3091633069.1399999</v>
      </c>
    </row>
    <row r="11" spans="1:19">
      <c r="A11" s="70">
        <v>108</v>
      </c>
      <c r="B11" s="42" t="s">
        <v>222</v>
      </c>
      <c r="C11" s="251">
        <f t="shared" si="0"/>
        <v>6269637808.625</v>
      </c>
      <c r="D11" s="251">
        <f t="shared" si="1"/>
        <v>4911651023.3099995</v>
      </c>
      <c r="E11" s="252">
        <f t="shared" si="2"/>
        <v>10638094117.808998</v>
      </c>
      <c r="F11" s="253">
        <f t="shared" si="3"/>
        <v>1043239</v>
      </c>
      <c r="H11" s="93">
        <f t="shared" si="4"/>
        <v>108</v>
      </c>
      <c r="I11">
        <v>1080</v>
      </c>
      <c r="J11" t="s">
        <v>222</v>
      </c>
      <c r="K11" s="38">
        <v>4611035531.79</v>
      </c>
      <c r="L11" s="38">
        <v>3618684715.8299999</v>
      </c>
      <c r="O11" s="93">
        <f t="shared" si="5"/>
        <v>108</v>
      </c>
      <c r="P11">
        <v>1080</v>
      </c>
      <c r="Q11" t="s">
        <v>222</v>
      </c>
      <c r="R11" s="38">
        <v>3317204553.6700001</v>
      </c>
      <c r="S11" s="38">
        <v>2585932614.96</v>
      </c>
    </row>
    <row r="12" spans="1:19">
      <c r="A12" s="70">
        <v>109</v>
      </c>
      <c r="B12" s="42" t="s">
        <v>223</v>
      </c>
      <c r="C12" s="251">
        <f t="shared" si="0"/>
        <v>2667184193.4300003</v>
      </c>
      <c r="D12" s="251">
        <f t="shared" si="1"/>
        <v>2172070712.5550003</v>
      </c>
      <c r="E12" s="252">
        <f t="shared" si="2"/>
        <v>4641209513.6350002</v>
      </c>
      <c r="F12" s="253">
        <f t="shared" si="3"/>
        <v>455146</v>
      </c>
      <c r="H12" s="93">
        <f t="shared" si="4"/>
        <v>109</v>
      </c>
      <c r="I12">
        <v>1090</v>
      </c>
      <c r="J12" t="s">
        <v>223</v>
      </c>
      <c r="K12" s="38">
        <v>1720310930.3800001</v>
      </c>
      <c r="L12" s="38">
        <v>1530669264.4000001</v>
      </c>
      <c r="O12" s="93">
        <f t="shared" si="5"/>
        <v>109</v>
      </c>
      <c r="P12">
        <v>1090</v>
      </c>
      <c r="Q12" t="s">
        <v>223</v>
      </c>
      <c r="R12" s="38">
        <v>1893746526.0999999</v>
      </c>
      <c r="S12" s="38">
        <v>1282802896.3099999</v>
      </c>
    </row>
    <row r="13" spans="1:19">
      <c r="A13" s="70">
        <v>110</v>
      </c>
      <c r="B13" s="42" t="s">
        <v>224</v>
      </c>
      <c r="C13" s="251">
        <f t="shared" si="0"/>
        <v>2598366159.3900003</v>
      </c>
      <c r="D13" s="251">
        <f t="shared" si="1"/>
        <v>2991734799.5650001</v>
      </c>
      <c r="E13" s="252">
        <f t="shared" si="2"/>
        <v>5747448415.0249996</v>
      </c>
      <c r="F13" s="253">
        <f t="shared" si="3"/>
        <v>563631</v>
      </c>
      <c r="H13" s="93">
        <f t="shared" si="4"/>
        <v>110</v>
      </c>
      <c r="I13">
        <v>1100</v>
      </c>
      <c r="J13" t="s">
        <v>224</v>
      </c>
      <c r="K13" s="38">
        <v>2055393360.3900001</v>
      </c>
      <c r="L13" s="38">
        <v>2021843089.5</v>
      </c>
      <c r="O13" s="93">
        <f t="shared" si="5"/>
        <v>110</v>
      </c>
      <c r="P13">
        <v>1100</v>
      </c>
      <c r="Q13" t="s">
        <v>224</v>
      </c>
      <c r="R13" s="38">
        <v>1085945598</v>
      </c>
      <c r="S13" s="38">
        <v>1939783420.1300001</v>
      </c>
    </row>
    <row r="14" spans="1:19">
      <c r="A14" s="70">
        <v>111</v>
      </c>
      <c r="B14" s="42" t="s">
        <v>225</v>
      </c>
      <c r="C14" s="251">
        <f t="shared" si="0"/>
        <v>5320533717.1700001</v>
      </c>
      <c r="D14" s="251">
        <f t="shared" si="1"/>
        <v>4166400872.21</v>
      </c>
      <c r="E14" s="252">
        <f t="shared" si="2"/>
        <v>9025281451.3959999</v>
      </c>
      <c r="F14" s="253">
        <f t="shared" si="3"/>
        <v>885076</v>
      </c>
      <c r="H14" s="93">
        <f t="shared" si="4"/>
        <v>111</v>
      </c>
      <c r="I14">
        <v>1110</v>
      </c>
      <c r="J14" t="s">
        <v>225</v>
      </c>
      <c r="K14" s="38">
        <v>4161483364.8000002</v>
      </c>
      <c r="L14" s="38">
        <v>2988757775.98</v>
      </c>
      <c r="O14" s="93">
        <f t="shared" si="5"/>
        <v>111</v>
      </c>
      <c r="P14">
        <v>1110</v>
      </c>
      <c r="Q14" t="s">
        <v>225</v>
      </c>
      <c r="R14" s="38">
        <v>2318100704.7399998</v>
      </c>
      <c r="S14" s="38">
        <v>2355286192.46</v>
      </c>
    </row>
    <row r="15" spans="1:19">
      <c r="A15" s="70">
        <v>112</v>
      </c>
      <c r="B15" s="42" t="s">
        <v>226</v>
      </c>
      <c r="C15" s="251">
        <f t="shared" si="0"/>
        <v>5781749446.9250002</v>
      </c>
      <c r="D15" s="251">
        <f t="shared" si="1"/>
        <v>5752086859.04</v>
      </c>
      <c r="E15" s="252">
        <f t="shared" si="2"/>
        <v>11521971270.810999</v>
      </c>
      <c r="F15" s="253">
        <f t="shared" si="3"/>
        <v>1129918</v>
      </c>
      <c r="H15" s="93">
        <f t="shared" si="4"/>
        <v>112</v>
      </c>
      <c r="I15">
        <v>1120</v>
      </c>
      <c r="J15" t="s">
        <v>226</v>
      </c>
      <c r="K15" s="38">
        <v>4283017057.0700002</v>
      </c>
      <c r="L15" s="38">
        <v>3986328870.27</v>
      </c>
      <c r="O15" s="93">
        <f t="shared" si="5"/>
        <v>112</v>
      </c>
      <c r="P15">
        <v>1120</v>
      </c>
      <c r="Q15" t="s">
        <v>226</v>
      </c>
      <c r="R15" s="38">
        <v>2997464779.71</v>
      </c>
      <c r="S15" s="38">
        <v>3531515977.54</v>
      </c>
    </row>
    <row r="16" spans="1:19">
      <c r="A16" s="70">
        <v>113</v>
      </c>
      <c r="B16" s="42" t="s">
        <v>227</v>
      </c>
      <c r="C16" s="251">
        <f t="shared" si="0"/>
        <v>4013995257.0299997</v>
      </c>
      <c r="D16" s="251">
        <f t="shared" si="1"/>
        <v>3886118681.6700001</v>
      </c>
      <c r="E16" s="252">
        <f t="shared" si="2"/>
        <v>7848963308.5559998</v>
      </c>
      <c r="F16" s="253">
        <f t="shared" si="3"/>
        <v>769719</v>
      </c>
      <c r="H16" s="93">
        <f t="shared" si="4"/>
        <v>113</v>
      </c>
      <c r="I16">
        <v>1130</v>
      </c>
      <c r="J16" t="s">
        <v>227</v>
      </c>
      <c r="K16" s="38">
        <v>2763847611.9400001</v>
      </c>
      <c r="L16" s="38">
        <v>2826457661.8000002</v>
      </c>
      <c r="O16" s="93">
        <f t="shared" si="5"/>
        <v>113</v>
      </c>
      <c r="P16">
        <v>1130</v>
      </c>
      <c r="Q16" t="s">
        <v>227</v>
      </c>
      <c r="R16" s="38">
        <v>2500295290.1799998</v>
      </c>
      <c r="S16" s="38">
        <v>2119322039.74</v>
      </c>
    </row>
    <row r="17" spans="1:19">
      <c r="A17" s="70">
        <v>114</v>
      </c>
      <c r="B17" s="42" t="s">
        <v>228</v>
      </c>
      <c r="C17" s="251">
        <f t="shared" si="0"/>
        <v>3816535221.8699999</v>
      </c>
      <c r="D17" s="251">
        <f t="shared" si="1"/>
        <v>4259416720.4749999</v>
      </c>
      <c r="E17" s="252">
        <f t="shared" si="2"/>
        <v>8253104541.7869997</v>
      </c>
      <c r="F17" s="253">
        <f t="shared" si="3"/>
        <v>809352</v>
      </c>
      <c r="H17" s="93">
        <f t="shared" si="4"/>
        <v>114</v>
      </c>
      <c r="I17">
        <v>1140</v>
      </c>
      <c r="J17" t="s">
        <v>228</v>
      </c>
      <c r="K17" s="38">
        <v>2810857316.8099999</v>
      </c>
      <c r="L17" s="38">
        <v>2864250407.73</v>
      </c>
      <c r="O17" s="93">
        <f t="shared" si="5"/>
        <v>114</v>
      </c>
      <c r="P17">
        <v>1140</v>
      </c>
      <c r="Q17" t="s">
        <v>228</v>
      </c>
      <c r="R17" s="38">
        <v>2011355810.1199999</v>
      </c>
      <c r="S17" s="38">
        <v>2790332625.4899998</v>
      </c>
    </row>
    <row r="18" spans="1:19">
      <c r="A18" s="70">
        <v>115</v>
      </c>
      <c r="B18" s="42" t="s">
        <v>229</v>
      </c>
      <c r="C18" s="251">
        <f t="shared" si="0"/>
        <v>2452862264.2649999</v>
      </c>
      <c r="D18" s="251">
        <f t="shared" si="1"/>
        <v>2268771267.5349998</v>
      </c>
      <c r="E18" s="252">
        <f t="shared" si="2"/>
        <v>4647997133.1079998</v>
      </c>
      <c r="F18" s="253">
        <f t="shared" si="3"/>
        <v>455812</v>
      </c>
      <c r="H18" s="93">
        <f t="shared" si="4"/>
        <v>115</v>
      </c>
      <c r="I18">
        <v>1150</v>
      </c>
      <c r="J18" t="s">
        <v>229</v>
      </c>
      <c r="K18" s="38">
        <v>1882523558.0999999</v>
      </c>
      <c r="L18" s="38">
        <v>1611062019.99</v>
      </c>
      <c r="O18" s="93">
        <f t="shared" si="5"/>
        <v>115</v>
      </c>
      <c r="P18">
        <v>1150</v>
      </c>
      <c r="Q18" t="s">
        <v>229</v>
      </c>
      <c r="R18" s="38">
        <v>1140677412.3299999</v>
      </c>
      <c r="S18" s="38">
        <v>1315418495.0899999</v>
      </c>
    </row>
    <row r="19" spans="1:19">
      <c r="A19" s="70">
        <v>116</v>
      </c>
      <c r="B19" s="42" t="s">
        <v>230</v>
      </c>
      <c r="C19" s="251">
        <f t="shared" si="0"/>
        <v>2338552658.0050001</v>
      </c>
      <c r="D19" s="251">
        <f t="shared" si="1"/>
        <v>2874085205.8099999</v>
      </c>
      <c r="E19" s="252">
        <f t="shared" si="2"/>
        <v>5426850882.9370003</v>
      </c>
      <c r="F19" s="253">
        <f t="shared" si="3"/>
        <v>532191</v>
      </c>
      <c r="H19" s="93">
        <f t="shared" si="4"/>
        <v>116</v>
      </c>
      <c r="I19">
        <v>1160</v>
      </c>
      <c r="J19" t="s">
        <v>230</v>
      </c>
      <c r="K19" s="38">
        <v>1765978673.5599999</v>
      </c>
      <c r="L19" s="38">
        <v>2038970800.0699999</v>
      </c>
      <c r="O19" s="93">
        <f t="shared" si="5"/>
        <v>116</v>
      </c>
      <c r="P19">
        <v>1160</v>
      </c>
      <c r="Q19" t="s">
        <v>230</v>
      </c>
      <c r="R19" s="38">
        <v>1145147968.8900001</v>
      </c>
      <c r="S19" s="38">
        <v>1670228811.48</v>
      </c>
    </row>
    <row r="20" spans="1:19">
      <c r="A20" s="70">
        <v>117</v>
      </c>
      <c r="B20" s="42" t="s">
        <v>231</v>
      </c>
      <c r="C20" s="251">
        <f t="shared" si="0"/>
        <v>3275429609.6350002</v>
      </c>
      <c r="D20" s="251">
        <f t="shared" si="1"/>
        <v>4025470587.1750002</v>
      </c>
      <c r="E20" s="252">
        <f t="shared" si="2"/>
        <v>7600916587.8260002</v>
      </c>
      <c r="F20" s="253">
        <f t="shared" si="3"/>
        <v>745394</v>
      </c>
      <c r="H20" s="93">
        <f t="shared" si="4"/>
        <v>117</v>
      </c>
      <c r="I20">
        <v>1170</v>
      </c>
      <c r="J20" t="s">
        <v>231</v>
      </c>
      <c r="K20" s="38">
        <v>2593944457.4400001</v>
      </c>
      <c r="L20" s="38">
        <v>2892351440.48</v>
      </c>
      <c r="O20" s="93">
        <f t="shared" si="5"/>
        <v>117</v>
      </c>
      <c r="P20">
        <v>1170</v>
      </c>
      <c r="Q20" t="s">
        <v>231</v>
      </c>
      <c r="R20" s="38">
        <v>1362970304.3900001</v>
      </c>
      <c r="S20" s="38">
        <v>2266238293.3899999</v>
      </c>
    </row>
    <row r="21" spans="1:19">
      <c r="A21" s="70">
        <v>118</v>
      </c>
      <c r="B21" s="42" t="s">
        <v>232</v>
      </c>
      <c r="C21" s="251">
        <f t="shared" si="0"/>
        <v>3568804857.8249998</v>
      </c>
      <c r="D21" s="251">
        <f t="shared" si="1"/>
        <v>3547901387.2750001</v>
      </c>
      <c r="E21" s="252">
        <f t="shared" si="2"/>
        <v>7108344856.8799992</v>
      </c>
      <c r="F21" s="253">
        <f t="shared" si="3"/>
        <v>697089</v>
      </c>
      <c r="H21" s="93">
        <f t="shared" si="4"/>
        <v>118</v>
      </c>
      <c r="I21">
        <v>1180</v>
      </c>
      <c r="J21" t="s">
        <v>232</v>
      </c>
      <c r="K21" s="38">
        <v>2745790642.2399998</v>
      </c>
      <c r="L21" s="38">
        <v>2478240866.0700002</v>
      </c>
      <c r="O21" s="93">
        <f t="shared" si="5"/>
        <v>118</v>
      </c>
      <c r="P21">
        <v>1180</v>
      </c>
      <c r="Q21" t="s">
        <v>232</v>
      </c>
      <c r="R21" s="38">
        <v>1646028431.1700001</v>
      </c>
      <c r="S21" s="38">
        <v>2139321042.4100001</v>
      </c>
    </row>
    <row r="22" spans="1:19">
      <c r="A22" s="70">
        <v>119</v>
      </c>
      <c r="B22" s="42" t="s">
        <v>233</v>
      </c>
      <c r="C22" s="251">
        <f t="shared" si="0"/>
        <v>2015832831.96</v>
      </c>
      <c r="D22" s="251">
        <f t="shared" si="1"/>
        <v>2242608819.7799997</v>
      </c>
      <c r="E22" s="252">
        <f t="shared" si="2"/>
        <v>4349152046.8679991</v>
      </c>
      <c r="F22" s="253">
        <f t="shared" si="3"/>
        <v>426505</v>
      </c>
      <c r="H22" s="93">
        <f t="shared" si="4"/>
        <v>119</v>
      </c>
      <c r="I22">
        <v>1190</v>
      </c>
      <c r="J22" t="s">
        <v>233</v>
      </c>
      <c r="K22" s="38">
        <v>1610224062.4100001</v>
      </c>
      <c r="L22" s="38">
        <v>1470706455.73</v>
      </c>
      <c r="O22" s="93">
        <f t="shared" si="5"/>
        <v>119</v>
      </c>
      <c r="P22">
        <v>1190</v>
      </c>
      <c r="Q22" t="s">
        <v>233</v>
      </c>
      <c r="R22" s="38">
        <v>811217539.10000002</v>
      </c>
      <c r="S22" s="38">
        <v>1543804728.0999999</v>
      </c>
    </row>
    <row r="23" spans="1:19">
      <c r="A23" s="70">
        <v>120</v>
      </c>
      <c r="B23" s="42" t="s">
        <v>234</v>
      </c>
      <c r="C23" s="251">
        <f t="shared" si="0"/>
        <v>4615925664.1149998</v>
      </c>
      <c r="D23" s="251">
        <f t="shared" si="1"/>
        <v>4542152415.3400002</v>
      </c>
      <c r="E23" s="252">
        <f t="shared" si="2"/>
        <v>9128568779.9449997</v>
      </c>
      <c r="F23" s="253">
        <f t="shared" si="3"/>
        <v>895205</v>
      </c>
      <c r="H23" s="93">
        <f t="shared" si="4"/>
        <v>120</v>
      </c>
      <c r="I23">
        <v>1200</v>
      </c>
      <c r="J23" t="s">
        <v>234</v>
      </c>
      <c r="K23" s="38">
        <v>3383956621.6199999</v>
      </c>
      <c r="L23" s="38">
        <v>3176693368.4299998</v>
      </c>
      <c r="O23" s="93">
        <f t="shared" si="5"/>
        <v>120</v>
      </c>
      <c r="P23">
        <v>1200</v>
      </c>
      <c r="Q23" t="s">
        <v>234</v>
      </c>
      <c r="R23" s="38">
        <v>2463938084.9899998</v>
      </c>
      <c r="S23" s="38">
        <v>2730918093.8200002</v>
      </c>
    </row>
    <row r="24" spans="1:19">
      <c r="A24" s="70">
        <v>121</v>
      </c>
      <c r="B24" s="42" t="s">
        <v>235</v>
      </c>
      <c r="C24" s="251">
        <f t="shared" si="0"/>
        <v>4372916133.9949999</v>
      </c>
      <c r="D24" s="251">
        <f t="shared" si="1"/>
        <v>4152578319.9049997</v>
      </c>
      <c r="E24" s="252">
        <f t="shared" si="2"/>
        <v>8437359328.2639999</v>
      </c>
      <c r="F24" s="253">
        <f t="shared" si="3"/>
        <v>827421</v>
      </c>
      <c r="H24" s="93">
        <f t="shared" si="4"/>
        <v>121</v>
      </c>
      <c r="I24">
        <v>1210</v>
      </c>
      <c r="J24" t="s">
        <v>235</v>
      </c>
      <c r="K24" s="38">
        <v>3360811778.3800001</v>
      </c>
      <c r="L24" s="38">
        <v>3064448926.5999999</v>
      </c>
      <c r="O24" s="93">
        <f t="shared" si="5"/>
        <v>121</v>
      </c>
      <c r="P24">
        <v>1210</v>
      </c>
      <c r="Q24" t="s">
        <v>235</v>
      </c>
      <c r="R24" s="38">
        <v>2024208711.23</v>
      </c>
      <c r="S24" s="38">
        <v>2176258786.6100001</v>
      </c>
    </row>
    <row r="25" spans="1:19">
      <c r="A25" s="70">
        <v>122</v>
      </c>
      <c r="B25" s="42" t="s">
        <v>236</v>
      </c>
      <c r="C25" s="251">
        <f t="shared" si="0"/>
        <v>4679949838.4650002</v>
      </c>
      <c r="D25" s="251">
        <f t="shared" si="1"/>
        <v>3965007776.5999999</v>
      </c>
      <c r="E25" s="252">
        <f t="shared" si="2"/>
        <v>8358980790.3190002</v>
      </c>
      <c r="F25" s="253">
        <f t="shared" si="3"/>
        <v>819735</v>
      </c>
      <c r="H25" s="93">
        <f t="shared" si="4"/>
        <v>122</v>
      </c>
      <c r="I25">
        <v>1220</v>
      </c>
      <c r="J25" t="s">
        <v>236</v>
      </c>
      <c r="K25" s="38">
        <v>3695198048.6700001</v>
      </c>
      <c r="L25" s="38">
        <v>2965854234.1799998</v>
      </c>
      <c r="O25" s="93">
        <f t="shared" si="5"/>
        <v>122</v>
      </c>
      <c r="P25">
        <v>1220</v>
      </c>
      <c r="Q25" t="s">
        <v>236</v>
      </c>
      <c r="R25" s="38">
        <v>1969503579.5899999</v>
      </c>
      <c r="S25" s="38">
        <v>1998307084.8399999</v>
      </c>
    </row>
    <row r="26" spans="1:19">
      <c r="A26" s="70">
        <v>123</v>
      </c>
      <c r="B26" s="42" t="s">
        <v>237</v>
      </c>
      <c r="C26" s="251">
        <f t="shared" si="0"/>
        <v>4742955825.1100006</v>
      </c>
      <c r="D26" s="251">
        <f t="shared" si="1"/>
        <v>5212660307.2749996</v>
      </c>
      <c r="E26" s="252">
        <f t="shared" si="2"/>
        <v>10143497925.250999</v>
      </c>
      <c r="F26" s="253">
        <f t="shared" si="3"/>
        <v>994736</v>
      </c>
      <c r="H26" s="93">
        <f t="shared" si="4"/>
        <v>123</v>
      </c>
      <c r="I26">
        <v>1230</v>
      </c>
      <c r="J26" t="s">
        <v>237</v>
      </c>
      <c r="K26" s="38">
        <v>3770099627.6100001</v>
      </c>
      <c r="L26" s="38">
        <v>4169149565.4699998</v>
      </c>
      <c r="O26" s="93">
        <f t="shared" si="5"/>
        <v>123</v>
      </c>
      <c r="P26">
        <v>1230</v>
      </c>
      <c r="Q26" t="s">
        <v>237</v>
      </c>
      <c r="R26" s="38">
        <v>1945712395</v>
      </c>
      <c r="S26" s="38">
        <v>2087021483.6099999</v>
      </c>
    </row>
    <row r="27" spans="1:19">
      <c r="A27" s="70">
        <v>124</v>
      </c>
      <c r="B27" s="42" t="s">
        <v>238</v>
      </c>
      <c r="C27" s="251">
        <f t="shared" si="0"/>
        <v>2897499362.8299999</v>
      </c>
      <c r="D27" s="251">
        <f t="shared" si="1"/>
        <v>3016684143.4000001</v>
      </c>
      <c r="E27" s="252">
        <f t="shared" si="2"/>
        <v>5961857418.4580002</v>
      </c>
      <c r="F27" s="253">
        <f t="shared" si="3"/>
        <v>584658</v>
      </c>
      <c r="H27" s="93">
        <f t="shared" si="4"/>
        <v>124</v>
      </c>
      <c r="I27">
        <v>1240</v>
      </c>
      <c r="J27" t="s">
        <v>238</v>
      </c>
      <c r="K27" s="38">
        <v>2253538525.1599998</v>
      </c>
      <c r="L27" s="38">
        <v>2184584046.5799999</v>
      </c>
      <c r="O27" s="93">
        <f t="shared" si="5"/>
        <v>124</v>
      </c>
      <c r="P27">
        <v>1240</v>
      </c>
      <c r="Q27" t="s">
        <v>238</v>
      </c>
      <c r="R27" s="38">
        <v>1287921675.3399999</v>
      </c>
      <c r="S27" s="38">
        <v>1664200193.6400001</v>
      </c>
    </row>
    <row r="28" spans="1:19">
      <c r="A28" s="70">
        <v>125</v>
      </c>
      <c r="B28" s="42" t="s">
        <v>239</v>
      </c>
      <c r="C28" s="251">
        <f t="shared" si="0"/>
        <v>3131682301.7349997</v>
      </c>
      <c r="D28" s="251">
        <f t="shared" si="1"/>
        <v>3556666178.2049999</v>
      </c>
      <c r="E28" s="252">
        <f t="shared" si="2"/>
        <v>6858342030.5279989</v>
      </c>
      <c r="F28" s="253">
        <f t="shared" si="3"/>
        <v>672573</v>
      </c>
      <c r="H28" s="93">
        <f t="shared" si="4"/>
        <v>125</v>
      </c>
      <c r="I28">
        <v>1250</v>
      </c>
      <c r="J28" t="s">
        <v>239</v>
      </c>
      <c r="K28" s="38">
        <v>2228934058.0599999</v>
      </c>
      <c r="L28" s="38">
        <v>2281732646.1100001</v>
      </c>
      <c r="O28" s="93">
        <f t="shared" si="5"/>
        <v>125</v>
      </c>
      <c r="P28">
        <v>1250</v>
      </c>
      <c r="Q28" t="s">
        <v>239</v>
      </c>
      <c r="R28" s="38">
        <v>1805496487.3499999</v>
      </c>
      <c r="S28" s="38">
        <v>2549867064.1900001</v>
      </c>
    </row>
    <row r="29" spans="1:19">
      <c r="A29" s="70">
        <v>126</v>
      </c>
      <c r="B29" s="42" t="s">
        <v>240</v>
      </c>
      <c r="C29" s="251">
        <f t="shared" si="0"/>
        <v>4932796757.9899998</v>
      </c>
      <c r="D29" s="251">
        <f t="shared" si="1"/>
        <v>4864178142.1999998</v>
      </c>
      <c r="E29" s="252">
        <f t="shared" si="2"/>
        <v>9769527453.8739986</v>
      </c>
      <c r="F29" s="253">
        <f t="shared" si="3"/>
        <v>958062</v>
      </c>
      <c r="H29" s="93">
        <f t="shared" si="4"/>
        <v>126</v>
      </c>
      <c r="I29">
        <v>1260</v>
      </c>
      <c r="J29" t="s">
        <v>240</v>
      </c>
      <c r="K29" s="38">
        <v>3646795857.6399999</v>
      </c>
      <c r="L29" s="38">
        <v>3593088685.8499999</v>
      </c>
      <c r="O29" s="93">
        <f t="shared" si="5"/>
        <v>126</v>
      </c>
      <c r="P29">
        <v>1260</v>
      </c>
      <c r="Q29" t="s">
        <v>240</v>
      </c>
      <c r="R29" s="38">
        <v>2572001800.6999998</v>
      </c>
      <c r="S29" s="38">
        <v>2542178912.6999998</v>
      </c>
    </row>
    <row r="30" spans="1:19">
      <c r="A30" s="70">
        <v>127</v>
      </c>
      <c r="B30" s="42" t="s">
        <v>241</v>
      </c>
      <c r="C30" s="251">
        <f t="shared" si="0"/>
        <v>4005542647.9900002</v>
      </c>
      <c r="D30" s="251">
        <f t="shared" si="1"/>
        <v>3239171798.8650002</v>
      </c>
      <c r="E30" s="252">
        <f t="shared" si="2"/>
        <v>6938166107.2049999</v>
      </c>
      <c r="F30" s="253">
        <f t="shared" si="3"/>
        <v>680401</v>
      </c>
      <c r="H30" s="93">
        <f t="shared" si="4"/>
        <v>127</v>
      </c>
      <c r="I30">
        <v>1270</v>
      </c>
      <c r="J30" t="s">
        <v>241</v>
      </c>
      <c r="K30" s="38">
        <v>3352786305.6500001</v>
      </c>
      <c r="L30" s="38">
        <v>2515042520.3000002</v>
      </c>
      <c r="O30" s="93">
        <f t="shared" si="5"/>
        <v>127</v>
      </c>
      <c r="P30">
        <v>1270</v>
      </c>
      <c r="Q30" t="s">
        <v>241</v>
      </c>
      <c r="R30" s="38">
        <v>1305512684.6800001</v>
      </c>
      <c r="S30" s="38">
        <v>1448258557.1300001</v>
      </c>
    </row>
    <row r="31" spans="1:19">
      <c r="A31" s="70">
        <v>128</v>
      </c>
      <c r="B31" s="42" t="s">
        <v>242</v>
      </c>
      <c r="C31" s="251">
        <f t="shared" si="0"/>
        <v>3158627404.8499999</v>
      </c>
      <c r="D31" s="251">
        <f t="shared" si="1"/>
        <v>1988807714.8600001</v>
      </c>
      <c r="E31" s="252">
        <f t="shared" si="2"/>
        <v>4679507243.7139997</v>
      </c>
      <c r="F31" s="253">
        <f t="shared" si="3"/>
        <v>458902</v>
      </c>
      <c r="H31" s="93">
        <f t="shared" si="4"/>
        <v>128</v>
      </c>
      <c r="I31">
        <v>1280</v>
      </c>
      <c r="J31" t="s">
        <v>242</v>
      </c>
      <c r="K31" s="38">
        <v>1749694305.6099999</v>
      </c>
      <c r="L31" s="38">
        <v>1608100180.76</v>
      </c>
      <c r="O31" s="93">
        <f t="shared" si="5"/>
        <v>128</v>
      </c>
      <c r="P31">
        <v>1280</v>
      </c>
      <c r="Q31" t="s">
        <v>242</v>
      </c>
      <c r="R31" s="38">
        <v>2817866198.48</v>
      </c>
      <c r="S31" s="38">
        <v>761415068.20000005</v>
      </c>
    </row>
    <row r="32" spans="1:19">
      <c r="A32" s="70">
        <v>129</v>
      </c>
      <c r="B32" s="42" t="s">
        <v>243</v>
      </c>
      <c r="C32" s="251">
        <f t="shared" si="0"/>
        <v>3285440042.25</v>
      </c>
      <c r="D32" s="251">
        <f t="shared" si="1"/>
        <v>2607548551.5700002</v>
      </c>
      <c r="E32" s="252">
        <f t="shared" si="2"/>
        <v>5621831997.5480003</v>
      </c>
      <c r="F32" s="253">
        <f t="shared" si="3"/>
        <v>551313</v>
      </c>
      <c r="H32" s="93">
        <f t="shared" si="4"/>
        <v>129</v>
      </c>
      <c r="I32">
        <v>1290</v>
      </c>
      <c r="J32" t="s">
        <v>243</v>
      </c>
      <c r="K32" s="38">
        <v>2540522173.5799999</v>
      </c>
      <c r="L32" s="38">
        <v>1831308902.71</v>
      </c>
      <c r="O32" s="93">
        <f t="shared" si="5"/>
        <v>129</v>
      </c>
      <c r="P32">
        <v>1290</v>
      </c>
      <c r="Q32" t="s">
        <v>243</v>
      </c>
      <c r="R32" s="38">
        <v>1489835737.3399999</v>
      </c>
      <c r="S32" s="38">
        <v>1552479297.72</v>
      </c>
    </row>
    <row r="33" spans="1:19">
      <c r="A33" s="70">
        <v>130</v>
      </c>
      <c r="B33" s="42" t="s">
        <v>244</v>
      </c>
      <c r="C33" s="251">
        <f t="shared" si="0"/>
        <v>3966689153.54</v>
      </c>
      <c r="D33" s="251">
        <f t="shared" si="1"/>
        <v>2302447965.0450001</v>
      </c>
      <c r="E33" s="252">
        <f t="shared" si="2"/>
        <v>5603440643.1870003</v>
      </c>
      <c r="F33" s="253">
        <f t="shared" si="3"/>
        <v>549509</v>
      </c>
      <c r="H33" s="93">
        <f t="shared" si="4"/>
        <v>130</v>
      </c>
      <c r="I33">
        <v>1300</v>
      </c>
      <c r="J33" t="s">
        <v>244</v>
      </c>
      <c r="K33" s="38">
        <v>3543654136.3200002</v>
      </c>
      <c r="L33" s="38">
        <v>1774541512.97</v>
      </c>
      <c r="O33" s="93">
        <f t="shared" si="5"/>
        <v>130</v>
      </c>
      <c r="P33">
        <v>1300</v>
      </c>
      <c r="Q33" t="s">
        <v>244</v>
      </c>
      <c r="R33" s="38">
        <v>846070034.44000006</v>
      </c>
      <c r="S33" s="38">
        <v>1055812904.15</v>
      </c>
    </row>
    <row r="34" spans="1:19">
      <c r="A34" s="70">
        <v>132</v>
      </c>
      <c r="B34" s="42" t="s">
        <v>245</v>
      </c>
      <c r="C34" s="251">
        <f t="shared" si="0"/>
        <v>1183707598.9499998</v>
      </c>
      <c r="D34" s="251">
        <f t="shared" si="1"/>
        <v>1146049443.3099999</v>
      </c>
      <c r="E34" s="252">
        <f t="shared" si="2"/>
        <v>2314693780.0039997</v>
      </c>
      <c r="F34" s="253">
        <f t="shared" si="3"/>
        <v>226994</v>
      </c>
      <c r="H34" s="93">
        <f t="shared" si="4"/>
        <v>132</v>
      </c>
      <c r="I34">
        <v>1320</v>
      </c>
      <c r="J34" t="s">
        <v>245</v>
      </c>
      <c r="K34" s="38">
        <v>994683545.05999994</v>
      </c>
      <c r="L34" s="38">
        <v>846652574.33000004</v>
      </c>
      <c r="O34" s="93">
        <f t="shared" si="5"/>
        <v>132</v>
      </c>
      <c r="P34">
        <v>1320</v>
      </c>
      <c r="Q34" t="s">
        <v>245</v>
      </c>
      <c r="R34" s="38">
        <v>378048107.77999997</v>
      </c>
      <c r="S34" s="38">
        <v>598793737.96000004</v>
      </c>
    </row>
    <row r="35" spans="1:19">
      <c r="A35" s="70">
        <v>133</v>
      </c>
      <c r="B35" s="42" t="s">
        <v>246</v>
      </c>
      <c r="C35" s="251">
        <f t="shared" si="0"/>
        <v>2297419709.0299997</v>
      </c>
      <c r="D35" s="251">
        <f t="shared" si="1"/>
        <v>2047935059.855</v>
      </c>
      <c r="E35" s="252">
        <f t="shared" si="2"/>
        <v>4245560909.2149997</v>
      </c>
      <c r="F35" s="253">
        <f t="shared" si="3"/>
        <v>416347</v>
      </c>
      <c r="H35" s="93">
        <f t="shared" si="4"/>
        <v>133</v>
      </c>
      <c r="I35">
        <v>1330</v>
      </c>
      <c r="J35" t="s">
        <v>246</v>
      </c>
      <c r="K35" s="38">
        <v>1876751863.5699999</v>
      </c>
      <c r="L35" s="38">
        <v>1543537645.1199999</v>
      </c>
      <c r="O35" s="93">
        <f t="shared" si="5"/>
        <v>133</v>
      </c>
      <c r="P35">
        <v>1330</v>
      </c>
      <c r="Q35" t="s">
        <v>246</v>
      </c>
      <c r="R35" s="38">
        <v>841335690.91999996</v>
      </c>
      <c r="S35" s="38">
        <v>1008794829.47</v>
      </c>
    </row>
    <row r="36" spans="1:19">
      <c r="A36" s="70">
        <v>134</v>
      </c>
      <c r="B36" s="42" t="s">
        <v>247</v>
      </c>
      <c r="C36" s="251">
        <f t="shared" ref="C36:C67" si="6">VLOOKUP(A36,H:L,4,0)+(0.5*VLOOKUP(A36,O:S,4,0))</f>
        <v>3536710731.1900001</v>
      </c>
      <c r="D36" s="251">
        <f t="shared" ref="D36:D67" si="7">VLOOKUP(A36,H:L,5,0)+(0.5*VLOOKUP(A36,O:S,5,0))</f>
        <v>4268662491.8400002</v>
      </c>
      <c r="E36" s="252">
        <f t="shared" si="2"/>
        <v>8098153927.29</v>
      </c>
      <c r="F36" s="253">
        <f t="shared" ref="F36:F67" si="8">ROUND(E36*F$2/$E$187, 0)</f>
        <v>794156</v>
      </c>
      <c r="H36" s="93">
        <f t="shared" si="4"/>
        <v>134</v>
      </c>
      <c r="I36">
        <v>1340</v>
      </c>
      <c r="J36" t="s">
        <v>247</v>
      </c>
      <c r="K36" s="38">
        <v>2633612757.1199999</v>
      </c>
      <c r="L36" s="38">
        <v>2866801192</v>
      </c>
      <c r="O36" s="93">
        <f t="shared" si="5"/>
        <v>134</v>
      </c>
      <c r="P36">
        <v>1340</v>
      </c>
      <c r="Q36" t="s">
        <v>247</v>
      </c>
      <c r="R36" s="38">
        <v>1806195948.1400001</v>
      </c>
      <c r="S36" s="38">
        <v>2803722599.6799998</v>
      </c>
    </row>
    <row r="37" spans="1:19">
      <c r="A37" s="70">
        <v>136</v>
      </c>
      <c r="B37" s="42" t="s">
        <v>248</v>
      </c>
      <c r="C37" s="251">
        <f t="shared" si="6"/>
        <v>1171984648.5050001</v>
      </c>
      <c r="D37" s="251">
        <f t="shared" si="7"/>
        <v>1152392327.145</v>
      </c>
      <c r="E37" s="252">
        <f t="shared" si="2"/>
        <v>2316540047.1059999</v>
      </c>
      <c r="F37" s="253">
        <f t="shared" si="8"/>
        <v>227175</v>
      </c>
      <c r="H37" s="93">
        <f t="shared" si="4"/>
        <v>136</v>
      </c>
      <c r="I37">
        <v>1360</v>
      </c>
      <c r="J37" t="s">
        <v>248</v>
      </c>
      <c r="K37" s="38">
        <v>966885906.74000001</v>
      </c>
      <c r="L37" s="38">
        <v>808989962.57000005</v>
      </c>
      <c r="O37" s="93">
        <f t="shared" si="5"/>
        <v>136</v>
      </c>
      <c r="P37">
        <v>1360</v>
      </c>
      <c r="Q37" t="s">
        <v>248</v>
      </c>
      <c r="R37" s="38">
        <v>410197483.52999997</v>
      </c>
      <c r="S37" s="38">
        <v>686804729.14999998</v>
      </c>
    </row>
    <row r="38" spans="1:19">
      <c r="A38" s="70">
        <v>137</v>
      </c>
      <c r="B38" s="42" t="s">
        <v>249</v>
      </c>
      <c r="C38" s="251">
        <f t="shared" si="6"/>
        <v>1830399920.3800001</v>
      </c>
      <c r="D38" s="251">
        <f t="shared" si="7"/>
        <v>1642582603.575</v>
      </c>
      <c r="E38" s="252">
        <f t="shared" si="2"/>
        <v>3397855597.2329998</v>
      </c>
      <c r="F38" s="253">
        <f t="shared" si="8"/>
        <v>333215</v>
      </c>
      <c r="H38" s="93">
        <f t="shared" si="4"/>
        <v>137</v>
      </c>
      <c r="I38">
        <v>1370</v>
      </c>
      <c r="J38" t="s">
        <v>249</v>
      </c>
      <c r="K38" s="38">
        <v>1607745287.4000001</v>
      </c>
      <c r="L38" s="38">
        <v>1343761042.4100001</v>
      </c>
      <c r="O38" s="93">
        <f t="shared" si="5"/>
        <v>137</v>
      </c>
      <c r="P38">
        <v>1370</v>
      </c>
      <c r="Q38" t="s">
        <v>249</v>
      </c>
      <c r="R38" s="38">
        <v>445309265.95999998</v>
      </c>
      <c r="S38" s="38">
        <v>597643122.33000004</v>
      </c>
    </row>
    <row r="39" spans="1:19">
      <c r="A39" s="70">
        <v>143</v>
      </c>
      <c r="B39" s="42" t="s">
        <v>250</v>
      </c>
      <c r="C39" s="251">
        <f t="shared" si="6"/>
        <v>1955965794.5450001</v>
      </c>
      <c r="D39" s="251">
        <f t="shared" si="7"/>
        <v>1275492370.335</v>
      </c>
      <c r="E39" s="252">
        <f t="shared" si="2"/>
        <v>2959268795.1960001</v>
      </c>
      <c r="F39" s="253">
        <f t="shared" si="8"/>
        <v>290205</v>
      </c>
      <c r="H39" s="93">
        <f t="shared" si="4"/>
        <v>143</v>
      </c>
      <c r="I39">
        <v>1430</v>
      </c>
      <c r="J39" t="s">
        <v>250</v>
      </c>
      <c r="K39" s="38">
        <v>1633603705.3900001</v>
      </c>
      <c r="L39" s="38">
        <v>1092647351.8199999</v>
      </c>
      <c r="O39" s="93">
        <f t="shared" si="5"/>
        <v>143</v>
      </c>
      <c r="P39">
        <v>1430</v>
      </c>
      <c r="Q39" t="s">
        <v>250</v>
      </c>
      <c r="R39" s="38">
        <v>644724178.30999994</v>
      </c>
      <c r="S39" s="38">
        <v>365690037.02999997</v>
      </c>
    </row>
    <row r="40" spans="1:19">
      <c r="A40" s="70">
        <v>145</v>
      </c>
      <c r="B40" s="42" t="s">
        <v>251</v>
      </c>
      <c r="C40" s="251">
        <f t="shared" si="6"/>
        <v>1752071035.4200001</v>
      </c>
      <c r="D40" s="251">
        <f t="shared" si="7"/>
        <v>1195358502.1600001</v>
      </c>
      <c r="E40" s="252">
        <f t="shared" si="2"/>
        <v>2724744524.276</v>
      </c>
      <c r="F40" s="253">
        <f t="shared" si="8"/>
        <v>267206</v>
      </c>
      <c r="H40" s="93">
        <f t="shared" si="4"/>
        <v>145</v>
      </c>
      <c r="I40">
        <v>1450</v>
      </c>
      <c r="J40" t="s">
        <v>251</v>
      </c>
      <c r="K40" s="38">
        <v>1468202118.4400001</v>
      </c>
      <c r="L40" s="38">
        <v>909263342.35000002</v>
      </c>
      <c r="O40" s="93">
        <f t="shared" si="5"/>
        <v>145</v>
      </c>
      <c r="P40">
        <v>1450</v>
      </c>
      <c r="Q40" t="s">
        <v>251</v>
      </c>
      <c r="R40" s="38">
        <v>567737833.96000004</v>
      </c>
      <c r="S40" s="38">
        <v>572190319.62</v>
      </c>
    </row>
    <row r="41" spans="1:19">
      <c r="A41" s="70">
        <v>147</v>
      </c>
      <c r="B41" s="42" t="s">
        <v>252</v>
      </c>
      <c r="C41" s="251">
        <f t="shared" si="6"/>
        <v>4983474541.625</v>
      </c>
      <c r="D41" s="251">
        <f t="shared" si="7"/>
        <v>4580552344.0150003</v>
      </c>
      <c r="E41" s="252">
        <f t="shared" si="2"/>
        <v>9402858006.5960007</v>
      </c>
      <c r="F41" s="253">
        <f t="shared" si="8"/>
        <v>922104</v>
      </c>
      <c r="H41" s="93">
        <f t="shared" si="4"/>
        <v>147</v>
      </c>
      <c r="I41">
        <v>1470</v>
      </c>
      <c r="J41" t="s">
        <v>252</v>
      </c>
      <c r="K41" s="38">
        <v>3899682902.0900002</v>
      </c>
      <c r="L41" s="38">
        <v>3277091455.9200001</v>
      </c>
      <c r="O41" s="93">
        <f t="shared" si="5"/>
        <v>147</v>
      </c>
      <c r="P41">
        <v>1470</v>
      </c>
      <c r="Q41" t="s">
        <v>252</v>
      </c>
      <c r="R41" s="38">
        <v>2167583279.0700002</v>
      </c>
      <c r="S41" s="38">
        <v>2606921776.1900001</v>
      </c>
    </row>
    <row r="42" spans="1:19">
      <c r="A42" s="70">
        <v>148</v>
      </c>
      <c r="B42" s="42" t="s">
        <v>253</v>
      </c>
      <c r="C42" s="251">
        <f t="shared" si="6"/>
        <v>2172912266.1550002</v>
      </c>
      <c r="D42" s="251">
        <f t="shared" si="7"/>
        <v>1979154729.4200001</v>
      </c>
      <c r="E42" s="252">
        <f t="shared" si="2"/>
        <v>4074563980.8809996</v>
      </c>
      <c r="F42" s="253">
        <f t="shared" si="8"/>
        <v>399578</v>
      </c>
      <c r="H42" s="93">
        <f t="shared" si="4"/>
        <v>148</v>
      </c>
      <c r="I42">
        <v>1480</v>
      </c>
      <c r="J42" t="s">
        <v>253</v>
      </c>
      <c r="K42" s="38">
        <v>1694043527.46</v>
      </c>
      <c r="L42" s="38">
        <v>1490541644.1300001</v>
      </c>
      <c r="O42" s="93">
        <f t="shared" si="5"/>
        <v>148</v>
      </c>
      <c r="P42">
        <v>1480</v>
      </c>
      <c r="Q42" t="s">
        <v>253</v>
      </c>
      <c r="R42" s="38">
        <v>957737477.38999999</v>
      </c>
      <c r="S42" s="38">
        <v>977226170.58000004</v>
      </c>
    </row>
    <row r="43" spans="1:19">
      <c r="A43" s="70">
        <v>149</v>
      </c>
      <c r="B43" s="42" t="s">
        <v>254</v>
      </c>
      <c r="C43" s="251">
        <f t="shared" si="6"/>
        <v>3227384265.3150001</v>
      </c>
      <c r="D43" s="251">
        <f t="shared" si="7"/>
        <v>2967451881.2200003</v>
      </c>
      <c r="E43" s="252">
        <f t="shared" si="2"/>
        <v>6090863192.8970003</v>
      </c>
      <c r="F43" s="253">
        <f t="shared" si="8"/>
        <v>597309</v>
      </c>
      <c r="H43" s="93">
        <f t="shared" si="4"/>
        <v>149</v>
      </c>
      <c r="I43">
        <v>1490</v>
      </c>
      <c r="J43" t="s">
        <v>254</v>
      </c>
      <c r="K43" s="38">
        <v>2608373461.4400001</v>
      </c>
      <c r="L43" s="38">
        <v>1997063905.95</v>
      </c>
      <c r="O43" s="93">
        <f t="shared" si="5"/>
        <v>149</v>
      </c>
      <c r="P43">
        <v>1490</v>
      </c>
      <c r="Q43" t="s">
        <v>254</v>
      </c>
      <c r="R43" s="38">
        <v>1238021607.75</v>
      </c>
      <c r="S43" s="38">
        <v>1940775950.54</v>
      </c>
    </row>
    <row r="44" spans="1:19">
      <c r="A44" s="70">
        <v>151</v>
      </c>
      <c r="B44" s="42" t="s">
        <v>255</v>
      </c>
      <c r="C44" s="251">
        <f t="shared" si="6"/>
        <v>4176896650.355</v>
      </c>
      <c r="D44" s="251">
        <f t="shared" si="7"/>
        <v>3608618802.8000002</v>
      </c>
      <c r="E44" s="252">
        <f t="shared" si="2"/>
        <v>7558204314.1329994</v>
      </c>
      <c r="F44" s="253">
        <f t="shared" si="8"/>
        <v>741206</v>
      </c>
      <c r="H44" s="93">
        <f t="shared" si="4"/>
        <v>151</v>
      </c>
      <c r="I44">
        <v>1510</v>
      </c>
      <c r="J44" t="s">
        <v>255</v>
      </c>
      <c r="K44" s="38">
        <v>3212262146.9000001</v>
      </c>
      <c r="L44" s="38">
        <v>2582282869.3600001</v>
      </c>
      <c r="O44" s="93">
        <f t="shared" si="5"/>
        <v>151</v>
      </c>
      <c r="P44">
        <v>1510</v>
      </c>
      <c r="Q44" t="s">
        <v>255</v>
      </c>
      <c r="R44" s="38">
        <v>1929269006.9100001</v>
      </c>
      <c r="S44" s="38">
        <v>2052671866.8800001</v>
      </c>
    </row>
    <row r="45" spans="1:19">
      <c r="A45" s="70">
        <v>152</v>
      </c>
      <c r="B45" s="42" t="s">
        <v>256</v>
      </c>
      <c r="C45" s="251">
        <f t="shared" si="6"/>
        <v>3720587930.3699999</v>
      </c>
      <c r="D45" s="251">
        <f t="shared" si="7"/>
        <v>5242069912.0500002</v>
      </c>
      <c r="E45" s="252">
        <f t="shared" si="2"/>
        <v>9571250635.0919991</v>
      </c>
      <c r="F45" s="253">
        <f t="shared" si="8"/>
        <v>938618</v>
      </c>
      <c r="H45" s="93">
        <f t="shared" si="4"/>
        <v>152</v>
      </c>
      <c r="I45">
        <v>1520</v>
      </c>
      <c r="J45" t="s">
        <v>256</v>
      </c>
      <c r="K45" s="38">
        <v>2804058735.9899998</v>
      </c>
      <c r="L45" s="38">
        <v>3641209322.3299999</v>
      </c>
      <c r="O45" s="93">
        <f t="shared" si="5"/>
        <v>152</v>
      </c>
      <c r="P45">
        <v>1520</v>
      </c>
      <c r="Q45" t="s">
        <v>256</v>
      </c>
      <c r="R45" s="38">
        <v>1833058388.76</v>
      </c>
      <c r="S45" s="38">
        <v>3201721179.4400001</v>
      </c>
    </row>
    <row r="46" spans="1:19">
      <c r="A46" s="70">
        <v>153</v>
      </c>
      <c r="B46" s="42" t="s">
        <v>257</v>
      </c>
      <c r="C46" s="251">
        <f t="shared" si="6"/>
        <v>2896136767.9549999</v>
      </c>
      <c r="D46" s="251">
        <f t="shared" si="7"/>
        <v>3328310766.915</v>
      </c>
      <c r="E46" s="252">
        <f t="shared" si="2"/>
        <v>6397317134.4539995</v>
      </c>
      <c r="F46" s="253">
        <f t="shared" si="8"/>
        <v>627362</v>
      </c>
      <c r="H46" s="93">
        <f t="shared" si="4"/>
        <v>153</v>
      </c>
      <c r="I46">
        <v>1530</v>
      </c>
      <c r="J46" t="s">
        <v>257</v>
      </c>
      <c r="K46" s="38">
        <v>2073134682.8</v>
      </c>
      <c r="L46" s="38">
        <v>2317595047.3800001</v>
      </c>
      <c r="O46" s="93">
        <f t="shared" si="5"/>
        <v>153</v>
      </c>
      <c r="P46">
        <v>1530</v>
      </c>
      <c r="Q46" t="s">
        <v>257</v>
      </c>
      <c r="R46" s="38">
        <v>1646004170.3099999</v>
      </c>
      <c r="S46" s="38">
        <v>2021431439.0699999</v>
      </c>
    </row>
    <row r="47" spans="1:19">
      <c r="A47" s="70">
        <v>154</v>
      </c>
      <c r="B47" s="42" t="s">
        <v>258</v>
      </c>
      <c r="C47" s="251">
        <f t="shared" si="6"/>
        <v>3206399292.2600002</v>
      </c>
      <c r="D47" s="251">
        <f t="shared" si="7"/>
        <v>3020452070.335</v>
      </c>
      <c r="E47" s="252">
        <f t="shared" si="2"/>
        <v>6152472473.8249998</v>
      </c>
      <c r="F47" s="253">
        <f t="shared" si="8"/>
        <v>603351</v>
      </c>
      <c r="H47" s="93">
        <f t="shared" si="4"/>
        <v>154</v>
      </c>
      <c r="I47">
        <v>1540</v>
      </c>
      <c r="J47" t="s">
        <v>258</v>
      </c>
      <c r="K47" s="38">
        <v>2746719853.8400002</v>
      </c>
      <c r="L47" s="38">
        <v>2478585704.6500001</v>
      </c>
      <c r="O47" s="93">
        <f t="shared" si="5"/>
        <v>154</v>
      </c>
      <c r="P47">
        <v>1540</v>
      </c>
      <c r="Q47" t="s">
        <v>258</v>
      </c>
      <c r="R47" s="38">
        <v>919358876.84000003</v>
      </c>
      <c r="S47" s="38">
        <v>1083732731.3699999</v>
      </c>
    </row>
    <row r="48" spans="1:19">
      <c r="A48" s="70">
        <v>156</v>
      </c>
      <c r="B48" s="42" t="s">
        <v>259</v>
      </c>
      <c r="C48" s="251">
        <f t="shared" si="6"/>
        <v>2451592112.3499999</v>
      </c>
      <c r="D48" s="251">
        <f t="shared" si="7"/>
        <v>2014765217.5700002</v>
      </c>
      <c r="E48" s="252">
        <f t="shared" si="2"/>
        <v>4291626572.0079999</v>
      </c>
      <c r="F48" s="253">
        <f t="shared" si="8"/>
        <v>420864</v>
      </c>
      <c r="H48" s="93">
        <f t="shared" si="4"/>
        <v>156</v>
      </c>
      <c r="I48">
        <v>1560</v>
      </c>
      <c r="J48" t="s">
        <v>259</v>
      </c>
      <c r="K48" s="38">
        <v>2010764572.6099999</v>
      </c>
      <c r="L48" s="38">
        <v>1475763125</v>
      </c>
      <c r="O48" s="93">
        <f t="shared" si="5"/>
        <v>156</v>
      </c>
      <c r="P48">
        <v>1560</v>
      </c>
      <c r="Q48" t="s">
        <v>259</v>
      </c>
      <c r="R48" s="38">
        <v>881655079.48000002</v>
      </c>
      <c r="S48" s="38">
        <v>1078004185.1400001</v>
      </c>
    </row>
    <row r="49" spans="1:19">
      <c r="A49" s="70">
        <v>157</v>
      </c>
      <c r="B49" s="42" t="s">
        <v>260</v>
      </c>
      <c r="C49" s="251">
        <f t="shared" si="6"/>
        <v>2408653203.3099999</v>
      </c>
      <c r="D49" s="251">
        <f t="shared" si="7"/>
        <v>1996119461.1700001</v>
      </c>
      <c r="E49" s="252">
        <f t="shared" si="2"/>
        <v>4239759167.6239996</v>
      </c>
      <c r="F49" s="253">
        <f t="shared" si="8"/>
        <v>415778</v>
      </c>
      <c r="H49" s="93">
        <f t="shared" si="4"/>
        <v>157</v>
      </c>
      <c r="I49">
        <v>1570</v>
      </c>
      <c r="J49" t="s">
        <v>260</v>
      </c>
      <c r="K49" s="38">
        <v>1872612153.27</v>
      </c>
      <c r="L49" s="38">
        <v>1505966482.8800001</v>
      </c>
      <c r="O49" s="93">
        <f t="shared" si="5"/>
        <v>157</v>
      </c>
      <c r="P49">
        <v>1570</v>
      </c>
      <c r="Q49" t="s">
        <v>260</v>
      </c>
      <c r="R49" s="38">
        <v>1072082100.08</v>
      </c>
      <c r="S49" s="38">
        <v>980305956.58000004</v>
      </c>
    </row>
    <row r="50" spans="1:19">
      <c r="A50" s="70">
        <v>158</v>
      </c>
      <c r="B50" s="42" t="s">
        <v>261</v>
      </c>
      <c r="C50" s="251">
        <f t="shared" si="6"/>
        <v>3872961599.96</v>
      </c>
      <c r="D50" s="251">
        <f t="shared" si="7"/>
        <v>2560705270.23</v>
      </c>
      <c r="E50" s="252">
        <f t="shared" si="2"/>
        <v>5908764338.2980003</v>
      </c>
      <c r="F50" s="253">
        <f t="shared" si="8"/>
        <v>579451</v>
      </c>
      <c r="H50" s="93">
        <f t="shared" si="4"/>
        <v>158</v>
      </c>
      <c r="I50">
        <v>1580</v>
      </c>
      <c r="J50" t="s">
        <v>261</v>
      </c>
      <c r="K50" s="38">
        <v>3139400384.5999999</v>
      </c>
      <c r="L50" s="38">
        <v>1993766656.71</v>
      </c>
      <c r="O50" s="93">
        <f t="shared" si="5"/>
        <v>158</v>
      </c>
      <c r="P50">
        <v>1580</v>
      </c>
      <c r="Q50" t="s">
        <v>261</v>
      </c>
      <c r="R50" s="38">
        <v>1467122430.72</v>
      </c>
      <c r="S50" s="38">
        <v>1133877227.04</v>
      </c>
    </row>
    <row r="51" spans="1:19">
      <c r="A51" s="70">
        <v>159</v>
      </c>
      <c r="B51" s="42" t="s">
        <v>262</v>
      </c>
      <c r="C51" s="251">
        <f t="shared" si="6"/>
        <v>5355796256.1700001</v>
      </c>
      <c r="D51" s="251">
        <f t="shared" si="7"/>
        <v>7174866580.2649994</v>
      </c>
      <c r="E51" s="252">
        <f t="shared" si="2"/>
        <v>13258290966.072998</v>
      </c>
      <c r="F51" s="253">
        <f t="shared" si="8"/>
        <v>1300192</v>
      </c>
      <c r="H51" s="93">
        <f t="shared" si="4"/>
        <v>159</v>
      </c>
      <c r="I51">
        <v>1590</v>
      </c>
      <c r="J51" t="s">
        <v>262</v>
      </c>
      <c r="K51" s="38">
        <v>4149632187.9499998</v>
      </c>
      <c r="L51" s="38">
        <v>3626236063.27</v>
      </c>
      <c r="O51" s="93">
        <f t="shared" si="5"/>
        <v>159</v>
      </c>
      <c r="P51">
        <v>1590</v>
      </c>
      <c r="Q51" t="s">
        <v>262</v>
      </c>
      <c r="R51" s="38">
        <v>2412328136.4400001</v>
      </c>
      <c r="S51" s="38">
        <v>7097261033.9899998</v>
      </c>
    </row>
    <row r="52" spans="1:19">
      <c r="A52" s="70">
        <v>160</v>
      </c>
      <c r="B52" s="42" t="s">
        <v>263</v>
      </c>
      <c r="C52" s="251">
        <f t="shared" si="6"/>
        <v>3824481735.2550001</v>
      </c>
      <c r="D52" s="251">
        <f t="shared" si="7"/>
        <v>3880693780.29</v>
      </c>
      <c r="E52" s="252">
        <f t="shared" si="2"/>
        <v>7727660333.5589991</v>
      </c>
      <c r="F52" s="253">
        <f t="shared" si="8"/>
        <v>757823</v>
      </c>
      <c r="H52" s="93">
        <f t="shared" si="4"/>
        <v>160</v>
      </c>
      <c r="I52">
        <v>1600</v>
      </c>
      <c r="J52" t="s">
        <v>263</v>
      </c>
      <c r="K52" s="38">
        <v>2915589635.5799999</v>
      </c>
      <c r="L52" s="38">
        <v>2781587125.48</v>
      </c>
      <c r="O52" s="93">
        <f t="shared" si="5"/>
        <v>160</v>
      </c>
      <c r="P52">
        <v>1600</v>
      </c>
      <c r="Q52" t="s">
        <v>263</v>
      </c>
      <c r="R52" s="38">
        <v>1817784199.3499999</v>
      </c>
      <c r="S52" s="38">
        <v>2198213309.6199999</v>
      </c>
    </row>
    <row r="53" spans="1:19">
      <c r="A53" s="70">
        <v>161</v>
      </c>
      <c r="B53" s="42" t="s">
        <v>264</v>
      </c>
      <c r="C53" s="251">
        <f t="shared" si="6"/>
        <v>2462845498.6300001</v>
      </c>
      <c r="D53" s="251">
        <f t="shared" si="7"/>
        <v>2337392724.8099999</v>
      </c>
      <c r="E53" s="252">
        <f t="shared" si="2"/>
        <v>4750057113.9119997</v>
      </c>
      <c r="F53" s="253">
        <f t="shared" si="8"/>
        <v>465821</v>
      </c>
      <c r="H53" s="93">
        <f t="shared" si="4"/>
        <v>161</v>
      </c>
      <c r="I53">
        <v>1610</v>
      </c>
      <c r="J53" t="s">
        <v>264</v>
      </c>
      <c r="K53" s="38">
        <v>2042915935.9100001</v>
      </c>
      <c r="L53" s="38">
        <v>1689630111.53</v>
      </c>
      <c r="O53" s="93">
        <f t="shared" si="5"/>
        <v>161</v>
      </c>
      <c r="P53">
        <v>1610</v>
      </c>
      <c r="Q53" t="s">
        <v>264</v>
      </c>
      <c r="R53" s="38">
        <v>839859125.44000006</v>
      </c>
      <c r="S53" s="38">
        <v>1295525226.5599999</v>
      </c>
    </row>
    <row r="54" spans="1:19">
      <c r="A54" s="70">
        <v>162</v>
      </c>
      <c r="B54" s="42" t="s">
        <v>265</v>
      </c>
      <c r="C54" s="251">
        <f t="shared" si="6"/>
        <v>4416900360.4099998</v>
      </c>
      <c r="D54" s="251">
        <f t="shared" si="7"/>
        <v>5150646368.5750008</v>
      </c>
      <c r="E54" s="252">
        <f t="shared" si="2"/>
        <v>9861045132.2510014</v>
      </c>
      <c r="F54" s="253">
        <f t="shared" si="8"/>
        <v>967037</v>
      </c>
      <c r="H54" s="93">
        <f t="shared" si="4"/>
        <v>162</v>
      </c>
      <c r="I54">
        <v>1620</v>
      </c>
      <c r="J54" t="s">
        <v>265</v>
      </c>
      <c r="K54" s="38">
        <v>3444433262.5599999</v>
      </c>
      <c r="L54" s="38">
        <v>3446784573.2800002</v>
      </c>
      <c r="O54" s="93">
        <f t="shared" si="5"/>
        <v>162</v>
      </c>
      <c r="P54">
        <v>1620</v>
      </c>
      <c r="Q54" t="s">
        <v>265</v>
      </c>
      <c r="R54" s="38">
        <v>1944934195.7</v>
      </c>
      <c r="S54" s="38">
        <v>3407723590.5900002</v>
      </c>
    </row>
    <row r="55" spans="1:19">
      <c r="A55" s="70">
        <v>163</v>
      </c>
      <c r="B55" s="42" t="s">
        <v>266</v>
      </c>
      <c r="C55" s="251">
        <f t="shared" si="6"/>
        <v>3192535881.5300002</v>
      </c>
      <c r="D55" s="251">
        <f t="shared" si="7"/>
        <v>3491692906.46</v>
      </c>
      <c r="E55" s="252">
        <f t="shared" si="2"/>
        <v>6803891597.9619999</v>
      </c>
      <c r="F55" s="253">
        <f t="shared" si="8"/>
        <v>667233</v>
      </c>
      <c r="H55" s="93">
        <f t="shared" si="4"/>
        <v>163</v>
      </c>
      <c r="I55">
        <v>1630</v>
      </c>
      <c r="J55" t="s">
        <v>266</v>
      </c>
      <c r="K55" s="38">
        <v>2575829490.6300001</v>
      </c>
      <c r="L55" s="38">
        <v>2563897606.1799998</v>
      </c>
      <c r="O55" s="93">
        <f t="shared" si="5"/>
        <v>163</v>
      </c>
      <c r="P55">
        <v>1630</v>
      </c>
      <c r="Q55" t="s">
        <v>266</v>
      </c>
      <c r="R55" s="38">
        <v>1233412781.8</v>
      </c>
      <c r="S55" s="38">
        <v>1855590600.5599999</v>
      </c>
    </row>
    <row r="56" spans="1:19">
      <c r="A56" s="70">
        <v>164</v>
      </c>
      <c r="B56" s="42" t="s">
        <v>267</v>
      </c>
      <c r="C56" s="251">
        <f t="shared" si="6"/>
        <v>3997865310.6749997</v>
      </c>
      <c r="D56" s="251">
        <f t="shared" si="7"/>
        <v>3704275735.0950003</v>
      </c>
      <c r="E56" s="252">
        <f t="shared" si="2"/>
        <v>7584705215.5380001</v>
      </c>
      <c r="F56" s="253">
        <f t="shared" si="8"/>
        <v>743804</v>
      </c>
      <c r="H56" s="93">
        <f t="shared" si="4"/>
        <v>164</v>
      </c>
      <c r="I56">
        <v>1640</v>
      </c>
      <c r="J56" t="s">
        <v>267</v>
      </c>
      <c r="K56" s="38">
        <v>3209870950.7399998</v>
      </c>
      <c r="L56" s="38">
        <v>2565593316.02</v>
      </c>
      <c r="O56" s="93">
        <f t="shared" si="5"/>
        <v>164</v>
      </c>
      <c r="P56">
        <v>1640</v>
      </c>
      <c r="Q56" t="s">
        <v>267</v>
      </c>
      <c r="R56" s="38">
        <v>1575988719.8699999</v>
      </c>
      <c r="S56" s="38">
        <v>2277364838.1500001</v>
      </c>
    </row>
    <row r="57" spans="1:19">
      <c r="A57" s="70">
        <v>165</v>
      </c>
      <c r="B57" s="42" t="s">
        <v>268</v>
      </c>
      <c r="C57" s="251">
        <f t="shared" si="6"/>
        <v>3666729118.1099997</v>
      </c>
      <c r="D57" s="251">
        <f t="shared" si="7"/>
        <v>3728064117.8399997</v>
      </c>
      <c r="E57" s="252">
        <f t="shared" si="2"/>
        <v>7419327235.8419991</v>
      </c>
      <c r="F57" s="253">
        <f t="shared" si="8"/>
        <v>727586</v>
      </c>
      <c r="H57" s="93">
        <f t="shared" si="4"/>
        <v>165</v>
      </c>
      <c r="I57">
        <v>1650</v>
      </c>
      <c r="J57" t="s">
        <v>268</v>
      </c>
      <c r="K57" s="38">
        <v>2880097092.7399998</v>
      </c>
      <c r="L57" s="38">
        <v>2742045311.1799998</v>
      </c>
      <c r="O57" s="93">
        <f t="shared" si="5"/>
        <v>165</v>
      </c>
      <c r="P57">
        <v>1650</v>
      </c>
      <c r="Q57" t="s">
        <v>268</v>
      </c>
      <c r="R57" s="38">
        <v>1573264050.74</v>
      </c>
      <c r="S57" s="38">
        <v>1972037613.3199999</v>
      </c>
    </row>
    <row r="58" spans="1:19">
      <c r="A58" s="70">
        <v>166</v>
      </c>
      <c r="B58" s="42" t="s">
        <v>269</v>
      </c>
      <c r="C58" s="251">
        <f t="shared" si="6"/>
        <v>4361493835.75</v>
      </c>
      <c r="D58" s="251">
        <f t="shared" si="7"/>
        <v>4547841848.9250002</v>
      </c>
      <c r="E58" s="252">
        <f t="shared" si="2"/>
        <v>8983874889.9449997</v>
      </c>
      <c r="F58" s="253">
        <f t="shared" si="8"/>
        <v>881016</v>
      </c>
      <c r="H58" s="93">
        <f t="shared" si="4"/>
        <v>166</v>
      </c>
      <c r="I58">
        <v>1660</v>
      </c>
      <c r="J58" t="s">
        <v>269</v>
      </c>
      <c r="K58" s="38">
        <v>3582908091.1999998</v>
      </c>
      <c r="L58" s="38">
        <v>3345295424.8200002</v>
      </c>
      <c r="O58" s="93">
        <f t="shared" si="5"/>
        <v>166</v>
      </c>
      <c r="P58">
        <v>1660</v>
      </c>
      <c r="Q58" t="s">
        <v>269</v>
      </c>
      <c r="R58" s="38">
        <v>1557171489.0999999</v>
      </c>
      <c r="S58" s="38">
        <v>2405092848.21</v>
      </c>
    </row>
    <row r="59" spans="1:19">
      <c r="A59" s="70">
        <v>167</v>
      </c>
      <c r="B59" s="42" t="s">
        <v>270</v>
      </c>
      <c r="C59" s="251">
        <f t="shared" si="6"/>
        <v>5644865990.3699999</v>
      </c>
      <c r="D59" s="251">
        <f t="shared" si="7"/>
        <v>6235872090.3249998</v>
      </c>
      <c r="E59" s="252">
        <f t="shared" si="2"/>
        <v>12117140520.677</v>
      </c>
      <c r="F59" s="253">
        <f t="shared" si="8"/>
        <v>1188284</v>
      </c>
      <c r="H59" s="93">
        <f t="shared" si="4"/>
        <v>167</v>
      </c>
      <c r="I59">
        <v>1670</v>
      </c>
      <c r="J59" t="s">
        <v>270</v>
      </c>
      <c r="K59" s="38">
        <v>4709974527.2399998</v>
      </c>
      <c r="L59" s="38">
        <v>4556105478.9099998</v>
      </c>
      <c r="O59" s="93">
        <f t="shared" si="5"/>
        <v>167</v>
      </c>
      <c r="P59">
        <v>1670</v>
      </c>
      <c r="Q59" t="s">
        <v>270</v>
      </c>
      <c r="R59" s="38">
        <v>1869782926.26</v>
      </c>
      <c r="S59" s="38">
        <v>3359533222.8299999</v>
      </c>
    </row>
    <row r="60" spans="1:19">
      <c r="A60" s="70">
        <v>168</v>
      </c>
      <c r="B60" s="42" t="s">
        <v>271</v>
      </c>
      <c r="C60" s="251">
        <f t="shared" si="6"/>
        <v>4929637570.9449997</v>
      </c>
      <c r="D60" s="251">
        <f t="shared" si="7"/>
        <v>4438215503.7250004</v>
      </c>
      <c r="E60" s="252">
        <f t="shared" si="2"/>
        <v>9171284247.7819996</v>
      </c>
      <c r="F60" s="253">
        <f t="shared" si="8"/>
        <v>899394</v>
      </c>
      <c r="H60" s="93">
        <f t="shared" si="4"/>
        <v>168</v>
      </c>
      <c r="I60">
        <v>1680</v>
      </c>
      <c r="J60" t="s">
        <v>271</v>
      </c>
      <c r="K60" s="38">
        <v>3854163333.5799999</v>
      </c>
      <c r="L60" s="38">
        <v>3243884886.4400001</v>
      </c>
      <c r="O60" s="93">
        <f t="shared" si="5"/>
        <v>168</v>
      </c>
      <c r="P60">
        <v>1680</v>
      </c>
      <c r="Q60" t="s">
        <v>271</v>
      </c>
      <c r="R60" s="38">
        <v>2150948474.73</v>
      </c>
      <c r="S60" s="38">
        <v>2388661234.5700002</v>
      </c>
    </row>
    <row r="61" spans="1:19">
      <c r="A61" s="70">
        <v>169</v>
      </c>
      <c r="B61" s="42" t="s">
        <v>272</v>
      </c>
      <c r="C61" s="251">
        <f t="shared" si="6"/>
        <v>3896416804.6500001</v>
      </c>
      <c r="D61" s="251">
        <f t="shared" si="7"/>
        <v>4347402044.915</v>
      </c>
      <c r="E61" s="252">
        <f t="shared" si="2"/>
        <v>8424212945.6709995</v>
      </c>
      <c r="F61" s="253">
        <f t="shared" si="8"/>
        <v>826132</v>
      </c>
      <c r="H61" s="93">
        <f t="shared" si="4"/>
        <v>169</v>
      </c>
      <c r="I61">
        <v>1690</v>
      </c>
      <c r="J61" t="s">
        <v>272</v>
      </c>
      <c r="K61" s="38">
        <v>3008205931.0799999</v>
      </c>
      <c r="L61" s="38">
        <v>2771005101.0300002</v>
      </c>
      <c r="O61" s="93">
        <f t="shared" si="5"/>
        <v>169</v>
      </c>
      <c r="P61">
        <v>1690</v>
      </c>
      <c r="Q61" t="s">
        <v>272</v>
      </c>
      <c r="R61" s="38">
        <v>1776421747.1400001</v>
      </c>
      <c r="S61" s="38">
        <v>3152793887.77</v>
      </c>
    </row>
    <row r="62" spans="1:19">
      <c r="A62" s="70">
        <v>170</v>
      </c>
      <c r="B62" s="42" t="s">
        <v>273</v>
      </c>
      <c r="C62" s="251">
        <f t="shared" si="6"/>
        <v>3882077499.9499998</v>
      </c>
      <c r="D62" s="251">
        <f t="shared" si="7"/>
        <v>3491822567.0100002</v>
      </c>
      <c r="E62" s="252">
        <f t="shared" si="2"/>
        <v>7217798093.7840004</v>
      </c>
      <c r="F62" s="253">
        <f t="shared" si="8"/>
        <v>707823</v>
      </c>
      <c r="H62" s="93">
        <f t="shared" si="4"/>
        <v>170</v>
      </c>
      <c r="I62">
        <v>1700</v>
      </c>
      <c r="J62" t="s">
        <v>273</v>
      </c>
      <c r="K62" s="38">
        <v>2986008085.0599999</v>
      </c>
      <c r="L62" s="38">
        <v>2693909536.9400001</v>
      </c>
      <c r="O62" s="93">
        <f t="shared" si="5"/>
        <v>170</v>
      </c>
      <c r="P62">
        <v>1700</v>
      </c>
      <c r="Q62" t="s">
        <v>273</v>
      </c>
      <c r="R62" s="38">
        <v>1792138829.78</v>
      </c>
      <c r="S62" s="38">
        <v>1595826060.1400001</v>
      </c>
    </row>
    <row r="63" spans="1:19">
      <c r="A63" s="70">
        <v>171</v>
      </c>
      <c r="B63" s="42" t="s">
        <v>274</v>
      </c>
      <c r="C63" s="251">
        <f t="shared" si="6"/>
        <v>2720796407.7350001</v>
      </c>
      <c r="D63" s="251">
        <f t="shared" si="7"/>
        <v>2797836700.0700002</v>
      </c>
      <c r="E63" s="252">
        <f t="shared" si="2"/>
        <v>5549449224.7390003</v>
      </c>
      <c r="F63" s="253">
        <f t="shared" si="8"/>
        <v>544214</v>
      </c>
      <c r="H63" s="93">
        <f t="shared" si="4"/>
        <v>171</v>
      </c>
      <c r="I63">
        <v>1710</v>
      </c>
      <c r="J63" t="s">
        <v>274</v>
      </c>
      <c r="K63" s="38">
        <v>2122983116.52</v>
      </c>
      <c r="L63" s="38">
        <v>2049909786.8800001</v>
      </c>
      <c r="O63" s="93">
        <f t="shared" si="5"/>
        <v>171</v>
      </c>
      <c r="P63">
        <v>1710</v>
      </c>
      <c r="Q63" t="s">
        <v>274</v>
      </c>
      <c r="R63" s="38">
        <v>1195626582.4300001</v>
      </c>
      <c r="S63" s="38">
        <v>1495853826.3800001</v>
      </c>
    </row>
    <row r="64" spans="1:19">
      <c r="A64" s="70">
        <v>172</v>
      </c>
      <c r="B64" s="42" t="s">
        <v>275</v>
      </c>
      <c r="C64" s="251">
        <f t="shared" si="6"/>
        <v>3634170460.3149996</v>
      </c>
      <c r="D64" s="251">
        <f t="shared" si="7"/>
        <v>2871915951.3649998</v>
      </c>
      <c r="E64" s="252">
        <f t="shared" si="2"/>
        <v>6201184608.0999985</v>
      </c>
      <c r="F64" s="253">
        <f t="shared" si="8"/>
        <v>608128</v>
      </c>
      <c r="H64" s="93">
        <f t="shared" si="4"/>
        <v>172</v>
      </c>
      <c r="I64">
        <v>1720</v>
      </c>
      <c r="J64" t="s">
        <v>275</v>
      </c>
      <c r="K64" s="38">
        <v>2181181779.5799999</v>
      </c>
      <c r="L64" s="38">
        <v>2130934367.3399999</v>
      </c>
      <c r="O64" s="93">
        <f t="shared" si="5"/>
        <v>172</v>
      </c>
      <c r="P64">
        <v>1720</v>
      </c>
      <c r="Q64" t="s">
        <v>275</v>
      </c>
      <c r="R64" s="38">
        <v>2905977361.4699998</v>
      </c>
      <c r="S64" s="38">
        <v>1481963168.05</v>
      </c>
    </row>
    <row r="65" spans="1:19">
      <c r="A65" s="70">
        <v>173</v>
      </c>
      <c r="B65" s="42" t="s">
        <v>276</v>
      </c>
      <c r="C65" s="251">
        <f t="shared" si="6"/>
        <v>3525743307.5299997</v>
      </c>
      <c r="D65" s="251">
        <f t="shared" si="7"/>
        <v>2122447765.95</v>
      </c>
      <c r="E65" s="252">
        <f t="shared" si="2"/>
        <v>5086872856.8479996</v>
      </c>
      <c r="F65" s="253">
        <f t="shared" si="8"/>
        <v>498851</v>
      </c>
      <c r="H65" s="93">
        <f t="shared" si="4"/>
        <v>173</v>
      </c>
      <c r="I65">
        <v>1730</v>
      </c>
      <c r="J65" t="s">
        <v>276</v>
      </c>
      <c r="K65" s="38">
        <v>2833724841.29</v>
      </c>
      <c r="L65" s="38">
        <v>1529263718.98</v>
      </c>
      <c r="O65" s="93">
        <f t="shared" si="5"/>
        <v>173</v>
      </c>
      <c r="P65">
        <v>1730</v>
      </c>
      <c r="Q65" t="s">
        <v>276</v>
      </c>
      <c r="R65" s="38">
        <v>1384036932.48</v>
      </c>
      <c r="S65" s="38">
        <v>1186368093.9400001</v>
      </c>
    </row>
    <row r="66" spans="1:19">
      <c r="A66" s="70">
        <v>174</v>
      </c>
      <c r="B66" s="42" t="s">
        <v>277</v>
      </c>
      <c r="C66" s="251">
        <f t="shared" si="6"/>
        <v>5437672339.3249998</v>
      </c>
      <c r="D66" s="251">
        <f t="shared" si="7"/>
        <v>4497084863.1099997</v>
      </c>
      <c r="E66" s="252">
        <f t="shared" si="2"/>
        <v>9558522211.9489994</v>
      </c>
      <c r="F66" s="253">
        <f t="shared" si="8"/>
        <v>937369</v>
      </c>
      <c r="H66" s="93">
        <f t="shared" si="4"/>
        <v>174</v>
      </c>
      <c r="I66">
        <v>1740</v>
      </c>
      <c r="J66" t="s">
        <v>277</v>
      </c>
      <c r="K66" s="38">
        <v>4536532327.6300001</v>
      </c>
      <c r="L66" s="38">
        <v>3697761044.5599999</v>
      </c>
      <c r="O66" s="93">
        <f t="shared" si="5"/>
        <v>174</v>
      </c>
      <c r="P66">
        <v>1740</v>
      </c>
      <c r="Q66" t="s">
        <v>277</v>
      </c>
      <c r="R66" s="38">
        <v>1802280023.3900001</v>
      </c>
      <c r="S66" s="38">
        <v>1598647637.0999999</v>
      </c>
    </row>
    <row r="67" spans="1:19">
      <c r="A67" s="70">
        <v>175</v>
      </c>
      <c r="B67" s="42" t="s">
        <v>278</v>
      </c>
      <c r="C67" s="251">
        <f t="shared" si="6"/>
        <v>3531651161.1000004</v>
      </c>
      <c r="D67" s="251">
        <f t="shared" si="7"/>
        <v>3503569027.3650002</v>
      </c>
      <c r="E67" s="252">
        <f t="shared" si="2"/>
        <v>7023987334.9709997</v>
      </c>
      <c r="F67" s="253">
        <f t="shared" si="8"/>
        <v>688817</v>
      </c>
      <c r="H67" s="93">
        <f t="shared" si="4"/>
        <v>175</v>
      </c>
      <c r="I67">
        <v>1750</v>
      </c>
      <c r="J67" t="s">
        <v>278</v>
      </c>
      <c r="K67" s="38">
        <v>2969163471.1100001</v>
      </c>
      <c r="L67" s="38">
        <v>2647812437.4000001</v>
      </c>
      <c r="O67" s="93">
        <f t="shared" si="5"/>
        <v>175</v>
      </c>
      <c r="P67">
        <v>1750</v>
      </c>
      <c r="Q67" t="s">
        <v>278</v>
      </c>
      <c r="R67" s="38">
        <v>1124975379.98</v>
      </c>
      <c r="S67" s="38">
        <v>1711513179.9300001</v>
      </c>
    </row>
    <row r="68" spans="1:19">
      <c r="A68" s="70">
        <v>176</v>
      </c>
      <c r="B68" s="42" t="s">
        <v>279</v>
      </c>
      <c r="C68" s="251">
        <f t="shared" ref="C68:C99" si="9">VLOOKUP(A68,H:L,4,0)+(0.5*VLOOKUP(A68,O:S,4,0))</f>
        <v>3036115511.355</v>
      </c>
      <c r="D68" s="251">
        <f t="shared" ref="D68:D99" si="10">VLOOKUP(A68,H:L,5,0)+(0.5*VLOOKUP(A68,O:S,5,0))</f>
        <v>2075227017.375</v>
      </c>
      <c r="E68" s="252">
        <f t="shared" ref="E68:E73" si="11">(C68*$C$2)+(D68*$D$2)</f>
        <v>4726987131.1379995</v>
      </c>
      <c r="F68" s="253">
        <f t="shared" ref="F68:F99" si="12">ROUND(E68*F$2/$E$187, 0)</f>
        <v>463558</v>
      </c>
      <c r="H68" s="93">
        <f t="shared" si="4"/>
        <v>176</v>
      </c>
      <c r="I68">
        <v>1760</v>
      </c>
      <c r="J68" t="s">
        <v>279</v>
      </c>
      <c r="K68" s="38">
        <v>2616254526.6100001</v>
      </c>
      <c r="L68" s="38">
        <v>1724314791.1500001</v>
      </c>
      <c r="O68" s="93">
        <f t="shared" ref="O68:O131" si="13">P68/10</f>
        <v>176</v>
      </c>
      <c r="P68">
        <v>1760</v>
      </c>
      <c r="Q68" t="s">
        <v>279</v>
      </c>
      <c r="R68" s="38">
        <v>839721969.49000001</v>
      </c>
      <c r="S68" s="38">
        <v>701824452.45000005</v>
      </c>
    </row>
    <row r="69" spans="1:19">
      <c r="A69" s="70">
        <v>177</v>
      </c>
      <c r="B69" s="42" t="s">
        <v>647</v>
      </c>
      <c r="C69" s="251">
        <f t="shared" si="9"/>
        <v>236135399.20500001</v>
      </c>
      <c r="D69" s="251">
        <f t="shared" si="10"/>
        <v>213084919.22499999</v>
      </c>
      <c r="E69" s="252">
        <f t="shared" si="11"/>
        <v>440000126.43799996</v>
      </c>
      <c r="F69" s="253">
        <f t="shared" si="12"/>
        <v>43149</v>
      </c>
      <c r="H69" s="93">
        <f t="shared" ref="H69:H131" si="14">I69/10</f>
        <v>177</v>
      </c>
      <c r="I69">
        <v>1770</v>
      </c>
      <c r="J69" t="s">
        <v>896</v>
      </c>
      <c r="K69" s="38">
        <v>216235442.24000001</v>
      </c>
      <c r="L69" s="38">
        <v>185099683.84</v>
      </c>
      <c r="O69" s="93">
        <f t="shared" si="13"/>
        <v>177</v>
      </c>
      <c r="P69">
        <v>1770</v>
      </c>
      <c r="Q69" t="s">
        <v>896</v>
      </c>
      <c r="R69" s="38">
        <v>39799913.93</v>
      </c>
      <c r="S69" s="38">
        <v>55970470.770000003</v>
      </c>
    </row>
    <row r="70" spans="1:19">
      <c r="A70" s="70">
        <v>178</v>
      </c>
      <c r="B70" s="42" t="s">
        <v>280</v>
      </c>
      <c r="C70" s="251">
        <f t="shared" si="9"/>
        <v>4215334227.085</v>
      </c>
      <c r="D70" s="251">
        <f t="shared" si="10"/>
        <v>3942434280.3150001</v>
      </c>
      <c r="E70" s="252">
        <f t="shared" si="11"/>
        <v>8048608528.6919994</v>
      </c>
      <c r="F70" s="253">
        <f t="shared" si="12"/>
        <v>789298</v>
      </c>
      <c r="H70" s="93">
        <f t="shared" si="14"/>
        <v>178</v>
      </c>
      <c r="I70">
        <v>1780</v>
      </c>
      <c r="J70" t="s">
        <v>280</v>
      </c>
      <c r="K70" s="38">
        <v>3711351370.0799999</v>
      </c>
      <c r="L70" s="38">
        <v>3053895507.1900001</v>
      </c>
      <c r="O70" s="93">
        <f t="shared" si="13"/>
        <v>178</v>
      </c>
      <c r="P70">
        <v>1780</v>
      </c>
      <c r="Q70" t="s">
        <v>280</v>
      </c>
      <c r="R70" s="38">
        <v>1007965714.01</v>
      </c>
      <c r="S70" s="38">
        <v>1777077546.25</v>
      </c>
    </row>
    <row r="71" spans="1:19">
      <c r="A71" s="70">
        <v>179</v>
      </c>
      <c r="B71" s="42" t="s">
        <v>281</v>
      </c>
      <c r="C71" s="251">
        <f t="shared" si="9"/>
        <v>3934576451.375</v>
      </c>
      <c r="D71" s="251">
        <f t="shared" si="10"/>
        <v>2917432606.7349997</v>
      </c>
      <c r="E71" s="252">
        <f t="shared" si="11"/>
        <v>6445151520.2539997</v>
      </c>
      <c r="F71" s="253">
        <f t="shared" si="12"/>
        <v>632052</v>
      </c>
      <c r="H71" s="93">
        <f t="shared" si="14"/>
        <v>179</v>
      </c>
      <c r="I71">
        <v>1790</v>
      </c>
      <c r="J71" t="s">
        <v>281</v>
      </c>
      <c r="K71" s="38">
        <v>3341629250.6500001</v>
      </c>
      <c r="L71" s="38">
        <v>2170023644.4099998</v>
      </c>
      <c r="O71" s="93">
        <f t="shared" si="13"/>
        <v>179</v>
      </c>
      <c r="P71">
        <v>1790</v>
      </c>
      <c r="Q71" t="s">
        <v>281</v>
      </c>
      <c r="R71" s="38">
        <v>1185894401.45</v>
      </c>
      <c r="S71" s="38">
        <v>1494817924.6500001</v>
      </c>
    </row>
    <row r="72" spans="1:19">
      <c r="A72" s="70">
        <v>180</v>
      </c>
      <c r="B72" s="42" t="s">
        <v>282</v>
      </c>
      <c r="C72" s="251">
        <f t="shared" si="9"/>
        <v>4496193816.5900002</v>
      </c>
      <c r="D72" s="251">
        <f t="shared" si="10"/>
        <v>3835239784.625</v>
      </c>
      <c r="E72" s="252">
        <f t="shared" si="11"/>
        <v>8067051988.4289989</v>
      </c>
      <c r="F72" s="253">
        <f t="shared" si="12"/>
        <v>791106</v>
      </c>
      <c r="H72" s="93">
        <f t="shared" si="14"/>
        <v>180</v>
      </c>
      <c r="I72">
        <v>1800</v>
      </c>
      <c r="J72" t="s">
        <v>282</v>
      </c>
      <c r="K72" s="38">
        <v>3621038073.1399999</v>
      </c>
      <c r="L72" s="38">
        <v>2845632603.8200002</v>
      </c>
      <c r="O72" s="93">
        <f t="shared" si="13"/>
        <v>180</v>
      </c>
      <c r="P72">
        <v>1800</v>
      </c>
      <c r="Q72" t="s">
        <v>282</v>
      </c>
      <c r="R72" s="38">
        <v>1750311486.9000001</v>
      </c>
      <c r="S72" s="38">
        <v>1979214361.6099999</v>
      </c>
    </row>
    <row r="73" spans="1:19">
      <c r="A73" s="70">
        <v>182</v>
      </c>
      <c r="B73" s="42" t="s">
        <v>283</v>
      </c>
      <c r="C73" s="251">
        <f t="shared" si="9"/>
        <v>2414513806.8000002</v>
      </c>
      <c r="D73" s="251">
        <f t="shared" si="10"/>
        <v>2406184477.0450001</v>
      </c>
      <c r="E73" s="252">
        <f t="shared" si="11"/>
        <v>4817366551.9429998</v>
      </c>
      <c r="F73" s="253">
        <f t="shared" si="12"/>
        <v>472422</v>
      </c>
      <c r="H73" s="93">
        <f t="shared" si="14"/>
        <v>182</v>
      </c>
      <c r="I73">
        <v>1820</v>
      </c>
      <c r="J73" t="s">
        <v>283</v>
      </c>
      <c r="K73" s="38">
        <v>1862924839.51</v>
      </c>
      <c r="L73" s="38">
        <v>1810915020.0599999</v>
      </c>
      <c r="O73" s="93">
        <f t="shared" si="13"/>
        <v>182</v>
      </c>
      <c r="P73">
        <v>1820</v>
      </c>
      <c r="Q73" t="s">
        <v>283</v>
      </c>
      <c r="R73" s="38">
        <v>1103177934.5799999</v>
      </c>
      <c r="S73" s="38">
        <v>1190538913.97</v>
      </c>
    </row>
    <row r="74" spans="1:19">
      <c r="A74" s="70">
        <v>183</v>
      </c>
      <c r="B74" s="42" t="s">
        <v>284</v>
      </c>
      <c r="C74" s="251">
        <f t="shared" si="9"/>
        <v>2932381148.8150001</v>
      </c>
      <c r="D74" s="251">
        <f t="shared" si="10"/>
        <v>2984300249.7399998</v>
      </c>
      <c r="E74" s="252">
        <f t="shared" ref="E74:E81" si="15">(C74*$C$2)+(D74*$D$2)</f>
        <v>5937449038.9249992</v>
      </c>
      <c r="F74" s="253">
        <f t="shared" si="12"/>
        <v>582264</v>
      </c>
      <c r="H74" s="93">
        <f t="shared" si="14"/>
        <v>183</v>
      </c>
      <c r="I74">
        <v>1830</v>
      </c>
      <c r="J74" t="s">
        <v>284</v>
      </c>
      <c r="K74" s="38">
        <v>2266238994.8499999</v>
      </c>
      <c r="L74" s="38">
        <v>2110209064.5</v>
      </c>
      <c r="O74" s="93">
        <f t="shared" si="13"/>
        <v>183</v>
      </c>
      <c r="P74">
        <v>1830</v>
      </c>
      <c r="Q74" t="s">
        <v>284</v>
      </c>
      <c r="R74" s="38">
        <v>1332284307.9300001</v>
      </c>
      <c r="S74" s="38">
        <v>1748182370.48</v>
      </c>
    </row>
    <row r="75" spans="1:19">
      <c r="A75" s="70">
        <v>184</v>
      </c>
      <c r="B75" s="42" t="s">
        <v>285</v>
      </c>
      <c r="C75" s="251">
        <f t="shared" si="9"/>
        <v>2414422065.3800001</v>
      </c>
      <c r="D75" s="251">
        <f t="shared" si="10"/>
        <v>2231043306.9450002</v>
      </c>
      <c r="E75" s="252">
        <f t="shared" si="15"/>
        <v>4572113868.9510002</v>
      </c>
      <c r="F75" s="253">
        <f t="shared" si="12"/>
        <v>448371</v>
      </c>
      <c r="H75" s="93">
        <f t="shared" si="14"/>
        <v>184</v>
      </c>
      <c r="I75">
        <v>1840</v>
      </c>
      <c r="J75" t="s">
        <v>285</v>
      </c>
      <c r="K75" s="38">
        <v>2051281636.5999999</v>
      </c>
      <c r="L75" s="38">
        <v>1846581236.48</v>
      </c>
      <c r="O75" s="93">
        <f t="shared" si="13"/>
        <v>184</v>
      </c>
      <c r="P75">
        <v>1840</v>
      </c>
      <c r="Q75" t="s">
        <v>285</v>
      </c>
      <c r="R75" s="38">
        <v>726280857.55999994</v>
      </c>
      <c r="S75" s="38">
        <v>768924140.92999995</v>
      </c>
    </row>
    <row r="76" spans="1:19">
      <c r="A76" s="70">
        <v>185</v>
      </c>
      <c r="B76" s="42" t="s">
        <v>286</v>
      </c>
      <c r="C76" s="251">
        <f t="shared" si="9"/>
        <v>4561118620.6499996</v>
      </c>
      <c r="D76" s="251">
        <f t="shared" si="10"/>
        <v>2866473694.415</v>
      </c>
      <c r="E76" s="252">
        <f t="shared" si="15"/>
        <v>6749734344.5709991</v>
      </c>
      <c r="F76" s="253">
        <f t="shared" si="12"/>
        <v>661922</v>
      </c>
      <c r="H76" s="93">
        <f t="shared" si="14"/>
        <v>185</v>
      </c>
      <c r="I76">
        <v>1850</v>
      </c>
      <c r="J76" t="s">
        <v>286</v>
      </c>
      <c r="K76" s="38">
        <v>3216921997.5</v>
      </c>
      <c r="L76" s="38">
        <v>2012870408.6099999</v>
      </c>
      <c r="O76" s="93">
        <f t="shared" si="13"/>
        <v>185</v>
      </c>
      <c r="P76">
        <v>1850</v>
      </c>
      <c r="Q76" t="s">
        <v>286</v>
      </c>
      <c r="R76" s="38">
        <v>2688393246.3000002</v>
      </c>
      <c r="S76" s="38">
        <v>1707206571.6099999</v>
      </c>
    </row>
    <row r="77" spans="1:19">
      <c r="A77" s="70">
        <v>186</v>
      </c>
      <c r="B77" s="42" t="s">
        <v>287</v>
      </c>
      <c r="C77" s="251">
        <f t="shared" si="9"/>
        <v>5324352887.5199995</v>
      </c>
      <c r="D77" s="251">
        <f t="shared" si="10"/>
        <v>4523616398.4250002</v>
      </c>
      <c r="E77" s="252">
        <f t="shared" si="15"/>
        <v>9527674690.3069992</v>
      </c>
      <c r="F77" s="253">
        <f t="shared" si="12"/>
        <v>934344</v>
      </c>
      <c r="H77" s="93">
        <f t="shared" si="14"/>
        <v>186</v>
      </c>
      <c r="I77">
        <v>1860</v>
      </c>
      <c r="J77" t="s">
        <v>287</v>
      </c>
      <c r="K77" s="38">
        <v>4351704080.4899998</v>
      </c>
      <c r="L77" s="38">
        <v>3528330224.25</v>
      </c>
      <c r="O77" s="93">
        <f t="shared" si="13"/>
        <v>186</v>
      </c>
      <c r="P77">
        <v>1860</v>
      </c>
      <c r="Q77" t="s">
        <v>287</v>
      </c>
      <c r="R77" s="38">
        <v>1945297614.0599999</v>
      </c>
      <c r="S77" s="38">
        <v>1990572348.3499999</v>
      </c>
    </row>
    <row r="78" spans="1:19">
      <c r="A78" s="70">
        <v>187</v>
      </c>
      <c r="B78" s="42" t="s">
        <v>288</v>
      </c>
      <c r="C78" s="251">
        <f t="shared" si="9"/>
        <v>3068987046.9449997</v>
      </c>
      <c r="D78" s="251">
        <f t="shared" si="10"/>
        <v>2308967029.6849999</v>
      </c>
      <c r="E78" s="252">
        <f t="shared" si="15"/>
        <v>5073946069.7259998</v>
      </c>
      <c r="F78" s="253">
        <f t="shared" si="12"/>
        <v>497583</v>
      </c>
      <c r="H78" s="93">
        <f t="shared" si="14"/>
        <v>187</v>
      </c>
      <c r="I78">
        <v>1870</v>
      </c>
      <c r="J78" t="s">
        <v>288</v>
      </c>
      <c r="K78" s="38">
        <v>2556169910.1999998</v>
      </c>
      <c r="L78" s="38">
        <v>1784937975.8099999</v>
      </c>
      <c r="O78" s="93">
        <f t="shared" si="13"/>
        <v>187</v>
      </c>
      <c r="P78">
        <v>1870</v>
      </c>
      <c r="Q78" t="s">
        <v>288</v>
      </c>
      <c r="R78" s="38">
        <v>1025634273.49</v>
      </c>
      <c r="S78" s="38">
        <v>1048058107.75</v>
      </c>
    </row>
    <row r="79" spans="1:19">
      <c r="A79" s="70">
        <v>189</v>
      </c>
      <c r="B79" s="42" t="s">
        <v>289</v>
      </c>
      <c r="C79" s="251">
        <f t="shared" si="9"/>
        <v>3217814922.21</v>
      </c>
      <c r="D79" s="251">
        <f t="shared" si="10"/>
        <v>3268534663.1949997</v>
      </c>
      <c r="E79" s="252">
        <f t="shared" si="15"/>
        <v>6506637481.7989998</v>
      </c>
      <c r="F79" s="253">
        <f t="shared" si="12"/>
        <v>638082</v>
      </c>
      <c r="H79" s="93">
        <f t="shared" si="14"/>
        <v>189</v>
      </c>
      <c r="I79">
        <v>1890</v>
      </c>
      <c r="J79" t="s">
        <v>289</v>
      </c>
      <c r="K79" s="38">
        <v>2461575986.2399998</v>
      </c>
      <c r="L79" s="38">
        <v>2241695493.2399998</v>
      </c>
      <c r="O79" s="93">
        <f t="shared" si="13"/>
        <v>189</v>
      </c>
      <c r="P79">
        <v>1890</v>
      </c>
      <c r="Q79" t="s">
        <v>289</v>
      </c>
      <c r="R79" s="38">
        <v>1512477871.9400001</v>
      </c>
      <c r="S79" s="38">
        <v>2053678339.9100001</v>
      </c>
    </row>
    <row r="80" spans="1:19">
      <c r="A80" s="70">
        <v>190</v>
      </c>
      <c r="B80" s="42" t="s">
        <v>290</v>
      </c>
      <c r="C80" s="251">
        <f t="shared" si="9"/>
        <v>2921975125.1500001</v>
      </c>
      <c r="D80" s="251">
        <f t="shared" si="10"/>
        <v>3249119105.3299999</v>
      </c>
      <c r="E80" s="252">
        <f t="shared" si="15"/>
        <v>6301951822.552</v>
      </c>
      <c r="F80" s="253">
        <f t="shared" si="12"/>
        <v>618009</v>
      </c>
      <c r="H80" s="93">
        <f t="shared" si="14"/>
        <v>190</v>
      </c>
      <c r="I80">
        <v>1900</v>
      </c>
      <c r="J80" t="s">
        <v>290</v>
      </c>
      <c r="K80" s="38">
        <v>2253629754.29</v>
      </c>
      <c r="L80" s="38">
        <v>2208931182.5700002</v>
      </c>
      <c r="O80" s="93">
        <f t="shared" si="13"/>
        <v>190</v>
      </c>
      <c r="P80">
        <v>1900</v>
      </c>
      <c r="Q80" t="s">
        <v>290</v>
      </c>
      <c r="R80" s="38">
        <v>1336690741.72</v>
      </c>
      <c r="S80" s="38">
        <v>2080375845.52</v>
      </c>
    </row>
    <row r="81" spans="1:19">
      <c r="A81" s="70">
        <v>191</v>
      </c>
      <c r="B81" s="42" t="s">
        <v>291</v>
      </c>
      <c r="C81" s="251">
        <f t="shared" si="9"/>
        <v>3964226431.4700003</v>
      </c>
      <c r="D81" s="251">
        <f t="shared" si="10"/>
        <v>3270170538.9749999</v>
      </c>
      <c r="E81" s="252">
        <f t="shared" si="15"/>
        <v>6956774613.4469995</v>
      </c>
      <c r="F81" s="253">
        <f t="shared" si="12"/>
        <v>682225</v>
      </c>
      <c r="H81" s="93">
        <f t="shared" si="14"/>
        <v>191</v>
      </c>
      <c r="I81">
        <v>1910</v>
      </c>
      <c r="J81" t="s">
        <v>291</v>
      </c>
      <c r="K81" s="38">
        <v>3266255874.0300002</v>
      </c>
      <c r="L81" s="38">
        <v>2500430408.21</v>
      </c>
      <c r="O81" s="93">
        <f t="shared" si="13"/>
        <v>191</v>
      </c>
      <c r="P81">
        <v>1910</v>
      </c>
      <c r="Q81" t="s">
        <v>291</v>
      </c>
      <c r="R81" s="38">
        <v>1395941114.8800001</v>
      </c>
      <c r="S81" s="38">
        <v>1539480261.53</v>
      </c>
    </row>
    <row r="82" spans="1:19">
      <c r="A82" s="70">
        <v>192</v>
      </c>
      <c r="B82" s="42" t="s">
        <v>292</v>
      </c>
      <c r="C82" s="251">
        <f t="shared" si="9"/>
        <v>5287695377.6750002</v>
      </c>
      <c r="D82" s="251">
        <f t="shared" si="10"/>
        <v>2783184341.855</v>
      </c>
      <c r="E82" s="252">
        <f t="shared" ref="E82:E141" si="16">(C82*$C$2)+(D82*$D$2)</f>
        <v>7069075305.2019997</v>
      </c>
      <c r="F82" s="253">
        <f t="shared" si="12"/>
        <v>693238</v>
      </c>
      <c r="H82" s="93">
        <f t="shared" si="14"/>
        <v>192</v>
      </c>
      <c r="I82">
        <v>1920</v>
      </c>
      <c r="J82" t="s">
        <v>292</v>
      </c>
      <c r="K82" s="38">
        <v>3938568079.0999999</v>
      </c>
      <c r="L82" s="38">
        <v>2127150738.8</v>
      </c>
      <c r="O82" s="93">
        <f t="shared" si="13"/>
        <v>192</v>
      </c>
      <c r="P82">
        <v>1920</v>
      </c>
      <c r="Q82" t="s">
        <v>292</v>
      </c>
      <c r="R82" s="38">
        <v>2698254597.1500001</v>
      </c>
      <c r="S82" s="38">
        <v>1312067206.1099999</v>
      </c>
    </row>
    <row r="83" spans="1:19">
      <c r="A83" s="70">
        <v>193</v>
      </c>
      <c r="B83" s="42" t="s">
        <v>293</v>
      </c>
      <c r="C83" s="251">
        <f t="shared" si="9"/>
        <v>4203865331.415</v>
      </c>
      <c r="D83" s="251">
        <f t="shared" si="10"/>
        <v>3873528477.7250004</v>
      </c>
      <c r="E83" s="252">
        <f t="shared" si="16"/>
        <v>7945259067.6640005</v>
      </c>
      <c r="F83" s="253">
        <f t="shared" si="12"/>
        <v>779163</v>
      </c>
      <c r="H83" s="93">
        <f t="shared" si="14"/>
        <v>193</v>
      </c>
      <c r="I83">
        <v>1930</v>
      </c>
      <c r="J83" t="s">
        <v>293</v>
      </c>
      <c r="K83" s="38">
        <v>3442782199.29</v>
      </c>
      <c r="L83" s="38">
        <v>2906124371.6100001</v>
      </c>
      <c r="O83" s="93">
        <f t="shared" si="13"/>
        <v>193</v>
      </c>
      <c r="P83">
        <v>1930</v>
      </c>
      <c r="Q83" t="s">
        <v>293</v>
      </c>
      <c r="R83" s="38">
        <v>1522166264.25</v>
      </c>
      <c r="S83" s="38">
        <v>1934808212.23</v>
      </c>
    </row>
    <row r="84" spans="1:19">
      <c r="A84" s="70">
        <v>194</v>
      </c>
      <c r="B84" s="42" t="s">
        <v>294</v>
      </c>
      <c r="C84" s="251">
        <f t="shared" si="9"/>
        <v>4310522499.7300005</v>
      </c>
      <c r="D84" s="251">
        <f t="shared" si="10"/>
        <v>3525353298.9050002</v>
      </c>
      <c r="E84" s="252">
        <f t="shared" si="16"/>
        <v>7521808118.3050003</v>
      </c>
      <c r="F84" s="253">
        <f t="shared" si="12"/>
        <v>737636</v>
      </c>
      <c r="H84" s="93">
        <f t="shared" si="14"/>
        <v>194</v>
      </c>
      <c r="I84">
        <v>1940</v>
      </c>
      <c r="J84" t="s">
        <v>294</v>
      </c>
      <c r="K84" s="38">
        <v>3696803301.8800001</v>
      </c>
      <c r="L84" s="38">
        <v>2667134607.9400001</v>
      </c>
      <c r="O84" s="93">
        <f t="shared" si="13"/>
        <v>194</v>
      </c>
      <c r="P84">
        <v>1940</v>
      </c>
      <c r="Q84" t="s">
        <v>294</v>
      </c>
      <c r="R84" s="38">
        <v>1227438395.7</v>
      </c>
      <c r="S84" s="38">
        <v>1716437381.9300001</v>
      </c>
    </row>
    <row r="85" spans="1:19">
      <c r="A85" s="70">
        <v>195</v>
      </c>
      <c r="B85" s="42" t="s">
        <v>295</v>
      </c>
      <c r="C85" s="251">
        <f t="shared" si="9"/>
        <v>2074349889.2749999</v>
      </c>
      <c r="D85" s="251">
        <f t="shared" si="10"/>
        <v>2047528155.98</v>
      </c>
      <c r="E85" s="252">
        <f t="shared" si="16"/>
        <v>4111149351.9369993</v>
      </c>
      <c r="F85" s="253">
        <f t="shared" si="12"/>
        <v>403165</v>
      </c>
      <c r="H85" s="93">
        <f t="shared" si="14"/>
        <v>195</v>
      </c>
      <c r="I85">
        <v>1950</v>
      </c>
      <c r="J85" t="s">
        <v>295</v>
      </c>
      <c r="K85" s="38">
        <v>1750047994.6099999</v>
      </c>
      <c r="L85" s="38">
        <v>1583663035.3199999</v>
      </c>
      <c r="O85" s="93">
        <f t="shared" si="13"/>
        <v>195</v>
      </c>
      <c r="P85">
        <v>1950</v>
      </c>
      <c r="Q85" t="s">
        <v>295</v>
      </c>
      <c r="R85" s="38">
        <v>648603789.33000004</v>
      </c>
      <c r="S85" s="38">
        <v>927730241.32000005</v>
      </c>
    </row>
    <row r="86" spans="1:19">
      <c r="A86" s="70">
        <v>196</v>
      </c>
      <c r="B86" s="42" t="s">
        <v>296</v>
      </c>
      <c r="C86" s="251">
        <f t="shared" si="9"/>
        <v>2988610035.6149998</v>
      </c>
      <c r="D86" s="251">
        <f t="shared" si="10"/>
        <v>3104676945.4049997</v>
      </c>
      <c r="E86" s="252">
        <f t="shared" si="16"/>
        <v>6139713744.9359989</v>
      </c>
      <c r="F86" s="253">
        <f t="shared" si="12"/>
        <v>602099</v>
      </c>
      <c r="H86" s="93">
        <f t="shared" si="14"/>
        <v>196</v>
      </c>
      <c r="I86">
        <v>1960</v>
      </c>
      <c r="J86" t="s">
        <v>296</v>
      </c>
      <c r="K86" s="38">
        <v>2500975245.8099999</v>
      </c>
      <c r="L86" s="38">
        <v>2558772770.5799999</v>
      </c>
      <c r="O86" s="93">
        <f t="shared" si="13"/>
        <v>196</v>
      </c>
      <c r="P86">
        <v>1960</v>
      </c>
      <c r="Q86" t="s">
        <v>296</v>
      </c>
      <c r="R86" s="38">
        <v>975269579.61000001</v>
      </c>
      <c r="S86" s="38">
        <v>1091808349.6500001</v>
      </c>
    </row>
    <row r="87" spans="1:19">
      <c r="A87" s="70">
        <v>197</v>
      </c>
      <c r="B87" s="42" t="s">
        <v>297</v>
      </c>
      <c r="C87" s="251">
        <f t="shared" si="9"/>
        <v>1498904192.8149998</v>
      </c>
      <c r="D87" s="251">
        <f t="shared" si="10"/>
        <v>1153731225.4749999</v>
      </c>
      <c r="E87" s="252">
        <f t="shared" si="16"/>
        <v>2514566231.3539996</v>
      </c>
      <c r="F87" s="253">
        <f t="shared" si="12"/>
        <v>246594</v>
      </c>
      <c r="H87" s="93">
        <f t="shared" si="14"/>
        <v>197</v>
      </c>
      <c r="I87">
        <v>1970</v>
      </c>
      <c r="J87" t="s">
        <v>297</v>
      </c>
      <c r="K87" s="38">
        <v>1364237778.3399999</v>
      </c>
      <c r="L87" s="38">
        <v>922166579.88999999</v>
      </c>
      <c r="O87" s="93">
        <f t="shared" si="13"/>
        <v>197</v>
      </c>
      <c r="P87">
        <v>1970</v>
      </c>
      <c r="Q87" t="s">
        <v>297</v>
      </c>
      <c r="R87" s="38">
        <v>269332828.94999999</v>
      </c>
      <c r="S87" s="38">
        <v>463129291.17000002</v>
      </c>
    </row>
    <row r="88" spans="1:19">
      <c r="A88" s="70">
        <v>199</v>
      </c>
      <c r="B88" s="42" t="s">
        <v>298</v>
      </c>
      <c r="C88" s="251">
        <f t="shared" si="9"/>
        <v>2252556631.5349998</v>
      </c>
      <c r="D88" s="251">
        <f t="shared" si="10"/>
        <v>1763842633.325</v>
      </c>
      <c r="E88" s="252">
        <f t="shared" si="16"/>
        <v>3820913665.5759993</v>
      </c>
      <c r="F88" s="253">
        <f t="shared" si="12"/>
        <v>374703</v>
      </c>
      <c r="H88" s="93">
        <f t="shared" si="14"/>
        <v>199</v>
      </c>
      <c r="I88">
        <v>1990</v>
      </c>
      <c r="J88" t="s">
        <v>1892</v>
      </c>
      <c r="K88" s="38">
        <v>1910750685.8599999</v>
      </c>
      <c r="L88" s="38">
        <v>1219379187.6600001</v>
      </c>
      <c r="O88" s="93">
        <f t="shared" si="13"/>
        <v>199</v>
      </c>
      <c r="P88">
        <v>1990</v>
      </c>
      <c r="Q88" t="s">
        <v>298</v>
      </c>
      <c r="R88" s="38">
        <v>683611891.35000002</v>
      </c>
      <c r="S88" s="38">
        <v>1088926891.3299999</v>
      </c>
    </row>
    <row r="89" spans="1:19">
      <c r="A89" s="70">
        <v>200</v>
      </c>
      <c r="B89" s="42" t="s">
        <v>299</v>
      </c>
      <c r="C89" s="251">
        <f t="shared" si="9"/>
        <v>3020834711.2849998</v>
      </c>
      <c r="D89" s="251">
        <f t="shared" si="10"/>
        <v>2166848833.4949999</v>
      </c>
      <c r="E89" s="252">
        <f t="shared" si="16"/>
        <v>4846089193.6639996</v>
      </c>
      <c r="F89" s="253">
        <f t="shared" si="12"/>
        <v>475238</v>
      </c>
      <c r="H89" s="93">
        <f t="shared" si="14"/>
        <v>200</v>
      </c>
      <c r="I89">
        <v>2000</v>
      </c>
      <c r="J89" t="s">
        <v>299</v>
      </c>
      <c r="K89" s="38">
        <v>2597039080.21</v>
      </c>
      <c r="L89" s="38">
        <v>1581364133.4400001</v>
      </c>
      <c r="O89" s="93">
        <f t="shared" si="13"/>
        <v>200</v>
      </c>
      <c r="P89">
        <v>2000</v>
      </c>
      <c r="Q89" t="s">
        <v>299</v>
      </c>
      <c r="R89" s="38">
        <v>847591262.14999998</v>
      </c>
      <c r="S89" s="38">
        <v>1170969400.1099999</v>
      </c>
    </row>
    <row r="90" spans="1:19">
      <c r="A90" s="70">
        <v>201</v>
      </c>
      <c r="B90" s="42" t="s">
        <v>300</v>
      </c>
      <c r="C90" s="251">
        <f t="shared" si="9"/>
        <v>2363415992.9050002</v>
      </c>
      <c r="D90" s="251">
        <f t="shared" si="10"/>
        <v>2385501208.0549998</v>
      </c>
      <c r="E90" s="252">
        <f t="shared" si="16"/>
        <v>4757751287.0199995</v>
      </c>
      <c r="F90" s="253">
        <f t="shared" si="12"/>
        <v>466575</v>
      </c>
      <c r="H90" s="93">
        <f t="shared" si="14"/>
        <v>201</v>
      </c>
      <c r="I90">
        <v>2010</v>
      </c>
      <c r="J90" t="s">
        <v>300</v>
      </c>
      <c r="K90" s="38">
        <v>1828743318.6800001</v>
      </c>
      <c r="L90" s="38">
        <v>1721136976.5799999</v>
      </c>
      <c r="O90" s="93">
        <f t="shared" si="13"/>
        <v>201</v>
      </c>
      <c r="P90">
        <v>2010</v>
      </c>
      <c r="Q90" t="s">
        <v>300</v>
      </c>
      <c r="R90" s="38">
        <v>1069345348.45</v>
      </c>
      <c r="S90" s="38">
        <v>1328728462.95</v>
      </c>
    </row>
    <row r="91" spans="1:19">
      <c r="A91" s="70">
        <v>211</v>
      </c>
      <c r="B91" s="42" t="s">
        <v>301</v>
      </c>
      <c r="C91" s="251">
        <f t="shared" si="9"/>
        <v>2893692236.4650002</v>
      </c>
      <c r="D91" s="251">
        <f t="shared" si="10"/>
        <v>2008277897.2849998</v>
      </c>
      <c r="E91" s="252">
        <f t="shared" si="16"/>
        <v>4547804398.0779991</v>
      </c>
      <c r="F91" s="253">
        <f t="shared" si="12"/>
        <v>445987</v>
      </c>
      <c r="H91" s="93">
        <f t="shared" si="14"/>
        <v>211</v>
      </c>
      <c r="I91">
        <v>2110</v>
      </c>
      <c r="J91" t="s">
        <v>301</v>
      </c>
      <c r="K91" s="38">
        <v>2349499086.25</v>
      </c>
      <c r="L91" s="38">
        <v>1565179330.5999999</v>
      </c>
      <c r="O91" s="93">
        <f t="shared" si="13"/>
        <v>211</v>
      </c>
      <c r="P91">
        <v>2110</v>
      </c>
      <c r="Q91" t="s">
        <v>301</v>
      </c>
      <c r="R91" s="38">
        <v>1088386300.4300001</v>
      </c>
      <c r="S91" s="38">
        <v>886197133.37</v>
      </c>
    </row>
    <row r="92" spans="1:19">
      <c r="A92" s="70">
        <v>220</v>
      </c>
      <c r="B92" s="42" t="s">
        <v>302</v>
      </c>
      <c r="C92" s="251">
        <f t="shared" si="9"/>
        <v>2310808305.3150001</v>
      </c>
      <c r="D92" s="251">
        <f t="shared" si="10"/>
        <v>2240630035.5</v>
      </c>
      <c r="E92" s="252">
        <f t="shared" si="16"/>
        <v>4523367032.8889999</v>
      </c>
      <c r="F92" s="253">
        <f t="shared" si="12"/>
        <v>443590</v>
      </c>
      <c r="H92" s="93">
        <f t="shared" si="14"/>
        <v>220</v>
      </c>
      <c r="I92">
        <v>2200</v>
      </c>
      <c r="J92" t="s">
        <v>302</v>
      </c>
      <c r="K92" s="38">
        <v>1926053865.1300001</v>
      </c>
      <c r="L92" s="38">
        <v>1598183725.0999999</v>
      </c>
      <c r="O92" s="93">
        <f t="shared" si="13"/>
        <v>220</v>
      </c>
      <c r="P92">
        <v>2200</v>
      </c>
      <c r="Q92" t="s">
        <v>302</v>
      </c>
      <c r="R92" s="38">
        <v>769508880.37</v>
      </c>
      <c r="S92" s="38">
        <v>1284892620.8</v>
      </c>
    </row>
    <row r="93" spans="1:19">
      <c r="A93" s="70">
        <v>221</v>
      </c>
      <c r="B93" s="42" t="s">
        <v>303</v>
      </c>
      <c r="C93" s="251">
        <f t="shared" si="9"/>
        <v>2525068424.5599999</v>
      </c>
      <c r="D93" s="251">
        <f t="shared" si="10"/>
        <v>1676223216.4400001</v>
      </c>
      <c r="E93" s="252">
        <f t="shared" si="16"/>
        <v>3861753557.7519999</v>
      </c>
      <c r="F93" s="253">
        <f t="shared" si="12"/>
        <v>378708</v>
      </c>
      <c r="H93" s="93">
        <f t="shared" si="14"/>
        <v>221</v>
      </c>
      <c r="I93">
        <v>2210</v>
      </c>
      <c r="J93" t="s">
        <v>303</v>
      </c>
      <c r="K93" s="38">
        <v>2162854268.1700001</v>
      </c>
      <c r="L93" s="38">
        <v>1239319026.53</v>
      </c>
      <c r="O93" s="93">
        <f t="shared" si="13"/>
        <v>221</v>
      </c>
      <c r="P93">
        <v>2210</v>
      </c>
      <c r="Q93" t="s">
        <v>303</v>
      </c>
      <c r="R93" s="38">
        <v>724428312.77999997</v>
      </c>
      <c r="S93" s="38">
        <v>873808379.82000005</v>
      </c>
    </row>
    <row r="94" spans="1:19">
      <c r="A94" s="70">
        <v>240</v>
      </c>
      <c r="B94" s="42" t="s">
        <v>304</v>
      </c>
      <c r="C94" s="251">
        <f t="shared" si="9"/>
        <v>4433225017.6149998</v>
      </c>
      <c r="D94" s="251">
        <f t="shared" si="10"/>
        <v>3654488049.895</v>
      </c>
      <c r="E94" s="252">
        <f t="shared" si="16"/>
        <v>7776218280.421999</v>
      </c>
      <c r="F94" s="253">
        <f t="shared" si="12"/>
        <v>762585</v>
      </c>
      <c r="H94" s="93">
        <f t="shared" si="14"/>
        <v>240</v>
      </c>
      <c r="I94">
        <v>2400</v>
      </c>
      <c r="J94" t="s">
        <v>304</v>
      </c>
      <c r="K94" s="38">
        <v>3473155070.2399998</v>
      </c>
      <c r="L94" s="38">
        <v>2650967622.6100001</v>
      </c>
      <c r="O94" s="93">
        <f t="shared" si="13"/>
        <v>240</v>
      </c>
      <c r="P94">
        <v>2400</v>
      </c>
      <c r="Q94" t="s">
        <v>304</v>
      </c>
      <c r="R94" s="38">
        <v>1920139894.75</v>
      </c>
      <c r="S94" s="38">
        <v>2007040854.5699999</v>
      </c>
    </row>
    <row r="95" spans="1:19">
      <c r="A95" s="70">
        <v>241</v>
      </c>
      <c r="B95" s="42" t="s">
        <v>305</v>
      </c>
      <c r="C95" s="251">
        <f t="shared" si="9"/>
        <v>5361333044.3249998</v>
      </c>
      <c r="D95" s="251">
        <f t="shared" si="10"/>
        <v>4156237365.7399998</v>
      </c>
      <c r="E95" s="252">
        <f t="shared" si="16"/>
        <v>9035532138.6309986</v>
      </c>
      <c r="F95" s="253">
        <f t="shared" si="12"/>
        <v>886082</v>
      </c>
      <c r="H95" s="93">
        <f t="shared" si="14"/>
        <v>241</v>
      </c>
      <c r="I95">
        <v>2410</v>
      </c>
      <c r="J95" t="s">
        <v>305</v>
      </c>
      <c r="K95" s="38">
        <v>4398435770.0900002</v>
      </c>
      <c r="L95" s="38">
        <v>3096653473.6599998</v>
      </c>
      <c r="O95" s="93">
        <f t="shared" si="13"/>
        <v>241</v>
      </c>
      <c r="P95">
        <v>2410</v>
      </c>
      <c r="Q95" t="s">
        <v>305</v>
      </c>
      <c r="R95" s="38">
        <v>1925794548.47</v>
      </c>
      <c r="S95" s="38">
        <v>2119167784.1600001</v>
      </c>
    </row>
    <row r="96" spans="1:19">
      <c r="A96" s="70">
        <v>242</v>
      </c>
      <c r="B96" s="42" t="s">
        <v>306</v>
      </c>
      <c r="C96" s="251">
        <f t="shared" si="9"/>
        <v>4561449668.4399996</v>
      </c>
      <c r="D96" s="251">
        <f t="shared" si="10"/>
        <v>3711893276.9249997</v>
      </c>
      <c r="E96" s="252">
        <f t="shared" si="16"/>
        <v>7933520388.7589989</v>
      </c>
      <c r="F96" s="253">
        <f t="shared" si="12"/>
        <v>778011</v>
      </c>
      <c r="H96" s="93">
        <f t="shared" si="14"/>
        <v>242</v>
      </c>
      <c r="I96">
        <v>2420</v>
      </c>
      <c r="J96" t="s">
        <v>306</v>
      </c>
      <c r="K96" s="38">
        <v>3756738003.8699999</v>
      </c>
      <c r="L96" s="38">
        <v>2806566755.6399999</v>
      </c>
      <c r="O96" s="93">
        <f t="shared" si="13"/>
        <v>242</v>
      </c>
      <c r="P96">
        <v>2420</v>
      </c>
      <c r="Q96" t="s">
        <v>306</v>
      </c>
      <c r="R96" s="38">
        <v>1609423329.1400001</v>
      </c>
      <c r="S96" s="38">
        <v>1810653042.5699999</v>
      </c>
    </row>
    <row r="97" spans="1:19">
      <c r="A97" s="70">
        <v>243</v>
      </c>
      <c r="B97" s="42" t="s">
        <v>307</v>
      </c>
      <c r="C97" s="251">
        <f t="shared" si="9"/>
        <v>3129263224.1300001</v>
      </c>
      <c r="D97" s="251">
        <f t="shared" si="10"/>
        <v>2296722454.8649998</v>
      </c>
      <c r="E97" s="252">
        <f t="shared" si="16"/>
        <v>5092969371.2889996</v>
      </c>
      <c r="F97" s="253">
        <f t="shared" si="12"/>
        <v>499449</v>
      </c>
      <c r="H97" s="93">
        <f t="shared" si="14"/>
        <v>243</v>
      </c>
      <c r="I97">
        <v>2430</v>
      </c>
      <c r="J97" t="s">
        <v>307</v>
      </c>
      <c r="K97" s="38">
        <v>2744870260.52</v>
      </c>
      <c r="L97" s="38">
        <v>1818340073.5599999</v>
      </c>
      <c r="O97" s="93">
        <f t="shared" si="13"/>
        <v>243</v>
      </c>
      <c r="P97">
        <v>2430</v>
      </c>
      <c r="Q97" t="s">
        <v>307</v>
      </c>
      <c r="R97" s="38">
        <v>768785927.22000003</v>
      </c>
      <c r="S97" s="38">
        <v>956764762.61000001</v>
      </c>
    </row>
    <row r="98" spans="1:19">
      <c r="A98" s="70">
        <v>244</v>
      </c>
      <c r="B98" s="42" t="s">
        <v>308</v>
      </c>
      <c r="C98" s="251">
        <f t="shared" si="9"/>
        <v>4041759096.8800001</v>
      </c>
      <c r="D98" s="251">
        <f t="shared" si="10"/>
        <v>3303478927.7249999</v>
      </c>
      <c r="E98" s="252">
        <f t="shared" si="16"/>
        <v>7049925956.9429989</v>
      </c>
      <c r="F98" s="253">
        <f t="shared" si="12"/>
        <v>691361</v>
      </c>
      <c r="H98" s="93">
        <f t="shared" si="14"/>
        <v>244</v>
      </c>
      <c r="I98">
        <v>2440</v>
      </c>
      <c r="J98" t="s">
        <v>308</v>
      </c>
      <c r="K98" s="38">
        <v>3488920868.5700002</v>
      </c>
      <c r="L98" s="38">
        <v>2554292415.4400001</v>
      </c>
      <c r="O98" s="93">
        <f t="shared" si="13"/>
        <v>244</v>
      </c>
      <c r="P98">
        <v>2440</v>
      </c>
      <c r="Q98" t="s">
        <v>308</v>
      </c>
      <c r="R98" s="38">
        <v>1105676456.6199999</v>
      </c>
      <c r="S98" s="38">
        <v>1498373024.5699999</v>
      </c>
    </row>
    <row r="99" spans="1:19">
      <c r="A99" s="70">
        <v>245</v>
      </c>
      <c r="B99" s="42" t="s">
        <v>309</v>
      </c>
      <c r="C99" s="251">
        <f t="shared" si="9"/>
        <v>3600266912.1149998</v>
      </c>
      <c r="D99" s="251">
        <f t="shared" si="10"/>
        <v>2429402959.4250002</v>
      </c>
      <c r="E99" s="252">
        <f t="shared" si="16"/>
        <v>5561324290.4639997</v>
      </c>
      <c r="F99" s="253">
        <f t="shared" si="12"/>
        <v>545379</v>
      </c>
      <c r="H99" s="93">
        <f t="shared" si="14"/>
        <v>245</v>
      </c>
      <c r="I99">
        <v>2450</v>
      </c>
      <c r="J99" t="s">
        <v>309</v>
      </c>
      <c r="K99" s="38">
        <v>3039345206.9400001</v>
      </c>
      <c r="L99" s="38">
        <v>1886541824.3099999</v>
      </c>
      <c r="O99" s="93">
        <f t="shared" si="13"/>
        <v>245</v>
      </c>
      <c r="P99">
        <v>2450</v>
      </c>
      <c r="Q99" t="s">
        <v>309</v>
      </c>
      <c r="R99" s="38">
        <v>1121843410.3499999</v>
      </c>
      <c r="S99" s="38">
        <v>1085722270.23</v>
      </c>
    </row>
    <row r="100" spans="1:19">
      <c r="A100" s="70">
        <v>246</v>
      </c>
      <c r="B100" s="42" t="s">
        <v>310</v>
      </c>
      <c r="C100" s="251">
        <f t="shared" ref="C100:C131" si="17">VLOOKUP(A100,H:L,4,0)+(0.5*VLOOKUP(A100,O:S,4,0))</f>
        <v>2739185859.3500004</v>
      </c>
      <c r="D100" s="251">
        <f t="shared" ref="D100:D131" si="18">VLOOKUP(A100,H:L,5,0)+(0.5*VLOOKUP(A100,O:S,5,0))</f>
        <v>2448912408.0149999</v>
      </c>
      <c r="E100" s="252">
        <f t="shared" si="16"/>
        <v>5071988886.8309994</v>
      </c>
      <c r="F100" s="253">
        <f t="shared" ref="F100:F131" si="19">ROUND(E100*F$2/$E$187, 0)</f>
        <v>497391</v>
      </c>
      <c r="H100" s="93">
        <f t="shared" si="14"/>
        <v>246</v>
      </c>
      <c r="I100">
        <v>2460</v>
      </c>
      <c r="J100" t="s">
        <v>310</v>
      </c>
      <c r="K100" s="38">
        <v>2343603107.2800002</v>
      </c>
      <c r="L100" s="38">
        <v>1926296149.1800001</v>
      </c>
      <c r="O100" s="93">
        <f t="shared" si="13"/>
        <v>246</v>
      </c>
      <c r="P100">
        <v>2460</v>
      </c>
      <c r="Q100" t="s">
        <v>310</v>
      </c>
      <c r="R100" s="38">
        <v>791165504.13999999</v>
      </c>
      <c r="S100" s="38">
        <v>1045232517.67</v>
      </c>
    </row>
    <row r="101" spans="1:19">
      <c r="A101" s="70">
        <v>247</v>
      </c>
      <c r="B101" s="42" t="s">
        <v>311</v>
      </c>
      <c r="C101" s="251">
        <f t="shared" si="17"/>
        <v>3462182551.8850002</v>
      </c>
      <c r="D101" s="251">
        <f t="shared" si="18"/>
        <v>2349996459.335</v>
      </c>
      <c r="E101" s="252">
        <f t="shared" si="16"/>
        <v>5367304574.1999998</v>
      </c>
      <c r="F101" s="253">
        <f t="shared" si="19"/>
        <v>526352</v>
      </c>
      <c r="H101" s="93">
        <f t="shared" si="14"/>
        <v>247</v>
      </c>
      <c r="I101">
        <v>2470</v>
      </c>
      <c r="J101" t="s">
        <v>311</v>
      </c>
      <c r="K101" s="38">
        <v>2910518758.1700001</v>
      </c>
      <c r="L101" s="38">
        <v>1861609389.3499999</v>
      </c>
      <c r="O101" s="93">
        <f t="shared" si="13"/>
        <v>247</v>
      </c>
      <c r="P101">
        <v>2470</v>
      </c>
      <c r="Q101" t="s">
        <v>897</v>
      </c>
      <c r="R101" s="38">
        <v>1103327587.4300001</v>
      </c>
      <c r="S101" s="38">
        <v>976774139.97000003</v>
      </c>
    </row>
    <row r="102" spans="1:19">
      <c r="A102" s="70">
        <v>248</v>
      </c>
      <c r="B102" s="42" t="s">
        <v>312</v>
      </c>
      <c r="C102" s="251">
        <f t="shared" si="17"/>
        <v>3077336924.5949998</v>
      </c>
      <c r="D102" s="251">
        <f t="shared" si="18"/>
        <v>2034649298.8699999</v>
      </c>
      <c r="E102" s="252">
        <f t="shared" si="16"/>
        <v>4694911173.1749992</v>
      </c>
      <c r="F102" s="253">
        <f t="shared" si="19"/>
        <v>460413</v>
      </c>
      <c r="H102" s="93">
        <f t="shared" si="14"/>
        <v>248</v>
      </c>
      <c r="I102">
        <v>2480</v>
      </c>
      <c r="J102" t="s">
        <v>312</v>
      </c>
      <c r="K102" s="38">
        <v>2630371420.77</v>
      </c>
      <c r="L102" s="38">
        <v>1582961814.8399999</v>
      </c>
      <c r="O102" s="93">
        <f t="shared" si="13"/>
        <v>248</v>
      </c>
      <c r="P102">
        <v>2480</v>
      </c>
      <c r="Q102" t="s">
        <v>312</v>
      </c>
      <c r="R102" s="38">
        <v>893931007.64999998</v>
      </c>
      <c r="S102" s="38">
        <v>903374968.05999994</v>
      </c>
    </row>
    <row r="103" spans="1:19">
      <c r="A103" s="70">
        <v>249</v>
      </c>
      <c r="B103" s="42" t="s">
        <v>313</v>
      </c>
      <c r="C103" s="251">
        <f t="shared" si="17"/>
        <v>2179354380.8699999</v>
      </c>
      <c r="D103" s="251">
        <f t="shared" si="18"/>
        <v>1415381558.4200001</v>
      </c>
      <c r="E103" s="252">
        <f t="shared" si="16"/>
        <v>3289146810.3099995</v>
      </c>
      <c r="F103" s="253">
        <f t="shared" si="19"/>
        <v>322555</v>
      </c>
      <c r="H103" s="93">
        <f t="shared" si="14"/>
        <v>249</v>
      </c>
      <c r="I103">
        <v>2490</v>
      </c>
      <c r="J103" t="s">
        <v>313</v>
      </c>
      <c r="K103" s="38">
        <v>1871266851.98</v>
      </c>
      <c r="L103" s="38">
        <v>1112406562.8099999</v>
      </c>
      <c r="O103" s="93">
        <f t="shared" si="13"/>
        <v>249</v>
      </c>
      <c r="P103">
        <v>2490</v>
      </c>
      <c r="Q103" t="s">
        <v>313</v>
      </c>
      <c r="R103" s="38">
        <v>616175057.77999997</v>
      </c>
      <c r="S103" s="38">
        <v>605949991.22000003</v>
      </c>
    </row>
    <row r="104" spans="1:19">
      <c r="A104" s="70">
        <v>250</v>
      </c>
      <c r="B104" s="42" t="s">
        <v>314</v>
      </c>
      <c r="C104" s="251">
        <f t="shared" si="17"/>
        <v>2165844696.6900001</v>
      </c>
      <c r="D104" s="251">
        <f t="shared" si="18"/>
        <v>1495869365.9099998</v>
      </c>
      <c r="E104" s="252">
        <f t="shared" si="16"/>
        <v>3393723930.2879996</v>
      </c>
      <c r="F104" s="253">
        <f t="shared" si="19"/>
        <v>332810</v>
      </c>
      <c r="H104" s="93">
        <f t="shared" si="14"/>
        <v>250</v>
      </c>
      <c r="I104">
        <v>2500</v>
      </c>
      <c r="J104" t="s">
        <v>314</v>
      </c>
      <c r="K104" s="38">
        <v>1800911154.74</v>
      </c>
      <c r="L104" s="38">
        <v>1143963657.5899999</v>
      </c>
      <c r="O104" s="93">
        <f t="shared" si="13"/>
        <v>250</v>
      </c>
      <c r="P104">
        <v>2500</v>
      </c>
      <c r="Q104" t="s">
        <v>314</v>
      </c>
      <c r="R104" s="38">
        <v>729867083.89999998</v>
      </c>
      <c r="S104" s="38">
        <v>703811416.63999999</v>
      </c>
    </row>
    <row r="105" spans="1:19">
      <c r="A105" s="70">
        <v>251</v>
      </c>
      <c r="B105" s="42" t="s">
        <v>315</v>
      </c>
      <c r="C105" s="251">
        <f t="shared" si="17"/>
        <v>2555426852.21</v>
      </c>
      <c r="D105" s="251">
        <f t="shared" si="18"/>
        <v>2312528957.4850001</v>
      </c>
      <c r="E105" s="252">
        <f t="shared" si="16"/>
        <v>4770796651.8050003</v>
      </c>
      <c r="F105" s="253">
        <f t="shared" si="19"/>
        <v>467855</v>
      </c>
      <c r="H105" s="93">
        <f t="shared" si="14"/>
        <v>251</v>
      </c>
      <c r="I105">
        <v>2510</v>
      </c>
      <c r="J105" t="s">
        <v>315</v>
      </c>
      <c r="K105" s="38">
        <v>2269218975.5300002</v>
      </c>
      <c r="L105" s="38">
        <v>1931603154.2</v>
      </c>
      <c r="O105" s="93">
        <f t="shared" si="13"/>
        <v>251</v>
      </c>
      <c r="P105">
        <v>2510</v>
      </c>
      <c r="Q105" t="s">
        <v>315</v>
      </c>
      <c r="R105" s="38">
        <v>572415753.36000001</v>
      </c>
      <c r="S105" s="38">
        <v>761851606.57000005</v>
      </c>
    </row>
    <row r="106" spans="1:19">
      <c r="A106" s="70">
        <v>252</v>
      </c>
      <c r="B106" s="42" t="s">
        <v>316</v>
      </c>
      <c r="C106" s="251">
        <f t="shared" si="17"/>
        <v>3590155972.9349999</v>
      </c>
      <c r="D106" s="251">
        <f t="shared" si="18"/>
        <v>2461858782.0999999</v>
      </c>
      <c r="E106" s="252">
        <f t="shared" si="16"/>
        <v>5600695878.7009993</v>
      </c>
      <c r="F106" s="253">
        <f t="shared" si="19"/>
        <v>549240</v>
      </c>
      <c r="H106" s="93">
        <f t="shared" si="14"/>
        <v>252</v>
      </c>
      <c r="I106">
        <v>2520</v>
      </c>
      <c r="J106" t="s">
        <v>316</v>
      </c>
      <c r="K106" s="38">
        <v>2998193614.9000001</v>
      </c>
      <c r="L106" s="38">
        <v>1898223294.23</v>
      </c>
      <c r="O106" s="93">
        <f t="shared" si="13"/>
        <v>252</v>
      </c>
      <c r="P106">
        <v>2520</v>
      </c>
      <c r="Q106" t="s">
        <v>316</v>
      </c>
      <c r="R106" s="38">
        <v>1183924716.0699999</v>
      </c>
      <c r="S106" s="38">
        <v>1127270975.74</v>
      </c>
    </row>
    <row r="107" spans="1:19">
      <c r="A107" s="70">
        <v>260</v>
      </c>
      <c r="B107" s="42" t="s">
        <v>317</v>
      </c>
      <c r="C107" s="251">
        <f t="shared" si="17"/>
        <v>4546509473.1800003</v>
      </c>
      <c r="D107" s="251">
        <f t="shared" si="18"/>
        <v>3311923173.0650001</v>
      </c>
      <c r="E107" s="252">
        <f t="shared" si="16"/>
        <v>7364598126.1989994</v>
      </c>
      <c r="F107" s="253">
        <f t="shared" si="19"/>
        <v>722219</v>
      </c>
      <c r="H107" s="93">
        <f t="shared" si="14"/>
        <v>260</v>
      </c>
      <c r="I107">
        <v>2600</v>
      </c>
      <c r="J107" t="s">
        <v>317</v>
      </c>
      <c r="K107" s="38">
        <v>3610842967.6300001</v>
      </c>
      <c r="L107" s="38">
        <v>2481449558.71</v>
      </c>
      <c r="O107" s="93">
        <f t="shared" si="13"/>
        <v>260</v>
      </c>
      <c r="P107">
        <v>2600</v>
      </c>
      <c r="Q107" t="s">
        <v>317</v>
      </c>
      <c r="R107" s="38">
        <v>1871333011.0999999</v>
      </c>
      <c r="S107" s="38">
        <v>1660947228.71</v>
      </c>
    </row>
    <row r="108" spans="1:19">
      <c r="A108" s="70">
        <v>262</v>
      </c>
      <c r="B108" s="42" t="s">
        <v>318</v>
      </c>
      <c r="C108" s="251">
        <f t="shared" si="17"/>
        <v>3833811092.3049998</v>
      </c>
      <c r="D108" s="251">
        <f t="shared" si="18"/>
        <v>2303792010.8800001</v>
      </c>
      <c r="E108" s="252">
        <f t="shared" si="16"/>
        <v>5525595470.6149998</v>
      </c>
      <c r="F108" s="253">
        <f t="shared" si="19"/>
        <v>541875</v>
      </c>
      <c r="H108" s="93">
        <f t="shared" si="14"/>
        <v>262</v>
      </c>
      <c r="I108">
        <v>2620</v>
      </c>
      <c r="J108" t="s">
        <v>318</v>
      </c>
      <c r="K108" s="38">
        <v>3314963997.02</v>
      </c>
      <c r="L108" s="38">
        <v>1792820012.0699999</v>
      </c>
      <c r="O108" s="93">
        <f t="shared" si="13"/>
        <v>262</v>
      </c>
      <c r="P108">
        <v>2620</v>
      </c>
      <c r="Q108" t="s">
        <v>318</v>
      </c>
      <c r="R108" s="38">
        <v>1037694190.5700001</v>
      </c>
      <c r="S108" s="38">
        <v>1021943997.62</v>
      </c>
    </row>
    <row r="109" spans="1:19">
      <c r="A109" s="70">
        <v>268</v>
      </c>
      <c r="B109" s="42" t="s">
        <v>1469</v>
      </c>
      <c r="C109" s="251">
        <f t="shared" si="17"/>
        <v>283992682.45499998</v>
      </c>
      <c r="D109" s="251">
        <f t="shared" si="18"/>
        <v>98250907.919999987</v>
      </c>
      <c r="E109" s="252">
        <f t="shared" si="16"/>
        <v>307946880.56099999</v>
      </c>
      <c r="F109" s="253">
        <f t="shared" si="19"/>
        <v>30199</v>
      </c>
      <c r="H109" s="93">
        <f t="shared" si="14"/>
        <v>268</v>
      </c>
      <c r="I109">
        <v>2680</v>
      </c>
      <c r="J109" t="s">
        <v>1542</v>
      </c>
      <c r="K109" s="38">
        <v>204437119.72</v>
      </c>
      <c r="L109" s="38">
        <v>71047394.629999995</v>
      </c>
      <c r="O109" s="93">
        <f t="shared" si="13"/>
        <v>268</v>
      </c>
      <c r="P109">
        <v>2680</v>
      </c>
      <c r="Q109" t="s">
        <v>1542</v>
      </c>
      <c r="R109" s="38">
        <v>159111125.47</v>
      </c>
      <c r="S109" s="38">
        <v>54407026.579999998</v>
      </c>
    </row>
    <row r="110" spans="1:19">
      <c r="A110" s="70">
        <v>300</v>
      </c>
      <c r="B110" s="42" t="s">
        <v>319</v>
      </c>
      <c r="C110" s="251">
        <f t="shared" si="17"/>
        <v>4030479944.6599998</v>
      </c>
      <c r="D110" s="251">
        <f t="shared" si="18"/>
        <v>3410207415.2299995</v>
      </c>
      <c r="E110" s="252">
        <f t="shared" si="16"/>
        <v>7192578348.1179981</v>
      </c>
      <c r="F110" s="253">
        <f t="shared" si="19"/>
        <v>705350</v>
      </c>
      <c r="H110" s="93">
        <f t="shared" si="14"/>
        <v>300</v>
      </c>
      <c r="I110">
        <v>3000</v>
      </c>
      <c r="J110" t="s">
        <v>319</v>
      </c>
      <c r="K110" s="38">
        <v>3502122447.8099999</v>
      </c>
      <c r="L110" s="38">
        <v>2555007063.4899998</v>
      </c>
      <c r="O110" s="93">
        <f t="shared" si="13"/>
        <v>300</v>
      </c>
      <c r="P110">
        <v>3000</v>
      </c>
      <c r="Q110" t="s">
        <v>319</v>
      </c>
      <c r="R110" s="38">
        <v>1056714993.7</v>
      </c>
      <c r="S110" s="38">
        <v>1710400703.48</v>
      </c>
    </row>
    <row r="111" spans="1:19">
      <c r="A111" s="70">
        <v>301</v>
      </c>
      <c r="B111" s="42" t="s">
        <v>320</v>
      </c>
      <c r="C111" s="251">
        <f t="shared" si="17"/>
        <v>2728619696.0900002</v>
      </c>
      <c r="D111" s="251">
        <f t="shared" si="18"/>
        <v>1999681016.605</v>
      </c>
      <c r="E111" s="252">
        <f t="shared" si="16"/>
        <v>4436725240.901</v>
      </c>
      <c r="F111" s="253">
        <f t="shared" si="19"/>
        <v>435093</v>
      </c>
      <c r="H111" s="93">
        <f t="shared" si="14"/>
        <v>301</v>
      </c>
      <c r="I111">
        <v>3010</v>
      </c>
      <c r="J111" t="s">
        <v>320</v>
      </c>
      <c r="K111" s="38">
        <v>2198126372.96</v>
      </c>
      <c r="L111" s="38">
        <v>1516821688.1400001</v>
      </c>
      <c r="O111" s="93">
        <f t="shared" si="13"/>
        <v>301</v>
      </c>
      <c r="P111">
        <v>3010</v>
      </c>
      <c r="Q111" t="s">
        <v>320</v>
      </c>
      <c r="R111" s="38">
        <v>1060986646.26</v>
      </c>
      <c r="S111" s="38">
        <v>965718656.92999995</v>
      </c>
    </row>
    <row r="112" spans="1:19">
      <c r="A112" s="70">
        <v>302</v>
      </c>
      <c r="B112" s="42" t="s">
        <v>321</v>
      </c>
      <c r="C112" s="251">
        <f t="shared" si="17"/>
        <v>2431799863.4649997</v>
      </c>
      <c r="D112" s="251">
        <f t="shared" si="18"/>
        <v>2060377598.615</v>
      </c>
      <c r="E112" s="252">
        <f t="shared" si="16"/>
        <v>4343608556.1399994</v>
      </c>
      <c r="F112" s="253">
        <f t="shared" si="19"/>
        <v>425962</v>
      </c>
      <c r="H112" s="93">
        <f t="shared" si="14"/>
        <v>302</v>
      </c>
      <c r="I112">
        <v>3020</v>
      </c>
      <c r="J112" t="s">
        <v>321</v>
      </c>
      <c r="K112" s="38">
        <v>2261112546.4099998</v>
      </c>
      <c r="L112" s="38">
        <v>1723864992.6700001</v>
      </c>
      <c r="O112" s="93">
        <f t="shared" si="13"/>
        <v>302</v>
      </c>
      <c r="P112">
        <v>3020</v>
      </c>
      <c r="Q112" t="s">
        <v>321</v>
      </c>
      <c r="R112" s="38">
        <v>341374634.11000001</v>
      </c>
      <c r="S112" s="38">
        <v>673025211.88999999</v>
      </c>
    </row>
    <row r="113" spans="1:19">
      <c r="A113" s="70">
        <v>310</v>
      </c>
      <c r="B113" s="42" t="s">
        <v>322</v>
      </c>
      <c r="C113" s="251">
        <f t="shared" si="17"/>
        <v>2886888778.0799999</v>
      </c>
      <c r="D113" s="251">
        <f t="shared" si="18"/>
        <v>2243187294.1599998</v>
      </c>
      <c r="E113" s="252">
        <f t="shared" si="16"/>
        <v>4872595478.671999</v>
      </c>
      <c r="F113" s="253">
        <f t="shared" si="19"/>
        <v>477838</v>
      </c>
      <c r="H113" s="93">
        <f t="shared" si="14"/>
        <v>310</v>
      </c>
      <c r="I113">
        <v>3100</v>
      </c>
      <c r="J113" t="s">
        <v>322</v>
      </c>
      <c r="K113" s="38">
        <v>2426297988.4400001</v>
      </c>
      <c r="L113" s="38">
        <v>1677755700.77</v>
      </c>
      <c r="O113" s="93">
        <f t="shared" si="13"/>
        <v>310</v>
      </c>
      <c r="P113">
        <v>3100</v>
      </c>
      <c r="Q113" t="s">
        <v>322</v>
      </c>
      <c r="R113" s="38">
        <v>921181579.27999997</v>
      </c>
      <c r="S113" s="38">
        <v>1130863186.78</v>
      </c>
    </row>
    <row r="114" spans="1:19">
      <c r="A114" s="70">
        <v>313</v>
      </c>
      <c r="B114" s="42" t="s">
        <v>323</v>
      </c>
      <c r="C114" s="251">
        <f t="shared" si="17"/>
        <v>1204063962.085</v>
      </c>
      <c r="D114" s="251">
        <f t="shared" si="18"/>
        <v>893119418.44999993</v>
      </c>
      <c r="E114" s="252">
        <f t="shared" si="16"/>
        <v>1972805563.0809999</v>
      </c>
      <c r="F114" s="253">
        <f t="shared" si="19"/>
        <v>193466</v>
      </c>
      <c r="H114" s="93">
        <f t="shared" si="14"/>
        <v>313</v>
      </c>
      <c r="I114">
        <v>3130</v>
      </c>
      <c r="J114" t="s">
        <v>323</v>
      </c>
      <c r="K114" s="38">
        <v>1139455732.01</v>
      </c>
      <c r="L114" s="38">
        <v>743227266.15999997</v>
      </c>
      <c r="O114" s="93">
        <f t="shared" si="13"/>
        <v>313</v>
      </c>
      <c r="P114">
        <v>3130</v>
      </c>
      <c r="Q114" t="s">
        <v>323</v>
      </c>
      <c r="R114" s="38">
        <v>129216460.15000001</v>
      </c>
      <c r="S114" s="38">
        <v>299784304.57999998</v>
      </c>
    </row>
    <row r="115" spans="1:19">
      <c r="A115" s="70">
        <v>320</v>
      </c>
      <c r="B115" s="42" t="s">
        <v>324</v>
      </c>
      <c r="C115" s="251">
        <f t="shared" si="17"/>
        <v>2949811872.0799999</v>
      </c>
      <c r="D115" s="251">
        <f t="shared" si="18"/>
        <v>2311047311.5100002</v>
      </c>
      <c r="E115" s="252">
        <f t="shared" si="16"/>
        <v>5005353359.3620005</v>
      </c>
      <c r="F115" s="253">
        <f t="shared" si="19"/>
        <v>490857</v>
      </c>
      <c r="H115" s="93">
        <f t="shared" si="14"/>
        <v>320</v>
      </c>
      <c r="I115">
        <v>3200</v>
      </c>
      <c r="J115" t="s">
        <v>324</v>
      </c>
      <c r="K115" s="38">
        <v>2406381136.5799999</v>
      </c>
      <c r="L115" s="38">
        <v>1715708475.55</v>
      </c>
      <c r="O115" s="93">
        <f t="shared" si="13"/>
        <v>320</v>
      </c>
      <c r="P115">
        <v>3200</v>
      </c>
      <c r="Q115" t="s">
        <v>324</v>
      </c>
      <c r="R115" s="38">
        <v>1086861471</v>
      </c>
      <c r="S115" s="38">
        <v>1190677671.9200001</v>
      </c>
    </row>
    <row r="116" spans="1:19">
      <c r="A116" s="70">
        <v>321</v>
      </c>
      <c r="B116" s="42" t="s">
        <v>325</v>
      </c>
      <c r="C116" s="251">
        <f t="shared" si="17"/>
        <v>3454315826.1150002</v>
      </c>
      <c r="D116" s="251">
        <f t="shared" si="18"/>
        <v>2718066518.8299999</v>
      </c>
      <c r="E116" s="252">
        <f t="shared" si="16"/>
        <v>5877882622.0310001</v>
      </c>
      <c r="F116" s="253">
        <f t="shared" si="19"/>
        <v>576422</v>
      </c>
      <c r="H116" s="93">
        <f t="shared" si="14"/>
        <v>321</v>
      </c>
      <c r="I116">
        <v>3210</v>
      </c>
      <c r="J116" t="s">
        <v>325</v>
      </c>
      <c r="K116" s="38">
        <v>2919126527.7800002</v>
      </c>
      <c r="L116" s="38">
        <v>1939437487.98</v>
      </c>
      <c r="O116" s="93">
        <f t="shared" si="13"/>
        <v>321</v>
      </c>
      <c r="P116">
        <v>3210</v>
      </c>
      <c r="Q116" t="s">
        <v>325</v>
      </c>
      <c r="R116" s="38">
        <v>1070378596.67</v>
      </c>
      <c r="S116" s="38">
        <v>1557258061.7</v>
      </c>
    </row>
    <row r="117" spans="1:19">
      <c r="A117" s="70">
        <v>322</v>
      </c>
      <c r="B117" s="42" t="s">
        <v>326</v>
      </c>
      <c r="C117" s="251">
        <f t="shared" si="17"/>
        <v>1993230351.4650002</v>
      </c>
      <c r="D117" s="251">
        <f t="shared" si="18"/>
        <v>1557052623.6600001</v>
      </c>
      <c r="E117" s="252">
        <f t="shared" si="16"/>
        <v>3375811884.0030003</v>
      </c>
      <c r="F117" s="253">
        <f t="shared" si="19"/>
        <v>331054</v>
      </c>
      <c r="H117" s="93">
        <f t="shared" si="14"/>
        <v>322</v>
      </c>
      <c r="I117">
        <v>3220</v>
      </c>
      <c r="J117" t="s">
        <v>326</v>
      </c>
      <c r="K117" s="38">
        <v>1669406085.8900001</v>
      </c>
      <c r="L117" s="38">
        <v>1158155869.9200001</v>
      </c>
      <c r="O117" s="93">
        <f t="shared" si="13"/>
        <v>322</v>
      </c>
      <c r="P117">
        <v>3220</v>
      </c>
      <c r="Q117" t="s">
        <v>326</v>
      </c>
      <c r="R117" s="38">
        <v>647648531.14999998</v>
      </c>
      <c r="S117" s="38">
        <v>797793507.48000002</v>
      </c>
    </row>
    <row r="118" spans="1:19">
      <c r="A118" s="70">
        <v>323</v>
      </c>
      <c r="B118" s="42" t="s">
        <v>327</v>
      </c>
      <c r="C118" s="251">
        <f t="shared" si="17"/>
        <v>2713442611.2999997</v>
      </c>
      <c r="D118" s="251">
        <f t="shared" si="18"/>
        <v>2131419753.99</v>
      </c>
      <c r="E118" s="252">
        <f t="shared" si="16"/>
        <v>4612053222.3659992</v>
      </c>
      <c r="F118" s="253">
        <f t="shared" si="19"/>
        <v>452287</v>
      </c>
      <c r="H118" s="93">
        <f t="shared" si="14"/>
        <v>323</v>
      </c>
      <c r="I118">
        <v>3230</v>
      </c>
      <c r="J118" t="s">
        <v>327</v>
      </c>
      <c r="K118" s="38">
        <v>2456362333.9099998</v>
      </c>
      <c r="L118" s="38">
        <v>1847439853.1500001</v>
      </c>
      <c r="O118" s="93">
        <f t="shared" si="13"/>
        <v>323</v>
      </c>
      <c r="P118">
        <v>3230</v>
      </c>
      <c r="Q118" t="s">
        <v>327</v>
      </c>
      <c r="R118" s="38">
        <v>514160554.77999997</v>
      </c>
      <c r="S118" s="38">
        <v>567959801.67999995</v>
      </c>
    </row>
    <row r="119" spans="1:19">
      <c r="A119" s="70">
        <v>351</v>
      </c>
      <c r="B119" s="42" t="s">
        <v>328</v>
      </c>
      <c r="C119" s="251">
        <f t="shared" si="17"/>
        <v>2500930359.6700001</v>
      </c>
      <c r="D119" s="251">
        <f t="shared" si="18"/>
        <v>1927578464.5999999</v>
      </c>
      <c r="E119" s="252">
        <f t="shared" si="16"/>
        <v>4199168066.2419996</v>
      </c>
      <c r="F119" s="253">
        <f t="shared" si="19"/>
        <v>411797</v>
      </c>
      <c r="H119" s="93">
        <f t="shared" si="14"/>
        <v>351</v>
      </c>
      <c r="I119">
        <v>3510</v>
      </c>
      <c r="J119" t="s">
        <v>328</v>
      </c>
      <c r="K119" s="38">
        <v>2090842486.03</v>
      </c>
      <c r="L119" s="38">
        <v>1431395446.3199999</v>
      </c>
      <c r="O119" s="93">
        <f t="shared" si="13"/>
        <v>351</v>
      </c>
      <c r="P119">
        <v>3510</v>
      </c>
      <c r="Q119" t="s">
        <v>328</v>
      </c>
      <c r="R119" s="38">
        <v>820175747.27999997</v>
      </c>
      <c r="S119" s="38">
        <v>992366036.55999994</v>
      </c>
    </row>
    <row r="120" spans="1:19">
      <c r="A120" s="70">
        <v>400</v>
      </c>
      <c r="B120" s="42" t="s">
        <v>329</v>
      </c>
      <c r="C120" s="251">
        <f t="shared" si="17"/>
        <v>4138970941.835</v>
      </c>
      <c r="D120" s="251">
        <f t="shared" si="18"/>
        <v>3656420630.375</v>
      </c>
      <c r="E120" s="252">
        <f t="shared" si="16"/>
        <v>7602371447.6259995</v>
      </c>
      <c r="F120" s="253">
        <f t="shared" si="19"/>
        <v>745537</v>
      </c>
      <c r="H120" s="93">
        <f t="shared" si="14"/>
        <v>400</v>
      </c>
      <c r="I120">
        <v>4000</v>
      </c>
      <c r="J120" t="s">
        <v>329</v>
      </c>
      <c r="K120" s="38">
        <v>3332760965.8400002</v>
      </c>
      <c r="L120" s="38">
        <v>2742185454.4400001</v>
      </c>
      <c r="O120" s="93">
        <f t="shared" si="13"/>
        <v>400</v>
      </c>
      <c r="P120">
        <v>4000</v>
      </c>
      <c r="Q120" t="s">
        <v>329</v>
      </c>
      <c r="R120" s="38">
        <v>1612419951.99</v>
      </c>
      <c r="S120" s="38">
        <v>1828470351.8699999</v>
      </c>
    </row>
    <row r="121" spans="1:19">
      <c r="A121" s="70">
        <v>401</v>
      </c>
      <c r="B121" s="42" t="s">
        <v>330</v>
      </c>
      <c r="C121" s="251">
        <f t="shared" si="17"/>
        <v>2966127311.0499997</v>
      </c>
      <c r="D121" s="251">
        <f t="shared" si="18"/>
        <v>2624785200.3699999</v>
      </c>
      <c r="E121" s="252">
        <f t="shared" si="16"/>
        <v>5454375667.1479998</v>
      </c>
      <c r="F121" s="253">
        <f t="shared" si="19"/>
        <v>534891</v>
      </c>
      <c r="H121" s="93">
        <f t="shared" si="14"/>
        <v>401</v>
      </c>
      <c r="I121">
        <v>4010</v>
      </c>
      <c r="J121" t="s">
        <v>330</v>
      </c>
      <c r="K121" s="38">
        <v>2379025163.2199998</v>
      </c>
      <c r="L121" s="38">
        <v>1850205147.4300001</v>
      </c>
      <c r="O121" s="93">
        <f t="shared" si="13"/>
        <v>401</v>
      </c>
      <c r="P121">
        <v>4010</v>
      </c>
      <c r="Q121" t="s">
        <v>330</v>
      </c>
      <c r="R121" s="38">
        <v>1174204295.6600001</v>
      </c>
      <c r="S121" s="38">
        <v>1549160105.8800001</v>
      </c>
    </row>
    <row r="122" spans="1:19">
      <c r="A122" s="70">
        <v>402</v>
      </c>
      <c r="B122" s="42" t="s">
        <v>331</v>
      </c>
      <c r="C122" s="251">
        <f t="shared" si="17"/>
        <v>4285237975.48</v>
      </c>
      <c r="D122" s="251">
        <f t="shared" si="18"/>
        <v>3311585176.7349997</v>
      </c>
      <c r="E122" s="252">
        <f t="shared" si="16"/>
        <v>7207362032.7169991</v>
      </c>
      <c r="F122" s="253">
        <f t="shared" si="19"/>
        <v>706800</v>
      </c>
      <c r="H122" s="93">
        <f t="shared" si="14"/>
        <v>402</v>
      </c>
      <c r="I122">
        <v>4020</v>
      </c>
      <c r="J122" t="s">
        <v>331</v>
      </c>
      <c r="K122" s="38">
        <v>3447400849.46</v>
      </c>
      <c r="L122" s="38">
        <v>2467571042.9099998</v>
      </c>
      <c r="O122" s="93">
        <f t="shared" si="13"/>
        <v>402</v>
      </c>
      <c r="P122">
        <v>4020</v>
      </c>
      <c r="Q122" t="s">
        <v>331</v>
      </c>
      <c r="R122" s="38">
        <v>1675674252.04</v>
      </c>
      <c r="S122" s="38">
        <v>1688028267.6500001</v>
      </c>
    </row>
    <row r="123" spans="1:19">
      <c r="A123" s="70">
        <v>403</v>
      </c>
      <c r="B123" s="42" t="s">
        <v>332</v>
      </c>
      <c r="C123" s="251">
        <f t="shared" si="17"/>
        <v>2882814933.8150001</v>
      </c>
      <c r="D123" s="251">
        <f t="shared" si="18"/>
        <v>2230218108.5149999</v>
      </c>
      <c r="E123" s="252">
        <f t="shared" si="16"/>
        <v>4851994312.2099991</v>
      </c>
      <c r="F123" s="253">
        <f t="shared" si="19"/>
        <v>475817</v>
      </c>
      <c r="H123" s="93">
        <f t="shared" si="14"/>
        <v>403</v>
      </c>
      <c r="I123">
        <v>4030</v>
      </c>
      <c r="J123" t="s">
        <v>332</v>
      </c>
      <c r="K123" s="38">
        <v>2380906312.04</v>
      </c>
      <c r="L123" s="38">
        <v>1705367518.29</v>
      </c>
      <c r="O123" s="93">
        <f t="shared" si="13"/>
        <v>403</v>
      </c>
      <c r="P123">
        <v>4030</v>
      </c>
      <c r="Q123" t="s">
        <v>332</v>
      </c>
      <c r="R123" s="38">
        <v>1003817243.55</v>
      </c>
      <c r="S123" s="38">
        <v>1049701180.45</v>
      </c>
    </row>
    <row r="124" spans="1:19">
      <c r="A124" s="70">
        <v>420</v>
      </c>
      <c r="B124" s="42" t="s">
        <v>333</v>
      </c>
      <c r="C124" s="251">
        <f t="shared" si="17"/>
        <v>8936003231.4300003</v>
      </c>
      <c r="D124" s="251">
        <f t="shared" si="18"/>
        <v>5791964640.8800001</v>
      </c>
      <c r="E124" s="252">
        <f t="shared" si="16"/>
        <v>13470352436.09</v>
      </c>
      <c r="F124" s="253">
        <f t="shared" si="19"/>
        <v>1320988</v>
      </c>
      <c r="H124" s="93">
        <f t="shared" si="14"/>
        <v>420</v>
      </c>
      <c r="I124">
        <v>4200</v>
      </c>
      <c r="J124" t="s">
        <v>333</v>
      </c>
      <c r="K124" s="38">
        <v>7913648145.5200005</v>
      </c>
      <c r="L124" s="38">
        <v>4563261512.1999998</v>
      </c>
      <c r="O124" s="93">
        <f t="shared" si="13"/>
        <v>420</v>
      </c>
      <c r="P124">
        <v>4200</v>
      </c>
      <c r="Q124" t="s">
        <v>333</v>
      </c>
      <c r="R124" s="38">
        <v>2044710171.8199999</v>
      </c>
      <c r="S124" s="38">
        <v>2457406257.3600001</v>
      </c>
    </row>
    <row r="125" spans="1:19">
      <c r="A125" s="70">
        <v>422</v>
      </c>
      <c r="B125" s="42" t="s">
        <v>334</v>
      </c>
      <c r="C125" s="251">
        <f t="shared" si="17"/>
        <v>2491793302.1599998</v>
      </c>
      <c r="D125" s="251">
        <f t="shared" si="18"/>
        <v>1711612467.3300002</v>
      </c>
      <c r="E125" s="252">
        <f t="shared" si="16"/>
        <v>3891333435.5579996</v>
      </c>
      <c r="F125" s="253">
        <f t="shared" si="19"/>
        <v>381609</v>
      </c>
      <c r="H125" s="93">
        <f t="shared" si="14"/>
        <v>422</v>
      </c>
      <c r="I125">
        <v>4220</v>
      </c>
      <c r="J125" t="s">
        <v>334</v>
      </c>
      <c r="K125" s="38">
        <v>2000075828.53</v>
      </c>
      <c r="L125" s="38">
        <v>1348886853.1700001</v>
      </c>
      <c r="O125" s="93">
        <f t="shared" si="13"/>
        <v>422</v>
      </c>
      <c r="P125">
        <v>4220</v>
      </c>
      <c r="Q125" t="s">
        <v>334</v>
      </c>
      <c r="R125" s="38">
        <v>983434947.25999999</v>
      </c>
      <c r="S125" s="38">
        <v>725451228.32000005</v>
      </c>
    </row>
    <row r="126" spans="1:19">
      <c r="A126" s="70">
        <v>423</v>
      </c>
      <c r="B126" s="42" t="s">
        <v>335</v>
      </c>
      <c r="C126" s="251">
        <f t="shared" si="17"/>
        <v>3566525142.6850004</v>
      </c>
      <c r="D126" s="251">
        <f t="shared" si="18"/>
        <v>2341789801.29</v>
      </c>
      <c r="E126" s="252">
        <f t="shared" si="16"/>
        <v>5418420807.4169998</v>
      </c>
      <c r="F126" s="253">
        <f t="shared" si="19"/>
        <v>531365</v>
      </c>
      <c r="H126" s="93">
        <f t="shared" si="14"/>
        <v>423</v>
      </c>
      <c r="I126">
        <v>4230</v>
      </c>
      <c r="J126" t="s">
        <v>335</v>
      </c>
      <c r="K126" s="38">
        <v>2925087290.5900002</v>
      </c>
      <c r="L126" s="38">
        <v>1704351856.4300001</v>
      </c>
      <c r="O126" s="93">
        <f t="shared" si="13"/>
        <v>423</v>
      </c>
      <c r="P126">
        <v>4230</v>
      </c>
      <c r="Q126" t="s">
        <v>335</v>
      </c>
      <c r="R126" s="38">
        <v>1282875704.1900001</v>
      </c>
      <c r="S126" s="38">
        <v>1274875889.72</v>
      </c>
    </row>
    <row r="127" spans="1:19">
      <c r="A127" s="70">
        <v>424</v>
      </c>
      <c r="B127" s="42" t="s">
        <v>336</v>
      </c>
      <c r="C127" s="251">
        <f t="shared" si="17"/>
        <v>5322539229.0999994</v>
      </c>
      <c r="D127" s="251">
        <f t="shared" si="18"/>
        <v>3247827652.9249997</v>
      </c>
      <c r="E127" s="252">
        <f t="shared" si="16"/>
        <v>7740482251.5549984</v>
      </c>
      <c r="F127" s="253">
        <f t="shared" si="19"/>
        <v>759081</v>
      </c>
      <c r="H127" s="93">
        <f t="shared" si="14"/>
        <v>424</v>
      </c>
      <c r="I127">
        <v>4240</v>
      </c>
      <c r="J127" t="s">
        <v>336</v>
      </c>
      <c r="K127" s="38">
        <v>4510435522.0699997</v>
      </c>
      <c r="L127" s="38">
        <v>2644616912.6799998</v>
      </c>
      <c r="O127" s="93">
        <f t="shared" si="13"/>
        <v>424</v>
      </c>
      <c r="P127">
        <v>4240</v>
      </c>
      <c r="Q127" t="s">
        <v>336</v>
      </c>
      <c r="R127" s="38">
        <v>1624207414.0599999</v>
      </c>
      <c r="S127" s="38">
        <v>1206421480.49</v>
      </c>
    </row>
    <row r="128" spans="1:19">
      <c r="A128" s="70">
        <v>425</v>
      </c>
      <c r="B128" s="42" t="s">
        <v>337</v>
      </c>
      <c r="C128" s="251">
        <f t="shared" si="17"/>
        <v>3393926828.46</v>
      </c>
      <c r="D128" s="251">
        <f t="shared" si="18"/>
        <v>3236185729.7550001</v>
      </c>
      <c r="E128" s="252">
        <f t="shared" si="16"/>
        <v>6567016118.7329998</v>
      </c>
      <c r="F128" s="253">
        <f t="shared" si="19"/>
        <v>644003</v>
      </c>
      <c r="H128" s="93">
        <f t="shared" si="14"/>
        <v>425</v>
      </c>
      <c r="I128">
        <v>4250</v>
      </c>
      <c r="J128" t="s">
        <v>337</v>
      </c>
      <c r="K128" s="38">
        <v>2816020612.3800001</v>
      </c>
      <c r="L128" s="38">
        <v>2483995889.4299998</v>
      </c>
      <c r="O128" s="93">
        <f t="shared" si="13"/>
        <v>425</v>
      </c>
      <c r="P128">
        <v>4250</v>
      </c>
      <c r="Q128" t="s">
        <v>337</v>
      </c>
      <c r="R128" s="38">
        <v>1155812432.1600001</v>
      </c>
      <c r="S128" s="38">
        <v>1504379680.6500001</v>
      </c>
    </row>
    <row r="129" spans="1:19">
      <c r="A129" s="70">
        <v>426</v>
      </c>
      <c r="B129" s="42" t="s">
        <v>338</v>
      </c>
      <c r="C129" s="251">
        <f t="shared" si="17"/>
        <v>3324200267.3299999</v>
      </c>
      <c r="D129" s="251">
        <f t="shared" si="18"/>
        <v>2758006484.9549999</v>
      </c>
      <c r="E129" s="252">
        <f t="shared" si="16"/>
        <v>5855729239.3349991</v>
      </c>
      <c r="F129" s="253">
        <f t="shared" si="19"/>
        <v>574250</v>
      </c>
      <c r="H129" s="93">
        <f t="shared" si="14"/>
        <v>426</v>
      </c>
      <c r="I129">
        <v>4260</v>
      </c>
      <c r="J129" t="s">
        <v>338</v>
      </c>
      <c r="K129" s="38">
        <v>2853824741.79</v>
      </c>
      <c r="L129" s="38">
        <v>2161893277.1399999</v>
      </c>
      <c r="O129" s="93">
        <f t="shared" si="13"/>
        <v>426</v>
      </c>
      <c r="P129">
        <v>4260</v>
      </c>
      <c r="Q129" t="s">
        <v>338</v>
      </c>
      <c r="R129" s="38">
        <v>940751051.08000004</v>
      </c>
      <c r="S129" s="38">
        <v>1192226415.6300001</v>
      </c>
    </row>
    <row r="130" spans="1:19">
      <c r="A130" s="70">
        <v>427</v>
      </c>
      <c r="B130" s="42" t="s">
        <v>339</v>
      </c>
      <c r="C130" s="251">
        <f t="shared" si="17"/>
        <v>3325955211.585</v>
      </c>
      <c r="D130" s="251">
        <f t="shared" si="18"/>
        <v>3446244680.7750001</v>
      </c>
      <c r="E130" s="252">
        <f t="shared" si="16"/>
        <v>6820315680.0360003</v>
      </c>
      <c r="F130" s="253">
        <f t="shared" si="19"/>
        <v>668843</v>
      </c>
      <c r="H130" s="93">
        <f t="shared" si="14"/>
        <v>427</v>
      </c>
      <c r="I130">
        <v>4270</v>
      </c>
      <c r="J130" t="s">
        <v>339</v>
      </c>
      <c r="K130" s="38">
        <v>2907664245.5700002</v>
      </c>
      <c r="L130" s="38">
        <v>2777335244.1100001</v>
      </c>
      <c r="O130" s="93">
        <f t="shared" si="13"/>
        <v>427</v>
      </c>
      <c r="P130">
        <v>4270</v>
      </c>
      <c r="Q130" t="s">
        <v>339</v>
      </c>
      <c r="R130" s="38">
        <v>836581932.02999997</v>
      </c>
      <c r="S130" s="38">
        <v>1337818873.3299999</v>
      </c>
    </row>
    <row r="131" spans="1:19">
      <c r="A131" s="70">
        <v>429</v>
      </c>
      <c r="B131" s="42" t="s">
        <v>340</v>
      </c>
      <c r="C131" s="251">
        <f t="shared" si="17"/>
        <v>2471539898.52</v>
      </c>
      <c r="D131" s="251">
        <f t="shared" si="18"/>
        <v>1733170433.04</v>
      </c>
      <c r="E131" s="252">
        <f t="shared" si="16"/>
        <v>3909362545.3679996</v>
      </c>
      <c r="F131" s="253">
        <f t="shared" si="19"/>
        <v>383377</v>
      </c>
      <c r="H131" s="93">
        <f t="shared" si="14"/>
        <v>429</v>
      </c>
      <c r="I131">
        <v>4290</v>
      </c>
      <c r="J131" t="s">
        <v>340</v>
      </c>
      <c r="K131" s="38">
        <v>2127026935.4400001</v>
      </c>
      <c r="L131" s="38">
        <v>1190855537.0599999</v>
      </c>
      <c r="O131" s="93">
        <f t="shared" si="13"/>
        <v>429</v>
      </c>
      <c r="P131">
        <v>4290</v>
      </c>
      <c r="Q131" t="s">
        <v>340</v>
      </c>
      <c r="R131" s="38">
        <v>689025926.15999997</v>
      </c>
      <c r="S131" s="38">
        <v>1084629791.96</v>
      </c>
    </row>
    <row r="132" spans="1:19">
      <c r="A132" s="70">
        <v>430</v>
      </c>
      <c r="B132" s="42" t="s">
        <v>341</v>
      </c>
      <c r="C132" s="251">
        <f t="shared" ref="C132:C163" si="20">VLOOKUP(A132,H:L,4,0)+(0.5*VLOOKUP(A132,O:S,4,0))</f>
        <v>1898554431.4850001</v>
      </c>
      <c r="D132" s="251">
        <f t="shared" ref="D132:D163" si="21">VLOOKUP(A132,H:L,5,0)+(0.5*VLOOKUP(A132,O:S,5,0))</f>
        <v>1594606264.895</v>
      </c>
      <c r="E132" s="252">
        <f t="shared" si="16"/>
        <v>3371581429.7439995</v>
      </c>
      <c r="F132" s="253">
        <f t="shared" ref="F132:F163" si="22">ROUND(E132*F$2/$E$187, 0)</f>
        <v>330639</v>
      </c>
      <c r="H132" s="93">
        <f t="shared" ref="H132:H186" si="23">I132/10</f>
        <v>430</v>
      </c>
      <c r="I132">
        <v>4300</v>
      </c>
      <c r="J132" t="s">
        <v>341</v>
      </c>
      <c r="K132" s="38">
        <v>1616012986.9100001</v>
      </c>
      <c r="L132" s="38">
        <v>1330651262.74</v>
      </c>
      <c r="O132" s="93">
        <f t="shared" ref="O132:O186" si="24">P132/10</f>
        <v>430</v>
      </c>
      <c r="P132">
        <v>4300</v>
      </c>
      <c r="Q132" t="s">
        <v>341</v>
      </c>
      <c r="R132" s="38">
        <v>565082889.14999998</v>
      </c>
      <c r="S132" s="38">
        <v>527910004.31</v>
      </c>
    </row>
    <row r="133" spans="1:19">
      <c r="A133" s="70">
        <v>431</v>
      </c>
      <c r="B133" s="42" t="s">
        <v>342</v>
      </c>
      <c r="C133" s="251">
        <f t="shared" si="20"/>
        <v>1371007452.3200002</v>
      </c>
      <c r="D133" s="251">
        <f t="shared" si="21"/>
        <v>902948062.98000002</v>
      </c>
      <c r="E133" s="252">
        <f t="shared" si="16"/>
        <v>2086731759.5640001</v>
      </c>
      <c r="F133" s="253">
        <f t="shared" si="22"/>
        <v>204638</v>
      </c>
      <c r="H133" s="93">
        <f t="shared" si="23"/>
        <v>431</v>
      </c>
      <c r="I133">
        <v>4310</v>
      </c>
      <c r="J133" t="s">
        <v>342</v>
      </c>
      <c r="K133" s="38">
        <v>1271753304.3900001</v>
      </c>
      <c r="L133" s="38">
        <v>774028719.38999999</v>
      </c>
      <c r="O133" s="93">
        <f t="shared" si="24"/>
        <v>431</v>
      </c>
      <c r="P133">
        <v>4310</v>
      </c>
      <c r="Q133" t="s">
        <v>342</v>
      </c>
      <c r="R133" s="38">
        <v>198508295.86000001</v>
      </c>
      <c r="S133" s="38">
        <v>257838687.18000001</v>
      </c>
    </row>
    <row r="134" spans="1:19">
      <c r="A134" s="70">
        <v>451</v>
      </c>
      <c r="B134" s="42" t="s">
        <v>343</v>
      </c>
      <c r="C134" s="251">
        <f t="shared" si="20"/>
        <v>2279722820.5900002</v>
      </c>
      <c r="D134" s="251">
        <f t="shared" si="21"/>
        <v>2334822998.1700001</v>
      </c>
      <c r="E134" s="252">
        <f t="shared" si="16"/>
        <v>4636585889.7919998</v>
      </c>
      <c r="F134" s="253">
        <f t="shared" si="22"/>
        <v>454693</v>
      </c>
      <c r="H134" s="93">
        <f t="shared" si="23"/>
        <v>451</v>
      </c>
      <c r="I134">
        <v>4510</v>
      </c>
      <c r="J134" t="s">
        <v>343</v>
      </c>
      <c r="K134" s="38">
        <v>1924577655.3</v>
      </c>
      <c r="L134" s="38">
        <v>1782076846.54</v>
      </c>
      <c r="O134" s="93">
        <f t="shared" si="24"/>
        <v>451</v>
      </c>
      <c r="P134">
        <v>4510</v>
      </c>
      <c r="Q134" t="s">
        <v>343</v>
      </c>
      <c r="R134" s="38">
        <v>710290330.58000004</v>
      </c>
      <c r="S134" s="38">
        <v>1105492303.26</v>
      </c>
    </row>
    <row r="135" spans="1:19">
      <c r="A135" s="70">
        <v>500</v>
      </c>
      <c r="B135" s="42" t="s">
        <v>344</v>
      </c>
      <c r="C135" s="251">
        <f t="shared" si="20"/>
        <v>2817312696.6949997</v>
      </c>
      <c r="D135" s="251">
        <f t="shared" si="21"/>
        <v>2624933610.0999999</v>
      </c>
      <c r="E135" s="252">
        <f t="shared" si="16"/>
        <v>5365294672.1569996</v>
      </c>
      <c r="F135" s="253">
        <f t="shared" si="22"/>
        <v>526155</v>
      </c>
      <c r="H135" s="93">
        <f t="shared" si="23"/>
        <v>500</v>
      </c>
      <c r="I135">
        <v>5000</v>
      </c>
      <c r="J135" t="s">
        <v>344</v>
      </c>
      <c r="K135" s="38">
        <v>2231760232.7399998</v>
      </c>
      <c r="L135" s="38">
        <v>1973808844.9400001</v>
      </c>
      <c r="O135" s="93">
        <f t="shared" si="24"/>
        <v>500</v>
      </c>
      <c r="P135">
        <v>5000</v>
      </c>
      <c r="Q135" t="s">
        <v>344</v>
      </c>
      <c r="R135" s="38">
        <v>1171104927.9100001</v>
      </c>
      <c r="S135" s="38">
        <v>1302249530.3199999</v>
      </c>
    </row>
    <row r="136" spans="1:19">
      <c r="A136" s="70">
        <v>501</v>
      </c>
      <c r="B136" s="42" t="s">
        <v>345</v>
      </c>
      <c r="C136" s="251">
        <f t="shared" si="20"/>
        <v>2877427944.6550002</v>
      </c>
      <c r="D136" s="251">
        <f t="shared" si="21"/>
        <v>2179574784.4250002</v>
      </c>
      <c r="E136" s="252">
        <f t="shared" si="16"/>
        <v>4777861464.9879999</v>
      </c>
      <c r="F136" s="253">
        <f t="shared" si="22"/>
        <v>468547</v>
      </c>
      <c r="H136" s="93">
        <f t="shared" si="23"/>
        <v>501</v>
      </c>
      <c r="I136">
        <v>5010</v>
      </c>
      <c r="J136" t="s">
        <v>345</v>
      </c>
      <c r="K136" s="38">
        <v>2297706515.8200002</v>
      </c>
      <c r="L136" s="38">
        <v>1459054390.04</v>
      </c>
      <c r="O136" s="93">
        <f t="shared" si="24"/>
        <v>501</v>
      </c>
      <c r="P136">
        <v>5010</v>
      </c>
      <c r="Q136" t="s">
        <v>345</v>
      </c>
      <c r="R136" s="38">
        <v>1159442857.6700001</v>
      </c>
      <c r="S136" s="38">
        <v>1441040788.77</v>
      </c>
    </row>
    <row r="137" spans="1:19">
      <c r="A137" s="70">
        <v>520</v>
      </c>
      <c r="B137" s="42" t="s">
        <v>346</v>
      </c>
      <c r="C137" s="251">
        <f t="shared" si="20"/>
        <v>4099967943.7649999</v>
      </c>
      <c r="D137" s="251">
        <f t="shared" si="21"/>
        <v>3714876730.415</v>
      </c>
      <c r="E137" s="252">
        <f t="shared" si="16"/>
        <v>7660808188.8399992</v>
      </c>
      <c r="F137" s="253">
        <f t="shared" si="22"/>
        <v>751268</v>
      </c>
      <c r="H137" s="93">
        <f t="shared" si="23"/>
        <v>520</v>
      </c>
      <c r="I137">
        <v>5200</v>
      </c>
      <c r="J137" t="s">
        <v>346</v>
      </c>
      <c r="K137" s="38">
        <v>3433056283.73</v>
      </c>
      <c r="L137" s="38">
        <v>2800438702.4000001</v>
      </c>
      <c r="O137" s="93">
        <f t="shared" si="24"/>
        <v>520</v>
      </c>
      <c r="P137">
        <v>5200</v>
      </c>
      <c r="Q137" t="s">
        <v>346</v>
      </c>
      <c r="R137" s="38">
        <v>1333823320.0699999</v>
      </c>
      <c r="S137" s="38">
        <v>1828876056.03</v>
      </c>
    </row>
    <row r="138" spans="1:19">
      <c r="A138" s="70">
        <v>521</v>
      </c>
      <c r="B138" s="42" t="s">
        <v>347</v>
      </c>
      <c r="C138" s="251">
        <f t="shared" si="20"/>
        <v>6883116540.4799995</v>
      </c>
      <c r="D138" s="251">
        <f t="shared" si="21"/>
        <v>6452035128.2150002</v>
      </c>
      <c r="E138" s="252">
        <f t="shared" si="16"/>
        <v>13162719103.789</v>
      </c>
      <c r="F138" s="253">
        <f t="shared" si="22"/>
        <v>1290820</v>
      </c>
      <c r="H138" s="93">
        <f t="shared" si="23"/>
        <v>521</v>
      </c>
      <c r="I138">
        <v>5210</v>
      </c>
      <c r="J138" t="s">
        <v>347</v>
      </c>
      <c r="K138" s="38">
        <v>5683433360.8999996</v>
      </c>
      <c r="L138" s="38">
        <v>5136896249.8800001</v>
      </c>
      <c r="O138" s="93">
        <f t="shared" si="24"/>
        <v>521</v>
      </c>
      <c r="P138">
        <v>5210</v>
      </c>
      <c r="Q138" t="s">
        <v>347</v>
      </c>
      <c r="R138" s="38">
        <v>2399366359.1599998</v>
      </c>
      <c r="S138" s="38">
        <v>2630277756.6700001</v>
      </c>
    </row>
    <row r="139" spans="1:19">
      <c r="A139" s="70">
        <v>522</v>
      </c>
      <c r="B139" s="42" t="s">
        <v>348</v>
      </c>
      <c r="C139" s="251">
        <f t="shared" si="20"/>
        <v>5857469705.6149998</v>
      </c>
      <c r="D139" s="251">
        <f t="shared" si="21"/>
        <v>5939734227.8599997</v>
      </c>
      <c r="E139" s="252">
        <f t="shared" si="16"/>
        <v>11830109742.372999</v>
      </c>
      <c r="F139" s="253">
        <f t="shared" si="22"/>
        <v>1160136</v>
      </c>
      <c r="H139" s="93">
        <f t="shared" si="23"/>
        <v>522</v>
      </c>
      <c r="I139">
        <v>5220</v>
      </c>
      <c r="J139" t="s">
        <v>348</v>
      </c>
      <c r="K139" s="38">
        <v>4826513575.6199999</v>
      </c>
      <c r="L139" s="38">
        <v>4509365299.5799999</v>
      </c>
      <c r="O139" s="93">
        <f t="shared" si="24"/>
        <v>522</v>
      </c>
      <c r="P139">
        <v>5220</v>
      </c>
      <c r="Q139" t="s">
        <v>348</v>
      </c>
      <c r="R139" s="38">
        <v>2061912259.99</v>
      </c>
      <c r="S139" s="38">
        <v>2860737856.5599999</v>
      </c>
    </row>
    <row r="140" spans="1:19">
      <c r="A140" s="70">
        <v>523</v>
      </c>
      <c r="B140" s="42" t="s">
        <v>349</v>
      </c>
      <c r="C140" s="251">
        <f t="shared" si="20"/>
        <v>3554985476.79</v>
      </c>
      <c r="D140" s="251">
        <f t="shared" si="21"/>
        <v>2773355185.4850001</v>
      </c>
      <c r="E140" s="252">
        <f t="shared" si="16"/>
        <v>6015688545.7530003</v>
      </c>
      <c r="F140" s="253">
        <f t="shared" si="22"/>
        <v>589937</v>
      </c>
      <c r="H140" s="93">
        <f t="shared" si="23"/>
        <v>523</v>
      </c>
      <c r="I140">
        <v>5230</v>
      </c>
      <c r="J140" t="s">
        <v>349</v>
      </c>
      <c r="K140" s="38">
        <v>3156554825.4499998</v>
      </c>
      <c r="L140" s="38">
        <v>2356830715.23</v>
      </c>
      <c r="O140" s="93">
        <f t="shared" si="24"/>
        <v>523</v>
      </c>
      <c r="P140">
        <v>5230</v>
      </c>
      <c r="Q140" t="s">
        <v>349</v>
      </c>
      <c r="R140" s="38">
        <v>796861302.67999995</v>
      </c>
      <c r="S140" s="38">
        <v>833048940.50999999</v>
      </c>
    </row>
    <row r="141" spans="1:19">
      <c r="A141" s="70">
        <v>524</v>
      </c>
      <c r="B141" s="42" t="s">
        <v>350</v>
      </c>
      <c r="C141" s="251">
        <f t="shared" si="20"/>
        <v>3678759206.4699998</v>
      </c>
      <c r="D141" s="251">
        <f t="shared" si="21"/>
        <v>1963862542.4349999</v>
      </c>
      <c r="E141" s="252">
        <f t="shared" si="16"/>
        <v>4956663083.2910004</v>
      </c>
      <c r="F141" s="253">
        <f t="shared" si="22"/>
        <v>486082</v>
      </c>
      <c r="H141" s="93">
        <f t="shared" si="23"/>
        <v>524</v>
      </c>
      <c r="I141">
        <v>5240</v>
      </c>
      <c r="J141" t="s">
        <v>350</v>
      </c>
      <c r="K141" s="38">
        <v>3252590172.27</v>
      </c>
      <c r="L141" s="38">
        <v>1646913980.8599999</v>
      </c>
      <c r="O141" s="93">
        <f t="shared" si="24"/>
        <v>524</v>
      </c>
      <c r="P141">
        <v>5240</v>
      </c>
      <c r="Q141" t="s">
        <v>350</v>
      </c>
      <c r="R141" s="38">
        <v>852338068.39999998</v>
      </c>
      <c r="S141" s="38">
        <v>633897123.14999998</v>
      </c>
    </row>
    <row r="142" spans="1:19">
      <c r="A142" s="70">
        <v>540</v>
      </c>
      <c r="B142" s="42" t="s">
        <v>351</v>
      </c>
      <c r="C142" s="251">
        <f t="shared" si="20"/>
        <v>3181399730.8099999</v>
      </c>
      <c r="D142" s="251">
        <f t="shared" si="21"/>
        <v>2411154105.5599999</v>
      </c>
      <c r="E142" s="252">
        <f t="shared" ref="E142:E186" si="25">(C142*$C$2)+(D142*$D$2)</f>
        <v>5284455586.2699995</v>
      </c>
      <c r="F142" s="253">
        <f t="shared" si="22"/>
        <v>518227</v>
      </c>
      <c r="H142" s="93">
        <f t="shared" si="23"/>
        <v>540</v>
      </c>
      <c r="I142">
        <v>5400</v>
      </c>
      <c r="J142" t="s">
        <v>351</v>
      </c>
      <c r="K142" s="38">
        <v>2757646990.3299999</v>
      </c>
      <c r="L142" s="38">
        <v>1952575813.96</v>
      </c>
      <c r="O142" s="93">
        <f t="shared" si="24"/>
        <v>540</v>
      </c>
      <c r="P142">
        <v>5400</v>
      </c>
      <c r="Q142" t="s">
        <v>351</v>
      </c>
      <c r="R142" s="38">
        <v>847505480.96000004</v>
      </c>
      <c r="S142" s="38">
        <v>917156583.20000005</v>
      </c>
    </row>
    <row r="143" spans="1:19">
      <c r="A143" s="70">
        <v>541</v>
      </c>
      <c r="B143" s="42" t="s">
        <v>352</v>
      </c>
      <c r="C143" s="251">
        <f t="shared" si="20"/>
        <v>3912552007.1000004</v>
      </c>
      <c r="D143" s="251">
        <f t="shared" si="21"/>
        <v>3025351267.0450001</v>
      </c>
      <c r="E143" s="252">
        <f t="shared" si="25"/>
        <v>6583022978.1230001</v>
      </c>
      <c r="F143" s="253">
        <f t="shared" si="22"/>
        <v>645573</v>
      </c>
      <c r="H143" s="93">
        <f t="shared" si="23"/>
        <v>541</v>
      </c>
      <c r="I143">
        <v>5410</v>
      </c>
      <c r="J143" t="s">
        <v>352</v>
      </c>
      <c r="K143" s="38">
        <v>3377185205.0100002</v>
      </c>
      <c r="L143" s="38">
        <v>2489217906.4400001</v>
      </c>
      <c r="O143" s="93">
        <f t="shared" si="24"/>
        <v>541</v>
      </c>
      <c r="P143">
        <v>5410</v>
      </c>
      <c r="Q143" t="s">
        <v>352</v>
      </c>
      <c r="R143" s="38">
        <v>1070733604.1799999</v>
      </c>
      <c r="S143" s="38">
        <v>1072266721.21</v>
      </c>
    </row>
    <row r="144" spans="1:19">
      <c r="A144" s="70">
        <v>542</v>
      </c>
      <c r="B144" s="42" t="s">
        <v>353</v>
      </c>
      <c r="C144" s="251">
        <f t="shared" si="20"/>
        <v>3239527309.2049999</v>
      </c>
      <c r="D144" s="251">
        <f t="shared" si="21"/>
        <v>1729603098.8700001</v>
      </c>
      <c r="E144" s="252">
        <f t="shared" si="25"/>
        <v>4365160723.941</v>
      </c>
      <c r="F144" s="253">
        <f t="shared" si="22"/>
        <v>428075</v>
      </c>
      <c r="H144" s="93">
        <f t="shared" si="23"/>
        <v>542</v>
      </c>
      <c r="I144">
        <v>5420</v>
      </c>
      <c r="J144" t="s">
        <v>353</v>
      </c>
      <c r="K144" s="38">
        <v>2920935305.9000001</v>
      </c>
      <c r="L144" s="38">
        <v>1429985143.9200001</v>
      </c>
      <c r="O144" s="93">
        <f t="shared" si="24"/>
        <v>542</v>
      </c>
      <c r="P144">
        <v>5420</v>
      </c>
      <c r="Q144" t="s">
        <v>353</v>
      </c>
      <c r="R144" s="38">
        <v>637184006.61000001</v>
      </c>
      <c r="S144" s="38">
        <v>599235909.89999998</v>
      </c>
    </row>
    <row r="145" spans="1:19">
      <c r="A145" s="70">
        <v>600</v>
      </c>
      <c r="B145" s="42" t="s">
        <v>354</v>
      </c>
      <c r="C145" s="251">
        <f t="shared" si="20"/>
        <v>3924542830.0300002</v>
      </c>
      <c r="D145" s="251">
        <f t="shared" si="21"/>
        <v>2931721079.3500004</v>
      </c>
      <c r="E145" s="252">
        <f t="shared" si="25"/>
        <v>6459135209.1079998</v>
      </c>
      <c r="F145" s="253">
        <f t="shared" si="22"/>
        <v>633424</v>
      </c>
      <c r="H145" s="93">
        <f t="shared" si="23"/>
        <v>600</v>
      </c>
      <c r="I145">
        <v>6000</v>
      </c>
      <c r="J145" t="s">
        <v>354</v>
      </c>
      <c r="K145" s="38">
        <v>3332153363.3800001</v>
      </c>
      <c r="L145" s="38">
        <v>2249447908.0300002</v>
      </c>
      <c r="O145" s="93">
        <f t="shared" si="24"/>
        <v>600</v>
      </c>
      <c r="P145">
        <v>6000</v>
      </c>
      <c r="Q145" t="s">
        <v>354</v>
      </c>
      <c r="R145" s="38">
        <v>1184778933.3</v>
      </c>
      <c r="S145" s="38">
        <v>1364546342.6400001</v>
      </c>
    </row>
    <row r="146" spans="1:19">
      <c r="A146" s="70">
        <v>601</v>
      </c>
      <c r="B146" s="42" t="s">
        <v>355</v>
      </c>
      <c r="C146" s="251">
        <f t="shared" si="20"/>
        <v>3716993173.2150002</v>
      </c>
      <c r="D146" s="251">
        <f t="shared" si="21"/>
        <v>2756430311.8850002</v>
      </c>
      <c r="E146" s="252">
        <f t="shared" si="25"/>
        <v>6089198340.5679998</v>
      </c>
      <c r="F146" s="253">
        <f t="shared" si="22"/>
        <v>597145</v>
      </c>
      <c r="H146" s="93">
        <f t="shared" si="23"/>
        <v>601</v>
      </c>
      <c r="I146">
        <v>6010</v>
      </c>
      <c r="J146" t="s">
        <v>355</v>
      </c>
      <c r="K146" s="38">
        <v>2862742527.98</v>
      </c>
      <c r="L146" s="38">
        <v>2038604130.5599999</v>
      </c>
      <c r="O146" s="93">
        <f t="shared" si="24"/>
        <v>601</v>
      </c>
      <c r="P146">
        <v>6010</v>
      </c>
      <c r="Q146" t="s">
        <v>355</v>
      </c>
      <c r="R146" s="38">
        <v>1708501290.47</v>
      </c>
      <c r="S146" s="38">
        <v>1435652362.6500001</v>
      </c>
    </row>
    <row r="147" spans="1:19">
      <c r="A147" s="70">
        <v>602</v>
      </c>
      <c r="B147" s="42" t="s">
        <v>356</v>
      </c>
      <c r="C147" s="251">
        <f t="shared" si="20"/>
        <v>2543475647.6849999</v>
      </c>
      <c r="D147" s="251">
        <f t="shared" si="21"/>
        <v>1395246468.5550001</v>
      </c>
      <c r="E147" s="252">
        <f t="shared" si="25"/>
        <v>3479430444.5879998</v>
      </c>
      <c r="F147" s="253">
        <f t="shared" si="22"/>
        <v>341215</v>
      </c>
      <c r="H147" s="93">
        <f t="shared" si="23"/>
        <v>602</v>
      </c>
      <c r="I147">
        <v>6020</v>
      </c>
      <c r="J147" t="s">
        <v>356</v>
      </c>
      <c r="K147" s="38">
        <v>2310327077.1700001</v>
      </c>
      <c r="L147" s="38">
        <v>1154744152.4100001</v>
      </c>
      <c r="O147" s="93">
        <f t="shared" si="24"/>
        <v>602</v>
      </c>
      <c r="P147">
        <v>6020</v>
      </c>
      <c r="Q147" t="s">
        <v>356</v>
      </c>
      <c r="R147" s="38">
        <v>466297141.02999997</v>
      </c>
      <c r="S147" s="38">
        <v>481004632.29000002</v>
      </c>
    </row>
    <row r="148" spans="1:19">
      <c r="A148" s="70">
        <v>620</v>
      </c>
      <c r="B148" s="42" t="s">
        <v>357</v>
      </c>
      <c r="C148" s="251">
        <f t="shared" si="20"/>
        <v>3350423133.5100002</v>
      </c>
      <c r="D148" s="251">
        <f t="shared" si="21"/>
        <v>2474674795.605</v>
      </c>
      <c r="E148" s="252">
        <f t="shared" si="25"/>
        <v>5474798593.9529991</v>
      </c>
      <c r="F148" s="253">
        <f t="shared" si="22"/>
        <v>536894</v>
      </c>
      <c r="H148" s="93">
        <f t="shared" si="23"/>
        <v>620</v>
      </c>
      <c r="I148">
        <v>6200</v>
      </c>
      <c r="J148" t="s">
        <v>357</v>
      </c>
      <c r="K148" s="38">
        <v>2696826152.1300001</v>
      </c>
      <c r="L148" s="38">
        <v>1890333780.74</v>
      </c>
      <c r="O148" s="93">
        <f t="shared" si="24"/>
        <v>620</v>
      </c>
      <c r="P148">
        <v>6200</v>
      </c>
      <c r="Q148" t="s">
        <v>357</v>
      </c>
      <c r="R148" s="38">
        <v>1307193962.76</v>
      </c>
      <c r="S148" s="38">
        <v>1168682029.73</v>
      </c>
    </row>
    <row r="149" spans="1:19">
      <c r="A149" s="70">
        <v>621</v>
      </c>
      <c r="B149" s="42" t="s">
        <v>358</v>
      </c>
      <c r="C149" s="251">
        <f t="shared" si="20"/>
        <v>4895847264.9549999</v>
      </c>
      <c r="D149" s="251">
        <f t="shared" si="21"/>
        <v>4208213505.5599999</v>
      </c>
      <c r="E149" s="252">
        <f t="shared" si="25"/>
        <v>8829007266.757</v>
      </c>
      <c r="F149" s="253">
        <f t="shared" si="22"/>
        <v>865829</v>
      </c>
      <c r="H149" s="93">
        <f t="shared" si="23"/>
        <v>621</v>
      </c>
      <c r="I149">
        <v>6210</v>
      </c>
      <c r="J149" t="s">
        <v>358</v>
      </c>
      <c r="K149" s="38">
        <v>3959003527.9299998</v>
      </c>
      <c r="L149" s="38">
        <v>3123956053.46</v>
      </c>
      <c r="O149" s="93">
        <f t="shared" si="24"/>
        <v>621</v>
      </c>
      <c r="P149">
        <v>6210</v>
      </c>
      <c r="Q149" t="s">
        <v>358</v>
      </c>
      <c r="R149" s="38">
        <v>1873687474.05</v>
      </c>
      <c r="S149" s="38">
        <v>2168514904.1999998</v>
      </c>
    </row>
    <row r="150" spans="1:19">
      <c r="A150" s="70">
        <v>622</v>
      </c>
      <c r="B150" s="42" t="s">
        <v>359</v>
      </c>
      <c r="C150" s="251">
        <f t="shared" si="20"/>
        <v>3500775885.0749998</v>
      </c>
      <c r="D150" s="251">
        <f t="shared" si="21"/>
        <v>2919975125.8400002</v>
      </c>
      <c r="E150" s="252">
        <f t="shared" si="25"/>
        <v>6188430707.2209997</v>
      </c>
      <c r="F150" s="253">
        <f t="shared" si="22"/>
        <v>606877</v>
      </c>
      <c r="H150" s="93">
        <f t="shared" si="23"/>
        <v>622</v>
      </c>
      <c r="I150">
        <v>6220</v>
      </c>
      <c r="J150" t="s">
        <v>359</v>
      </c>
      <c r="K150" s="38">
        <v>2932409221.1700001</v>
      </c>
      <c r="L150" s="38">
        <v>2209994492.5599999</v>
      </c>
      <c r="O150" s="93">
        <f t="shared" si="24"/>
        <v>622</v>
      </c>
      <c r="P150">
        <v>6220</v>
      </c>
      <c r="Q150" t="s">
        <v>359</v>
      </c>
      <c r="R150" s="38">
        <v>1136733327.8099999</v>
      </c>
      <c r="S150" s="38">
        <v>1419961266.5599999</v>
      </c>
    </row>
    <row r="151" spans="1:19">
      <c r="A151" s="70">
        <v>640</v>
      </c>
      <c r="B151" s="42" t="s">
        <v>360</v>
      </c>
      <c r="C151" s="251">
        <f t="shared" si="20"/>
        <v>4499809397.4449997</v>
      </c>
      <c r="D151" s="251">
        <f t="shared" si="21"/>
        <v>4301304772.6399994</v>
      </c>
      <c r="E151" s="252">
        <f t="shared" si="25"/>
        <v>8721712320.1629982</v>
      </c>
      <c r="F151" s="253">
        <f t="shared" si="22"/>
        <v>855307</v>
      </c>
      <c r="H151" s="93">
        <f t="shared" si="23"/>
        <v>640</v>
      </c>
      <c r="I151">
        <v>6400</v>
      </c>
      <c r="J151" t="s">
        <v>360</v>
      </c>
      <c r="K151" s="38">
        <v>3521029869.8800001</v>
      </c>
      <c r="L151" s="38">
        <v>3402475192.5799999</v>
      </c>
      <c r="O151" s="93">
        <f t="shared" si="24"/>
        <v>640</v>
      </c>
      <c r="P151">
        <v>6400</v>
      </c>
      <c r="Q151" t="s">
        <v>360</v>
      </c>
      <c r="R151" s="38">
        <v>1957559055.1300001</v>
      </c>
      <c r="S151" s="38">
        <v>1797659160.1199999</v>
      </c>
    </row>
    <row r="152" spans="1:19">
      <c r="A152" s="70">
        <v>642</v>
      </c>
      <c r="B152" s="42" t="s">
        <v>361</v>
      </c>
      <c r="C152" s="251">
        <f t="shared" si="20"/>
        <v>3803239970.3099999</v>
      </c>
      <c r="D152" s="251">
        <f t="shared" si="21"/>
        <v>4505205963.0100002</v>
      </c>
      <c r="E152" s="252">
        <f t="shared" si="25"/>
        <v>8589232330.3999996</v>
      </c>
      <c r="F152" s="253">
        <f t="shared" si="22"/>
        <v>842315</v>
      </c>
      <c r="H152" s="93">
        <f t="shared" si="23"/>
        <v>642</v>
      </c>
      <c r="I152">
        <v>6420</v>
      </c>
      <c r="J152" t="s">
        <v>361</v>
      </c>
      <c r="K152" s="38">
        <v>2876341828.4499998</v>
      </c>
      <c r="L152" s="38">
        <v>3383955644.77</v>
      </c>
      <c r="O152" s="93">
        <f t="shared" si="24"/>
        <v>642</v>
      </c>
      <c r="P152">
        <v>6420</v>
      </c>
      <c r="Q152" t="s">
        <v>361</v>
      </c>
      <c r="R152" s="38">
        <v>1853796283.72</v>
      </c>
      <c r="S152" s="38">
        <v>2242500636.48</v>
      </c>
    </row>
    <row r="153" spans="1:19">
      <c r="A153" s="70">
        <v>643</v>
      </c>
      <c r="B153" s="42" t="s">
        <v>362</v>
      </c>
      <c r="C153" s="251">
        <f t="shared" si="20"/>
        <v>2641929799.0999999</v>
      </c>
      <c r="D153" s="251">
        <f t="shared" si="21"/>
        <v>1818194816.425</v>
      </c>
      <c r="E153" s="252">
        <f t="shared" si="25"/>
        <v>4130630622.4549999</v>
      </c>
      <c r="F153" s="253">
        <f t="shared" si="22"/>
        <v>405076</v>
      </c>
      <c r="H153" s="93">
        <f t="shared" si="23"/>
        <v>643</v>
      </c>
      <c r="I153">
        <v>6430</v>
      </c>
      <c r="J153" t="s">
        <v>362</v>
      </c>
      <c r="K153" s="38">
        <v>2289090628.5</v>
      </c>
      <c r="L153" s="38">
        <v>1429409970.5799999</v>
      </c>
      <c r="O153" s="93">
        <f t="shared" si="24"/>
        <v>643</v>
      </c>
      <c r="P153">
        <v>6430</v>
      </c>
      <c r="Q153" t="s">
        <v>362</v>
      </c>
      <c r="R153" s="38">
        <v>705678341.20000005</v>
      </c>
      <c r="S153" s="38">
        <v>777569691.69000006</v>
      </c>
    </row>
    <row r="154" spans="1:19">
      <c r="A154" s="70">
        <v>644</v>
      </c>
      <c r="B154" s="42" t="s">
        <v>363</v>
      </c>
      <c r="C154" s="251">
        <f t="shared" si="20"/>
        <v>2937354555.0199995</v>
      </c>
      <c r="D154" s="251">
        <f t="shared" si="21"/>
        <v>3282936009.0250001</v>
      </c>
      <c r="E154" s="252">
        <f t="shared" si="25"/>
        <v>6358523145.6469994</v>
      </c>
      <c r="F154" s="253">
        <f t="shared" si="22"/>
        <v>623557</v>
      </c>
      <c r="H154" s="93">
        <f t="shared" si="23"/>
        <v>644</v>
      </c>
      <c r="I154">
        <v>6440</v>
      </c>
      <c r="J154" t="s">
        <v>363</v>
      </c>
      <c r="K154" s="38">
        <v>2465155537.4899998</v>
      </c>
      <c r="L154" s="38">
        <v>2527281565.3299999</v>
      </c>
      <c r="O154" s="93">
        <f t="shared" si="24"/>
        <v>644</v>
      </c>
      <c r="P154">
        <v>6440</v>
      </c>
      <c r="Q154" t="s">
        <v>363</v>
      </c>
      <c r="R154" s="38">
        <v>944398035.05999994</v>
      </c>
      <c r="S154" s="38">
        <v>1511308887.3900001</v>
      </c>
    </row>
    <row r="155" spans="1:19">
      <c r="A155" s="70">
        <v>645</v>
      </c>
      <c r="B155" s="42" t="s">
        <v>364</v>
      </c>
      <c r="C155" s="251">
        <f t="shared" si="20"/>
        <v>3829659488.0500002</v>
      </c>
      <c r="D155" s="251">
        <f t="shared" si="21"/>
        <v>3576594503.375</v>
      </c>
      <c r="E155" s="252">
        <f t="shared" si="25"/>
        <v>7305027997.5549994</v>
      </c>
      <c r="F155" s="253">
        <f t="shared" si="22"/>
        <v>716377</v>
      </c>
      <c r="H155" s="93">
        <f t="shared" si="23"/>
        <v>645</v>
      </c>
      <c r="I155">
        <v>6450</v>
      </c>
      <c r="J155" t="s">
        <v>364</v>
      </c>
      <c r="K155" s="38">
        <v>3177670708.4400001</v>
      </c>
      <c r="L155" s="38">
        <v>2651348073.96</v>
      </c>
      <c r="O155" s="93">
        <f t="shared" si="24"/>
        <v>645</v>
      </c>
      <c r="P155">
        <v>6450</v>
      </c>
      <c r="Q155" t="s">
        <v>364</v>
      </c>
      <c r="R155" s="38">
        <v>1303977559.22</v>
      </c>
      <c r="S155" s="38">
        <v>1850492858.8299999</v>
      </c>
    </row>
    <row r="156" spans="1:19">
      <c r="A156" s="70">
        <v>646</v>
      </c>
      <c r="B156" s="42" t="s">
        <v>365</v>
      </c>
      <c r="C156" s="251">
        <f t="shared" si="20"/>
        <v>3334610298.0900002</v>
      </c>
      <c r="D156" s="251">
        <f t="shared" si="21"/>
        <v>1755631552.49</v>
      </c>
      <c r="E156" s="252">
        <f t="shared" si="25"/>
        <v>4458650352.3400002</v>
      </c>
      <c r="F156" s="253">
        <f t="shared" si="22"/>
        <v>437244</v>
      </c>
      <c r="H156" s="93">
        <f t="shared" si="23"/>
        <v>646</v>
      </c>
      <c r="I156">
        <v>6460</v>
      </c>
      <c r="J156" t="s">
        <v>365</v>
      </c>
      <c r="K156" s="38">
        <v>2871103737.46</v>
      </c>
      <c r="L156" s="38">
        <v>1468176674.0799999</v>
      </c>
      <c r="O156" s="93">
        <f t="shared" si="24"/>
        <v>646</v>
      </c>
      <c r="P156">
        <v>6460</v>
      </c>
      <c r="Q156" t="s">
        <v>365</v>
      </c>
      <c r="R156" s="38">
        <v>927013121.25999999</v>
      </c>
      <c r="S156" s="38">
        <v>574909756.82000005</v>
      </c>
    </row>
    <row r="157" spans="1:19">
      <c r="A157" s="70">
        <v>647</v>
      </c>
      <c r="B157" s="42" t="s">
        <v>366</v>
      </c>
      <c r="C157" s="251">
        <f t="shared" si="20"/>
        <v>3182561820.4200001</v>
      </c>
      <c r="D157" s="251">
        <f t="shared" si="21"/>
        <v>3015955622.48</v>
      </c>
      <c r="E157" s="252">
        <f t="shared" si="25"/>
        <v>6131874963.724</v>
      </c>
      <c r="F157" s="253">
        <f t="shared" si="22"/>
        <v>601331</v>
      </c>
      <c r="H157" s="93">
        <f t="shared" si="23"/>
        <v>647</v>
      </c>
      <c r="I157">
        <v>6470</v>
      </c>
      <c r="J157" t="s">
        <v>366</v>
      </c>
      <c r="K157" s="38">
        <v>2654112828.8699999</v>
      </c>
      <c r="L157" s="38">
        <v>2461553135.1199999</v>
      </c>
      <c r="O157" s="93">
        <f t="shared" si="24"/>
        <v>647</v>
      </c>
      <c r="P157">
        <v>6470</v>
      </c>
      <c r="Q157" t="s">
        <v>366</v>
      </c>
      <c r="R157" s="38">
        <v>1056897983.1</v>
      </c>
      <c r="S157" s="38">
        <v>1108804974.72</v>
      </c>
    </row>
    <row r="158" spans="1:19">
      <c r="A158" s="70">
        <v>648</v>
      </c>
      <c r="B158" s="42" t="s">
        <v>367</v>
      </c>
      <c r="C158" s="251">
        <f t="shared" si="20"/>
        <v>2747445240.5</v>
      </c>
      <c r="D158" s="251">
        <f t="shared" si="21"/>
        <v>1647492438.0999999</v>
      </c>
      <c r="E158" s="252">
        <f t="shared" si="25"/>
        <v>3954956557.6399994</v>
      </c>
      <c r="F158" s="253">
        <f t="shared" si="22"/>
        <v>387848</v>
      </c>
      <c r="H158" s="93">
        <f t="shared" si="23"/>
        <v>648</v>
      </c>
      <c r="I158">
        <v>6480</v>
      </c>
      <c r="J158" t="s">
        <v>367</v>
      </c>
      <c r="K158" s="38">
        <v>2478238755.98</v>
      </c>
      <c r="L158" s="38">
        <v>1418982221.71</v>
      </c>
      <c r="O158" s="93">
        <f t="shared" si="24"/>
        <v>648</v>
      </c>
      <c r="P158">
        <v>6480</v>
      </c>
      <c r="Q158" t="s">
        <v>367</v>
      </c>
      <c r="R158" s="38">
        <v>538412969.03999996</v>
      </c>
      <c r="S158" s="38">
        <v>457020432.77999997</v>
      </c>
    </row>
    <row r="159" spans="1:19">
      <c r="A159" s="70">
        <v>681</v>
      </c>
      <c r="B159" s="42" t="s">
        <v>368</v>
      </c>
      <c r="C159" s="251">
        <f t="shared" si="20"/>
        <v>2859574280.895</v>
      </c>
      <c r="D159" s="251">
        <f t="shared" si="21"/>
        <v>3724067694.46</v>
      </c>
      <c r="E159" s="252">
        <f t="shared" si="25"/>
        <v>6929439340.7809992</v>
      </c>
      <c r="F159" s="253">
        <f t="shared" si="22"/>
        <v>679545</v>
      </c>
      <c r="H159" s="93">
        <f t="shared" si="23"/>
        <v>681</v>
      </c>
      <c r="I159">
        <v>6810</v>
      </c>
      <c r="J159" t="s">
        <v>368</v>
      </c>
      <c r="K159" s="38">
        <v>2359844270.9400001</v>
      </c>
      <c r="L159" s="38">
        <v>2914264626.6700001</v>
      </c>
      <c r="O159" s="93">
        <f t="shared" si="24"/>
        <v>681</v>
      </c>
      <c r="P159">
        <v>6810</v>
      </c>
      <c r="Q159" t="s">
        <v>368</v>
      </c>
      <c r="R159" s="38">
        <v>999460019.90999997</v>
      </c>
      <c r="S159" s="38">
        <v>1619606135.5799999</v>
      </c>
    </row>
    <row r="160" spans="1:19">
      <c r="A160" s="70">
        <v>700</v>
      </c>
      <c r="B160" s="42" t="s">
        <v>369</v>
      </c>
      <c r="C160" s="251">
        <f t="shared" si="20"/>
        <v>3199258163.4849997</v>
      </c>
      <c r="D160" s="251">
        <f t="shared" si="21"/>
        <v>3888667760.375</v>
      </c>
      <c r="E160" s="252">
        <f t="shared" si="25"/>
        <v>7363689762.6159992</v>
      </c>
      <c r="F160" s="253">
        <f t="shared" si="22"/>
        <v>722130</v>
      </c>
      <c r="H160" s="93">
        <f t="shared" si="23"/>
        <v>700</v>
      </c>
      <c r="I160">
        <v>7000</v>
      </c>
      <c r="J160" t="s">
        <v>369</v>
      </c>
      <c r="K160" s="38">
        <v>2436325098.7199998</v>
      </c>
      <c r="L160" s="38">
        <v>2808673664.2800002</v>
      </c>
      <c r="O160" s="93">
        <f t="shared" si="24"/>
        <v>700</v>
      </c>
      <c r="P160">
        <v>7000</v>
      </c>
      <c r="Q160" t="s">
        <v>369</v>
      </c>
      <c r="R160" s="38">
        <v>1525866129.53</v>
      </c>
      <c r="S160" s="38">
        <v>2159988192.1900001</v>
      </c>
    </row>
    <row r="161" spans="1:19">
      <c r="A161" s="70">
        <v>701</v>
      </c>
      <c r="B161" s="42" t="s">
        <v>370</v>
      </c>
      <c r="C161" s="251">
        <f t="shared" si="20"/>
        <v>2546691661.1849999</v>
      </c>
      <c r="D161" s="251">
        <f t="shared" si="21"/>
        <v>2273333795.1399999</v>
      </c>
      <c r="E161" s="252">
        <f t="shared" si="25"/>
        <v>4710682309.9069996</v>
      </c>
      <c r="F161" s="253">
        <f t="shared" si="22"/>
        <v>461959</v>
      </c>
      <c r="H161" s="93">
        <f t="shared" si="23"/>
        <v>701</v>
      </c>
      <c r="I161">
        <v>7010</v>
      </c>
      <c r="J161" t="s">
        <v>370</v>
      </c>
      <c r="K161" s="38">
        <v>2067946218.73</v>
      </c>
      <c r="L161" s="38">
        <v>1730630228.3699999</v>
      </c>
      <c r="O161" s="93">
        <f t="shared" si="24"/>
        <v>701</v>
      </c>
      <c r="P161">
        <v>7010</v>
      </c>
      <c r="Q161" t="s">
        <v>370</v>
      </c>
      <c r="R161" s="38">
        <v>957490884.90999997</v>
      </c>
      <c r="S161" s="38">
        <v>1085407133.54</v>
      </c>
    </row>
    <row r="162" spans="1:19">
      <c r="A162" s="70">
        <v>702</v>
      </c>
      <c r="B162" s="42" t="s">
        <v>371</v>
      </c>
      <c r="C162" s="251">
        <f t="shared" si="20"/>
        <v>1673220165.385</v>
      </c>
      <c r="D162" s="251">
        <f t="shared" si="21"/>
        <v>1017528031.3050001</v>
      </c>
      <c r="E162" s="252">
        <f t="shared" si="25"/>
        <v>2428471343.0579996</v>
      </c>
      <c r="F162" s="253">
        <f t="shared" si="22"/>
        <v>238151</v>
      </c>
      <c r="H162" s="93">
        <f t="shared" si="23"/>
        <v>702</v>
      </c>
      <c r="I162">
        <v>7020</v>
      </c>
      <c r="J162" t="s">
        <v>371</v>
      </c>
      <c r="K162" s="38">
        <v>1311265246.76</v>
      </c>
      <c r="L162" s="38">
        <v>791388610.21000004</v>
      </c>
      <c r="O162" s="93">
        <f t="shared" si="24"/>
        <v>702</v>
      </c>
      <c r="P162">
        <v>7020</v>
      </c>
      <c r="Q162" t="s">
        <v>371</v>
      </c>
      <c r="R162" s="38">
        <v>723909837.25</v>
      </c>
      <c r="S162" s="38">
        <v>452278842.19</v>
      </c>
    </row>
    <row r="163" spans="1:19">
      <c r="A163" s="70">
        <v>703</v>
      </c>
      <c r="B163" s="42" t="s">
        <v>372</v>
      </c>
      <c r="C163" s="251">
        <f t="shared" si="20"/>
        <v>1609314823.7750001</v>
      </c>
      <c r="D163" s="251">
        <f t="shared" si="21"/>
        <v>1432350624.2449999</v>
      </c>
      <c r="E163" s="252">
        <f t="shared" si="25"/>
        <v>2970879768.2079997</v>
      </c>
      <c r="F163" s="253">
        <f t="shared" si="22"/>
        <v>291343</v>
      </c>
      <c r="H163" s="93">
        <f t="shared" si="23"/>
        <v>703</v>
      </c>
      <c r="I163">
        <v>7030</v>
      </c>
      <c r="J163" t="s">
        <v>372</v>
      </c>
      <c r="K163" s="38">
        <v>1274169244</v>
      </c>
      <c r="L163" s="38">
        <v>1029069392.86</v>
      </c>
      <c r="O163" s="93">
        <f t="shared" si="24"/>
        <v>703</v>
      </c>
      <c r="P163">
        <v>7030</v>
      </c>
      <c r="Q163" t="s">
        <v>372</v>
      </c>
      <c r="R163" s="38">
        <v>670291159.54999995</v>
      </c>
      <c r="S163" s="38">
        <v>806562462.76999998</v>
      </c>
    </row>
    <row r="164" spans="1:19">
      <c r="A164" s="70">
        <v>704</v>
      </c>
      <c r="B164" s="42" t="s">
        <v>373</v>
      </c>
      <c r="C164" s="251">
        <f t="shared" ref="C164:C179" si="26">VLOOKUP(A164,H:L,4,0)+(0.5*VLOOKUP(A164,O:S,4,0))</f>
        <v>1806507341.7849998</v>
      </c>
      <c r="D164" s="251">
        <f t="shared" ref="D164:D179" si="27">VLOOKUP(A164,H:L,5,0)+(0.5*VLOOKUP(A164,O:S,5,0))</f>
        <v>1421427601.135</v>
      </c>
      <c r="E164" s="252">
        <f t="shared" si="25"/>
        <v>3073903046.6599998</v>
      </c>
      <c r="F164" s="253">
        <f t="shared" ref="F164:F186" si="28">ROUND(E164*F$2/$E$187, 0)</f>
        <v>301446</v>
      </c>
      <c r="H164" s="93">
        <f t="shared" si="23"/>
        <v>704</v>
      </c>
      <c r="I164">
        <v>7040</v>
      </c>
      <c r="J164" t="s">
        <v>373</v>
      </c>
      <c r="K164" s="38">
        <v>1413721859.51</v>
      </c>
      <c r="L164" s="38">
        <v>1086946754.03</v>
      </c>
      <c r="O164" s="93">
        <f t="shared" si="24"/>
        <v>704</v>
      </c>
      <c r="P164">
        <v>7040</v>
      </c>
      <c r="Q164" t="s">
        <v>373</v>
      </c>
      <c r="R164" s="38">
        <v>785570964.54999995</v>
      </c>
      <c r="S164" s="38">
        <v>668961694.21000004</v>
      </c>
    </row>
    <row r="165" spans="1:19">
      <c r="A165" s="70">
        <v>705</v>
      </c>
      <c r="B165" s="42" t="s">
        <v>374</v>
      </c>
      <c r="C165" s="251">
        <f t="shared" si="26"/>
        <v>2098529507.01</v>
      </c>
      <c r="D165" s="251">
        <f t="shared" si="27"/>
        <v>1942234928.5900002</v>
      </c>
      <c r="E165" s="252">
        <f t="shared" si="25"/>
        <v>3978246604.2319999</v>
      </c>
      <c r="F165" s="253">
        <f t="shared" si="28"/>
        <v>390132</v>
      </c>
      <c r="H165" s="93">
        <f t="shared" si="23"/>
        <v>705</v>
      </c>
      <c r="I165">
        <v>7050</v>
      </c>
      <c r="J165" t="s">
        <v>374</v>
      </c>
      <c r="K165" s="38">
        <v>1666653146.5799999</v>
      </c>
      <c r="L165" s="38">
        <v>1418168011.98</v>
      </c>
      <c r="O165" s="93">
        <f t="shared" si="24"/>
        <v>705</v>
      </c>
      <c r="P165">
        <v>7050</v>
      </c>
      <c r="Q165" t="s">
        <v>374</v>
      </c>
      <c r="R165" s="38">
        <v>863752720.86000001</v>
      </c>
      <c r="S165" s="38">
        <v>1048133833.22</v>
      </c>
    </row>
    <row r="166" spans="1:19">
      <c r="A166" s="70">
        <v>706</v>
      </c>
      <c r="B166" s="42" t="s">
        <v>375</v>
      </c>
      <c r="C166" s="251">
        <f t="shared" si="26"/>
        <v>2746640573.5249996</v>
      </c>
      <c r="D166" s="251">
        <f t="shared" si="27"/>
        <v>2578304105.52</v>
      </c>
      <c r="E166" s="252">
        <f t="shared" si="25"/>
        <v>5257610091.8429995</v>
      </c>
      <c r="F166" s="253">
        <f t="shared" si="28"/>
        <v>515595</v>
      </c>
      <c r="H166" s="93">
        <f t="shared" si="23"/>
        <v>706</v>
      </c>
      <c r="I166">
        <v>7060</v>
      </c>
      <c r="J166" t="s">
        <v>375</v>
      </c>
      <c r="K166" s="38">
        <v>2277549505.6199999</v>
      </c>
      <c r="L166" s="38">
        <v>1956186263.3599999</v>
      </c>
      <c r="O166" s="93">
        <f t="shared" si="24"/>
        <v>706</v>
      </c>
      <c r="P166">
        <v>7060</v>
      </c>
      <c r="Q166" t="s">
        <v>375</v>
      </c>
      <c r="R166" s="38">
        <v>938182135.80999994</v>
      </c>
      <c r="S166" s="38">
        <v>1244235684.3199999</v>
      </c>
    </row>
    <row r="167" spans="1:19">
      <c r="A167" s="70">
        <v>707</v>
      </c>
      <c r="B167" s="42" t="s">
        <v>376</v>
      </c>
      <c r="C167" s="251">
        <f t="shared" si="26"/>
        <v>1658339720.48</v>
      </c>
      <c r="D167" s="251">
        <f t="shared" si="27"/>
        <v>1405925214.3699999</v>
      </c>
      <c r="E167" s="252">
        <f t="shared" si="25"/>
        <v>2963299132.4059997</v>
      </c>
      <c r="F167" s="253">
        <f t="shared" si="28"/>
        <v>290600</v>
      </c>
      <c r="H167" s="93">
        <f t="shared" si="23"/>
        <v>707</v>
      </c>
      <c r="I167">
        <v>7070</v>
      </c>
      <c r="J167" t="s">
        <v>376</v>
      </c>
      <c r="K167" s="38">
        <v>1311474098.0799999</v>
      </c>
      <c r="L167" s="38">
        <v>1006608113.1799999</v>
      </c>
      <c r="O167" s="93">
        <f t="shared" si="24"/>
        <v>707</v>
      </c>
      <c r="P167">
        <v>7070</v>
      </c>
      <c r="Q167" t="s">
        <v>376</v>
      </c>
      <c r="R167" s="38">
        <v>693731244.79999995</v>
      </c>
      <c r="S167" s="38">
        <v>798634202.38</v>
      </c>
    </row>
    <row r="168" spans="1:19">
      <c r="A168" s="70">
        <v>708</v>
      </c>
      <c r="B168" s="42" t="s">
        <v>377</v>
      </c>
      <c r="C168" s="251">
        <f t="shared" si="26"/>
        <v>1983738264.8399999</v>
      </c>
      <c r="D168" s="251">
        <f t="shared" si="27"/>
        <v>1995459068.0449998</v>
      </c>
      <c r="E168" s="252">
        <f t="shared" si="25"/>
        <v>3983885654.1669993</v>
      </c>
      <c r="F168" s="253">
        <f t="shared" si="28"/>
        <v>390685</v>
      </c>
      <c r="H168" s="93">
        <f t="shared" si="23"/>
        <v>708</v>
      </c>
      <c r="I168">
        <v>7080</v>
      </c>
      <c r="J168" t="s">
        <v>377</v>
      </c>
      <c r="K168" s="38">
        <v>1544101022.6099999</v>
      </c>
      <c r="L168" s="38">
        <v>1472726207.0999999</v>
      </c>
      <c r="O168" s="93">
        <f t="shared" si="24"/>
        <v>708</v>
      </c>
      <c r="P168">
        <v>7080</v>
      </c>
      <c r="Q168" t="s">
        <v>377</v>
      </c>
      <c r="R168" s="38">
        <v>879274484.46000004</v>
      </c>
      <c r="S168" s="38">
        <v>1045465721.89</v>
      </c>
    </row>
    <row r="169" spans="1:19">
      <c r="A169" s="70">
        <v>709</v>
      </c>
      <c r="B169" s="42" t="s">
        <v>378</v>
      </c>
      <c r="C169" s="251">
        <f t="shared" si="26"/>
        <v>2923200028.71</v>
      </c>
      <c r="D169" s="251">
        <f t="shared" si="27"/>
        <v>2714411637.585</v>
      </c>
      <c r="E169" s="252">
        <f t="shared" si="25"/>
        <v>5554096309.8450003</v>
      </c>
      <c r="F169" s="253">
        <f t="shared" si="28"/>
        <v>544670</v>
      </c>
      <c r="H169" s="93">
        <f t="shared" si="23"/>
        <v>709</v>
      </c>
      <c r="I169">
        <v>7090</v>
      </c>
      <c r="J169" t="s">
        <v>378</v>
      </c>
      <c r="K169" s="38">
        <v>2393603727.54</v>
      </c>
      <c r="L169" s="38">
        <v>2043693997.25</v>
      </c>
      <c r="O169" s="93">
        <f t="shared" si="24"/>
        <v>709</v>
      </c>
      <c r="P169">
        <v>7090</v>
      </c>
      <c r="Q169" t="s">
        <v>378</v>
      </c>
      <c r="R169" s="38">
        <v>1059192602.34</v>
      </c>
      <c r="S169" s="38">
        <v>1341435280.6700001</v>
      </c>
    </row>
    <row r="170" spans="1:19">
      <c r="A170" s="70">
        <v>710</v>
      </c>
      <c r="B170" s="42" t="s">
        <v>379</v>
      </c>
      <c r="C170" s="251">
        <f t="shared" si="26"/>
        <v>3391773131.3649998</v>
      </c>
      <c r="D170" s="251">
        <f t="shared" si="27"/>
        <v>2929419574.7700005</v>
      </c>
      <c r="E170" s="252">
        <f t="shared" si="25"/>
        <v>6136251283.4969997</v>
      </c>
      <c r="F170" s="253">
        <f t="shared" si="28"/>
        <v>601760</v>
      </c>
      <c r="H170" s="93">
        <f t="shared" si="23"/>
        <v>710</v>
      </c>
      <c r="I170">
        <v>7100</v>
      </c>
      <c r="J170" t="s">
        <v>379</v>
      </c>
      <c r="K170" s="38">
        <v>2959936701.9099998</v>
      </c>
      <c r="L170" s="38">
        <v>2272374963.0300002</v>
      </c>
      <c r="O170" s="93">
        <f t="shared" si="24"/>
        <v>710</v>
      </c>
      <c r="P170">
        <v>7100</v>
      </c>
      <c r="Q170" t="s">
        <v>379</v>
      </c>
      <c r="R170" s="38">
        <v>863672858.90999997</v>
      </c>
      <c r="S170" s="38">
        <v>1314089223.48</v>
      </c>
    </row>
    <row r="171" spans="1:19">
      <c r="A171" s="70">
        <v>711</v>
      </c>
      <c r="B171" s="42" t="s">
        <v>380</v>
      </c>
      <c r="C171" s="251">
        <f t="shared" si="26"/>
        <v>2958130411.0099998</v>
      </c>
      <c r="D171" s="251">
        <f t="shared" si="27"/>
        <v>2037060670.905</v>
      </c>
      <c r="E171" s="252">
        <f t="shared" si="25"/>
        <v>4626763185.8729992</v>
      </c>
      <c r="F171" s="253">
        <f t="shared" si="28"/>
        <v>453730</v>
      </c>
      <c r="H171" s="93">
        <f t="shared" si="23"/>
        <v>711</v>
      </c>
      <c r="I171">
        <v>7110</v>
      </c>
      <c r="J171" t="s">
        <v>380</v>
      </c>
      <c r="K171" s="38">
        <v>2551198006.1199999</v>
      </c>
      <c r="L171" s="38">
        <v>1501605337.48</v>
      </c>
      <c r="O171" s="93">
        <f t="shared" si="24"/>
        <v>711</v>
      </c>
      <c r="P171">
        <v>7110</v>
      </c>
      <c r="Q171" t="s">
        <v>380</v>
      </c>
      <c r="R171" s="38">
        <v>813864809.77999997</v>
      </c>
      <c r="S171" s="38">
        <v>1070910666.85</v>
      </c>
    </row>
    <row r="172" spans="1:19">
      <c r="A172" s="70">
        <v>712</v>
      </c>
      <c r="B172" s="42" t="s">
        <v>381</v>
      </c>
      <c r="C172" s="251">
        <f t="shared" si="26"/>
        <v>1141052910.4649999</v>
      </c>
      <c r="D172" s="251">
        <f t="shared" si="27"/>
        <v>686340906.59500003</v>
      </c>
      <c r="E172" s="252">
        <f t="shared" si="25"/>
        <v>1645509015.5119998</v>
      </c>
      <c r="F172" s="253">
        <f t="shared" si="28"/>
        <v>161369</v>
      </c>
      <c r="H172" s="93">
        <f t="shared" si="23"/>
        <v>712</v>
      </c>
      <c r="I172">
        <v>7120</v>
      </c>
      <c r="J172" t="s">
        <v>381</v>
      </c>
      <c r="K172" s="38">
        <v>1042585127.66</v>
      </c>
      <c r="L172" s="38">
        <v>573763673.38</v>
      </c>
      <c r="O172" s="93">
        <f t="shared" si="24"/>
        <v>712</v>
      </c>
      <c r="P172">
        <v>7120</v>
      </c>
      <c r="Q172" t="s">
        <v>381</v>
      </c>
      <c r="R172" s="38">
        <v>196935565.61000001</v>
      </c>
      <c r="S172" s="38">
        <v>225154466.43000001</v>
      </c>
    </row>
    <row r="173" spans="1:19">
      <c r="A173" s="70">
        <v>719</v>
      </c>
      <c r="B173" s="42" t="s">
        <v>382</v>
      </c>
      <c r="C173" s="251">
        <f t="shared" si="26"/>
        <v>3342637589.2650003</v>
      </c>
      <c r="D173" s="251">
        <f t="shared" si="27"/>
        <v>2782198649.6750002</v>
      </c>
      <c r="E173" s="252">
        <f t="shared" si="25"/>
        <v>5900660663.1040001</v>
      </c>
      <c r="F173" s="253">
        <f t="shared" si="28"/>
        <v>578656</v>
      </c>
      <c r="H173" s="93">
        <f t="shared" si="23"/>
        <v>719</v>
      </c>
      <c r="I173">
        <v>7190</v>
      </c>
      <c r="J173" t="s">
        <v>382</v>
      </c>
      <c r="K173" s="38">
        <v>2812039714.8000002</v>
      </c>
      <c r="L173" s="38">
        <v>2089721696.49</v>
      </c>
      <c r="O173" s="93">
        <f t="shared" si="24"/>
        <v>719</v>
      </c>
      <c r="P173">
        <v>7190</v>
      </c>
      <c r="Q173" t="s">
        <v>382</v>
      </c>
      <c r="R173" s="38">
        <v>1061195748.9299999</v>
      </c>
      <c r="S173" s="38">
        <v>1384953906.3699999</v>
      </c>
    </row>
    <row r="174" spans="1:19">
      <c r="A174" s="70">
        <v>720</v>
      </c>
      <c r="B174" s="42" t="s">
        <v>383</v>
      </c>
      <c r="C174" s="251">
        <f t="shared" si="26"/>
        <v>3142349568.0549998</v>
      </c>
      <c r="D174" s="251">
        <f t="shared" si="27"/>
        <v>2474720004.4450002</v>
      </c>
      <c r="E174" s="252">
        <f t="shared" si="25"/>
        <v>5350017747.0559998</v>
      </c>
      <c r="F174" s="253">
        <f t="shared" si="28"/>
        <v>524657</v>
      </c>
      <c r="H174" s="93">
        <f t="shared" si="23"/>
        <v>720</v>
      </c>
      <c r="I174">
        <v>7200</v>
      </c>
      <c r="J174" t="s">
        <v>383</v>
      </c>
      <c r="K174" s="38">
        <v>2660713950.4499998</v>
      </c>
      <c r="L174" s="38">
        <v>1782038958.24</v>
      </c>
      <c r="O174" s="93">
        <f t="shared" si="24"/>
        <v>720</v>
      </c>
      <c r="P174">
        <v>7200</v>
      </c>
      <c r="Q174" t="s">
        <v>383</v>
      </c>
      <c r="R174" s="38">
        <v>963271235.21000004</v>
      </c>
      <c r="S174" s="38">
        <v>1385362092.4100001</v>
      </c>
    </row>
    <row r="175" spans="1:19">
      <c r="A175" s="70">
        <v>721</v>
      </c>
      <c r="B175" s="42" t="s">
        <v>384</v>
      </c>
      <c r="C175" s="251">
        <f t="shared" si="26"/>
        <v>3480277244.4549999</v>
      </c>
      <c r="D175" s="251">
        <f t="shared" si="27"/>
        <v>2190125580.02</v>
      </c>
      <c r="E175" s="252">
        <f t="shared" si="25"/>
        <v>5154342158.7010002</v>
      </c>
      <c r="F175" s="253">
        <f t="shared" si="28"/>
        <v>505468</v>
      </c>
      <c r="H175" s="93">
        <f t="shared" si="23"/>
        <v>721</v>
      </c>
      <c r="I175">
        <v>7210</v>
      </c>
      <c r="J175" t="s">
        <v>384</v>
      </c>
      <c r="K175" s="38">
        <v>2995792366.73</v>
      </c>
      <c r="L175" s="38">
        <v>1773348205.95</v>
      </c>
      <c r="O175" s="93">
        <f t="shared" si="24"/>
        <v>721</v>
      </c>
      <c r="P175">
        <v>7210</v>
      </c>
      <c r="Q175" t="s">
        <v>384</v>
      </c>
      <c r="R175" s="38">
        <v>968969755.45000005</v>
      </c>
      <c r="S175" s="38">
        <v>833554748.13999999</v>
      </c>
    </row>
    <row r="176" spans="1:19">
      <c r="A176" s="70">
        <v>722</v>
      </c>
      <c r="B176" s="42" t="s">
        <v>385</v>
      </c>
      <c r="C176" s="251">
        <f t="shared" si="26"/>
        <v>2231769576.5749998</v>
      </c>
      <c r="D176" s="251">
        <f t="shared" si="27"/>
        <v>911398051.51999998</v>
      </c>
      <c r="E176" s="252">
        <f t="shared" si="25"/>
        <v>2615019018.073</v>
      </c>
      <c r="F176" s="253">
        <f t="shared" si="28"/>
        <v>256445</v>
      </c>
      <c r="H176" s="93">
        <f t="shared" si="23"/>
        <v>722</v>
      </c>
      <c r="I176">
        <v>7220</v>
      </c>
      <c r="J176" t="s">
        <v>385</v>
      </c>
      <c r="K176" s="38">
        <v>1824267485.9400001</v>
      </c>
      <c r="L176" s="38">
        <v>712919694.53999996</v>
      </c>
      <c r="O176" s="93">
        <f t="shared" si="24"/>
        <v>722</v>
      </c>
      <c r="P176">
        <v>7220</v>
      </c>
      <c r="Q176" t="s">
        <v>385</v>
      </c>
      <c r="R176" s="38">
        <v>815004181.26999998</v>
      </c>
      <c r="S176" s="38">
        <v>396956713.95999998</v>
      </c>
    </row>
    <row r="177" spans="1:19">
      <c r="A177" s="70">
        <v>751</v>
      </c>
      <c r="B177" s="42" t="s">
        <v>386</v>
      </c>
      <c r="C177" s="251">
        <f t="shared" si="26"/>
        <v>2890445826.2449999</v>
      </c>
      <c r="D177" s="251">
        <f t="shared" si="27"/>
        <v>2432437791.8199997</v>
      </c>
      <c r="E177" s="252">
        <f t="shared" si="25"/>
        <v>5139680404.2949991</v>
      </c>
      <c r="F177" s="253">
        <f t="shared" si="28"/>
        <v>504030</v>
      </c>
      <c r="H177" s="93">
        <f t="shared" si="23"/>
        <v>751</v>
      </c>
      <c r="I177">
        <v>7510</v>
      </c>
      <c r="J177" t="s">
        <v>386</v>
      </c>
      <c r="K177" s="38">
        <v>2175201042.6399999</v>
      </c>
      <c r="L177" s="38">
        <v>1731378896.53</v>
      </c>
      <c r="O177" s="93">
        <f t="shared" si="24"/>
        <v>751</v>
      </c>
      <c r="P177">
        <v>7510</v>
      </c>
      <c r="Q177" t="s">
        <v>386</v>
      </c>
      <c r="R177" s="38">
        <v>1430489567.21</v>
      </c>
      <c r="S177" s="38">
        <v>1402117790.5799999</v>
      </c>
    </row>
    <row r="178" spans="1:19">
      <c r="A178" s="70">
        <v>752</v>
      </c>
      <c r="B178" s="42" t="s">
        <v>387</v>
      </c>
      <c r="C178" s="251">
        <f t="shared" si="26"/>
        <v>3166679177.395</v>
      </c>
      <c r="D178" s="251">
        <f t="shared" si="27"/>
        <v>2923298542.4549999</v>
      </c>
      <c r="E178" s="252">
        <f t="shared" si="25"/>
        <v>5992625465.8739996</v>
      </c>
      <c r="F178" s="253">
        <f t="shared" si="28"/>
        <v>587675</v>
      </c>
      <c r="H178" s="93">
        <f t="shared" si="23"/>
        <v>752</v>
      </c>
      <c r="I178">
        <v>7520</v>
      </c>
      <c r="J178" t="s">
        <v>387</v>
      </c>
      <c r="K178" s="38">
        <v>2590531480.5999999</v>
      </c>
      <c r="L178" s="38">
        <v>2228244817.02</v>
      </c>
      <c r="O178" s="93">
        <f t="shared" si="24"/>
        <v>752</v>
      </c>
      <c r="P178">
        <v>7520</v>
      </c>
      <c r="Q178" t="s">
        <v>387</v>
      </c>
      <c r="R178" s="38">
        <v>1152295393.5899999</v>
      </c>
      <c r="S178" s="38">
        <v>1390107450.8699999</v>
      </c>
    </row>
    <row r="179" spans="1:19">
      <c r="A179" s="70">
        <v>753</v>
      </c>
      <c r="B179" s="42" t="s">
        <v>388</v>
      </c>
      <c r="C179" s="251">
        <f t="shared" si="26"/>
        <v>2086802683.2849998</v>
      </c>
      <c r="D179" s="251">
        <f t="shared" si="27"/>
        <v>1999321481.27</v>
      </c>
      <c r="E179" s="252">
        <f t="shared" si="25"/>
        <v>4051131683.7489996</v>
      </c>
      <c r="F179" s="253">
        <f t="shared" si="28"/>
        <v>397280</v>
      </c>
      <c r="H179" s="93">
        <f t="shared" si="23"/>
        <v>753</v>
      </c>
      <c r="I179">
        <v>7530</v>
      </c>
      <c r="J179" t="s">
        <v>388</v>
      </c>
      <c r="K179" s="38">
        <v>1619165163.5999999</v>
      </c>
      <c r="L179" s="38">
        <v>1444494683.1400001</v>
      </c>
      <c r="O179" s="93">
        <f t="shared" si="24"/>
        <v>753</v>
      </c>
      <c r="P179">
        <v>7530</v>
      </c>
      <c r="Q179" t="s">
        <v>388</v>
      </c>
      <c r="R179" s="38">
        <v>935275039.37</v>
      </c>
      <c r="S179" s="38">
        <v>1109653596.26</v>
      </c>
    </row>
    <row r="180" spans="1:19">
      <c r="A180" s="429">
        <v>760</v>
      </c>
      <c r="B180" s="430" t="s">
        <v>389</v>
      </c>
      <c r="C180" s="431">
        <f>C190+C191</f>
        <v>5150802723.3299999</v>
      </c>
      <c r="D180" s="431">
        <f>D190+D191</f>
        <v>4569289556.5650005</v>
      </c>
      <c r="E180" s="430">
        <f t="shared" si="25"/>
        <v>9487487013.1889992</v>
      </c>
      <c r="F180" s="430">
        <f t="shared" si="28"/>
        <v>930403</v>
      </c>
      <c r="H180" s="93">
        <f t="shared" si="23"/>
        <v>760</v>
      </c>
      <c r="I180">
        <v>7600</v>
      </c>
      <c r="J180" t="s">
        <v>389</v>
      </c>
      <c r="K180" s="38">
        <v>2555980601.0799999</v>
      </c>
      <c r="L180" s="38">
        <v>2105149538.5899999</v>
      </c>
      <c r="O180" s="93">
        <f t="shared" si="24"/>
        <v>760</v>
      </c>
      <c r="P180">
        <v>7600</v>
      </c>
      <c r="Q180" t="s">
        <v>389</v>
      </c>
      <c r="R180" s="38">
        <v>1590145677.29</v>
      </c>
      <c r="S180" s="38">
        <v>1946658640.8199999</v>
      </c>
    </row>
    <row r="181" spans="1:19">
      <c r="A181" s="70">
        <v>800</v>
      </c>
      <c r="B181" s="42" t="s">
        <v>391</v>
      </c>
      <c r="C181" s="251">
        <f>VLOOKUP(A181,H:L,4,0)+(0.5*VLOOKUP(A181,O:S,4,0))</f>
        <v>3183016857.0349998</v>
      </c>
      <c r="D181" s="251">
        <f>VLOOKUP(A181,H:L,5,0)+(0.5*VLOOKUP(A181,O:S,5,0))</f>
        <v>2233413741.3499999</v>
      </c>
      <c r="E181" s="252">
        <f t="shared" si="25"/>
        <v>5036589352.1110001</v>
      </c>
      <c r="F181" s="253">
        <f t="shared" si="28"/>
        <v>493920</v>
      </c>
      <c r="H181" s="93">
        <f t="shared" si="23"/>
        <v>800</v>
      </c>
      <c r="I181">
        <v>8000</v>
      </c>
      <c r="J181" t="s">
        <v>391</v>
      </c>
      <c r="K181" s="38">
        <v>2584122108.6900001</v>
      </c>
      <c r="L181" s="38">
        <v>1689022328.47</v>
      </c>
      <c r="O181" s="93">
        <f t="shared" si="24"/>
        <v>800</v>
      </c>
      <c r="P181">
        <v>8000</v>
      </c>
      <c r="Q181" t="s">
        <v>391</v>
      </c>
      <c r="R181" s="38">
        <v>1197789496.6900001</v>
      </c>
      <c r="S181" s="38">
        <v>1088782825.76</v>
      </c>
    </row>
    <row r="182" spans="1:19">
      <c r="A182" s="70">
        <v>801</v>
      </c>
      <c r="B182" s="42" t="s">
        <v>392</v>
      </c>
      <c r="C182" s="251">
        <f>VLOOKUP(A182,H:L,4,0)+(0.5*VLOOKUP(A182,O:S,4,0))</f>
        <v>4519665817.7449999</v>
      </c>
      <c r="D182" s="251">
        <f>VLOOKUP(A182,H:L,5,0)+(0.5*VLOOKUP(A182,O:S,5,0))</f>
        <v>3329080411.0799999</v>
      </c>
      <c r="E182" s="252">
        <f t="shared" si="25"/>
        <v>7372512066.1589985</v>
      </c>
      <c r="F182" s="253">
        <f t="shared" si="28"/>
        <v>722995</v>
      </c>
      <c r="H182" s="93">
        <f t="shared" si="23"/>
        <v>801</v>
      </c>
      <c r="I182">
        <v>8010</v>
      </c>
      <c r="J182" t="s">
        <v>392</v>
      </c>
      <c r="K182" s="38">
        <v>3577815564.0599999</v>
      </c>
      <c r="L182" s="38">
        <v>2381224028.8000002</v>
      </c>
      <c r="O182" s="93">
        <f t="shared" si="24"/>
        <v>801</v>
      </c>
      <c r="P182">
        <v>8010</v>
      </c>
      <c r="Q182" t="s">
        <v>392</v>
      </c>
      <c r="R182" s="38">
        <v>1883700507.3699999</v>
      </c>
      <c r="S182" s="38">
        <v>1895712764.5599999</v>
      </c>
    </row>
    <row r="183" spans="1:19">
      <c r="A183" s="429">
        <v>802</v>
      </c>
      <c r="B183" s="430" t="s">
        <v>393</v>
      </c>
      <c r="C183" s="431">
        <f>C194+C195</f>
        <v>6059273880.3800001</v>
      </c>
      <c r="D183" s="431">
        <f>D194+D195</f>
        <v>3400334060.8599997</v>
      </c>
      <c r="E183" s="430">
        <f t="shared" si="25"/>
        <v>8396032013.4319992</v>
      </c>
      <c r="F183" s="430">
        <f t="shared" si="28"/>
        <v>823368</v>
      </c>
      <c r="H183" s="93">
        <f t="shared" si="23"/>
        <v>802</v>
      </c>
      <c r="I183">
        <v>8020</v>
      </c>
      <c r="J183" t="s">
        <v>393</v>
      </c>
      <c r="K183" s="38">
        <v>2523053465.5500002</v>
      </c>
      <c r="L183" s="38">
        <v>1594024703.95</v>
      </c>
      <c r="O183" s="93">
        <f t="shared" si="24"/>
        <v>802</v>
      </c>
      <c r="P183">
        <v>8020</v>
      </c>
      <c r="Q183" t="s">
        <v>393</v>
      </c>
      <c r="R183" s="38">
        <v>933326063.72000003</v>
      </c>
      <c r="S183" s="38">
        <v>759222970.47000003</v>
      </c>
    </row>
    <row r="184" spans="1:19">
      <c r="A184" s="70">
        <v>820</v>
      </c>
      <c r="B184" s="42" t="s">
        <v>395</v>
      </c>
      <c r="C184" s="251">
        <f>VLOOKUP(A184,H:L,4,0)+(0.5*VLOOKUP(A184,O:S,4,0))</f>
        <v>1986495257.9299998</v>
      </c>
      <c r="D184" s="251">
        <f>VLOOKUP(A184,H:L,5,0)+(0.5*VLOOKUP(A184,O:S,5,0))</f>
        <v>1556683210.7150002</v>
      </c>
      <c r="E184" s="252">
        <f t="shared" si="25"/>
        <v>3371253649.7589998</v>
      </c>
      <c r="F184" s="253">
        <f t="shared" si="28"/>
        <v>330607</v>
      </c>
      <c r="H184" s="93">
        <f t="shared" si="23"/>
        <v>820</v>
      </c>
      <c r="I184">
        <v>8200</v>
      </c>
      <c r="J184" t="s">
        <v>395</v>
      </c>
      <c r="K184" s="38">
        <v>1567744893.0799999</v>
      </c>
      <c r="L184" s="38">
        <v>1086771500.48</v>
      </c>
      <c r="O184" s="93">
        <f t="shared" si="24"/>
        <v>820</v>
      </c>
      <c r="P184">
        <v>8200</v>
      </c>
      <c r="Q184" t="s">
        <v>395</v>
      </c>
      <c r="R184" s="38">
        <v>837500729.70000005</v>
      </c>
      <c r="S184" s="38">
        <v>939823420.47000003</v>
      </c>
    </row>
    <row r="185" spans="1:19">
      <c r="A185" s="70">
        <v>830</v>
      </c>
      <c r="B185" s="42" t="s">
        <v>396</v>
      </c>
      <c r="C185" s="251">
        <f>VLOOKUP(A185,H:L,4,0)+(0.5*VLOOKUP(A185,O:S,4,0))</f>
        <v>2335338627.1599998</v>
      </c>
      <c r="D185" s="251">
        <f>VLOOKUP(A185,H:L,5,0)+(0.5*VLOOKUP(A185,O:S,5,0))</f>
        <v>2701487882.9449997</v>
      </c>
      <c r="E185" s="252">
        <f t="shared" si="25"/>
        <v>5183286212.4189987</v>
      </c>
      <c r="F185" s="253">
        <f t="shared" si="28"/>
        <v>508306</v>
      </c>
      <c r="H185" s="93">
        <f t="shared" si="23"/>
        <v>830</v>
      </c>
      <c r="I185">
        <v>8300</v>
      </c>
      <c r="J185" t="s">
        <v>396</v>
      </c>
      <c r="K185" s="38">
        <v>1965296592.6099999</v>
      </c>
      <c r="L185" s="38">
        <v>1983788679.55</v>
      </c>
      <c r="O185" s="93">
        <f t="shared" si="24"/>
        <v>830</v>
      </c>
      <c r="P185">
        <v>8300</v>
      </c>
      <c r="Q185" t="s">
        <v>396</v>
      </c>
      <c r="R185" s="38">
        <v>740084069.10000002</v>
      </c>
      <c r="S185" s="38">
        <v>1435398406.79</v>
      </c>
    </row>
    <row r="186" spans="1:19">
      <c r="A186" s="70">
        <v>888</v>
      </c>
      <c r="B186" s="42" t="s">
        <v>599</v>
      </c>
      <c r="C186" s="251">
        <f>VLOOKUP(A186,H:L,4,0)+(0.5*VLOOKUP(A186,O:S,4,0))</f>
        <v>1064130501.125</v>
      </c>
      <c r="D186" s="251">
        <f>VLOOKUP(A186,H:L,5,0)+(0.5*VLOOKUP(A186,O:S,5,0))</f>
        <v>1427580430.355</v>
      </c>
      <c r="E186" s="252">
        <f t="shared" si="25"/>
        <v>2637090903.1719999</v>
      </c>
      <c r="F186" s="253">
        <f t="shared" si="28"/>
        <v>258610</v>
      </c>
      <c r="H186" s="93">
        <f t="shared" si="23"/>
        <v>888</v>
      </c>
      <c r="I186">
        <v>8880</v>
      </c>
      <c r="J186" t="s">
        <v>599</v>
      </c>
      <c r="K186" s="38">
        <v>946183269.36000001</v>
      </c>
      <c r="L186" s="38">
        <v>1123920783.1300001</v>
      </c>
      <c r="O186" s="93">
        <f t="shared" si="24"/>
        <v>888</v>
      </c>
      <c r="P186">
        <v>8880</v>
      </c>
      <c r="Q186" t="s">
        <v>599</v>
      </c>
      <c r="R186" s="38">
        <v>235894463.53</v>
      </c>
      <c r="S186" s="38">
        <v>607319294.45000005</v>
      </c>
    </row>
    <row r="187" spans="1:19">
      <c r="C187" s="38">
        <f>SUM(C4:C186)</f>
        <v>613982330879.15015</v>
      </c>
      <c r="D187" s="38">
        <f>SUM(D4:D186)</f>
        <v>530423646919.34985</v>
      </c>
      <c r="E187" s="38">
        <f>SUM(E4:E186)</f>
        <v>1110982504214.5806</v>
      </c>
      <c r="F187" s="38">
        <f>SUM(F4:F186)</f>
        <v>108950000</v>
      </c>
      <c r="H187"/>
      <c r="O187"/>
    </row>
    <row r="188" spans="1:19">
      <c r="H188"/>
      <c r="O188"/>
    </row>
    <row r="189" spans="1:19">
      <c r="H189"/>
      <c r="O189"/>
    </row>
    <row r="190" spans="1:19">
      <c r="A190" s="322">
        <v>760</v>
      </c>
      <c r="B190" s="38" t="s">
        <v>389</v>
      </c>
      <c r="C190" s="38">
        <v>3351053439.7249999</v>
      </c>
      <c r="D190" s="38">
        <v>3078478859</v>
      </c>
      <c r="E190" s="38">
        <v>6320502466.4349995</v>
      </c>
      <c r="H190"/>
      <c r="O190"/>
    </row>
    <row r="191" spans="1:19">
      <c r="A191" s="322">
        <v>765</v>
      </c>
      <c r="B191" s="38" t="s">
        <v>390</v>
      </c>
      <c r="C191" s="38">
        <v>1799749283.605</v>
      </c>
      <c r="D191" s="38">
        <v>1490810697.5650001</v>
      </c>
      <c r="E191" s="38">
        <v>3166984546.7539997</v>
      </c>
      <c r="H191"/>
      <c r="O191"/>
    </row>
    <row r="194" spans="1:5">
      <c r="A194" s="322">
        <v>802</v>
      </c>
      <c r="B194" s="38" t="s">
        <v>393</v>
      </c>
      <c r="C194" s="38">
        <v>2989716497.4100003</v>
      </c>
      <c r="D194" s="38">
        <v>1973636189.1849999</v>
      </c>
      <c r="E194" s="38">
        <v>4556920563.3050003</v>
      </c>
    </row>
    <row r="195" spans="1:5">
      <c r="A195" s="322">
        <v>813</v>
      </c>
      <c r="B195" s="38" t="s">
        <v>394</v>
      </c>
      <c r="C195" s="38">
        <v>3069557382.9699998</v>
      </c>
      <c r="D195" s="38">
        <v>1426697871.675</v>
      </c>
      <c r="E195" s="38">
        <v>3839111450.1269999</v>
      </c>
    </row>
  </sheetData>
  <phoneticPr fontId="13" type="noConversion"/>
  <pageMargins left="0.74803149606299213" right="0.74803149606299213" top="0.98425196850393704" bottom="0.98425196850393704" header="0.51181102362204722" footer="0.51181102362204722"/>
  <pageSetup paperSize="9" scale="29" fitToHeight="0" orientation="portrait" r:id="rId1"/>
  <headerFooter alignWithMargins="0"/>
  <colBreaks count="1" manualBreakCount="1">
    <brk id="6"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pageSetUpPr fitToPage="1"/>
  </sheetPr>
  <dimension ref="A1:Y195"/>
  <sheetViews>
    <sheetView view="pageBreakPreview" zoomScaleNormal="100" zoomScaleSheetLayoutView="100" workbookViewId="0">
      <pane ySplit="3" topLeftCell="A179" activePane="bottomLeft" state="frozen"/>
      <selection pane="bottomLeft" activeCell="D190" sqref="D190"/>
    </sheetView>
  </sheetViews>
  <sheetFormatPr defaultColWidth="8.875" defaultRowHeight="16.5"/>
  <cols>
    <col min="1" max="1" width="18.5" style="8" bestFit="1" customWidth="1"/>
    <col min="2" max="2" width="18.625" style="188" bestFit="1" customWidth="1"/>
    <col min="3" max="3" width="17.25" style="191" bestFit="1" customWidth="1"/>
    <col min="4" max="4" width="16.875" style="199" customWidth="1"/>
    <col min="5" max="5" width="19.25" style="187" bestFit="1" customWidth="1"/>
    <col min="6" max="6" width="17.625" style="187" bestFit="1" customWidth="1"/>
    <col min="12" max="12" width="10.125" customWidth="1"/>
    <col min="13" max="13" width="17.125" bestFit="1" customWidth="1"/>
    <col min="16" max="16" width="10.125" bestFit="1" customWidth="1"/>
    <col min="17" max="17" width="24.25" bestFit="1" customWidth="1"/>
    <col min="18" max="18" width="21.875" bestFit="1" customWidth="1"/>
    <col min="19" max="19" width="19.5" bestFit="1" customWidth="1"/>
    <col min="20" max="20" width="21.875" bestFit="1" customWidth="1"/>
    <col min="21" max="21" width="11.625" bestFit="1" customWidth="1"/>
    <col min="22" max="22" width="11.625" customWidth="1"/>
    <col min="24" max="24" width="10.125" bestFit="1" customWidth="1"/>
    <col min="25" max="25" width="21.875" bestFit="1" customWidth="1"/>
  </cols>
  <sheetData>
    <row r="1" spans="1:25">
      <c r="A1" s="8">
        <v>1</v>
      </c>
      <c r="B1" s="188">
        <v>2</v>
      </c>
      <c r="C1" s="188">
        <v>10</v>
      </c>
      <c r="D1" s="189">
        <v>3</v>
      </c>
      <c r="E1" s="189">
        <v>11</v>
      </c>
      <c r="F1" s="188">
        <v>12</v>
      </c>
    </row>
    <row r="2" spans="1:25" ht="29.25" customHeight="1">
      <c r="A2" s="200" t="s">
        <v>1895</v>
      </c>
      <c r="B2" s="190"/>
      <c r="C2" s="223">
        <v>0.8</v>
      </c>
      <c r="D2" s="223">
        <v>0.8</v>
      </c>
      <c r="E2" s="190"/>
      <c r="F2" s="191">
        <f>'116年參數表'!C21</f>
        <v>108950000</v>
      </c>
    </row>
    <row r="3" spans="1:25" ht="33">
      <c r="A3" s="16" t="s">
        <v>628</v>
      </c>
      <c r="B3" s="193" t="s">
        <v>624</v>
      </c>
      <c r="C3" s="193" t="s">
        <v>626</v>
      </c>
      <c r="D3" s="193" t="s">
        <v>625</v>
      </c>
      <c r="E3" s="194" t="s">
        <v>627</v>
      </c>
      <c r="F3" s="195" t="s">
        <v>417</v>
      </c>
      <c r="L3" s="239" t="s">
        <v>1263</v>
      </c>
      <c r="M3" t="s">
        <v>1264</v>
      </c>
      <c r="P3" s="239" t="s">
        <v>1263</v>
      </c>
      <c r="Q3" t="s">
        <v>1265</v>
      </c>
      <c r="R3" t="s">
        <v>1266</v>
      </c>
      <c r="S3" t="s">
        <v>1267</v>
      </c>
      <c r="T3" t="s">
        <v>1268</v>
      </c>
      <c r="X3" s="239" t="s">
        <v>1263</v>
      </c>
      <c r="Y3" t="s">
        <v>1269</v>
      </c>
    </row>
    <row r="4" spans="1:25">
      <c r="A4" s="201">
        <v>100</v>
      </c>
      <c r="B4" s="196">
        <f t="shared" ref="B4:B35" si="0">VLOOKUP(A4,K:M,3,0)</f>
        <v>2041143275.681675</v>
      </c>
      <c r="C4" s="196">
        <f t="shared" ref="C4:C35" si="1">VLOOKUP(A4,O:U,7,0)*0.8</f>
        <v>1356878735.7501876</v>
      </c>
      <c r="D4" s="196">
        <f t="shared" ref="D4:D35" si="2">VLOOKUP(A4,W:Y,3,0)*0.8</f>
        <v>394097236.29202008</v>
      </c>
      <c r="E4" s="197">
        <f>SUM(B4:D4)</f>
        <v>3792119247.7238827</v>
      </c>
      <c r="F4" s="198">
        <f t="shared" ref="F4:F35" si="3">ROUND(E4*(F$2/E$187), 0)</f>
        <v>847588</v>
      </c>
      <c r="K4">
        <f>L4/10</f>
        <v>100</v>
      </c>
      <c r="L4" s="240">
        <v>1000</v>
      </c>
      <c r="M4">
        <v>2041143275.681675</v>
      </c>
      <c r="O4">
        <f>P4/10</f>
        <v>100</v>
      </c>
      <c r="P4" s="240">
        <v>1000</v>
      </c>
      <c r="Q4">
        <v>448119557.08198738</v>
      </c>
      <c r="R4">
        <v>1150902723.9577575</v>
      </c>
      <c r="S4">
        <v>3362688</v>
      </c>
      <c r="T4">
        <v>93713450.647989601</v>
      </c>
      <c r="U4">
        <f>SUM(Q4:T4)</f>
        <v>1696098419.6877344</v>
      </c>
      <c r="W4">
        <f>X4/10</f>
        <v>100</v>
      </c>
      <c r="X4" s="240">
        <v>1000</v>
      </c>
      <c r="Y4">
        <v>492621545.36502504</v>
      </c>
    </row>
    <row r="5" spans="1:25">
      <c r="A5" s="201">
        <v>101</v>
      </c>
      <c r="B5" s="196">
        <f t="shared" si="0"/>
        <v>482350308.73113561</v>
      </c>
      <c r="C5" s="196">
        <f t="shared" si="1"/>
        <v>630982710.48471272</v>
      </c>
      <c r="D5" s="196">
        <f t="shared" si="2"/>
        <v>73395824.704692647</v>
      </c>
      <c r="E5" s="197">
        <f t="shared" ref="E5:E68" si="4">SUM(B5:D5)</f>
        <v>1186728843.920541</v>
      </c>
      <c r="F5" s="198">
        <f t="shared" si="3"/>
        <v>265249</v>
      </c>
      <c r="K5">
        <f t="shared" ref="K5:K68" si="5">L5/10</f>
        <v>101</v>
      </c>
      <c r="L5" s="240">
        <v>1010</v>
      </c>
      <c r="M5">
        <v>482350308.73113561</v>
      </c>
      <c r="O5">
        <f t="shared" ref="O5:O68" si="6">P5/10</f>
        <v>101</v>
      </c>
      <c r="P5" s="240">
        <v>1010</v>
      </c>
      <c r="Q5">
        <v>130559350.79599741</v>
      </c>
      <c r="R5">
        <v>464139060.30989462</v>
      </c>
      <c r="S5">
        <v>1800000</v>
      </c>
      <c r="T5">
        <v>192229976.99999881</v>
      </c>
      <c r="U5">
        <f t="shared" ref="U5:U68" si="7">SUM(Q5:T5)</f>
        <v>788728388.10589087</v>
      </c>
      <c r="W5">
        <f t="shared" ref="W5:W68" si="8">X5/10</f>
        <v>101</v>
      </c>
      <c r="X5" s="240">
        <v>1010</v>
      </c>
      <c r="Y5">
        <v>91744780.880865812</v>
      </c>
    </row>
    <row r="6" spans="1:25">
      <c r="A6" s="201">
        <v>103</v>
      </c>
      <c r="B6" s="196">
        <f t="shared" si="0"/>
        <v>445703408.95911622</v>
      </c>
      <c r="C6" s="196">
        <f t="shared" si="1"/>
        <v>689561766.14389789</v>
      </c>
      <c r="D6" s="196">
        <f t="shared" si="2"/>
        <v>48775041.051894084</v>
      </c>
      <c r="E6" s="197">
        <f t="shared" si="4"/>
        <v>1184040216.1549082</v>
      </c>
      <c r="F6" s="198">
        <f t="shared" si="3"/>
        <v>264648</v>
      </c>
      <c r="K6">
        <f t="shared" si="5"/>
        <v>103</v>
      </c>
      <c r="L6" s="240">
        <v>1030</v>
      </c>
      <c r="M6">
        <v>445703408.95911622</v>
      </c>
      <c r="O6">
        <f t="shared" si="6"/>
        <v>103</v>
      </c>
      <c r="P6" s="240">
        <v>1030</v>
      </c>
      <c r="Q6">
        <v>133280213.971995</v>
      </c>
      <c r="R6">
        <v>665515283.13788044</v>
      </c>
      <c r="S6">
        <v>900000</v>
      </c>
      <c r="T6">
        <v>62256710.569996804</v>
      </c>
      <c r="U6">
        <f t="shared" si="7"/>
        <v>861952207.67987227</v>
      </c>
      <c r="W6">
        <f t="shared" si="8"/>
        <v>103</v>
      </c>
      <c r="X6" s="240">
        <v>1030</v>
      </c>
      <c r="Y6">
        <v>60968801.314867601</v>
      </c>
    </row>
    <row r="7" spans="1:25">
      <c r="A7" s="201">
        <v>104</v>
      </c>
      <c r="B7" s="196">
        <f t="shared" si="0"/>
        <v>1568734953.7966084</v>
      </c>
      <c r="C7" s="196">
        <f t="shared" si="1"/>
        <v>1139508013.3759165</v>
      </c>
      <c r="D7" s="196">
        <f t="shared" si="2"/>
        <v>222363936.87142897</v>
      </c>
      <c r="E7" s="197">
        <f t="shared" si="4"/>
        <v>2930606904.0439539</v>
      </c>
      <c r="F7" s="198">
        <f t="shared" si="3"/>
        <v>655029</v>
      </c>
      <c r="K7">
        <f t="shared" si="5"/>
        <v>104</v>
      </c>
      <c r="L7" s="240">
        <v>1040</v>
      </c>
      <c r="M7">
        <v>1568734953.7966084</v>
      </c>
      <c r="O7">
        <f t="shared" si="6"/>
        <v>104</v>
      </c>
      <c r="P7" s="240">
        <v>1040</v>
      </c>
      <c r="Q7">
        <v>400463511.86198521</v>
      </c>
      <c r="R7">
        <v>855556810.4219166</v>
      </c>
      <c r="S7">
        <v>0</v>
      </c>
      <c r="T7">
        <v>168364694.435994</v>
      </c>
      <c r="U7">
        <f t="shared" si="7"/>
        <v>1424385016.7198956</v>
      </c>
      <c r="W7">
        <f t="shared" si="8"/>
        <v>104</v>
      </c>
      <c r="X7" s="240">
        <v>1040</v>
      </c>
      <c r="Y7">
        <v>277954921.08928621</v>
      </c>
    </row>
    <row r="8" spans="1:25">
      <c r="A8" s="201">
        <v>105</v>
      </c>
      <c r="B8" s="196">
        <f t="shared" si="0"/>
        <v>874350458.00464392</v>
      </c>
      <c r="C8" s="196">
        <f t="shared" si="1"/>
        <v>940830037.54230392</v>
      </c>
      <c r="D8" s="196">
        <f t="shared" si="2"/>
        <v>386126557.74912679</v>
      </c>
      <c r="E8" s="197">
        <f t="shared" si="4"/>
        <v>2201307053.2960749</v>
      </c>
      <c r="F8" s="198">
        <f t="shared" si="3"/>
        <v>492021</v>
      </c>
      <c r="K8">
        <f t="shared" si="5"/>
        <v>105</v>
      </c>
      <c r="L8" s="240">
        <v>1050</v>
      </c>
      <c r="M8">
        <v>874350458.00464392</v>
      </c>
      <c r="O8">
        <f t="shared" si="6"/>
        <v>105</v>
      </c>
      <c r="P8" s="240">
        <v>1050</v>
      </c>
      <c r="Q8">
        <v>312618008.39999223</v>
      </c>
      <c r="R8">
        <v>745031358.83589125</v>
      </c>
      <c r="S8">
        <v>1006560</v>
      </c>
      <c r="T8">
        <v>117381619.6919964</v>
      </c>
      <c r="U8">
        <f t="shared" si="7"/>
        <v>1176037546.9278798</v>
      </c>
      <c r="W8">
        <f t="shared" si="8"/>
        <v>105</v>
      </c>
      <c r="X8" s="240">
        <v>1050</v>
      </c>
      <c r="Y8">
        <v>482658197.18640846</v>
      </c>
    </row>
    <row r="9" spans="1:25">
      <c r="A9" s="201">
        <v>106</v>
      </c>
      <c r="B9" s="196">
        <f t="shared" si="0"/>
        <v>1174065776.5774419</v>
      </c>
      <c r="C9" s="196">
        <f t="shared" si="1"/>
        <v>2836826386.6398745</v>
      </c>
      <c r="D9" s="196">
        <f t="shared" si="2"/>
        <v>266869004.32227442</v>
      </c>
      <c r="E9" s="197">
        <f t="shared" si="4"/>
        <v>4277761167.5395908</v>
      </c>
      <c r="F9" s="198">
        <f t="shared" si="3"/>
        <v>956135</v>
      </c>
      <c r="K9">
        <f t="shared" si="5"/>
        <v>106</v>
      </c>
      <c r="L9" s="240">
        <v>1060</v>
      </c>
      <c r="M9">
        <v>1174065776.5774419</v>
      </c>
      <c r="O9">
        <f t="shared" si="6"/>
        <v>106</v>
      </c>
      <c r="P9" s="240">
        <v>1060</v>
      </c>
      <c r="Q9">
        <v>873463178.11799169</v>
      </c>
      <c r="R9">
        <v>2433374011.3358631</v>
      </c>
      <c r="S9">
        <v>180000</v>
      </c>
      <c r="T9">
        <v>239015793.84598804</v>
      </c>
      <c r="U9">
        <f t="shared" si="7"/>
        <v>3546032983.2998428</v>
      </c>
      <c r="W9">
        <f t="shared" si="8"/>
        <v>106</v>
      </c>
      <c r="X9" s="240">
        <v>1060</v>
      </c>
      <c r="Y9">
        <v>333586255.402843</v>
      </c>
    </row>
    <row r="10" spans="1:25">
      <c r="A10" s="201">
        <v>107</v>
      </c>
      <c r="B10" s="196">
        <f t="shared" si="0"/>
        <v>2739430292.2150412</v>
      </c>
      <c r="C10" s="196">
        <f t="shared" si="1"/>
        <v>2225830506.404603</v>
      </c>
      <c r="D10" s="196">
        <f t="shared" si="2"/>
        <v>904664029.30908132</v>
      </c>
      <c r="E10" s="197">
        <f t="shared" si="4"/>
        <v>5869924827.9287252</v>
      </c>
      <c r="F10" s="198">
        <f t="shared" si="3"/>
        <v>1312004</v>
      </c>
      <c r="K10">
        <f t="shared" si="5"/>
        <v>107</v>
      </c>
      <c r="L10" s="240">
        <v>1070</v>
      </c>
      <c r="M10">
        <v>2739430292.2150412</v>
      </c>
      <c r="O10">
        <f t="shared" si="6"/>
        <v>107</v>
      </c>
      <c r="P10" s="240">
        <v>1070</v>
      </c>
      <c r="Q10">
        <v>361219728.38798702</v>
      </c>
      <c r="R10">
        <v>2150491149.9177732</v>
      </c>
      <c r="S10">
        <v>8048999.9999988005</v>
      </c>
      <c r="T10">
        <v>262528254.6999948</v>
      </c>
      <c r="U10">
        <f t="shared" si="7"/>
        <v>2782288133.0057535</v>
      </c>
      <c r="W10">
        <f t="shared" si="8"/>
        <v>107</v>
      </c>
      <c r="X10" s="240">
        <v>1070</v>
      </c>
      <c r="Y10">
        <v>1130830036.6363516</v>
      </c>
    </row>
    <row r="11" spans="1:25">
      <c r="A11" s="201">
        <v>108</v>
      </c>
      <c r="B11" s="196">
        <f t="shared" si="0"/>
        <v>1510645563.9271398</v>
      </c>
      <c r="C11" s="196">
        <f t="shared" si="1"/>
        <v>1822908893.7342324</v>
      </c>
      <c r="D11" s="196">
        <f t="shared" si="2"/>
        <v>485341146.24685502</v>
      </c>
      <c r="E11" s="197">
        <f t="shared" si="4"/>
        <v>3818895603.908227</v>
      </c>
      <c r="F11" s="198">
        <f t="shared" si="3"/>
        <v>853573</v>
      </c>
      <c r="K11">
        <f t="shared" si="5"/>
        <v>108</v>
      </c>
      <c r="L11" s="240">
        <v>1080</v>
      </c>
      <c r="M11">
        <v>1510645563.9271398</v>
      </c>
      <c r="O11">
        <f t="shared" si="6"/>
        <v>108</v>
      </c>
      <c r="P11" s="240">
        <v>1080</v>
      </c>
      <c r="Q11">
        <v>549321543.24798596</v>
      </c>
      <c r="R11">
        <v>1304355202.005816</v>
      </c>
      <c r="S11">
        <v>1800000</v>
      </c>
      <c r="T11">
        <v>423159371.91398877</v>
      </c>
      <c r="U11">
        <f t="shared" si="7"/>
        <v>2278636117.1677904</v>
      </c>
      <c r="W11">
        <f t="shared" si="8"/>
        <v>108</v>
      </c>
      <c r="X11" s="240">
        <v>1080</v>
      </c>
      <c r="Y11">
        <v>606676432.80856872</v>
      </c>
    </row>
    <row r="12" spans="1:25">
      <c r="A12" s="201">
        <v>109</v>
      </c>
      <c r="B12" s="196">
        <f t="shared" si="0"/>
        <v>585500727.72242975</v>
      </c>
      <c r="C12" s="196">
        <f t="shared" si="1"/>
        <v>487574242.00949234</v>
      </c>
      <c r="D12" s="196">
        <f t="shared" si="2"/>
        <v>129727938.6165144</v>
      </c>
      <c r="E12" s="197">
        <f t="shared" si="4"/>
        <v>1202802908.3484366</v>
      </c>
      <c r="F12" s="198">
        <f t="shared" si="3"/>
        <v>268842</v>
      </c>
      <c r="K12">
        <f t="shared" si="5"/>
        <v>109</v>
      </c>
      <c r="L12" s="240">
        <v>1090</v>
      </c>
      <c r="M12">
        <v>585500727.72242975</v>
      </c>
      <c r="O12">
        <f t="shared" si="6"/>
        <v>109</v>
      </c>
      <c r="P12" s="240">
        <v>1090</v>
      </c>
      <c r="Q12">
        <v>211770272.91598561</v>
      </c>
      <c r="R12">
        <v>345431574.11388421</v>
      </c>
      <c r="S12">
        <v>1989432</v>
      </c>
      <c r="T12">
        <v>50276523.481995605</v>
      </c>
      <c r="U12">
        <f t="shared" si="7"/>
        <v>609467802.51186538</v>
      </c>
      <c r="W12">
        <f t="shared" si="8"/>
        <v>109</v>
      </c>
      <c r="X12" s="240">
        <v>1090</v>
      </c>
      <c r="Y12">
        <v>162159923.270643</v>
      </c>
    </row>
    <row r="13" spans="1:25">
      <c r="A13" s="201">
        <v>110</v>
      </c>
      <c r="B13" s="196">
        <f t="shared" si="0"/>
        <v>657764870.14510834</v>
      </c>
      <c r="C13" s="196">
        <f t="shared" si="1"/>
        <v>1098502005.1711047</v>
      </c>
      <c r="D13" s="196">
        <f t="shared" si="2"/>
        <v>275412244.19089043</v>
      </c>
      <c r="E13" s="197">
        <f t="shared" si="4"/>
        <v>2031679119.5071034</v>
      </c>
      <c r="F13" s="198">
        <f t="shared" si="3"/>
        <v>454107</v>
      </c>
      <c r="K13">
        <f t="shared" si="5"/>
        <v>110</v>
      </c>
      <c r="L13" s="240">
        <v>1100</v>
      </c>
      <c r="M13">
        <v>657764870.14510834</v>
      </c>
      <c r="O13">
        <f t="shared" si="6"/>
        <v>110</v>
      </c>
      <c r="P13" s="240">
        <v>1100</v>
      </c>
      <c r="Q13">
        <v>211559744.16999543</v>
      </c>
      <c r="R13">
        <v>1079589542.8538899</v>
      </c>
      <c r="S13">
        <v>0</v>
      </c>
      <c r="T13">
        <v>81978219.439995602</v>
      </c>
      <c r="U13">
        <f t="shared" si="7"/>
        <v>1373127506.4638808</v>
      </c>
      <c r="W13">
        <f t="shared" si="8"/>
        <v>110</v>
      </c>
      <c r="X13" s="240">
        <v>1100</v>
      </c>
      <c r="Y13">
        <v>344265305.23861301</v>
      </c>
    </row>
    <row r="14" spans="1:25">
      <c r="A14" s="201">
        <v>111</v>
      </c>
      <c r="B14" s="196">
        <f t="shared" si="0"/>
        <v>2859009511.5569444</v>
      </c>
      <c r="C14" s="196">
        <f t="shared" si="1"/>
        <v>1244648334.8718836</v>
      </c>
      <c r="D14" s="196">
        <f t="shared" si="2"/>
        <v>338482338.38555479</v>
      </c>
      <c r="E14" s="197">
        <f t="shared" si="4"/>
        <v>4442140184.8143826</v>
      </c>
      <c r="F14" s="198">
        <f t="shared" si="3"/>
        <v>992876</v>
      </c>
      <c r="K14">
        <f t="shared" si="5"/>
        <v>111</v>
      </c>
      <c r="L14" s="240">
        <v>1110</v>
      </c>
      <c r="M14">
        <v>2859009511.5569444</v>
      </c>
      <c r="O14">
        <f t="shared" si="6"/>
        <v>111</v>
      </c>
      <c r="P14" s="240">
        <v>1110</v>
      </c>
      <c r="Q14">
        <v>346589656.689996</v>
      </c>
      <c r="R14">
        <v>970903871.19586086</v>
      </c>
      <c r="S14">
        <v>1800000</v>
      </c>
      <c r="T14">
        <v>236516890.70399761</v>
      </c>
      <c r="U14">
        <f t="shared" si="7"/>
        <v>1555810418.5898545</v>
      </c>
      <c r="W14">
        <f t="shared" si="8"/>
        <v>111</v>
      </c>
      <c r="X14" s="240">
        <v>1110</v>
      </c>
      <c r="Y14">
        <v>423102922.98194343</v>
      </c>
    </row>
    <row r="15" spans="1:25">
      <c r="A15" s="201">
        <v>112</v>
      </c>
      <c r="B15" s="196">
        <f t="shared" si="0"/>
        <v>1551304381.8747246</v>
      </c>
      <c r="C15" s="196">
        <f t="shared" si="1"/>
        <v>1028352857.5966868</v>
      </c>
      <c r="D15" s="196">
        <f t="shared" si="2"/>
        <v>259969208.99728489</v>
      </c>
      <c r="E15" s="197">
        <f t="shared" si="4"/>
        <v>2839626448.4686966</v>
      </c>
      <c r="F15" s="198">
        <f t="shared" si="3"/>
        <v>634693</v>
      </c>
      <c r="K15">
        <f t="shared" si="5"/>
        <v>112</v>
      </c>
      <c r="L15" s="240">
        <v>1120</v>
      </c>
      <c r="M15">
        <v>1551304381.8747246</v>
      </c>
      <c r="O15">
        <f t="shared" si="6"/>
        <v>112</v>
      </c>
      <c r="P15" s="240">
        <v>1120</v>
      </c>
      <c r="Q15">
        <v>279883909.38799262</v>
      </c>
      <c r="R15">
        <v>916700229.80787063</v>
      </c>
      <c r="S15">
        <v>900000</v>
      </c>
      <c r="T15">
        <v>87956932.799995199</v>
      </c>
      <c r="U15">
        <f t="shared" si="7"/>
        <v>1285441071.9958584</v>
      </c>
      <c r="W15">
        <f t="shared" si="8"/>
        <v>112</v>
      </c>
      <c r="X15" s="240">
        <v>1120</v>
      </c>
      <c r="Y15">
        <v>324961511.24660611</v>
      </c>
    </row>
    <row r="16" spans="1:25">
      <c r="A16" s="201">
        <v>113</v>
      </c>
      <c r="B16" s="196">
        <f t="shared" si="0"/>
        <v>1843950988.1113982</v>
      </c>
      <c r="C16" s="196">
        <f t="shared" si="1"/>
        <v>1234278096.8110635</v>
      </c>
      <c r="D16" s="196">
        <f t="shared" si="2"/>
        <v>56772821.107524484</v>
      </c>
      <c r="E16" s="197">
        <f t="shared" si="4"/>
        <v>3135001906.0299859</v>
      </c>
      <c r="F16" s="198">
        <f t="shared" si="3"/>
        <v>700714</v>
      </c>
      <c r="K16">
        <f t="shared" si="5"/>
        <v>113</v>
      </c>
      <c r="L16" s="240">
        <v>1130</v>
      </c>
      <c r="M16">
        <v>1843950988.1113982</v>
      </c>
      <c r="O16">
        <f t="shared" si="6"/>
        <v>113</v>
      </c>
      <c r="P16" s="240">
        <v>1130</v>
      </c>
      <c r="Q16">
        <v>291360291.97199583</v>
      </c>
      <c r="R16">
        <v>954999959.78984952</v>
      </c>
      <c r="S16">
        <v>900000</v>
      </c>
      <c r="T16">
        <v>295587369.25198382</v>
      </c>
      <c r="U16">
        <f t="shared" si="7"/>
        <v>1542847621.0138292</v>
      </c>
      <c r="W16">
        <f t="shared" si="8"/>
        <v>113</v>
      </c>
      <c r="X16" s="240">
        <v>1130</v>
      </c>
      <c r="Y16">
        <v>70966026.384405598</v>
      </c>
    </row>
    <row r="17" spans="1:25">
      <c r="A17" s="201">
        <v>114</v>
      </c>
      <c r="B17" s="196">
        <f t="shared" si="0"/>
        <v>1402454976.7221625</v>
      </c>
      <c r="C17" s="196">
        <f t="shared" si="1"/>
        <v>1598609923.1758742</v>
      </c>
      <c r="D17" s="196">
        <f t="shared" si="2"/>
        <v>718002449.06557536</v>
      </c>
      <c r="E17" s="197">
        <f t="shared" si="4"/>
        <v>3719067348.9636126</v>
      </c>
      <c r="F17" s="198">
        <f t="shared" si="3"/>
        <v>831260</v>
      </c>
      <c r="K17">
        <f t="shared" si="5"/>
        <v>114</v>
      </c>
      <c r="L17" s="240">
        <v>1140</v>
      </c>
      <c r="M17">
        <v>1402454976.7221625</v>
      </c>
      <c r="O17">
        <f t="shared" si="6"/>
        <v>114</v>
      </c>
      <c r="P17" s="240">
        <v>1140</v>
      </c>
      <c r="Q17">
        <v>365957233.14399481</v>
      </c>
      <c r="R17">
        <v>1513510072.6298578</v>
      </c>
      <c r="S17">
        <v>0</v>
      </c>
      <c r="T17">
        <v>118795098.19599</v>
      </c>
      <c r="U17">
        <f t="shared" si="7"/>
        <v>1998262403.9698427</v>
      </c>
      <c r="W17">
        <f t="shared" si="8"/>
        <v>114</v>
      </c>
      <c r="X17" s="240">
        <v>1140</v>
      </c>
      <c r="Y17">
        <v>897503061.33196914</v>
      </c>
    </row>
    <row r="18" spans="1:25">
      <c r="A18" s="201">
        <v>115</v>
      </c>
      <c r="B18" s="196">
        <f t="shared" si="0"/>
        <v>493754778.76269758</v>
      </c>
      <c r="C18" s="196">
        <f t="shared" si="1"/>
        <v>906764901.15188742</v>
      </c>
      <c r="D18" s="196">
        <f t="shared" si="2"/>
        <v>226110181.02485955</v>
      </c>
      <c r="E18" s="197">
        <f t="shared" si="4"/>
        <v>1626629860.9394445</v>
      </c>
      <c r="F18" s="198">
        <f t="shared" si="3"/>
        <v>363573</v>
      </c>
      <c r="K18">
        <f t="shared" si="5"/>
        <v>115</v>
      </c>
      <c r="L18" s="240">
        <v>1150</v>
      </c>
      <c r="M18">
        <v>493754778.76269758</v>
      </c>
      <c r="O18">
        <f t="shared" si="6"/>
        <v>115</v>
      </c>
      <c r="P18" s="240">
        <v>1150</v>
      </c>
      <c r="Q18">
        <v>289591380.02599382</v>
      </c>
      <c r="R18">
        <v>741898770.43586755</v>
      </c>
      <c r="S18">
        <v>0</v>
      </c>
      <c r="T18">
        <v>101965975.97799779</v>
      </c>
      <c r="U18">
        <f t="shared" si="7"/>
        <v>1133456126.4398592</v>
      </c>
      <c r="W18">
        <f t="shared" si="8"/>
        <v>115</v>
      </c>
      <c r="X18" s="240">
        <v>1150</v>
      </c>
      <c r="Y18">
        <v>282637726.2810744</v>
      </c>
    </row>
    <row r="19" spans="1:25">
      <c r="A19" s="201">
        <v>116</v>
      </c>
      <c r="B19" s="196">
        <f t="shared" si="0"/>
        <v>710528100.77311552</v>
      </c>
      <c r="C19" s="196">
        <f t="shared" si="1"/>
        <v>1067407094.6702814</v>
      </c>
      <c r="D19" s="196">
        <f t="shared" si="2"/>
        <v>65732553.569044322</v>
      </c>
      <c r="E19" s="197">
        <f t="shared" si="4"/>
        <v>1843667749.0124414</v>
      </c>
      <c r="F19" s="198">
        <f t="shared" si="3"/>
        <v>412084</v>
      </c>
      <c r="K19">
        <f t="shared" si="5"/>
        <v>116</v>
      </c>
      <c r="L19" s="240">
        <v>1160</v>
      </c>
      <c r="M19">
        <v>710528100.77311552</v>
      </c>
      <c r="O19">
        <f t="shared" si="6"/>
        <v>116</v>
      </c>
      <c r="P19" s="240">
        <v>1160</v>
      </c>
      <c r="Q19">
        <v>238011519.67998663</v>
      </c>
      <c r="R19">
        <v>1035582505.9498711</v>
      </c>
      <c r="S19">
        <v>3600000</v>
      </c>
      <c r="T19">
        <v>57064842.707994007</v>
      </c>
      <c r="U19">
        <f t="shared" si="7"/>
        <v>1334258868.3378518</v>
      </c>
      <c r="W19">
        <f t="shared" si="8"/>
        <v>116</v>
      </c>
      <c r="X19" s="240">
        <v>1160</v>
      </c>
      <c r="Y19">
        <v>82165691.961305395</v>
      </c>
    </row>
    <row r="20" spans="1:25">
      <c r="A20" s="201">
        <v>117</v>
      </c>
      <c r="B20" s="196">
        <f t="shared" si="0"/>
        <v>1352907693.7720866</v>
      </c>
      <c r="C20" s="196">
        <f t="shared" si="1"/>
        <v>1204253904.2766769</v>
      </c>
      <c r="D20" s="196">
        <f t="shared" si="2"/>
        <v>313741526.27867782</v>
      </c>
      <c r="E20" s="197">
        <f t="shared" si="4"/>
        <v>2870903124.3274412</v>
      </c>
      <c r="F20" s="198">
        <f t="shared" si="3"/>
        <v>641684</v>
      </c>
      <c r="K20">
        <f t="shared" si="5"/>
        <v>117</v>
      </c>
      <c r="L20" s="240">
        <v>1170</v>
      </c>
      <c r="M20">
        <v>1352907693.7720866</v>
      </c>
      <c r="O20">
        <f t="shared" si="6"/>
        <v>117</v>
      </c>
      <c r="P20" s="240">
        <v>1170</v>
      </c>
      <c r="Q20">
        <v>279437186.76999122</v>
      </c>
      <c r="R20">
        <v>986237311.57585752</v>
      </c>
      <c r="S20">
        <v>5118480</v>
      </c>
      <c r="T20">
        <v>234524401.99999741</v>
      </c>
      <c r="U20">
        <f t="shared" si="7"/>
        <v>1505317380.3458462</v>
      </c>
      <c r="W20">
        <f t="shared" si="8"/>
        <v>117</v>
      </c>
      <c r="X20" s="240">
        <v>1170</v>
      </c>
      <c r="Y20">
        <v>392176907.84834725</v>
      </c>
    </row>
    <row r="21" spans="1:25">
      <c r="A21" s="201">
        <v>118</v>
      </c>
      <c r="B21" s="196">
        <f t="shared" si="0"/>
        <v>1424321128.2485504</v>
      </c>
      <c r="C21" s="196">
        <f t="shared" si="1"/>
        <v>1061706150.1822897</v>
      </c>
      <c r="D21" s="196">
        <f t="shared" si="2"/>
        <v>120050635.54643872</v>
      </c>
      <c r="E21" s="197">
        <f t="shared" si="4"/>
        <v>2606077913.9772787</v>
      </c>
      <c r="F21" s="198">
        <f t="shared" si="3"/>
        <v>582492</v>
      </c>
      <c r="K21">
        <f t="shared" si="5"/>
        <v>118</v>
      </c>
      <c r="L21" s="240">
        <v>1180</v>
      </c>
      <c r="M21">
        <v>1424321128.2485504</v>
      </c>
      <c r="O21">
        <f t="shared" si="6"/>
        <v>118</v>
      </c>
      <c r="P21" s="240">
        <v>1180</v>
      </c>
      <c r="Q21">
        <v>380094210.49599004</v>
      </c>
      <c r="R21">
        <v>750782161.95588541</v>
      </c>
      <c r="S21">
        <v>4500000</v>
      </c>
      <c r="T21">
        <v>191756315.27598658</v>
      </c>
      <c r="U21">
        <f t="shared" si="7"/>
        <v>1327132687.7278621</v>
      </c>
      <c r="W21">
        <f t="shared" si="8"/>
        <v>118</v>
      </c>
      <c r="X21" s="240">
        <v>1180</v>
      </c>
      <c r="Y21">
        <v>150063294.4330484</v>
      </c>
    </row>
    <row r="22" spans="1:25">
      <c r="A22" s="201">
        <v>119</v>
      </c>
      <c r="B22" s="196">
        <f t="shared" si="0"/>
        <v>813511107.18646169</v>
      </c>
      <c r="C22" s="196">
        <f t="shared" si="1"/>
        <v>821087934.00150096</v>
      </c>
      <c r="D22" s="196">
        <f t="shared" si="2"/>
        <v>134568680.88228545</v>
      </c>
      <c r="E22" s="197">
        <f t="shared" si="4"/>
        <v>1769167722.0702479</v>
      </c>
      <c r="F22" s="198">
        <f t="shared" si="3"/>
        <v>395432</v>
      </c>
      <c r="K22">
        <f t="shared" si="5"/>
        <v>119</v>
      </c>
      <c r="L22" s="240">
        <v>1190</v>
      </c>
      <c r="M22">
        <v>813511107.18646169</v>
      </c>
      <c r="O22">
        <f t="shared" si="6"/>
        <v>119</v>
      </c>
      <c r="P22" s="240">
        <v>1190</v>
      </c>
      <c r="Q22">
        <v>149489597.5779978</v>
      </c>
      <c r="R22">
        <v>609605843.00588274</v>
      </c>
      <c r="S22">
        <v>3600000</v>
      </c>
      <c r="T22">
        <v>263664476.9179956</v>
      </c>
      <c r="U22">
        <f t="shared" si="7"/>
        <v>1026359917.5018761</v>
      </c>
      <c r="W22">
        <f t="shared" si="8"/>
        <v>119</v>
      </c>
      <c r="X22" s="240">
        <v>1190</v>
      </c>
      <c r="Y22">
        <v>168210851.10285681</v>
      </c>
    </row>
    <row r="23" spans="1:25">
      <c r="A23" s="201">
        <v>120</v>
      </c>
      <c r="B23" s="196">
        <f t="shared" si="0"/>
        <v>1446449317.2196846</v>
      </c>
      <c r="C23" s="196">
        <f t="shared" si="1"/>
        <v>1500571446.2350893</v>
      </c>
      <c r="D23" s="196">
        <f t="shared" si="2"/>
        <v>148657198.52991775</v>
      </c>
      <c r="E23" s="197">
        <f t="shared" si="4"/>
        <v>3095677961.9846916</v>
      </c>
      <c r="F23" s="198">
        <f t="shared" si="3"/>
        <v>691924</v>
      </c>
      <c r="K23">
        <f t="shared" si="5"/>
        <v>120</v>
      </c>
      <c r="L23" s="240">
        <v>1200</v>
      </c>
      <c r="M23">
        <v>1446449317.2196846</v>
      </c>
      <c r="O23">
        <f t="shared" si="6"/>
        <v>120</v>
      </c>
      <c r="P23" s="240">
        <v>1200</v>
      </c>
      <c r="Q23">
        <v>719651381.13198364</v>
      </c>
      <c r="R23">
        <v>942876549.99588418</v>
      </c>
      <c r="S23">
        <v>0</v>
      </c>
      <c r="T23">
        <v>213186376.66599363</v>
      </c>
      <c r="U23">
        <f t="shared" si="7"/>
        <v>1875714307.7938614</v>
      </c>
      <c r="W23">
        <f t="shared" si="8"/>
        <v>120</v>
      </c>
      <c r="X23" s="240">
        <v>1200</v>
      </c>
      <c r="Y23">
        <v>185821498.16239718</v>
      </c>
    </row>
    <row r="24" spans="1:25">
      <c r="A24" s="201">
        <v>121</v>
      </c>
      <c r="B24" s="196">
        <f t="shared" si="0"/>
        <v>895013165.06951761</v>
      </c>
      <c r="C24" s="196">
        <f t="shared" si="1"/>
        <v>1052349587.4846816</v>
      </c>
      <c r="D24" s="196">
        <f t="shared" si="2"/>
        <v>484278578.35926211</v>
      </c>
      <c r="E24" s="197">
        <f t="shared" si="4"/>
        <v>2431641330.9134612</v>
      </c>
      <c r="F24" s="198">
        <f t="shared" si="3"/>
        <v>543503</v>
      </c>
      <c r="K24">
        <f t="shared" si="5"/>
        <v>121</v>
      </c>
      <c r="L24" s="240">
        <v>1210</v>
      </c>
      <c r="M24">
        <v>895013165.06951761</v>
      </c>
      <c r="O24">
        <f t="shared" si="6"/>
        <v>121</v>
      </c>
      <c r="P24" s="240">
        <v>1210</v>
      </c>
      <c r="Q24">
        <v>185605723.20798901</v>
      </c>
      <c r="R24">
        <v>1011374388.3138678</v>
      </c>
      <c r="S24">
        <v>0</v>
      </c>
      <c r="T24">
        <v>118456872.83399519</v>
      </c>
      <c r="U24">
        <f t="shared" si="7"/>
        <v>1315436984.3558519</v>
      </c>
      <c r="W24">
        <f t="shared" si="8"/>
        <v>121</v>
      </c>
      <c r="X24" s="240">
        <v>1210</v>
      </c>
      <c r="Y24">
        <v>605348222.94907761</v>
      </c>
    </row>
    <row r="25" spans="1:25">
      <c r="A25" s="201">
        <v>122</v>
      </c>
      <c r="B25" s="196">
        <f t="shared" si="0"/>
        <v>1189298374.0290258</v>
      </c>
      <c r="C25" s="196">
        <f t="shared" si="1"/>
        <v>2247618273.7406301</v>
      </c>
      <c r="D25" s="196">
        <f t="shared" si="2"/>
        <v>112097160.49578625</v>
      </c>
      <c r="E25" s="197">
        <f t="shared" si="4"/>
        <v>3549013808.2654424</v>
      </c>
      <c r="F25" s="198">
        <f t="shared" si="3"/>
        <v>793251</v>
      </c>
      <c r="K25">
        <f t="shared" si="5"/>
        <v>122</v>
      </c>
      <c r="L25" s="240">
        <v>1220</v>
      </c>
      <c r="M25">
        <v>1189298374.0290258</v>
      </c>
      <c r="O25">
        <f t="shared" si="6"/>
        <v>122</v>
      </c>
      <c r="P25" s="240">
        <v>1220</v>
      </c>
      <c r="Q25">
        <v>1418679113.5339832</v>
      </c>
      <c r="R25">
        <v>1290228836.141808</v>
      </c>
      <c r="S25">
        <v>9900000</v>
      </c>
      <c r="T25">
        <v>90714892.499996394</v>
      </c>
      <c r="U25">
        <f t="shared" si="7"/>
        <v>2809522842.1757874</v>
      </c>
      <c r="W25">
        <f t="shared" si="8"/>
        <v>122</v>
      </c>
      <c r="X25" s="240">
        <v>1220</v>
      </c>
      <c r="Y25">
        <v>140121450.6197328</v>
      </c>
    </row>
    <row r="26" spans="1:25">
      <c r="A26" s="201">
        <v>123</v>
      </c>
      <c r="B26" s="196">
        <f t="shared" si="0"/>
        <v>1114315691.0936821</v>
      </c>
      <c r="C26" s="196">
        <f t="shared" si="1"/>
        <v>1884239102.6030538</v>
      </c>
      <c r="D26" s="196">
        <f t="shared" si="2"/>
        <v>213441041.04423857</v>
      </c>
      <c r="E26" s="197">
        <f t="shared" si="4"/>
        <v>3211995834.7409744</v>
      </c>
      <c r="F26" s="198">
        <f t="shared" si="3"/>
        <v>717923</v>
      </c>
      <c r="K26">
        <f t="shared" si="5"/>
        <v>123</v>
      </c>
      <c r="L26" s="240">
        <v>1230</v>
      </c>
      <c r="M26">
        <v>1114315691.0936821</v>
      </c>
      <c r="O26">
        <f t="shared" si="6"/>
        <v>123</v>
      </c>
      <c r="P26" s="240">
        <v>1230</v>
      </c>
      <c r="Q26">
        <v>387312124.46398568</v>
      </c>
      <c r="R26">
        <v>1541289857.1298435</v>
      </c>
      <c r="S26">
        <v>13873680</v>
      </c>
      <c r="T26">
        <v>412823216.65998781</v>
      </c>
      <c r="U26">
        <f t="shared" si="7"/>
        <v>2355298878.2538171</v>
      </c>
      <c r="W26">
        <f t="shared" si="8"/>
        <v>123</v>
      </c>
      <c r="X26" s="240">
        <v>1230</v>
      </c>
      <c r="Y26">
        <v>266801301.30529821</v>
      </c>
    </row>
    <row r="27" spans="1:25">
      <c r="A27" s="201">
        <v>124</v>
      </c>
      <c r="B27" s="196">
        <f t="shared" si="0"/>
        <v>813011241.92486334</v>
      </c>
      <c r="C27" s="196">
        <f t="shared" si="1"/>
        <v>838974399.03670037</v>
      </c>
      <c r="D27" s="196">
        <f t="shared" si="2"/>
        <v>224746138.14379588</v>
      </c>
      <c r="E27" s="197">
        <f t="shared" si="4"/>
        <v>1876731779.1053596</v>
      </c>
      <c r="F27" s="198">
        <f t="shared" si="3"/>
        <v>419474</v>
      </c>
      <c r="K27">
        <f t="shared" si="5"/>
        <v>124</v>
      </c>
      <c r="L27" s="240">
        <v>1240</v>
      </c>
      <c r="M27">
        <v>813011241.92486334</v>
      </c>
      <c r="O27">
        <f t="shared" si="6"/>
        <v>124</v>
      </c>
      <c r="P27" s="240">
        <v>1240</v>
      </c>
      <c r="Q27">
        <v>216908815.35598922</v>
      </c>
      <c r="R27">
        <v>749969178.02189457</v>
      </c>
      <c r="S27">
        <v>279000</v>
      </c>
      <c r="T27">
        <v>81561005.417991608</v>
      </c>
      <c r="U27">
        <f t="shared" si="7"/>
        <v>1048717998.7958754</v>
      </c>
      <c r="W27">
        <f t="shared" si="8"/>
        <v>124</v>
      </c>
      <c r="X27" s="240">
        <v>1240</v>
      </c>
      <c r="Y27">
        <v>280932672.67974484</v>
      </c>
    </row>
    <row r="28" spans="1:25">
      <c r="A28" s="201">
        <v>125</v>
      </c>
      <c r="B28" s="196">
        <f t="shared" si="0"/>
        <v>1698115467.3908226</v>
      </c>
      <c r="C28" s="196">
        <f t="shared" si="1"/>
        <v>1230852170.3454821</v>
      </c>
      <c r="D28" s="196">
        <f t="shared" si="2"/>
        <v>122475098.07374592</v>
      </c>
      <c r="E28" s="197">
        <f t="shared" si="4"/>
        <v>3051442735.8100505</v>
      </c>
      <c r="F28" s="198">
        <f t="shared" si="3"/>
        <v>682037</v>
      </c>
      <c r="K28">
        <f t="shared" si="5"/>
        <v>125</v>
      </c>
      <c r="L28" s="240">
        <v>1250</v>
      </c>
      <c r="M28">
        <v>1698115467.3908226</v>
      </c>
      <c r="O28">
        <f t="shared" si="6"/>
        <v>125</v>
      </c>
      <c r="P28" s="240">
        <v>1250</v>
      </c>
      <c r="Q28">
        <v>376866876.17799002</v>
      </c>
      <c r="R28">
        <v>1084644139.333869</v>
      </c>
      <c r="S28">
        <v>0</v>
      </c>
      <c r="T28">
        <v>77054197.419993609</v>
      </c>
      <c r="U28">
        <f t="shared" si="7"/>
        <v>1538565212.9318526</v>
      </c>
      <c r="W28">
        <f t="shared" si="8"/>
        <v>125</v>
      </c>
      <c r="X28" s="240">
        <v>1250</v>
      </c>
      <c r="Y28">
        <v>153093872.5921824</v>
      </c>
    </row>
    <row r="29" spans="1:25">
      <c r="A29" s="201">
        <v>126</v>
      </c>
      <c r="B29" s="196">
        <f t="shared" si="0"/>
        <v>1152961148.2543793</v>
      </c>
      <c r="C29" s="196">
        <f t="shared" si="1"/>
        <v>1036061712.0831082</v>
      </c>
      <c r="D29" s="196">
        <f t="shared" si="2"/>
        <v>121215783.90378529</v>
      </c>
      <c r="E29" s="197">
        <f t="shared" si="4"/>
        <v>2310238644.2412724</v>
      </c>
      <c r="F29" s="198">
        <f t="shared" si="3"/>
        <v>516368</v>
      </c>
      <c r="K29">
        <f t="shared" si="5"/>
        <v>126</v>
      </c>
      <c r="L29" s="240">
        <v>1260</v>
      </c>
      <c r="M29">
        <v>1152961148.2543793</v>
      </c>
      <c r="O29">
        <f t="shared" si="6"/>
        <v>126</v>
      </c>
      <c r="P29" s="240">
        <v>1260</v>
      </c>
      <c r="Q29">
        <v>284146408.24599242</v>
      </c>
      <c r="R29">
        <v>879781718.35789919</v>
      </c>
      <c r="S29">
        <v>0</v>
      </c>
      <c r="T29">
        <v>131149013.49999359</v>
      </c>
      <c r="U29">
        <f t="shared" si="7"/>
        <v>1295077140.1038852</v>
      </c>
      <c r="W29">
        <f t="shared" si="8"/>
        <v>126</v>
      </c>
      <c r="X29" s="240">
        <v>1260</v>
      </c>
      <c r="Y29">
        <v>151519729.8797316</v>
      </c>
    </row>
    <row r="30" spans="1:25">
      <c r="A30" s="201">
        <v>127</v>
      </c>
      <c r="B30" s="196">
        <f t="shared" si="0"/>
        <v>1052064617.4828529</v>
      </c>
      <c r="C30" s="196">
        <f t="shared" si="1"/>
        <v>1218042277.0239055</v>
      </c>
      <c r="D30" s="196">
        <f t="shared" si="2"/>
        <v>191939535.35018194</v>
      </c>
      <c r="E30" s="197">
        <f t="shared" si="4"/>
        <v>2462046429.8569407</v>
      </c>
      <c r="F30" s="198">
        <f t="shared" si="3"/>
        <v>550299</v>
      </c>
      <c r="K30">
        <f t="shared" si="5"/>
        <v>127</v>
      </c>
      <c r="L30" s="240">
        <v>1270</v>
      </c>
      <c r="M30">
        <v>1052064617.4828529</v>
      </c>
      <c r="O30">
        <f t="shared" si="6"/>
        <v>127</v>
      </c>
      <c r="P30" s="240">
        <v>1270</v>
      </c>
      <c r="Q30">
        <v>349100823.93799138</v>
      </c>
      <c r="R30">
        <v>912456692.4418993</v>
      </c>
      <c r="S30">
        <v>0</v>
      </c>
      <c r="T30">
        <v>260995329.89999101</v>
      </c>
      <c r="U30">
        <f t="shared" si="7"/>
        <v>1522552846.2798817</v>
      </c>
      <c r="W30">
        <f t="shared" si="8"/>
        <v>127</v>
      </c>
      <c r="X30" s="240">
        <v>1270</v>
      </c>
      <c r="Y30">
        <v>239924419.18772739</v>
      </c>
    </row>
    <row r="31" spans="1:25">
      <c r="A31" s="201">
        <v>128</v>
      </c>
      <c r="B31" s="196">
        <f t="shared" si="0"/>
        <v>700752132.12601089</v>
      </c>
      <c r="C31" s="196">
        <f t="shared" si="1"/>
        <v>1238129366.8238959</v>
      </c>
      <c r="D31" s="196">
        <f t="shared" si="2"/>
        <v>34167932.501664162</v>
      </c>
      <c r="E31" s="197">
        <f t="shared" si="4"/>
        <v>1973049431.451571</v>
      </c>
      <c r="F31" s="198">
        <f t="shared" si="3"/>
        <v>441002</v>
      </c>
      <c r="K31">
        <f t="shared" si="5"/>
        <v>128</v>
      </c>
      <c r="L31" s="240">
        <v>1280</v>
      </c>
      <c r="M31">
        <v>700752132.12601089</v>
      </c>
      <c r="O31">
        <f t="shared" si="6"/>
        <v>128</v>
      </c>
      <c r="P31" s="240">
        <v>1280</v>
      </c>
      <c r="Q31">
        <v>227141316.34799403</v>
      </c>
      <c r="R31">
        <v>1208267478.5818789</v>
      </c>
      <c r="S31">
        <v>15802560</v>
      </c>
      <c r="T31">
        <v>96450353.599996805</v>
      </c>
      <c r="U31">
        <f t="shared" si="7"/>
        <v>1547661708.5298698</v>
      </c>
      <c r="W31">
        <f t="shared" si="8"/>
        <v>128</v>
      </c>
      <c r="X31" s="240">
        <v>1280</v>
      </c>
      <c r="Y31">
        <v>42709915.627080202</v>
      </c>
    </row>
    <row r="32" spans="1:25">
      <c r="A32" s="201">
        <v>129</v>
      </c>
      <c r="B32" s="196">
        <f t="shared" si="0"/>
        <v>1304963129.7350683</v>
      </c>
      <c r="C32" s="196">
        <f t="shared" si="1"/>
        <v>1013324583.0671122</v>
      </c>
      <c r="D32" s="196">
        <f t="shared" si="2"/>
        <v>45825780.56478145</v>
      </c>
      <c r="E32" s="197">
        <f t="shared" si="4"/>
        <v>2364113493.366962</v>
      </c>
      <c r="F32" s="198">
        <f t="shared" si="3"/>
        <v>528410</v>
      </c>
      <c r="K32">
        <f t="shared" si="5"/>
        <v>129</v>
      </c>
      <c r="L32" s="240">
        <v>1290</v>
      </c>
      <c r="M32">
        <v>1304963129.7350683</v>
      </c>
      <c r="O32">
        <f t="shared" si="6"/>
        <v>129</v>
      </c>
      <c r="P32" s="240">
        <v>1290</v>
      </c>
      <c r="Q32">
        <v>330046340.25798535</v>
      </c>
      <c r="R32">
        <v>816440896.57591259</v>
      </c>
      <c r="S32">
        <v>2194869.9999996</v>
      </c>
      <c r="T32">
        <v>117973621.99999259</v>
      </c>
      <c r="U32">
        <f t="shared" si="7"/>
        <v>1266655728.8338902</v>
      </c>
      <c r="W32">
        <f t="shared" si="8"/>
        <v>129</v>
      </c>
      <c r="X32" s="240">
        <v>1290</v>
      </c>
      <c r="Y32">
        <v>57282225.705976807</v>
      </c>
    </row>
    <row r="33" spans="1:25">
      <c r="A33" s="201">
        <v>130</v>
      </c>
      <c r="B33" s="196">
        <f t="shared" si="0"/>
        <v>758166463.282722</v>
      </c>
      <c r="C33" s="196">
        <f t="shared" si="1"/>
        <v>567155928.26550245</v>
      </c>
      <c r="D33" s="196">
        <f t="shared" si="2"/>
        <v>77888188.736505762</v>
      </c>
      <c r="E33" s="197">
        <f t="shared" si="4"/>
        <v>1403210580.2847302</v>
      </c>
      <c r="F33" s="198">
        <f t="shared" si="3"/>
        <v>313636</v>
      </c>
      <c r="K33">
        <f t="shared" si="5"/>
        <v>130</v>
      </c>
      <c r="L33" s="240">
        <v>1300</v>
      </c>
      <c r="M33">
        <v>758166463.282722</v>
      </c>
      <c r="O33">
        <f t="shared" si="6"/>
        <v>130</v>
      </c>
      <c r="P33" s="240">
        <v>1300</v>
      </c>
      <c r="Q33">
        <v>117180118.7119908</v>
      </c>
      <c r="R33">
        <v>530616342.89589119</v>
      </c>
      <c r="S33">
        <v>3240000</v>
      </c>
      <c r="T33">
        <v>57908448.723995999</v>
      </c>
      <c r="U33">
        <f t="shared" si="7"/>
        <v>708944910.33187807</v>
      </c>
      <c r="W33">
        <f t="shared" si="8"/>
        <v>130</v>
      </c>
      <c r="X33" s="240">
        <v>1300</v>
      </c>
      <c r="Y33">
        <v>97360235.920632198</v>
      </c>
    </row>
    <row r="34" spans="1:25">
      <c r="A34" s="201">
        <v>132</v>
      </c>
      <c r="B34" s="196">
        <f t="shared" si="0"/>
        <v>537122357.46586168</v>
      </c>
      <c r="C34" s="196">
        <f t="shared" si="1"/>
        <v>610500136.83034182</v>
      </c>
      <c r="D34" s="196">
        <f t="shared" si="2"/>
        <v>88921065.110908329</v>
      </c>
      <c r="E34" s="197">
        <f t="shared" si="4"/>
        <v>1236543559.4071119</v>
      </c>
      <c r="F34" s="198">
        <f t="shared" si="3"/>
        <v>276384</v>
      </c>
      <c r="K34">
        <f t="shared" si="5"/>
        <v>132</v>
      </c>
      <c r="L34" s="240">
        <v>1320</v>
      </c>
      <c r="M34">
        <v>537122357.46586168</v>
      </c>
      <c r="O34">
        <f t="shared" si="6"/>
        <v>132</v>
      </c>
      <c r="P34" s="240">
        <v>1320</v>
      </c>
      <c r="Q34">
        <v>233902252.31199664</v>
      </c>
      <c r="R34">
        <v>509214188.7259326</v>
      </c>
      <c r="S34">
        <v>0</v>
      </c>
      <c r="T34">
        <v>20008729.999998</v>
      </c>
      <c r="U34">
        <f t="shared" si="7"/>
        <v>763125171.03792727</v>
      </c>
      <c r="W34">
        <f t="shared" si="8"/>
        <v>132</v>
      </c>
      <c r="X34" s="240">
        <v>1320</v>
      </c>
      <c r="Y34">
        <v>111151331.3886354</v>
      </c>
    </row>
    <row r="35" spans="1:25">
      <c r="A35" s="201">
        <v>133</v>
      </c>
      <c r="B35" s="196">
        <f t="shared" si="0"/>
        <v>872359715.58687711</v>
      </c>
      <c r="C35" s="196">
        <f t="shared" si="1"/>
        <v>695508639.84471178</v>
      </c>
      <c r="D35" s="196">
        <f t="shared" si="2"/>
        <v>88885372.902553752</v>
      </c>
      <c r="E35" s="197">
        <f t="shared" si="4"/>
        <v>1656753728.3341427</v>
      </c>
      <c r="F35" s="198">
        <f t="shared" si="3"/>
        <v>370306</v>
      </c>
      <c r="K35">
        <f t="shared" si="5"/>
        <v>133</v>
      </c>
      <c r="L35" s="240">
        <v>1330</v>
      </c>
      <c r="M35">
        <v>872359715.58687711</v>
      </c>
      <c r="O35">
        <f t="shared" si="6"/>
        <v>133</v>
      </c>
      <c r="P35" s="240">
        <v>1330</v>
      </c>
      <c r="Q35">
        <v>122140594.3139964</v>
      </c>
      <c r="R35">
        <v>700967133.23790431</v>
      </c>
      <c r="S35">
        <v>0</v>
      </c>
      <c r="T35">
        <v>46278072.253988996</v>
      </c>
      <c r="U35">
        <f t="shared" si="7"/>
        <v>869385799.80588973</v>
      </c>
      <c r="W35">
        <f t="shared" si="8"/>
        <v>133</v>
      </c>
      <c r="X35" s="240">
        <v>1330</v>
      </c>
      <c r="Y35">
        <v>111106716.12819219</v>
      </c>
    </row>
    <row r="36" spans="1:25">
      <c r="A36" s="201">
        <v>134</v>
      </c>
      <c r="B36" s="196">
        <f t="shared" ref="B36:B67" si="9">VLOOKUP(A36,K:M,3,0)</f>
        <v>745952811.12260485</v>
      </c>
      <c r="C36" s="196">
        <f t="shared" ref="C36:C67" si="10">VLOOKUP(A36,O:U,7,0)*0.8</f>
        <v>2094773254.0590584</v>
      </c>
      <c r="D36" s="196">
        <f t="shared" ref="D36:D67" si="11">VLOOKUP(A36,W:Y,3,0)*0.8</f>
        <v>138000874.19161072</v>
      </c>
      <c r="E36" s="197">
        <f t="shared" si="4"/>
        <v>2978726939.3732743</v>
      </c>
      <c r="F36" s="198">
        <f t="shared" ref="F36:F67" si="12">ROUND(E36*(F$2/E$187), 0)</f>
        <v>665784</v>
      </c>
      <c r="K36">
        <f t="shared" si="5"/>
        <v>134</v>
      </c>
      <c r="L36" s="240">
        <v>1340</v>
      </c>
      <c r="M36">
        <v>745952811.12260485</v>
      </c>
      <c r="O36">
        <f t="shared" si="6"/>
        <v>134</v>
      </c>
      <c r="P36" s="240">
        <v>1340</v>
      </c>
      <c r="Q36">
        <v>354256880.96598482</v>
      </c>
      <c r="R36">
        <v>2165836593.4918432</v>
      </c>
      <c r="S36">
        <v>0</v>
      </c>
      <c r="T36">
        <v>98373093.115995005</v>
      </c>
      <c r="U36">
        <f t="shared" si="7"/>
        <v>2618466567.573823</v>
      </c>
      <c r="W36">
        <f t="shared" si="8"/>
        <v>134</v>
      </c>
      <c r="X36" s="240">
        <v>1340</v>
      </c>
      <c r="Y36">
        <v>172501092.7395134</v>
      </c>
    </row>
    <row r="37" spans="1:25">
      <c r="A37" s="201">
        <v>136</v>
      </c>
      <c r="B37" s="196">
        <f t="shared" si="9"/>
        <v>402334085.85939622</v>
      </c>
      <c r="C37" s="196">
        <f t="shared" si="10"/>
        <v>403602208.44630623</v>
      </c>
      <c r="D37" s="196">
        <f t="shared" si="11"/>
        <v>55755834.514830403</v>
      </c>
      <c r="E37" s="197">
        <f t="shared" si="4"/>
        <v>861692128.8205328</v>
      </c>
      <c r="F37" s="198">
        <f t="shared" si="12"/>
        <v>192599</v>
      </c>
      <c r="K37">
        <f t="shared" si="5"/>
        <v>136</v>
      </c>
      <c r="L37" s="240">
        <v>1360</v>
      </c>
      <c r="M37">
        <v>402334085.85939622</v>
      </c>
      <c r="O37">
        <f t="shared" si="6"/>
        <v>136</v>
      </c>
      <c r="P37" s="240">
        <v>1360</v>
      </c>
      <c r="Q37">
        <v>68065478.363998801</v>
      </c>
      <c r="R37">
        <v>382259072.79388797</v>
      </c>
      <c r="S37">
        <v>0</v>
      </c>
      <c r="T37">
        <v>54178209.399995998</v>
      </c>
      <c r="U37">
        <f t="shared" si="7"/>
        <v>504502760.55788273</v>
      </c>
      <c r="W37">
        <f t="shared" si="8"/>
        <v>136</v>
      </c>
      <c r="X37" s="240">
        <v>1360</v>
      </c>
      <c r="Y37">
        <v>69694793.143537998</v>
      </c>
    </row>
    <row r="38" spans="1:25">
      <c r="A38" s="201">
        <v>137</v>
      </c>
      <c r="B38" s="196">
        <f t="shared" si="9"/>
        <v>732883675.99751306</v>
      </c>
      <c r="C38" s="196">
        <f t="shared" si="10"/>
        <v>989746227.6078701</v>
      </c>
      <c r="D38" s="196">
        <f t="shared" si="11"/>
        <v>104193390.80566657</v>
      </c>
      <c r="E38" s="197">
        <f t="shared" si="4"/>
        <v>1826823294.4110498</v>
      </c>
      <c r="F38" s="198">
        <f t="shared" si="12"/>
        <v>408319</v>
      </c>
      <c r="K38">
        <f t="shared" si="5"/>
        <v>137</v>
      </c>
      <c r="L38" s="240">
        <v>1370</v>
      </c>
      <c r="M38">
        <v>732883675.99751306</v>
      </c>
      <c r="O38">
        <f t="shared" si="6"/>
        <v>137</v>
      </c>
      <c r="P38" s="240">
        <v>1370</v>
      </c>
      <c r="Q38">
        <v>111789990.39399481</v>
      </c>
      <c r="R38">
        <v>797897028.48585129</v>
      </c>
      <c r="S38">
        <v>18717359.999995802</v>
      </c>
      <c r="T38">
        <v>308778405.62999582</v>
      </c>
      <c r="U38">
        <f t="shared" si="7"/>
        <v>1237182784.5098376</v>
      </c>
      <c r="W38">
        <f t="shared" si="8"/>
        <v>137</v>
      </c>
      <c r="X38" s="240">
        <v>1370</v>
      </c>
      <c r="Y38">
        <v>130241738.50708321</v>
      </c>
    </row>
    <row r="39" spans="1:25">
      <c r="A39" s="201">
        <v>143</v>
      </c>
      <c r="B39" s="196">
        <f t="shared" si="9"/>
        <v>548052191.82403374</v>
      </c>
      <c r="C39" s="196">
        <f t="shared" si="10"/>
        <v>649547690.47188485</v>
      </c>
      <c r="D39" s="196">
        <f t="shared" si="11"/>
        <v>134758464.32672915</v>
      </c>
      <c r="E39" s="197">
        <f t="shared" si="4"/>
        <v>1332358346.6226475</v>
      </c>
      <c r="F39" s="198">
        <f t="shared" si="12"/>
        <v>297799</v>
      </c>
      <c r="K39">
        <f t="shared" si="5"/>
        <v>143</v>
      </c>
      <c r="L39" s="240">
        <v>1430</v>
      </c>
      <c r="M39">
        <v>548052191.82403374</v>
      </c>
      <c r="O39">
        <f t="shared" si="6"/>
        <v>143</v>
      </c>
      <c r="P39" s="240">
        <v>1430</v>
      </c>
      <c r="Q39">
        <v>110956912.39799461</v>
      </c>
      <c r="R39">
        <v>603824658.99186778</v>
      </c>
      <c r="S39">
        <v>3578080.1999994004</v>
      </c>
      <c r="T39">
        <v>93574961.499994189</v>
      </c>
      <c r="U39">
        <f t="shared" si="7"/>
        <v>811934613.08985603</v>
      </c>
      <c r="W39">
        <f t="shared" si="8"/>
        <v>143</v>
      </c>
      <c r="X39" s="240">
        <v>1430</v>
      </c>
      <c r="Y39">
        <v>168448080.40841141</v>
      </c>
    </row>
    <row r="40" spans="1:25">
      <c r="A40" s="201">
        <v>145</v>
      </c>
      <c r="B40" s="196">
        <f t="shared" si="9"/>
        <v>748205974.36051345</v>
      </c>
      <c r="C40" s="196">
        <f t="shared" si="10"/>
        <v>666790291.4239254</v>
      </c>
      <c r="D40" s="196">
        <f t="shared" si="11"/>
        <v>206456910.08638531</v>
      </c>
      <c r="E40" s="197">
        <f t="shared" si="4"/>
        <v>1621453175.8708241</v>
      </c>
      <c r="F40" s="198">
        <f t="shared" si="12"/>
        <v>362416</v>
      </c>
      <c r="K40">
        <f t="shared" si="5"/>
        <v>145</v>
      </c>
      <c r="L40" s="240">
        <v>1450</v>
      </c>
      <c r="M40">
        <v>748205974.36051345</v>
      </c>
      <c r="O40">
        <f t="shared" si="6"/>
        <v>145</v>
      </c>
      <c r="P40" s="240">
        <v>1450</v>
      </c>
      <c r="Q40">
        <v>253233448.59599459</v>
      </c>
      <c r="R40">
        <v>512044198.88391542</v>
      </c>
      <c r="S40">
        <v>1800000</v>
      </c>
      <c r="T40">
        <v>66410216.7999966</v>
      </c>
      <c r="U40">
        <f t="shared" si="7"/>
        <v>833487864.27990663</v>
      </c>
      <c r="W40">
        <f t="shared" si="8"/>
        <v>145</v>
      </c>
      <c r="X40" s="240">
        <v>1450</v>
      </c>
      <c r="Y40">
        <v>258071137.60798162</v>
      </c>
    </row>
    <row r="41" spans="1:25">
      <c r="A41" s="201">
        <v>147</v>
      </c>
      <c r="B41" s="196">
        <f t="shared" si="9"/>
        <v>1068883728.1090485</v>
      </c>
      <c r="C41" s="196">
        <f t="shared" si="10"/>
        <v>1105546586.1086636</v>
      </c>
      <c r="D41" s="196">
        <f t="shared" si="11"/>
        <v>106971233.0534952</v>
      </c>
      <c r="E41" s="197">
        <f t="shared" si="4"/>
        <v>2281401547.2712073</v>
      </c>
      <c r="F41" s="198">
        <f t="shared" si="12"/>
        <v>509923</v>
      </c>
      <c r="K41">
        <f t="shared" si="5"/>
        <v>147</v>
      </c>
      <c r="L41" s="240">
        <v>1470</v>
      </c>
      <c r="M41">
        <v>1068883728.1090485</v>
      </c>
      <c r="O41">
        <f t="shared" si="6"/>
        <v>147</v>
      </c>
      <c r="P41" s="240">
        <v>1470</v>
      </c>
      <c r="Q41">
        <v>343907103.4579854</v>
      </c>
      <c r="R41">
        <v>944313083.17785192</v>
      </c>
      <c r="S41">
        <v>900000</v>
      </c>
      <c r="T41">
        <v>92813045.999992207</v>
      </c>
      <c r="U41">
        <f t="shared" si="7"/>
        <v>1381933232.6358294</v>
      </c>
      <c r="W41">
        <f t="shared" si="8"/>
        <v>147</v>
      </c>
      <c r="X41" s="240">
        <v>1470</v>
      </c>
      <c r="Y41">
        <v>133714041.31686899</v>
      </c>
    </row>
    <row r="42" spans="1:25">
      <c r="A42" s="201">
        <v>148</v>
      </c>
      <c r="B42" s="196">
        <f t="shared" si="9"/>
        <v>589726386.03199768</v>
      </c>
      <c r="C42" s="196">
        <f t="shared" si="10"/>
        <v>863009471.52792573</v>
      </c>
      <c r="D42" s="196">
        <f t="shared" si="11"/>
        <v>75675252.273575202</v>
      </c>
      <c r="E42" s="197">
        <f t="shared" si="4"/>
        <v>1528411109.8334987</v>
      </c>
      <c r="F42" s="198">
        <f t="shared" si="12"/>
        <v>341620</v>
      </c>
      <c r="K42">
        <f t="shared" si="5"/>
        <v>148</v>
      </c>
      <c r="L42" s="240">
        <v>1480</v>
      </c>
      <c r="M42">
        <v>589726386.03199768</v>
      </c>
      <c r="O42">
        <f t="shared" si="6"/>
        <v>148</v>
      </c>
      <c r="P42" s="240">
        <v>1480</v>
      </c>
      <c r="Q42">
        <v>225045211.19399098</v>
      </c>
      <c r="R42">
        <v>776186532.47992134</v>
      </c>
      <c r="S42">
        <v>0</v>
      </c>
      <c r="T42">
        <v>77530095.735994786</v>
      </c>
      <c r="U42">
        <f t="shared" si="7"/>
        <v>1078761839.4099071</v>
      </c>
      <c r="W42">
        <f t="shared" si="8"/>
        <v>148</v>
      </c>
      <c r="X42" s="240">
        <v>1480</v>
      </c>
      <c r="Y42">
        <v>94594065.341968998</v>
      </c>
    </row>
    <row r="43" spans="1:25">
      <c r="A43" s="201">
        <v>149</v>
      </c>
      <c r="B43" s="196">
        <f t="shared" si="9"/>
        <v>872574631.34841609</v>
      </c>
      <c r="C43" s="196">
        <f t="shared" si="10"/>
        <v>702487922.66549861</v>
      </c>
      <c r="D43" s="196">
        <f t="shared" si="11"/>
        <v>60618109.307354085</v>
      </c>
      <c r="E43" s="197">
        <f t="shared" si="4"/>
        <v>1635680663.3212686</v>
      </c>
      <c r="F43" s="198">
        <f t="shared" si="12"/>
        <v>365596</v>
      </c>
      <c r="K43">
        <f t="shared" si="5"/>
        <v>149</v>
      </c>
      <c r="L43" s="240">
        <v>1490</v>
      </c>
      <c r="M43">
        <v>872574631.34841609</v>
      </c>
      <c r="O43">
        <f t="shared" si="6"/>
        <v>149</v>
      </c>
      <c r="P43" s="240">
        <v>1490</v>
      </c>
      <c r="Q43">
        <v>219615429.90599281</v>
      </c>
      <c r="R43">
        <v>620917434.02588224</v>
      </c>
      <c r="S43">
        <v>6300000</v>
      </c>
      <c r="T43">
        <v>31277039.399998199</v>
      </c>
      <c r="U43">
        <f t="shared" si="7"/>
        <v>878109903.33187318</v>
      </c>
      <c r="W43">
        <f t="shared" si="8"/>
        <v>149</v>
      </c>
      <c r="X43" s="240">
        <v>1490</v>
      </c>
      <c r="Y43">
        <v>75772636.634192601</v>
      </c>
    </row>
    <row r="44" spans="1:25">
      <c r="A44" s="201">
        <v>151</v>
      </c>
      <c r="B44" s="196">
        <f t="shared" si="9"/>
        <v>1295227704.0954471</v>
      </c>
      <c r="C44" s="196">
        <f t="shared" si="10"/>
        <v>1659607273.4702013</v>
      </c>
      <c r="D44" s="196">
        <f t="shared" si="11"/>
        <v>371080917.08279586</v>
      </c>
      <c r="E44" s="197">
        <f t="shared" si="4"/>
        <v>3325915894.6484442</v>
      </c>
      <c r="F44" s="198">
        <f t="shared" si="12"/>
        <v>743385</v>
      </c>
      <c r="K44">
        <f t="shared" si="5"/>
        <v>151</v>
      </c>
      <c r="L44" s="240">
        <v>1510</v>
      </c>
      <c r="M44">
        <v>1295227704.0954471</v>
      </c>
      <c r="O44">
        <f t="shared" si="6"/>
        <v>151</v>
      </c>
      <c r="P44" s="240">
        <v>1510</v>
      </c>
      <c r="Q44">
        <v>574818879.81197345</v>
      </c>
      <c r="R44">
        <v>1368140866.0857847</v>
      </c>
      <c r="S44">
        <v>0</v>
      </c>
      <c r="T44">
        <v>131549345.9399934</v>
      </c>
      <c r="U44">
        <f t="shared" si="7"/>
        <v>2074509091.8377514</v>
      </c>
      <c r="W44">
        <f t="shared" si="8"/>
        <v>151</v>
      </c>
      <c r="X44" s="240">
        <v>1510</v>
      </c>
      <c r="Y44">
        <v>463851146.35349476</v>
      </c>
    </row>
    <row r="45" spans="1:25">
      <c r="A45" s="201">
        <v>152</v>
      </c>
      <c r="B45" s="196">
        <f t="shared" si="9"/>
        <v>1474826571.6569893</v>
      </c>
      <c r="C45" s="196">
        <f t="shared" si="10"/>
        <v>1557944935.833478</v>
      </c>
      <c r="D45" s="196">
        <f t="shared" si="11"/>
        <v>108630765.34521952</v>
      </c>
      <c r="E45" s="197">
        <f t="shared" si="4"/>
        <v>3141402272.8356867</v>
      </c>
      <c r="F45" s="198">
        <f t="shared" si="12"/>
        <v>702144</v>
      </c>
      <c r="K45">
        <f t="shared" si="5"/>
        <v>152</v>
      </c>
      <c r="L45" s="240">
        <v>1520</v>
      </c>
      <c r="M45">
        <v>1474826571.6569893</v>
      </c>
      <c r="O45">
        <f t="shared" si="6"/>
        <v>152</v>
      </c>
      <c r="P45" s="240">
        <v>1520</v>
      </c>
      <c r="Q45">
        <v>463117662.88797784</v>
      </c>
      <c r="R45">
        <v>1347724014.9578767</v>
      </c>
      <c r="S45">
        <v>1854000</v>
      </c>
      <c r="T45">
        <v>134735491.94599259</v>
      </c>
      <c r="U45">
        <f t="shared" si="7"/>
        <v>1947431169.7918472</v>
      </c>
      <c r="W45">
        <f t="shared" si="8"/>
        <v>152</v>
      </c>
      <c r="X45" s="240">
        <v>1520</v>
      </c>
      <c r="Y45">
        <v>135788456.6815244</v>
      </c>
    </row>
    <row r="46" spans="1:25">
      <c r="A46" s="201">
        <v>153</v>
      </c>
      <c r="B46" s="196">
        <f t="shared" si="9"/>
        <v>1038797209.6308469</v>
      </c>
      <c r="C46" s="196">
        <f t="shared" si="10"/>
        <v>1544196471.5534906</v>
      </c>
      <c r="D46" s="196">
        <f t="shared" si="11"/>
        <v>110044114.173136</v>
      </c>
      <c r="E46" s="197">
        <f t="shared" si="4"/>
        <v>2693037795.3574734</v>
      </c>
      <c r="F46" s="198">
        <f t="shared" si="12"/>
        <v>601929</v>
      </c>
      <c r="K46">
        <f t="shared" si="5"/>
        <v>153</v>
      </c>
      <c r="L46" s="240">
        <v>1530</v>
      </c>
      <c r="M46">
        <v>1038797209.6308469</v>
      </c>
      <c r="O46">
        <f t="shared" si="6"/>
        <v>153</v>
      </c>
      <c r="P46" s="240">
        <v>1530</v>
      </c>
      <c r="Q46">
        <v>428062351.11798781</v>
      </c>
      <c r="R46">
        <v>1361488537.5438781</v>
      </c>
      <c r="S46">
        <v>0</v>
      </c>
      <c r="T46">
        <v>140694700.7799972</v>
      </c>
      <c r="U46">
        <f t="shared" si="7"/>
        <v>1930245589.4418631</v>
      </c>
      <c r="W46">
        <f t="shared" si="8"/>
        <v>153</v>
      </c>
      <c r="X46" s="240">
        <v>1530</v>
      </c>
      <c r="Y46">
        <v>137555142.71641999</v>
      </c>
    </row>
    <row r="47" spans="1:25">
      <c r="A47" s="201">
        <v>154</v>
      </c>
      <c r="B47" s="196">
        <f t="shared" si="9"/>
        <v>422649429.32603759</v>
      </c>
      <c r="C47" s="196">
        <f t="shared" si="10"/>
        <v>944432500.5343411</v>
      </c>
      <c r="D47" s="196">
        <f t="shared" si="11"/>
        <v>167170666.68032977</v>
      </c>
      <c r="E47" s="197">
        <f t="shared" si="4"/>
        <v>1534252596.5407085</v>
      </c>
      <c r="F47" s="198">
        <f t="shared" si="12"/>
        <v>342925</v>
      </c>
      <c r="K47">
        <f t="shared" si="5"/>
        <v>154</v>
      </c>
      <c r="L47" s="240">
        <v>1540</v>
      </c>
      <c r="M47">
        <v>422649429.32603759</v>
      </c>
      <c r="O47">
        <f t="shared" si="6"/>
        <v>154</v>
      </c>
      <c r="P47" s="240">
        <v>1540</v>
      </c>
      <c r="Q47">
        <v>189244413.63199261</v>
      </c>
      <c r="R47">
        <v>887505178.72993922</v>
      </c>
      <c r="S47">
        <v>4353030</v>
      </c>
      <c r="T47">
        <v>99438003.3059946</v>
      </c>
      <c r="U47">
        <f t="shared" si="7"/>
        <v>1180540625.6679263</v>
      </c>
      <c r="W47">
        <f t="shared" si="8"/>
        <v>154</v>
      </c>
      <c r="X47" s="240">
        <v>1540</v>
      </c>
      <c r="Y47">
        <v>208963333.35041219</v>
      </c>
    </row>
    <row r="48" spans="1:25">
      <c r="A48" s="201">
        <v>156</v>
      </c>
      <c r="B48" s="196">
        <f t="shared" si="9"/>
        <v>977903230.27557278</v>
      </c>
      <c r="C48" s="196">
        <f t="shared" si="10"/>
        <v>868994717.71353269</v>
      </c>
      <c r="D48" s="196">
        <f t="shared" si="11"/>
        <v>107522929.51250687</v>
      </c>
      <c r="E48" s="197">
        <f t="shared" si="4"/>
        <v>1954420877.5016124</v>
      </c>
      <c r="F48" s="198">
        <f t="shared" si="12"/>
        <v>436838</v>
      </c>
      <c r="K48">
        <f t="shared" si="5"/>
        <v>156</v>
      </c>
      <c r="L48" s="240">
        <v>1560</v>
      </c>
      <c r="M48">
        <v>977903230.27557278</v>
      </c>
      <c r="O48">
        <f t="shared" si="6"/>
        <v>156</v>
      </c>
      <c r="P48" s="240">
        <v>1560</v>
      </c>
      <c r="Q48">
        <v>257804961.71598721</v>
      </c>
      <c r="R48">
        <v>524427010.34593862</v>
      </c>
      <c r="S48">
        <v>788130</v>
      </c>
      <c r="T48">
        <v>303223295.07999003</v>
      </c>
      <c r="U48">
        <f t="shared" si="7"/>
        <v>1086243397.1419158</v>
      </c>
      <c r="W48">
        <f t="shared" si="8"/>
        <v>156</v>
      </c>
      <c r="X48" s="240">
        <v>1560</v>
      </c>
      <c r="Y48">
        <v>134403661.89063358</v>
      </c>
    </row>
    <row r="49" spans="1:25">
      <c r="A49" s="201">
        <v>157</v>
      </c>
      <c r="B49" s="196">
        <f t="shared" si="9"/>
        <v>1242636333.4726295</v>
      </c>
      <c r="C49" s="196">
        <f t="shared" si="10"/>
        <v>824600057.11029935</v>
      </c>
      <c r="D49" s="196">
        <f t="shared" si="11"/>
        <v>70567340.952155694</v>
      </c>
      <c r="E49" s="197">
        <f t="shared" si="4"/>
        <v>2137803731.5350845</v>
      </c>
      <c r="F49" s="198">
        <f t="shared" si="12"/>
        <v>477827</v>
      </c>
      <c r="K49">
        <f t="shared" si="5"/>
        <v>157</v>
      </c>
      <c r="L49" s="240">
        <v>1570</v>
      </c>
      <c r="M49">
        <v>1242636333.4726295</v>
      </c>
      <c r="O49">
        <f t="shared" si="6"/>
        <v>157</v>
      </c>
      <c r="P49" s="240">
        <v>1570</v>
      </c>
      <c r="Q49">
        <v>221107893.51399118</v>
      </c>
      <c r="R49">
        <v>665012114.61188936</v>
      </c>
      <c r="S49">
        <v>5172829.2</v>
      </c>
      <c r="T49">
        <v>139457234.0619936</v>
      </c>
      <c r="U49">
        <f t="shared" si="7"/>
        <v>1030750071.3878741</v>
      </c>
      <c r="W49">
        <f t="shared" si="8"/>
        <v>157</v>
      </c>
      <c r="X49" s="240">
        <v>1570</v>
      </c>
      <c r="Y49">
        <v>88209176.190194607</v>
      </c>
    </row>
    <row r="50" spans="1:25">
      <c r="A50" s="201">
        <v>158</v>
      </c>
      <c r="B50" s="196">
        <f t="shared" si="9"/>
        <v>898182746.79724085</v>
      </c>
      <c r="C50" s="196">
        <f t="shared" si="10"/>
        <v>1544210847.551837</v>
      </c>
      <c r="D50" s="196">
        <f t="shared" si="11"/>
        <v>528885340.46041131</v>
      </c>
      <c r="E50" s="197">
        <f t="shared" si="4"/>
        <v>2971278934.8094893</v>
      </c>
      <c r="F50" s="198">
        <f t="shared" si="12"/>
        <v>664119</v>
      </c>
      <c r="K50">
        <f t="shared" si="5"/>
        <v>158</v>
      </c>
      <c r="L50" s="240">
        <v>1580</v>
      </c>
      <c r="M50">
        <v>898182746.79724085</v>
      </c>
      <c r="O50">
        <f t="shared" si="6"/>
        <v>158</v>
      </c>
      <c r="P50" s="240">
        <v>1580</v>
      </c>
      <c r="Q50">
        <v>250560258.6979962</v>
      </c>
      <c r="R50">
        <v>1474346056.3378091</v>
      </c>
      <c r="S50">
        <v>37457649.999995403</v>
      </c>
      <c r="T50">
        <v>167899594.40399522</v>
      </c>
      <c r="U50">
        <f t="shared" si="7"/>
        <v>1930263559.439796</v>
      </c>
      <c r="W50">
        <f t="shared" si="8"/>
        <v>158</v>
      </c>
      <c r="X50" s="240">
        <v>1580</v>
      </c>
      <c r="Y50">
        <v>661106675.57551408</v>
      </c>
    </row>
    <row r="51" spans="1:25">
      <c r="A51" s="201">
        <v>159</v>
      </c>
      <c r="B51" s="196">
        <f t="shared" si="9"/>
        <v>1448331683.8793826</v>
      </c>
      <c r="C51" s="196">
        <f t="shared" si="10"/>
        <v>1981704599.6957211</v>
      </c>
      <c r="D51" s="196">
        <f t="shared" si="11"/>
        <v>614978229.76081967</v>
      </c>
      <c r="E51" s="197">
        <f t="shared" si="4"/>
        <v>4045014513.3359232</v>
      </c>
      <c r="F51" s="198">
        <f t="shared" si="12"/>
        <v>904113</v>
      </c>
      <c r="K51">
        <f t="shared" si="5"/>
        <v>159</v>
      </c>
      <c r="L51" s="240">
        <v>1590</v>
      </c>
      <c r="M51">
        <v>1448331683.8793826</v>
      </c>
      <c r="O51">
        <f t="shared" si="6"/>
        <v>159</v>
      </c>
      <c r="P51" s="240">
        <v>1590</v>
      </c>
      <c r="Q51">
        <v>815025587.00197864</v>
      </c>
      <c r="R51">
        <v>1559306358.2016847</v>
      </c>
      <c r="S51">
        <v>4084920</v>
      </c>
      <c r="T51">
        <v>98713884.415987805</v>
      </c>
      <c r="U51">
        <f t="shared" si="7"/>
        <v>2477130749.6196513</v>
      </c>
      <c r="W51">
        <f t="shared" si="8"/>
        <v>159</v>
      </c>
      <c r="X51" s="240">
        <v>1590</v>
      </c>
      <c r="Y51">
        <v>768722787.20102453</v>
      </c>
    </row>
    <row r="52" spans="1:25">
      <c r="A52" s="201">
        <v>160</v>
      </c>
      <c r="B52" s="196">
        <f t="shared" si="9"/>
        <v>917441230.68434644</v>
      </c>
      <c r="C52" s="196">
        <f t="shared" si="10"/>
        <v>1524434498.0237722</v>
      </c>
      <c r="D52" s="196">
        <f t="shared" si="11"/>
        <v>138586229.65294737</v>
      </c>
      <c r="E52" s="197">
        <f t="shared" si="4"/>
        <v>2580461958.3610659</v>
      </c>
      <c r="F52" s="198">
        <f t="shared" si="12"/>
        <v>576767</v>
      </c>
      <c r="K52">
        <f t="shared" si="5"/>
        <v>160</v>
      </c>
      <c r="L52" s="240">
        <v>1600</v>
      </c>
      <c r="M52">
        <v>917441230.68434644</v>
      </c>
      <c r="O52">
        <f t="shared" si="6"/>
        <v>160</v>
      </c>
      <c r="P52" s="240">
        <v>1600</v>
      </c>
      <c r="Q52">
        <v>449476795.00398594</v>
      </c>
      <c r="R52">
        <v>1367402032.5257342</v>
      </c>
      <c r="S52">
        <v>13500000</v>
      </c>
      <c r="T52">
        <v>75164294.999995187</v>
      </c>
      <c r="U52">
        <f t="shared" si="7"/>
        <v>1905543122.5297153</v>
      </c>
      <c r="W52">
        <f t="shared" si="8"/>
        <v>160</v>
      </c>
      <c r="X52" s="240">
        <v>1600</v>
      </c>
      <c r="Y52">
        <v>173232787.06618419</v>
      </c>
    </row>
    <row r="53" spans="1:25">
      <c r="A53" s="201">
        <v>161</v>
      </c>
      <c r="B53" s="196">
        <f t="shared" si="9"/>
        <v>638743210.9884572</v>
      </c>
      <c r="C53" s="196">
        <f t="shared" si="10"/>
        <v>1211793347.2526841</v>
      </c>
      <c r="D53" s="196">
        <f t="shared" si="11"/>
        <v>211051984.81844002</v>
      </c>
      <c r="E53" s="197">
        <f t="shared" si="4"/>
        <v>2061588543.0595813</v>
      </c>
      <c r="F53" s="198">
        <f t="shared" si="12"/>
        <v>460792</v>
      </c>
      <c r="K53">
        <f t="shared" si="5"/>
        <v>161</v>
      </c>
      <c r="L53" s="240">
        <v>1610</v>
      </c>
      <c r="M53">
        <v>638743210.9884572</v>
      </c>
      <c r="O53">
        <f t="shared" si="6"/>
        <v>161</v>
      </c>
      <c r="P53" s="240">
        <v>1610</v>
      </c>
      <c r="Q53">
        <v>275965239.56599081</v>
      </c>
      <c r="R53">
        <v>1126218654.0998747</v>
      </c>
      <c r="S53">
        <v>2935350</v>
      </c>
      <c r="T53">
        <v>109622440.3999896</v>
      </c>
      <c r="U53">
        <f t="shared" si="7"/>
        <v>1514741684.065855</v>
      </c>
      <c r="W53">
        <f t="shared" si="8"/>
        <v>161</v>
      </c>
      <c r="X53" s="240">
        <v>1610</v>
      </c>
      <c r="Y53">
        <v>263814981.02305001</v>
      </c>
    </row>
    <row r="54" spans="1:25">
      <c r="A54" s="201">
        <v>162</v>
      </c>
      <c r="B54" s="196">
        <f t="shared" si="9"/>
        <v>1703273074.4151969</v>
      </c>
      <c r="C54" s="196">
        <f t="shared" si="10"/>
        <v>2542596409.0958128</v>
      </c>
      <c r="D54" s="196">
        <f t="shared" si="11"/>
        <v>302922818.79887503</v>
      </c>
      <c r="E54" s="197">
        <f t="shared" si="4"/>
        <v>4548792302.309885</v>
      </c>
      <c r="F54" s="198">
        <f t="shared" si="12"/>
        <v>1016714</v>
      </c>
      <c r="K54">
        <f t="shared" si="5"/>
        <v>162</v>
      </c>
      <c r="L54" s="240">
        <v>1620</v>
      </c>
      <c r="M54">
        <v>1703273074.4151969</v>
      </c>
      <c r="O54">
        <f t="shared" si="6"/>
        <v>162</v>
      </c>
      <c r="P54" s="240">
        <v>1620</v>
      </c>
      <c r="Q54">
        <v>606091273.84798741</v>
      </c>
      <c r="R54">
        <v>2201786479.8697968</v>
      </c>
      <c r="S54">
        <v>15298602.999998398</v>
      </c>
      <c r="T54">
        <v>355069154.65198326</v>
      </c>
      <c r="U54">
        <f t="shared" si="7"/>
        <v>3178245511.3697658</v>
      </c>
      <c r="W54">
        <f t="shared" si="8"/>
        <v>162</v>
      </c>
      <c r="X54" s="240">
        <v>1620</v>
      </c>
      <c r="Y54">
        <v>378653523.49859381</v>
      </c>
    </row>
    <row r="55" spans="1:25">
      <c r="A55" s="201">
        <v>163</v>
      </c>
      <c r="B55" s="196">
        <f t="shared" si="9"/>
        <v>937967642.74591708</v>
      </c>
      <c r="C55" s="196">
        <f t="shared" si="10"/>
        <v>990730707.37109566</v>
      </c>
      <c r="D55" s="196">
        <f t="shared" si="11"/>
        <v>214886204.46895748</v>
      </c>
      <c r="E55" s="197">
        <f t="shared" si="4"/>
        <v>2143584554.5859702</v>
      </c>
      <c r="F55" s="198">
        <f t="shared" si="12"/>
        <v>479119</v>
      </c>
      <c r="K55">
        <f t="shared" si="5"/>
        <v>163</v>
      </c>
      <c r="L55" s="240">
        <v>1630</v>
      </c>
      <c r="M55">
        <v>937967642.74591708</v>
      </c>
      <c r="O55">
        <f t="shared" si="6"/>
        <v>163</v>
      </c>
      <c r="P55" s="240">
        <v>1630</v>
      </c>
      <c r="Q55">
        <v>179618219.97799683</v>
      </c>
      <c r="R55">
        <v>769935739.54588914</v>
      </c>
      <c r="S55">
        <v>4366800</v>
      </c>
      <c r="T55">
        <v>284492624.68998361</v>
      </c>
      <c r="U55">
        <f t="shared" si="7"/>
        <v>1238413384.2138696</v>
      </c>
      <c r="W55">
        <f t="shared" si="8"/>
        <v>163</v>
      </c>
      <c r="X55" s="240">
        <v>1630</v>
      </c>
      <c r="Y55">
        <v>268607755.58619684</v>
      </c>
    </row>
    <row r="56" spans="1:25">
      <c r="A56" s="201">
        <v>164</v>
      </c>
      <c r="B56" s="196">
        <f t="shared" si="9"/>
        <v>861858383.74125957</v>
      </c>
      <c r="C56" s="196">
        <f t="shared" si="10"/>
        <v>1310497526.8078358</v>
      </c>
      <c r="D56" s="196">
        <f t="shared" si="11"/>
        <v>210671093.83765057</v>
      </c>
      <c r="E56" s="197">
        <f t="shared" si="4"/>
        <v>2383027004.3867459</v>
      </c>
      <c r="F56" s="198">
        <f t="shared" si="12"/>
        <v>532638</v>
      </c>
      <c r="K56">
        <f t="shared" si="5"/>
        <v>164</v>
      </c>
      <c r="L56" s="240">
        <v>1640</v>
      </c>
      <c r="M56">
        <v>861858383.74125957</v>
      </c>
      <c r="O56">
        <f t="shared" si="6"/>
        <v>164</v>
      </c>
      <c r="P56" s="240">
        <v>1640</v>
      </c>
      <c r="Q56">
        <v>334470891.10398299</v>
      </c>
      <c r="R56">
        <v>1204032405.8558197</v>
      </c>
      <c r="S56">
        <v>0</v>
      </c>
      <c r="T56">
        <v>99618611.549992204</v>
      </c>
      <c r="U56">
        <f t="shared" si="7"/>
        <v>1638121908.5097947</v>
      </c>
      <c r="W56">
        <f t="shared" si="8"/>
        <v>164</v>
      </c>
      <c r="X56" s="240">
        <v>1640</v>
      </c>
      <c r="Y56">
        <v>263338867.2970632</v>
      </c>
    </row>
    <row r="57" spans="1:25">
      <c r="A57" s="201">
        <v>165</v>
      </c>
      <c r="B57" s="196">
        <f t="shared" si="9"/>
        <v>1416597294.278605</v>
      </c>
      <c r="C57" s="196">
        <f t="shared" si="10"/>
        <v>1981103028.3006525</v>
      </c>
      <c r="D57" s="196">
        <f t="shared" si="11"/>
        <v>258704617.67071843</v>
      </c>
      <c r="E57" s="197">
        <f t="shared" si="4"/>
        <v>3656404940.2499762</v>
      </c>
      <c r="F57" s="198">
        <f t="shared" si="12"/>
        <v>817254</v>
      </c>
      <c r="K57">
        <f t="shared" si="5"/>
        <v>165</v>
      </c>
      <c r="L57" s="240">
        <v>1650</v>
      </c>
      <c r="M57">
        <v>1416597294.278605</v>
      </c>
      <c r="O57">
        <f t="shared" si="6"/>
        <v>165</v>
      </c>
      <c r="P57" s="240">
        <v>1650</v>
      </c>
      <c r="Q57">
        <v>564618575.60999274</v>
      </c>
      <c r="R57">
        <v>1196104881.9478283</v>
      </c>
      <c r="S57">
        <v>0</v>
      </c>
      <c r="T57">
        <v>715655327.81799424</v>
      </c>
      <c r="U57">
        <f t="shared" si="7"/>
        <v>2476378785.3758154</v>
      </c>
      <c r="W57">
        <f t="shared" si="8"/>
        <v>165</v>
      </c>
      <c r="X57" s="240">
        <v>1650</v>
      </c>
      <c r="Y57">
        <v>323380772.08839804</v>
      </c>
    </row>
    <row r="58" spans="1:25">
      <c r="A58" s="201">
        <v>166</v>
      </c>
      <c r="B58" s="196">
        <f t="shared" si="9"/>
        <v>1014486139.4334157</v>
      </c>
      <c r="C58" s="196">
        <f t="shared" si="10"/>
        <v>1556372586.6686649</v>
      </c>
      <c r="D58" s="196">
        <f t="shared" si="11"/>
        <v>600809399.90767622</v>
      </c>
      <c r="E58" s="197">
        <f t="shared" si="4"/>
        <v>3171668126.0097566</v>
      </c>
      <c r="F58" s="198">
        <f t="shared" si="12"/>
        <v>708909</v>
      </c>
      <c r="K58">
        <f t="shared" si="5"/>
        <v>166</v>
      </c>
      <c r="L58" s="240">
        <v>1660</v>
      </c>
      <c r="M58">
        <v>1014486139.4334157</v>
      </c>
      <c r="O58">
        <f t="shared" si="6"/>
        <v>166</v>
      </c>
      <c r="P58" s="240">
        <v>1660</v>
      </c>
      <c r="Q58">
        <v>579939357.8599956</v>
      </c>
      <c r="R58">
        <v>1219911038.8758378</v>
      </c>
      <c r="S58">
        <v>3860640</v>
      </c>
      <c r="T58">
        <v>141754696.59999782</v>
      </c>
      <c r="U58">
        <f t="shared" si="7"/>
        <v>1945465733.3358312</v>
      </c>
      <c r="W58">
        <f t="shared" si="8"/>
        <v>166</v>
      </c>
      <c r="X58" s="240">
        <v>1660</v>
      </c>
      <c r="Y58">
        <v>751011749.88459527</v>
      </c>
    </row>
    <row r="59" spans="1:25">
      <c r="A59" s="201">
        <v>167</v>
      </c>
      <c r="B59" s="196">
        <f t="shared" si="9"/>
        <v>1488134803.9306846</v>
      </c>
      <c r="C59" s="196">
        <f t="shared" si="10"/>
        <v>1493472182.3582413</v>
      </c>
      <c r="D59" s="196">
        <f t="shared" si="11"/>
        <v>336061201.31691056</v>
      </c>
      <c r="E59" s="197">
        <f t="shared" si="4"/>
        <v>3317668187.6058369</v>
      </c>
      <c r="F59" s="198">
        <f t="shared" si="12"/>
        <v>741542</v>
      </c>
      <c r="K59">
        <f t="shared" si="5"/>
        <v>167</v>
      </c>
      <c r="L59" s="240">
        <v>1670</v>
      </c>
      <c r="M59">
        <v>1488134803.9306846</v>
      </c>
      <c r="O59">
        <f t="shared" si="6"/>
        <v>167</v>
      </c>
      <c r="P59" s="240">
        <v>1670</v>
      </c>
      <c r="Q59">
        <v>529314860.98197901</v>
      </c>
      <c r="R59">
        <v>1227234445.2658296</v>
      </c>
      <c r="S59">
        <v>0</v>
      </c>
      <c r="T59">
        <v>110290921.69999321</v>
      </c>
      <c r="U59">
        <f t="shared" si="7"/>
        <v>1866840227.9478016</v>
      </c>
      <c r="W59">
        <f t="shared" si="8"/>
        <v>167</v>
      </c>
      <c r="X59" s="240">
        <v>1670</v>
      </c>
      <c r="Y59">
        <v>420076501.64613819</v>
      </c>
    </row>
    <row r="60" spans="1:25">
      <c r="A60" s="201">
        <v>168</v>
      </c>
      <c r="B60" s="196">
        <f t="shared" si="9"/>
        <v>1152569588.4200811</v>
      </c>
      <c r="C60" s="196">
        <f t="shared" si="10"/>
        <v>2489059568.7485871</v>
      </c>
      <c r="D60" s="196">
        <f t="shared" si="11"/>
        <v>157990402.56246179</v>
      </c>
      <c r="E60" s="197">
        <f t="shared" si="4"/>
        <v>3799619559.7311301</v>
      </c>
      <c r="F60" s="198">
        <f t="shared" si="12"/>
        <v>849264</v>
      </c>
      <c r="K60">
        <f t="shared" si="5"/>
        <v>168</v>
      </c>
      <c r="L60" s="240">
        <v>1680</v>
      </c>
      <c r="M60">
        <v>1152569588.4200811</v>
      </c>
      <c r="O60">
        <f t="shared" si="6"/>
        <v>168</v>
      </c>
      <c r="P60" s="240">
        <v>1680</v>
      </c>
      <c r="Q60">
        <v>979764948.3519702</v>
      </c>
      <c r="R60">
        <v>2042168650.3837729</v>
      </c>
      <c r="S60">
        <v>21941159.999997601</v>
      </c>
      <c r="T60">
        <v>67449702.199993193</v>
      </c>
      <c r="U60">
        <f t="shared" si="7"/>
        <v>3111324460.9357338</v>
      </c>
      <c r="W60">
        <f t="shared" si="8"/>
        <v>168</v>
      </c>
      <c r="X60" s="240">
        <v>1680</v>
      </c>
      <c r="Y60">
        <v>197488003.20307723</v>
      </c>
    </row>
    <row r="61" spans="1:25">
      <c r="A61" s="201">
        <v>169</v>
      </c>
      <c r="B61" s="196">
        <f t="shared" si="9"/>
        <v>1260378851.6120739</v>
      </c>
      <c r="C61" s="196">
        <f t="shared" si="10"/>
        <v>1473325320.2094173</v>
      </c>
      <c r="D61" s="196">
        <f t="shared" si="11"/>
        <v>147244962.87552959</v>
      </c>
      <c r="E61" s="197">
        <f t="shared" si="4"/>
        <v>2880949134.697021</v>
      </c>
      <c r="F61" s="198">
        <f t="shared" si="12"/>
        <v>643930</v>
      </c>
      <c r="K61">
        <f t="shared" si="5"/>
        <v>169</v>
      </c>
      <c r="L61" s="240">
        <v>1690</v>
      </c>
      <c r="M61">
        <v>1260378851.6120739</v>
      </c>
      <c r="O61">
        <f t="shared" si="6"/>
        <v>169</v>
      </c>
      <c r="P61" s="240">
        <v>1690</v>
      </c>
      <c r="Q61">
        <v>513005404.73798519</v>
      </c>
      <c r="R61">
        <v>1150336992.8097954</v>
      </c>
      <c r="S61">
        <v>14721840</v>
      </c>
      <c r="T61">
        <v>163592412.71399102</v>
      </c>
      <c r="U61">
        <f t="shared" si="7"/>
        <v>1841656650.2617714</v>
      </c>
      <c r="W61">
        <f t="shared" si="8"/>
        <v>169</v>
      </c>
      <c r="X61" s="240">
        <v>1690</v>
      </c>
      <c r="Y61">
        <v>184056203.59441197</v>
      </c>
    </row>
    <row r="62" spans="1:25">
      <c r="A62" s="201">
        <v>170</v>
      </c>
      <c r="B62" s="196">
        <f t="shared" si="9"/>
        <v>739730656.52281868</v>
      </c>
      <c r="C62" s="196">
        <f t="shared" si="10"/>
        <v>1705399413.0158305</v>
      </c>
      <c r="D62" s="196">
        <f t="shared" si="11"/>
        <v>112810917.440148</v>
      </c>
      <c r="E62" s="197">
        <f t="shared" si="4"/>
        <v>2557940986.978797</v>
      </c>
      <c r="F62" s="198">
        <f t="shared" si="12"/>
        <v>571733</v>
      </c>
      <c r="K62">
        <f t="shared" si="5"/>
        <v>170</v>
      </c>
      <c r="L62" s="240">
        <v>1700</v>
      </c>
      <c r="M62">
        <v>739730656.52281868</v>
      </c>
      <c r="O62">
        <f t="shared" si="6"/>
        <v>170</v>
      </c>
      <c r="P62" s="240">
        <v>1700</v>
      </c>
      <c r="Q62">
        <v>453805968.45798719</v>
      </c>
      <c r="R62">
        <v>1468223494.9518113</v>
      </c>
      <c r="S62">
        <v>1628100</v>
      </c>
      <c r="T62">
        <v>208091702.85998937</v>
      </c>
      <c r="U62">
        <f t="shared" si="7"/>
        <v>2131749266.269788</v>
      </c>
      <c r="W62">
        <f t="shared" si="8"/>
        <v>170</v>
      </c>
      <c r="X62" s="240">
        <v>1700</v>
      </c>
      <c r="Y62">
        <v>141013646.80018499</v>
      </c>
    </row>
    <row r="63" spans="1:25">
      <c r="A63" s="201">
        <v>171</v>
      </c>
      <c r="B63" s="196">
        <f t="shared" si="9"/>
        <v>916944112.66398072</v>
      </c>
      <c r="C63" s="196">
        <f t="shared" si="10"/>
        <v>1915754063.866992</v>
      </c>
      <c r="D63" s="196">
        <f t="shared" si="11"/>
        <v>129496405.46539873</v>
      </c>
      <c r="E63" s="197">
        <f t="shared" si="4"/>
        <v>2962194581.9963713</v>
      </c>
      <c r="F63" s="198">
        <f t="shared" si="12"/>
        <v>662089</v>
      </c>
      <c r="K63">
        <f t="shared" si="5"/>
        <v>171</v>
      </c>
      <c r="L63" s="240">
        <v>1710</v>
      </c>
      <c r="M63">
        <v>916944112.66398072</v>
      </c>
      <c r="O63">
        <f t="shared" si="6"/>
        <v>171</v>
      </c>
      <c r="P63" s="240">
        <v>1710</v>
      </c>
      <c r="Q63">
        <v>1046348267.3959897</v>
      </c>
      <c r="R63">
        <v>1226344384.9757538</v>
      </c>
      <c r="S63">
        <v>2520000</v>
      </c>
      <c r="T63">
        <v>119479927.46199661</v>
      </c>
      <c r="U63">
        <f t="shared" si="7"/>
        <v>2394692579.8337398</v>
      </c>
      <c r="W63">
        <f t="shared" si="8"/>
        <v>171</v>
      </c>
      <c r="X63" s="240">
        <v>1710</v>
      </c>
      <c r="Y63">
        <v>161870506.8317484</v>
      </c>
    </row>
    <row r="64" spans="1:25">
      <c r="A64" s="201">
        <v>172</v>
      </c>
      <c r="B64" s="196">
        <f t="shared" si="9"/>
        <v>1026512850.3399632</v>
      </c>
      <c r="C64" s="196">
        <f t="shared" si="10"/>
        <v>786461434.75509691</v>
      </c>
      <c r="D64" s="196">
        <f t="shared" si="11"/>
        <v>139250827.85028994</v>
      </c>
      <c r="E64" s="197">
        <f t="shared" si="4"/>
        <v>1952225112.9453502</v>
      </c>
      <c r="F64" s="198">
        <f t="shared" si="12"/>
        <v>436348</v>
      </c>
      <c r="K64">
        <f t="shared" si="5"/>
        <v>172</v>
      </c>
      <c r="L64" s="240">
        <v>1720</v>
      </c>
      <c r="M64">
        <v>1026512850.3399632</v>
      </c>
      <c r="O64">
        <f t="shared" si="6"/>
        <v>172</v>
      </c>
      <c r="P64" s="240">
        <v>1720</v>
      </c>
      <c r="Q64">
        <v>327440278.15399265</v>
      </c>
      <c r="R64">
        <v>575301989.0898881</v>
      </c>
      <c r="S64">
        <v>1045440</v>
      </c>
      <c r="T64">
        <v>79289086.199990407</v>
      </c>
      <c r="U64">
        <f t="shared" si="7"/>
        <v>983076793.44387114</v>
      </c>
      <c r="W64">
        <f t="shared" si="8"/>
        <v>172</v>
      </c>
      <c r="X64" s="240">
        <v>1720</v>
      </c>
      <c r="Y64">
        <v>174063534.81286243</v>
      </c>
    </row>
    <row r="65" spans="1:25">
      <c r="A65" s="201">
        <v>173</v>
      </c>
      <c r="B65" s="196">
        <f t="shared" si="9"/>
        <v>1016971865.4103878</v>
      </c>
      <c r="C65" s="196">
        <f t="shared" si="10"/>
        <v>927913861.48308182</v>
      </c>
      <c r="D65" s="196">
        <f t="shared" si="11"/>
        <v>145167683.78023157</v>
      </c>
      <c r="E65" s="197">
        <f t="shared" si="4"/>
        <v>2090053410.673701</v>
      </c>
      <c r="F65" s="198">
        <f t="shared" si="12"/>
        <v>467154</v>
      </c>
      <c r="K65">
        <f t="shared" si="5"/>
        <v>173</v>
      </c>
      <c r="L65" s="240">
        <v>1730</v>
      </c>
      <c r="M65">
        <v>1016971865.4103878</v>
      </c>
      <c r="O65">
        <f t="shared" si="6"/>
        <v>173</v>
      </c>
      <c r="P65" s="240">
        <v>1730</v>
      </c>
      <c r="Q65">
        <v>263383487.64998999</v>
      </c>
      <c r="R65">
        <v>767078354.92187333</v>
      </c>
      <c r="S65">
        <v>1800000</v>
      </c>
      <c r="T65">
        <v>127630484.28198899</v>
      </c>
      <c r="U65">
        <f t="shared" si="7"/>
        <v>1159892326.8538523</v>
      </c>
      <c r="W65">
        <f t="shared" si="8"/>
        <v>173</v>
      </c>
      <c r="X65" s="240">
        <v>1730</v>
      </c>
      <c r="Y65">
        <v>181459604.72528943</v>
      </c>
    </row>
    <row r="66" spans="1:25">
      <c r="A66" s="201">
        <v>174</v>
      </c>
      <c r="B66" s="196">
        <f t="shared" si="9"/>
        <v>1502154260.6194518</v>
      </c>
      <c r="C66" s="196">
        <f t="shared" si="10"/>
        <v>2731514500.5902414</v>
      </c>
      <c r="D66" s="196">
        <f t="shared" si="11"/>
        <v>409501225.63160342</v>
      </c>
      <c r="E66" s="197">
        <f t="shared" si="4"/>
        <v>4643169986.8412962</v>
      </c>
      <c r="F66" s="198">
        <f t="shared" si="12"/>
        <v>1037809</v>
      </c>
      <c r="K66">
        <f t="shared" si="5"/>
        <v>174</v>
      </c>
      <c r="L66" s="240">
        <v>1740</v>
      </c>
      <c r="M66">
        <v>1502154260.6194518</v>
      </c>
      <c r="O66">
        <f t="shared" si="6"/>
        <v>174</v>
      </c>
      <c r="P66" s="240">
        <v>1740</v>
      </c>
      <c r="Q66">
        <v>975414320.11198628</v>
      </c>
      <c r="R66">
        <v>2129200301.7058194</v>
      </c>
      <c r="S66">
        <v>24300000</v>
      </c>
      <c r="T66">
        <v>285478503.91999561</v>
      </c>
      <c r="U66">
        <f t="shared" si="7"/>
        <v>3414393125.7378016</v>
      </c>
      <c r="W66">
        <f t="shared" si="8"/>
        <v>174</v>
      </c>
      <c r="X66" s="240">
        <v>1740</v>
      </c>
      <c r="Y66">
        <v>511876532.03950423</v>
      </c>
    </row>
    <row r="67" spans="1:25">
      <c r="A67" s="201">
        <v>175</v>
      </c>
      <c r="B67" s="196">
        <f t="shared" si="9"/>
        <v>941676202.28102267</v>
      </c>
      <c r="C67" s="196">
        <f t="shared" si="10"/>
        <v>1471085117.6062336</v>
      </c>
      <c r="D67" s="196">
        <f t="shared" si="11"/>
        <v>168920267.45896849</v>
      </c>
      <c r="E67" s="197">
        <f t="shared" si="4"/>
        <v>2581681587.3462248</v>
      </c>
      <c r="F67" s="198">
        <f t="shared" si="12"/>
        <v>577039</v>
      </c>
      <c r="K67">
        <f t="shared" si="5"/>
        <v>175</v>
      </c>
      <c r="L67" s="240">
        <v>1750</v>
      </c>
      <c r="M67">
        <v>941676202.28102267</v>
      </c>
      <c r="O67">
        <f t="shared" si="6"/>
        <v>175</v>
      </c>
      <c r="P67" s="240">
        <v>1750</v>
      </c>
      <c r="Q67">
        <v>395534200.7459898</v>
      </c>
      <c r="R67">
        <v>1186449968.9218211</v>
      </c>
      <c r="S67">
        <v>4431330</v>
      </c>
      <c r="T67">
        <v>252440897.33998081</v>
      </c>
      <c r="U67">
        <f t="shared" si="7"/>
        <v>1838856397.0077918</v>
      </c>
      <c r="W67">
        <f t="shared" si="8"/>
        <v>175</v>
      </c>
      <c r="X67" s="240">
        <v>1750</v>
      </c>
      <c r="Y67">
        <v>211150334.32371059</v>
      </c>
    </row>
    <row r="68" spans="1:25">
      <c r="A68" s="201">
        <v>176</v>
      </c>
      <c r="B68" s="196">
        <f t="shared" ref="B68:B99" si="13">VLOOKUP(A68,K:M,3,0)</f>
        <v>578379207.5468806</v>
      </c>
      <c r="C68" s="196">
        <f t="shared" ref="C68:C99" si="14">VLOOKUP(A68,O:U,7,0)*0.8</f>
        <v>898677446.43983924</v>
      </c>
      <c r="D68" s="196">
        <f t="shared" ref="D68:D99" si="15">VLOOKUP(A68,W:Y,3,0)*0.8</f>
        <v>97135877.975259542</v>
      </c>
      <c r="E68" s="197">
        <f t="shared" si="4"/>
        <v>1574192531.9619794</v>
      </c>
      <c r="F68" s="198">
        <f t="shared" ref="F68:F99" si="16">ROUND(E68*(F$2/E$187), 0)</f>
        <v>351852</v>
      </c>
      <c r="K68">
        <f t="shared" si="5"/>
        <v>176</v>
      </c>
      <c r="L68" s="240">
        <v>1760</v>
      </c>
      <c r="M68">
        <v>578379207.5468806</v>
      </c>
      <c r="O68">
        <f t="shared" si="6"/>
        <v>176</v>
      </c>
      <c r="P68" s="240">
        <v>1760</v>
      </c>
      <c r="Q68">
        <v>220945260.75799501</v>
      </c>
      <c r="R68">
        <v>826110779.73181391</v>
      </c>
      <c r="S68">
        <v>0</v>
      </c>
      <c r="T68">
        <v>76290767.559990004</v>
      </c>
      <c r="U68">
        <f t="shared" si="7"/>
        <v>1123346808.049799</v>
      </c>
      <c r="W68">
        <f t="shared" si="8"/>
        <v>176</v>
      </c>
      <c r="X68" s="240">
        <v>1760</v>
      </c>
      <c r="Y68">
        <v>121419847.46907441</v>
      </c>
    </row>
    <row r="69" spans="1:25">
      <c r="A69" s="201">
        <v>177</v>
      </c>
      <c r="B69" s="196">
        <f t="shared" si="13"/>
        <v>154406991.91213259</v>
      </c>
      <c r="C69" s="196">
        <f t="shared" si="14"/>
        <v>175369096.15996611</v>
      </c>
      <c r="D69" s="196">
        <f t="shared" si="15"/>
        <v>36569102.595721126</v>
      </c>
      <c r="E69" s="197">
        <f t="shared" ref="E69:E131" si="17">SUM(B69:D69)</f>
        <v>366345190.66781986</v>
      </c>
      <c r="F69" s="198">
        <f t="shared" si="16"/>
        <v>81883</v>
      </c>
      <c r="K69">
        <f t="shared" ref="K69:K132" si="18">L69/10</f>
        <v>177</v>
      </c>
      <c r="L69" s="240">
        <v>1770</v>
      </c>
      <c r="M69">
        <v>154406991.91213259</v>
      </c>
      <c r="O69">
        <f t="shared" ref="O69:O132" si="19">P69/10</f>
        <v>177</v>
      </c>
      <c r="P69" s="240">
        <v>1770</v>
      </c>
      <c r="Q69">
        <v>15203194.632000001</v>
      </c>
      <c r="R69">
        <v>194908575.56795999</v>
      </c>
      <c r="S69">
        <v>0</v>
      </c>
      <c r="T69">
        <v>9099599.9999976009</v>
      </c>
      <c r="U69">
        <f t="shared" ref="U69:U132" si="20">SUM(Q69:T69)</f>
        <v>219211370.19995761</v>
      </c>
      <c r="W69">
        <f t="shared" ref="W69:W132" si="21">X69/10</f>
        <v>177</v>
      </c>
      <c r="X69" s="240">
        <v>1770</v>
      </c>
      <c r="Y69">
        <v>45711378.244651407</v>
      </c>
    </row>
    <row r="70" spans="1:25">
      <c r="A70" s="201">
        <v>178</v>
      </c>
      <c r="B70" s="196">
        <f t="shared" si="13"/>
        <v>1887224224.506268</v>
      </c>
      <c r="C70" s="196">
        <f t="shared" si="14"/>
        <v>1687575371.8430882</v>
      </c>
      <c r="D70" s="196">
        <f t="shared" si="15"/>
        <v>85017038.457744002</v>
      </c>
      <c r="E70" s="197">
        <f t="shared" si="17"/>
        <v>3659816634.8071003</v>
      </c>
      <c r="F70" s="198">
        <f t="shared" si="16"/>
        <v>818017</v>
      </c>
      <c r="K70">
        <f t="shared" si="18"/>
        <v>178</v>
      </c>
      <c r="L70" s="240">
        <v>1780</v>
      </c>
      <c r="M70">
        <v>1887224224.506268</v>
      </c>
      <c r="O70">
        <f t="shared" si="19"/>
        <v>178</v>
      </c>
      <c r="P70" s="240">
        <v>1780</v>
      </c>
      <c r="Q70">
        <v>428511398.41198617</v>
      </c>
      <c r="R70">
        <v>1486489713.291882</v>
      </c>
      <c r="S70">
        <v>25040959.999999203</v>
      </c>
      <c r="T70">
        <v>169427143.0999926</v>
      </c>
      <c r="U70">
        <f t="shared" si="20"/>
        <v>2109469214.8038599</v>
      </c>
      <c r="W70">
        <f t="shared" si="21"/>
        <v>178</v>
      </c>
      <c r="X70" s="240">
        <v>1780</v>
      </c>
      <c r="Y70">
        <v>106271298.07218</v>
      </c>
    </row>
    <row r="71" spans="1:25">
      <c r="A71" s="201">
        <v>179</v>
      </c>
      <c r="B71" s="196">
        <f t="shared" si="13"/>
        <v>1627322306.5218413</v>
      </c>
      <c r="C71" s="196">
        <f t="shared" si="14"/>
        <v>1499102273.6206303</v>
      </c>
      <c r="D71" s="196">
        <f t="shared" si="15"/>
        <v>443778149.4995048</v>
      </c>
      <c r="E71" s="197">
        <f t="shared" si="17"/>
        <v>3570202729.6419764</v>
      </c>
      <c r="F71" s="198">
        <f t="shared" si="16"/>
        <v>797987</v>
      </c>
      <c r="K71">
        <f t="shared" si="18"/>
        <v>179</v>
      </c>
      <c r="L71" s="240">
        <v>1790</v>
      </c>
      <c r="M71">
        <v>1627322306.5218413</v>
      </c>
      <c r="O71">
        <f t="shared" si="19"/>
        <v>179</v>
      </c>
      <c r="P71" s="240">
        <v>1790</v>
      </c>
      <c r="Q71">
        <v>361582777.57198501</v>
      </c>
      <c r="R71">
        <v>1369849190.3618078</v>
      </c>
      <c r="S71">
        <v>16351290</v>
      </c>
      <c r="T71">
        <v>126094584.091995</v>
      </c>
      <c r="U71">
        <f t="shared" si="20"/>
        <v>1873877842.0257878</v>
      </c>
      <c r="W71">
        <f t="shared" si="21"/>
        <v>179</v>
      </c>
      <c r="X71" s="240">
        <v>1790</v>
      </c>
      <c r="Y71">
        <v>554722686.87438095</v>
      </c>
    </row>
    <row r="72" spans="1:25">
      <c r="A72" s="201">
        <v>180</v>
      </c>
      <c r="B72" s="196">
        <f t="shared" si="13"/>
        <v>1307783073.6976519</v>
      </c>
      <c r="C72" s="196">
        <f t="shared" si="14"/>
        <v>2101233890.2094126</v>
      </c>
      <c r="D72" s="196">
        <f t="shared" si="15"/>
        <v>98800142.561045766</v>
      </c>
      <c r="E72" s="197">
        <f t="shared" si="17"/>
        <v>3507817106.4681101</v>
      </c>
      <c r="F72" s="198">
        <f t="shared" si="16"/>
        <v>784043</v>
      </c>
      <c r="K72">
        <f t="shared" si="18"/>
        <v>180</v>
      </c>
      <c r="L72" s="240">
        <v>1800</v>
      </c>
      <c r="M72">
        <v>1307783073.6976519</v>
      </c>
      <c r="O72">
        <f t="shared" si="19"/>
        <v>180</v>
      </c>
      <c r="P72" s="240">
        <v>1800</v>
      </c>
      <c r="Q72">
        <v>854125975.95797706</v>
      </c>
      <c r="R72">
        <v>1572336091.9937971</v>
      </c>
      <c r="S72">
        <v>7205580</v>
      </c>
      <c r="T72">
        <v>192874714.80999118</v>
      </c>
      <c r="U72">
        <f t="shared" si="20"/>
        <v>2626542362.7617655</v>
      </c>
      <c r="W72">
        <f t="shared" si="21"/>
        <v>180</v>
      </c>
      <c r="X72" s="240">
        <v>1800</v>
      </c>
      <c r="Y72">
        <v>123500178.20130719</v>
      </c>
    </row>
    <row r="73" spans="1:25">
      <c r="A73" s="201">
        <v>182</v>
      </c>
      <c r="B73" s="196">
        <f t="shared" si="13"/>
        <v>544014404.52291536</v>
      </c>
      <c r="C73" s="196">
        <f t="shared" si="14"/>
        <v>810902297.98069346</v>
      </c>
      <c r="D73" s="196">
        <f t="shared" si="15"/>
        <v>227113935.95553014</v>
      </c>
      <c r="E73" s="197">
        <f t="shared" si="17"/>
        <v>1582030638.4591389</v>
      </c>
      <c r="F73" s="198">
        <f t="shared" si="16"/>
        <v>353604</v>
      </c>
      <c r="K73">
        <f t="shared" si="18"/>
        <v>182</v>
      </c>
      <c r="L73" s="240">
        <v>1820</v>
      </c>
      <c r="M73">
        <v>544014404.52291536</v>
      </c>
      <c r="O73">
        <f t="shared" si="19"/>
        <v>182</v>
      </c>
      <c r="P73" s="240">
        <v>1820</v>
      </c>
      <c r="Q73">
        <v>159338470.087989</v>
      </c>
      <c r="R73">
        <v>805089290.78588045</v>
      </c>
      <c r="S73">
        <v>0</v>
      </c>
      <c r="T73">
        <v>49200111.601997398</v>
      </c>
      <c r="U73">
        <f t="shared" si="20"/>
        <v>1013627872.4758668</v>
      </c>
      <c r="W73">
        <f t="shared" si="21"/>
        <v>182</v>
      </c>
      <c r="X73" s="240">
        <v>1820</v>
      </c>
      <c r="Y73">
        <v>283892419.94441265</v>
      </c>
    </row>
    <row r="74" spans="1:25">
      <c r="A74" s="201">
        <v>183</v>
      </c>
      <c r="B74" s="196">
        <f t="shared" si="13"/>
        <v>666519526.97711384</v>
      </c>
      <c r="C74" s="196">
        <f t="shared" si="14"/>
        <v>758808794.90069723</v>
      </c>
      <c r="D74" s="196">
        <f t="shared" si="15"/>
        <v>8048071.7543059206</v>
      </c>
      <c r="E74" s="197">
        <f t="shared" si="17"/>
        <v>1433376393.6321168</v>
      </c>
      <c r="F74" s="198">
        <f t="shared" si="16"/>
        <v>320378</v>
      </c>
      <c r="K74">
        <f t="shared" si="18"/>
        <v>183</v>
      </c>
      <c r="L74" s="240">
        <v>1830</v>
      </c>
      <c r="M74">
        <v>666519526.97711384</v>
      </c>
      <c r="O74">
        <f t="shared" si="19"/>
        <v>183</v>
      </c>
      <c r="P74" s="240">
        <v>1830</v>
      </c>
      <c r="Q74">
        <v>227258269.9859916</v>
      </c>
      <c r="R74">
        <v>655703394.53988433</v>
      </c>
      <c r="S74">
        <v>0</v>
      </c>
      <c r="T74">
        <v>65549329.099995606</v>
      </c>
      <c r="U74">
        <f t="shared" si="20"/>
        <v>948510993.62587154</v>
      </c>
      <c r="W74">
        <f t="shared" si="21"/>
        <v>183</v>
      </c>
      <c r="X74" s="240">
        <v>1830</v>
      </c>
      <c r="Y74">
        <v>10060089.6928824</v>
      </c>
    </row>
    <row r="75" spans="1:25">
      <c r="A75" s="201">
        <v>184</v>
      </c>
      <c r="B75" s="196">
        <f t="shared" si="13"/>
        <v>853011740.01583099</v>
      </c>
      <c r="C75" s="196">
        <f t="shared" si="14"/>
        <v>1405808683.8559144</v>
      </c>
      <c r="D75" s="196">
        <f t="shared" si="15"/>
        <v>370227414.83606195</v>
      </c>
      <c r="E75" s="197">
        <f t="shared" si="17"/>
        <v>2629047838.7078071</v>
      </c>
      <c r="F75" s="198">
        <f t="shared" si="16"/>
        <v>587626</v>
      </c>
      <c r="K75">
        <f t="shared" si="18"/>
        <v>184</v>
      </c>
      <c r="L75" s="240">
        <v>1840</v>
      </c>
      <c r="M75">
        <v>853011740.01583099</v>
      </c>
      <c r="O75">
        <f t="shared" si="19"/>
        <v>184</v>
      </c>
      <c r="P75" s="240">
        <v>1840</v>
      </c>
      <c r="Q75">
        <v>501547765.33199525</v>
      </c>
      <c r="R75">
        <v>1066418504.9679006</v>
      </c>
      <c r="S75">
        <v>0</v>
      </c>
      <c r="T75">
        <v>189294584.519997</v>
      </c>
      <c r="U75">
        <f t="shared" si="20"/>
        <v>1757260854.8198929</v>
      </c>
      <c r="W75">
        <f t="shared" si="21"/>
        <v>184</v>
      </c>
      <c r="X75" s="240">
        <v>1840</v>
      </c>
      <c r="Y75">
        <v>462784268.54507744</v>
      </c>
    </row>
    <row r="76" spans="1:25">
      <c r="A76" s="201">
        <v>185</v>
      </c>
      <c r="B76" s="196">
        <f t="shared" si="13"/>
        <v>1869125871.9107752</v>
      </c>
      <c r="C76" s="196">
        <f t="shared" si="14"/>
        <v>2096479449.0462201</v>
      </c>
      <c r="D76" s="196">
        <f t="shared" si="15"/>
        <v>182804893.55747825</v>
      </c>
      <c r="E76" s="197">
        <f t="shared" si="17"/>
        <v>4148410214.5144734</v>
      </c>
      <c r="F76" s="198">
        <f t="shared" si="16"/>
        <v>927224</v>
      </c>
      <c r="K76">
        <f t="shared" si="18"/>
        <v>185</v>
      </c>
      <c r="L76" s="240">
        <v>1850</v>
      </c>
      <c r="M76">
        <v>1869125871.9107752</v>
      </c>
      <c r="O76">
        <f t="shared" si="19"/>
        <v>185</v>
      </c>
      <c r="P76" s="240">
        <v>1850</v>
      </c>
      <c r="Q76">
        <v>690869555.93198705</v>
      </c>
      <c r="R76">
        <v>1768436053.9238</v>
      </c>
      <c r="S76">
        <v>4203495</v>
      </c>
      <c r="T76">
        <v>157090206.4519878</v>
      </c>
      <c r="U76">
        <f t="shared" si="20"/>
        <v>2620599311.307775</v>
      </c>
      <c r="W76">
        <f t="shared" si="21"/>
        <v>185</v>
      </c>
      <c r="X76" s="240">
        <v>1850</v>
      </c>
      <c r="Y76">
        <v>228506116.9468478</v>
      </c>
    </row>
    <row r="77" spans="1:25">
      <c r="A77" s="201">
        <v>186</v>
      </c>
      <c r="B77" s="196">
        <f t="shared" si="13"/>
        <v>883110863.21450686</v>
      </c>
      <c r="C77" s="196">
        <f t="shared" si="14"/>
        <v>1564807645.3053875</v>
      </c>
      <c r="D77" s="196">
        <f t="shared" si="15"/>
        <v>219126899.49488851</v>
      </c>
      <c r="E77" s="197">
        <f t="shared" si="17"/>
        <v>2667045408.0147829</v>
      </c>
      <c r="F77" s="198">
        <f t="shared" si="16"/>
        <v>596119</v>
      </c>
      <c r="K77">
        <f t="shared" si="18"/>
        <v>186</v>
      </c>
      <c r="L77" s="240">
        <v>1860</v>
      </c>
      <c r="M77">
        <v>883110863.21450686</v>
      </c>
      <c r="O77">
        <f t="shared" si="19"/>
        <v>186</v>
      </c>
      <c r="P77" s="240">
        <v>1860</v>
      </c>
      <c r="Q77">
        <v>558564818.13197827</v>
      </c>
      <c r="R77">
        <v>1275336719.2897596</v>
      </c>
      <c r="S77">
        <v>2750400</v>
      </c>
      <c r="T77">
        <v>119357619.20999642</v>
      </c>
      <c r="U77">
        <f t="shared" si="20"/>
        <v>1956009556.6317344</v>
      </c>
      <c r="W77">
        <f t="shared" si="21"/>
        <v>186</v>
      </c>
      <c r="X77" s="240">
        <v>1860</v>
      </c>
      <c r="Y77">
        <v>273908624.36861062</v>
      </c>
    </row>
    <row r="78" spans="1:25">
      <c r="A78" s="201">
        <v>187</v>
      </c>
      <c r="B78" s="196">
        <f t="shared" si="13"/>
        <v>972289194.62947142</v>
      </c>
      <c r="C78" s="196">
        <f t="shared" si="14"/>
        <v>869765895.66063046</v>
      </c>
      <c r="D78" s="196">
        <f t="shared" si="15"/>
        <v>193222405.45167121</v>
      </c>
      <c r="E78" s="197">
        <f t="shared" si="17"/>
        <v>2035277495.7417731</v>
      </c>
      <c r="F78" s="198">
        <f t="shared" si="16"/>
        <v>454911</v>
      </c>
      <c r="K78">
        <f t="shared" si="18"/>
        <v>187</v>
      </c>
      <c r="L78" s="240">
        <v>1870</v>
      </c>
      <c r="M78">
        <v>972289194.62947142</v>
      </c>
      <c r="O78">
        <f t="shared" si="19"/>
        <v>187</v>
      </c>
      <c r="P78" s="240">
        <v>1870</v>
      </c>
      <c r="Q78">
        <v>201626700.34199041</v>
      </c>
      <c r="R78">
        <v>806340241.34380269</v>
      </c>
      <c r="S78">
        <v>0</v>
      </c>
      <c r="T78">
        <v>79240427.8899948</v>
      </c>
      <c r="U78">
        <f t="shared" si="20"/>
        <v>1087207369.575788</v>
      </c>
      <c r="W78">
        <f t="shared" si="21"/>
        <v>187</v>
      </c>
      <c r="X78" s="240">
        <v>1870</v>
      </c>
      <c r="Y78">
        <v>241528006.81458899</v>
      </c>
    </row>
    <row r="79" spans="1:25">
      <c r="A79" s="201">
        <v>189</v>
      </c>
      <c r="B79" s="196">
        <f t="shared" si="13"/>
        <v>1581868554.6334853</v>
      </c>
      <c r="C79" s="196">
        <f t="shared" si="14"/>
        <v>1200164032.5982676</v>
      </c>
      <c r="D79" s="196">
        <f t="shared" si="15"/>
        <v>264637365.40332958</v>
      </c>
      <c r="E79" s="197">
        <f t="shared" si="17"/>
        <v>3046669952.6350822</v>
      </c>
      <c r="F79" s="198">
        <f t="shared" si="16"/>
        <v>680970</v>
      </c>
      <c r="K79">
        <f t="shared" si="18"/>
        <v>189</v>
      </c>
      <c r="L79" s="240">
        <v>1890</v>
      </c>
      <c r="M79">
        <v>1581868554.6334853</v>
      </c>
      <c r="O79">
        <f t="shared" si="19"/>
        <v>189</v>
      </c>
      <c r="P79" s="240">
        <v>1890</v>
      </c>
      <c r="Q79">
        <v>306000320.61999422</v>
      </c>
      <c r="R79">
        <v>1075028619.4798501</v>
      </c>
      <c r="S79">
        <v>0</v>
      </c>
      <c r="T79">
        <v>119176100.6479902</v>
      </c>
      <c r="U79">
        <f t="shared" si="20"/>
        <v>1500205040.7478344</v>
      </c>
      <c r="W79">
        <f t="shared" si="21"/>
        <v>189</v>
      </c>
      <c r="X79" s="240">
        <v>1890</v>
      </c>
      <c r="Y79">
        <v>330796706.75416195</v>
      </c>
    </row>
    <row r="80" spans="1:25">
      <c r="A80" s="201">
        <v>190</v>
      </c>
      <c r="B80" s="196">
        <f t="shared" si="13"/>
        <v>840270244.80661762</v>
      </c>
      <c r="C80" s="196">
        <f t="shared" si="14"/>
        <v>1195461451.7694821</v>
      </c>
      <c r="D80" s="196">
        <f t="shared" si="15"/>
        <v>105367317.11339584</v>
      </c>
      <c r="E80" s="197">
        <f t="shared" si="17"/>
        <v>2141099013.6894958</v>
      </c>
      <c r="F80" s="198">
        <f t="shared" si="16"/>
        <v>478563</v>
      </c>
      <c r="K80">
        <f t="shared" si="18"/>
        <v>190</v>
      </c>
      <c r="L80" s="240">
        <v>1900</v>
      </c>
      <c r="M80">
        <v>840270244.80661762</v>
      </c>
      <c r="O80">
        <f t="shared" si="19"/>
        <v>190</v>
      </c>
      <c r="P80" s="240">
        <v>1900</v>
      </c>
      <c r="Q80">
        <v>404556511.47199196</v>
      </c>
      <c r="R80">
        <v>983572779.13786626</v>
      </c>
      <c r="S80">
        <v>0</v>
      </c>
      <c r="T80">
        <v>106197524.1019944</v>
      </c>
      <c r="U80">
        <f t="shared" si="20"/>
        <v>1494326814.7118526</v>
      </c>
      <c r="W80">
        <f t="shared" si="21"/>
        <v>190</v>
      </c>
      <c r="X80" s="240">
        <v>1900</v>
      </c>
      <c r="Y80">
        <v>131709146.39174479</v>
      </c>
    </row>
    <row r="81" spans="1:25">
      <c r="A81" s="201">
        <v>191</v>
      </c>
      <c r="B81" s="196">
        <f t="shared" si="13"/>
        <v>1083382771.7914634</v>
      </c>
      <c r="C81" s="196">
        <f t="shared" si="14"/>
        <v>1818263257.185436</v>
      </c>
      <c r="D81" s="196">
        <f t="shared" si="15"/>
        <v>339305499.41632885</v>
      </c>
      <c r="E81" s="197">
        <f t="shared" si="17"/>
        <v>3240951528.3932281</v>
      </c>
      <c r="F81" s="198">
        <f t="shared" si="16"/>
        <v>724395</v>
      </c>
      <c r="K81">
        <f t="shared" si="18"/>
        <v>191</v>
      </c>
      <c r="L81" s="240">
        <v>1910</v>
      </c>
      <c r="M81">
        <v>1083382771.7914634</v>
      </c>
      <c r="O81">
        <f t="shared" si="19"/>
        <v>191</v>
      </c>
      <c r="P81" s="240">
        <v>1910</v>
      </c>
      <c r="Q81">
        <v>392903880.84398699</v>
      </c>
      <c r="R81">
        <v>1502126457.1458263</v>
      </c>
      <c r="S81">
        <v>4184478</v>
      </c>
      <c r="T81">
        <v>373614255.49198139</v>
      </c>
      <c r="U81">
        <f t="shared" si="20"/>
        <v>2272829071.4817948</v>
      </c>
      <c r="W81">
        <f t="shared" si="21"/>
        <v>191</v>
      </c>
      <c r="X81" s="240">
        <v>1910</v>
      </c>
      <c r="Y81">
        <v>424131874.27041101</v>
      </c>
    </row>
    <row r="82" spans="1:25">
      <c r="A82" s="201">
        <v>192</v>
      </c>
      <c r="B82" s="196">
        <f t="shared" si="13"/>
        <v>731750983.55060005</v>
      </c>
      <c r="C82" s="196">
        <f t="shared" si="14"/>
        <v>1840038160.2269967</v>
      </c>
      <c r="D82" s="196">
        <f t="shared" si="15"/>
        <v>49350563.907002568</v>
      </c>
      <c r="E82" s="197">
        <f t="shared" si="17"/>
        <v>2621139707.6845989</v>
      </c>
      <c r="F82" s="198">
        <f t="shared" si="16"/>
        <v>585859</v>
      </c>
      <c r="K82">
        <f t="shared" si="18"/>
        <v>192</v>
      </c>
      <c r="L82" s="240">
        <v>1920</v>
      </c>
      <c r="M82">
        <v>731750983.55060005</v>
      </c>
      <c r="O82">
        <f t="shared" si="19"/>
        <v>192</v>
      </c>
      <c r="P82" s="240">
        <v>1920</v>
      </c>
      <c r="Q82">
        <v>347351156.47199166</v>
      </c>
      <c r="R82">
        <v>1774507925.8117659</v>
      </c>
      <c r="S82">
        <v>9000000</v>
      </c>
      <c r="T82">
        <v>169188617.99998802</v>
      </c>
      <c r="U82">
        <f t="shared" si="20"/>
        <v>2300047700.2837458</v>
      </c>
      <c r="W82">
        <f t="shared" si="21"/>
        <v>192</v>
      </c>
      <c r="X82" s="240">
        <v>1920</v>
      </c>
      <c r="Y82">
        <v>61688204.883753203</v>
      </c>
    </row>
    <row r="83" spans="1:25">
      <c r="A83" s="201">
        <v>193</v>
      </c>
      <c r="B83" s="196">
        <f t="shared" si="13"/>
        <v>973160099.72252297</v>
      </c>
      <c r="C83" s="196">
        <f t="shared" si="14"/>
        <v>1540018535.3438473</v>
      </c>
      <c r="D83" s="196">
        <f t="shared" si="15"/>
        <v>225519893.13185501</v>
      </c>
      <c r="E83" s="197">
        <f t="shared" si="17"/>
        <v>2738698528.198225</v>
      </c>
      <c r="F83" s="198">
        <f t="shared" si="16"/>
        <v>612135</v>
      </c>
      <c r="K83">
        <f t="shared" si="18"/>
        <v>193</v>
      </c>
      <c r="L83" s="240">
        <v>1930</v>
      </c>
      <c r="M83">
        <v>973160099.72252297</v>
      </c>
      <c r="O83">
        <f t="shared" si="19"/>
        <v>193</v>
      </c>
      <c r="P83" s="240">
        <v>1930</v>
      </c>
      <c r="Q83">
        <v>356585470.06199223</v>
      </c>
      <c r="R83">
        <v>1258481433.6238337</v>
      </c>
      <c r="S83">
        <v>1800000</v>
      </c>
      <c r="T83">
        <v>308156265.49398303</v>
      </c>
      <c r="U83">
        <f t="shared" si="20"/>
        <v>1925023169.1798089</v>
      </c>
      <c r="W83">
        <f t="shared" si="21"/>
        <v>193</v>
      </c>
      <c r="X83" s="240">
        <v>1930</v>
      </c>
      <c r="Y83">
        <v>281899866.41481876</v>
      </c>
    </row>
    <row r="84" spans="1:25">
      <c r="A84" s="201">
        <v>194</v>
      </c>
      <c r="B84" s="196">
        <f t="shared" si="13"/>
        <v>803875902.58237541</v>
      </c>
      <c r="C84" s="196">
        <f t="shared" si="14"/>
        <v>1236470324.6077487</v>
      </c>
      <c r="D84" s="196">
        <f t="shared" si="15"/>
        <v>90309854.398535684</v>
      </c>
      <c r="E84" s="197">
        <f t="shared" si="17"/>
        <v>2130656081.5886598</v>
      </c>
      <c r="F84" s="198">
        <f t="shared" si="16"/>
        <v>476229</v>
      </c>
      <c r="K84">
        <f t="shared" si="18"/>
        <v>194</v>
      </c>
      <c r="L84" s="240">
        <v>1940</v>
      </c>
      <c r="M84">
        <v>803875902.58237541</v>
      </c>
      <c r="O84">
        <f t="shared" si="19"/>
        <v>194</v>
      </c>
      <c r="P84" s="240">
        <v>1940</v>
      </c>
      <c r="Q84">
        <v>304267484.89998901</v>
      </c>
      <c r="R84">
        <v>1080670170.3677065</v>
      </c>
      <c r="S84">
        <v>0</v>
      </c>
      <c r="T84">
        <v>160650250.49199063</v>
      </c>
      <c r="U84">
        <f t="shared" si="20"/>
        <v>1545587905.759686</v>
      </c>
      <c r="W84">
        <f t="shared" si="21"/>
        <v>194</v>
      </c>
      <c r="X84" s="240">
        <v>1940</v>
      </c>
      <c r="Y84">
        <v>112887317.9981696</v>
      </c>
    </row>
    <row r="85" spans="1:25">
      <c r="A85" s="201">
        <v>195</v>
      </c>
      <c r="B85" s="196">
        <f t="shared" si="13"/>
        <v>918663011.09371436</v>
      </c>
      <c r="C85" s="196">
        <f t="shared" si="14"/>
        <v>748913733.06388426</v>
      </c>
      <c r="D85" s="196">
        <f t="shared" si="15"/>
        <v>167933852.30326882</v>
      </c>
      <c r="E85" s="197">
        <f t="shared" si="17"/>
        <v>1835510596.4608674</v>
      </c>
      <c r="F85" s="198">
        <f t="shared" si="16"/>
        <v>410260</v>
      </c>
      <c r="K85">
        <f t="shared" si="18"/>
        <v>195</v>
      </c>
      <c r="L85" s="240">
        <v>1950</v>
      </c>
      <c r="M85">
        <v>918663011.09371436</v>
      </c>
      <c r="O85">
        <f t="shared" si="19"/>
        <v>195</v>
      </c>
      <c r="P85" s="240">
        <v>1950</v>
      </c>
      <c r="Q85">
        <v>131293709.17399621</v>
      </c>
      <c r="R85">
        <v>762088476.60586262</v>
      </c>
      <c r="S85">
        <v>1800000</v>
      </c>
      <c r="T85">
        <v>40959980.549996406</v>
      </c>
      <c r="U85">
        <f t="shared" si="20"/>
        <v>936142166.3298552</v>
      </c>
      <c r="W85">
        <f t="shared" si="21"/>
        <v>195</v>
      </c>
      <c r="X85" s="240">
        <v>1950</v>
      </c>
      <c r="Y85">
        <v>209917315.37908602</v>
      </c>
    </row>
    <row r="86" spans="1:25">
      <c r="A86" s="201">
        <v>196</v>
      </c>
      <c r="B86" s="196">
        <f t="shared" si="13"/>
        <v>797239509.11809838</v>
      </c>
      <c r="C86" s="196">
        <f t="shared" si="14"/>
        <v>1472650096.3294094</v>
      </c>
      <c r="D86" s="196">
        <f t="shared" si="15"/>
        <v>83694846.786269784</v>
      </c>
      <c r="E86" s="197">
        <f t="shared" si="17"/>
        <v>2353584452.2337775</v>
      </c>
      <c r="F86" s="198">
        <f t="shared" si="16"/>
        <v>526057</v>
      </c>
      <c r="K86">
        <f t="shared" si="18"/>
        <v>196</v>
      </c>
      <c r="L86" s="240">
        <v>1960</v>
      </c>
      <c r="M86">
        <v>797239509.11809838</v>
      </c>
      <c r="O86">
        <f t="shared" si="19"/>
        <v>196</v>
      </c>
      <c r="P86" s="240">
        <v>1960</v>
      </c>
      <c r="Q86">
        <v>301306874.50599122</v>
      </c>
      <c r="R86">
        <v>1422680898.0517759</v>
      </c>
      <c r="S86">
        <v>11708134.999999199</v>
      </c>
      <c r="T86">
        <v>105116712.85399501</v>
      </c>
      <c r="U86">
        <f t="shared" si="20"/>
        <v>1840812620.4117615</v>
      </c>
      <c r="W86">
        <f t="shared" si="21"/>
        <v>196</v>
      </c>
      <c r="X86" s="240">
        <v>1960</v>
      </c>
      <c r="Y86">
        <v>104618558.48283722</v>
      </c>
    </row>
    <row r="87" spans="1:25">
      <c r="A87" s="201">
        <v>197</v>
      </c>
      <c r="B87" s="196">
        <f t="shared" si="13"/>
        <v>639297193.94917464</v>
      </c>
      <c r="C87" s="196">
        <f t="shared" si="14"/>
        <v>666407168.64469302</v>
      </c>
      <c r="D87" s="196">
        <f t="shared" si="15"/>
        <v>68703501.728326246</v>
      </c>
      <c r="E87" s="197">
        <f t="shared" si="17"/>
        <v>1374407864.3221941</v>
      </c>
      <c r="F87" s="198">
        <f t="shared" si="16"/>
        <v>307198</v>
      </c>
      <c r="K87">
        <f t="shared" si="18"/>
        <v>197</v>
      </c>
      <c r="L87" s="240">
        <v>1970</v>
      </c>
      <c r="M87">
        <v>639297193.94917464</v>
      </c>
      <c r="O87">
        <f t="shared" si="19"/>
        <v>197</v>
      </c>
      <c r="P87" s="240">
        <v>1970</v>
      </c>
      <c r="Q87">
        <v>226411308.809991</v>
      </c>
      <c r="R87">
        <v>551020573.99587786</v>
      </c>
      <c r="S87">
        <v>1954080</v>
      </c>
      <c r="T87">
        <v>53622997.9999974</v>
      </c>
      <c r="U87">
        <f t="shared" si="20"/>
        <v>833008960.80586624</v>
      </c>
      <c r="W87">
        <f t="shared" si="21"/>
        <v>197</v>
      </c>
      <c r="X87" s="240">
        <v>1970</v>
      </c>
      <c r="Y87">
        <v>85879377.160407797</v>
      </c>
    </row>
    <row r="88" spans="1:25">
      <c r="A88" s="201">
        <v>199</v>
      </c>
      <c r="B88" s="196">
        <f t="shared" si="13"/>
        <v>630212541.17535973</v>
      </c>
      <c r="C88" s="196">
        <f t="shared" si="14"/>
        <v>893769575.30066168</v>
      </c>
      <c r="D88" s="196">
        <f t="shared" si="15"/>
        <v>72615806.910009444</v>
      </c>
      <c r="E88" s="197">
        <f t="shared" si="17"/>
        <v>1596597923.3860307</v>
      </c>
      <c r="F88" s="198">
        <f t="shared" si="16"/>
        <v>356860</v>
      </c>
      <c r="K88">
        <f t="shared" si="18"/>
        <v>199</v>
      </c>
      <c r="L88" s="240">
        <v>1990</v>
      </c>
      <c r="M88">
        <v>630212541.17535973</v>
      </c>
      <c r="O88">
        <f t="shared" si="19"/>
        <v>199</v>
      </c>
      <c r="P88" s="240">
        <v>1990</v>
      </c>
      <c r="Q88">
        <v>292897127.17399323</v>
      </c>
      <c r="R88">
        <v>741423232.78384495</v>
      </c>
      <c r="S88">
        <v>0</v>
      </c>
      <c r="T88">
        <v>82891609.167988807</v>
      </c>
      <c r="U88">
        <f t="shared" si="20"/>
        <v>1117211969.1258271</v>
      </c>
      <c r="W88">
        <f t="shared" si="21"/>
        <v>199</v>
      </c>
      <c r="X88" s="240">
        <v>1990</v>
      </c>
      <c r="Y88">
        <v>90769758.637511805</v>
      </c>
    </row>
    <row r="89" spans="1:25">
      <c r="A89" s="201">
        <v>200</v>
      </c>
      <c r="B89" s="196">
        <f t="shared" si="13"/>
        <v>622497291.91263664</v>
      </c>
      <c r="C89" s="196">
        <f t="shared" si="14"/>
        <v>1166816858.2846444</v>
      </c>
      <c r="D89" s="196">
        <f t="shared" si="15"/>
        <v>84451596.304850414</v>
      </c>
      <c r="E89" s="197">
        <f t="shared" si="17"/>
        <v>1873765746.5021312</v>
      </c>
      <c r="F89" s="198">
        <f t="shared" si="16"/>
        <v>418811</v>
      </c>
      <c r="K89">
        <f t="shared" si="18"/>
        <v>200</v>
      </c>
      <c r="L89" s="240">
        <v>2000</v>
      </c>
      <c r="M89">
        <v>622497291.91263664</v>
      </c>
      <c r="O89">
        <f t="shared" si="19"/>
        <v>200</v>
      </c>
      <c r="P89" s="240">
        <v>2000</v>
      </c>
      <c r="Q89">
        <v>277656050.15598059</v>
      </c>
      <c r="R89">
        <v>1102756882.6998305</v>
      </c>
      <c r="S89">
        <v>0</v>
      </c>
      <c r="T89">
        <v>78108139.999994397</v>
      </c>
      <c r="U89">
        <f t="shared" si="20"/>
        <v>1458521072.8558054</v>
      </c>
      <c r="W89">
        <f t="shared" si="21"/>
        <v>200</v>
      </c>
      <c r="X89" s="240">
        <v>2000</v>
      </c>
      <c r="Y89">
        <v>105564495.38106301</v>
      </c>
    </row>
    <row r="90" spans="1:25">
      <c r="A90" s="201">
        <v>201</v>
      </c>
      <c r="B90" s="196">
        <f t="shared" si="13"/>
        <v>660705358.19994545</v>
      </c>
      <c r="C90" s="196">
        <f t="shared" si="14"/>
        <v>1265018428.8302588</v>
      </c>
      <c r="D90" s="196">
        <f t="shared" si="15"/>
        <v>81537131.322814882</v>
      </c>
      <c r="E90" s="197">
        <f t="shared" si="17"/>
        <v>2007260918.3530192</v>
      </c>
      <c r="F90" s="198">
        <f t="shared" si="16"/>
        <v>448649</v>
      </c>
      <c r="K90">
        <f t="shared" si="18"/>
        <v>201</v>
      </c>
      <c r="L90" s="240">
        <v>2010</v>
      </c>
      <c r="M90">
        <v>660705358.19994545</v>
      </c>
      <c r="O90">
        <f t="shared" si="19"/>
        <v>201</v>
      </c>
      <c r="P90" s="240">
        <v>2010</v>
      </c>
      <c r="Q90">
        <v>252067362.31199342</v>
      </c>
      <c r="R90">
        <v>1234894825.5258348</v>
      </c>
      <c r="S90">
        <v>1800000</v>
      </c>
      <c r="T90">
        <v>92510848.199995205</v>
      </c>
      <c r="U90">
        <f t="shared" si="20"/>
        <v>1581273036.0378234</v>
      </c>
      <c r="W90">
        <f t="shared" si="21"/>
        <v>201</v>
      </c>
      <c r="X90" s="240">
        <v>2010</v>
      </c>
      <c r="Y90">
        <v>101921414.15351859</v>
      </c>
    </row>
    <row r="91" spans="1:25">
      <c r="A91" s="201">
        <v>211</v>
      </c>
      <c r="B91" s="196">
        <f t="shared" si="13"/>
        <v>932275072.45302629</v>
      </c>
      <c r="C91" s="196">
        <f t="shared" si="14"/>
        <v>1229750771.1550057</v>
      </c>
      <c r="D91" s="196">
        <f t="shared" si="15"/>
        <v>205390589.33095872</v>
      </c>
      <c r="E91" s="197">
        <f t="shared" si="17"/>
        <v>2367416432.9389911</v>
      </c>
      <c r="F91" s="198">
        <f t="shared" si="16"/>
        <v>529148</v>
      </c>
      <c r="K91">
        <f t="shared" si="18"/>
        <v>211</v>
      </c>
      <c r="L91" s="240">
        <v>2110</v>
      </c>
      <c r="M91">
        <v>932275072.45302629</v>
      </c>
      <c r="O91">
        <f t="shared" si="19"/>
        <v>211</v>
      </c>
      <c r="P91" s="240">
        <v>2110</v>
      </c>
      <c r="Q91">
        <v>431157747.31997937</v>
      </c>
      <c r="R91">
        <v>970030338.39378726</v>
      </c>
      <c r="S91">
        <v>0</v>
      </c>
      <c r="T91">
        <v>136000378.22999039</v>
      </c>
      <c r="U91">
        <f t="shared" si="20"/>
        <v>1537188463.9437571</v>
      </c>
      <c r="W91">
        <f t="shared" si="21"/>
        <v>211</v>
      </c>
      <c r="X91" s="240">
        <v>2110</v>
      </c>
      <c r="Y91">
        <v>256738236.66369841</v>
      </c>
    </row>
    <row r="92" spans="1:25">
      <c r="A92" s="201">
        <v>220</v>
      </c>
      <c r="B92" s="196">
        <f t="shared" si="13"/>
        <v>480848092.37977582</v>
      </c>
      <c r="C92" s="196">
        <f t="shared" si="14"/>
        <v>1063415217.2429436</v>
      </c>
      <c r="D92" s="196">
        <f t="shared" si="15"/>
        <v>60503299.273753598</v>
      </c>
      <c r="E92" s="197">
        <f t="shared" si="17"/>
        <v>1604766608.8964732</v>
      </c>
      <c r="F92" s="198">
        <f t="shared" si="16"/>
        <v>358686</v>
      </c>
      <c r="K92">
        <f t="shared" si="18"/>
        <v>220</v>
      </c>
      <c r="L92" s="240">
        <v>2200</v>
      </c>
      <c r="M92">
        <v>480848092.37977582</v>
      </c>
      <c r="O92">
        <f t="shared" si="19"/>
        <v>220</v>
      </c>
      <c r="P92" s="240">
        <v>2200</v>
      </c>
      <c r="Q92">
        <v>145861767.07799041</v>
      </c>
      <c r="R92">
        <v>942451568.07569647</v>
      </c>
      <c r="S92">
        <v>7832246.3999999994</v>
      </c>
      <c r="T92">
        <v>233123439.99999237</v>
      </c>
      <c r="U92">
        <f t="shared" si="20"/>
        <v>1329269021.5536795</v>
      </c>
      <c r="W92">
        <f t="shared" si="21"/>
        <v>220</v>
      </c>
      <c r="X92" s="240">
        <v>2200</v>
      </c>
      <c r="Y92">
        <v>75629124.092191994</v>
      </c>
    </row>
    <row r="93" spans="1:25">
      <c r="A93" s="201">
        <v>221</v>
      </c>
      <c r="B93" s="196">
        <f t="shared" si="13"/>
        <v>558667950.04065895</v>
      </c>
      <c r="C93" s="196">
        <f t="shared" si="14"/>
        <v>968797979.46058333</v>
      </c>
      <c r="D93" s="196">
        <f t="shared" si="15"/>
        <v>102609867.27979536</v>
      </c>
      <c r="E93" s="197">
        <f t="shared" si="17"/>
        <v>1630075796.7810376</v>
      </c>
      <c r="F93" s="198">
        <f t="shared" si="16"/>
        <v>364343</v>
      </c>
      <c r="K93">
        <f t="shared" si="18"/>
        <v>221</v>
      </c>
      <c r="L93" s="240">
        <v>2210</v>
      </c>
      <c r="M93">
        <v>558667950.04065895</v>
      </c>
      <c r="O93">
        <f t="shared" si="19"/>
        <v>221</v>
      </c>
      <c r="P93" s="240">
        <v>2210</v>
      </c>
      <c r="Q93">
        <v>300655110.43798202</v>
      </c>
      <c r="R93">
        <v>782058162.58575845</v>
      </c>
      <c r="S93">
        <v>900000</v>
      </c>
      <c r="T93">
        <v>127384201.3019886</v>
      </c>
      <c r="U93">
        <f t="shared" si="20"/>
        <v>1210997474.3257291</v>
      </c>
      <c r="W93">
        <f t="shared" si="21"/>
        <v>221</v>
      </c>
      <c r="X93" s="240">
        <v>2210</v>
      </c>
      <c r="Y93">
        <v>128262334.0997442</v>
      </c>
    </row>
    <row r="94" spans="1:25">
      <c r="A94" s="201">
        <v>240</v>
      </c>
      <c r="B94" s="196">
        <f t="shared" si="13"/>
        <v>1330014442.3651755</v>
      </c>
      <c r="C94" s="196">
        <f t="shared" si="14"/>
        <v>2076422611.1406255</v>
      </c>
      <c r="D94" s="196">
        <f t="shared" si="15"/>
        <v>269873029.86679935</v>
      </c>
      <c r="E94" s="197">
        <f t="shared" si="17"/>
        <v>3676310083.3726006</v>
      </c>
      <c r="F94" s="198">
        <f t="shared" si="16"/>
        <v>821703</v>
      </c>
      <c r="K94">
        <f t="shared" si="18"/>
        <v>240</v>
      </c>
      <c r="L94" s="240">
        <v>2400</v>
      </c>
      <c r="M94">
        <v>1330014442.3651755</v>
      </c>
      <c r="O94">
        <f t="shared" si="19"/>
        <v>240</v>
      </c>
      <c r="P94" s="240">
        <v>2400</v>
      </c>
      <c r="Q94">
        <v>487955650.18598825</v>
      </c>
      <c r="R94">
        <v>1757246888.019809</v>
      </c>
      <c r="S94">
        <v>8813379.999995999</v>
      </c>
      <c r="T94">
        <v>341512345.71998829</v>
      </c>
      <c r="U94">
        <f t="shared" si="20"/>
        <v>2595528263.9257817</v>
      </c>
      <c r="W94">
        <f t="shared" si="21"/>
        <v>240</v>
      </c>
      <c r="X94" s="240">
        <v>2400</v>
      </c>
      <c r="Y94">
        <v>337341287.33349919</v>
      </c>
    </row>
    <row r="95" spans="1:25">
      <c r="A95" s="201">
        <v>241</v>
      </c>
      <c r="B95" s="196">
        <f t="shared" si="13"/>
        <v>1405647041.3020325</v>
      </c>
      <c r="C95" s="196">
        <f t="shared" si="14"/>
        <v>2078593793.5485699</v>
      </c>
      <c r="D95" s="196">
        <f t="shared" si="15"/>
        <v>431403729.57892799</v>
      </c>
      <c r="E95" s="197">
        <f t="shared" si="17"/>
        <v>3915644564.4295301</v>
      </c>
      <c r="F95" s="198">
        <f t="shared" si="16"/>
        <v>875197</v>
      </c>
      <c r="K95">
        <f t="shared" si="18"/>
        <v>241</v>
      </c>
      <c r="L95" s="240">
        <v>2410</v>
      </c>
      <c r="M95">
        <v>1405647041.3020325</v>
      </c>
      <c r="O95">
        <f t="shared" si="19"/>
        <v>241</v>
      </c>
      <c r="P95" s="240">
        <v>2410</v>
      </c>
      <c r="Q95">
        <v>696008958.12998104</v>
      </c>
      <c r="R95">
        <v>1739855315.2217507</v>
      </c>
      <c r="S95">
        <v>4415215.7999988003</v>
      </c>
      <c r="T95">
        <v>157962752.78398201</v>
      </c>
      <c r="U95">
        <f t="shared" si="20"/>
        <v>2598242241.9357123</v>
      </c>
      <c r="W95">
        <f t="shared" si="21"/>
        <v>241</v>
      </c>
      <c r="X95" s="240">
        <v>2410</v>
      </c>
      <c r="Y95">
        <v>539254661.97365999</v>
      </c>
    </row>
    <row r="96" spans="1:25">
      <c r="A96" s="201">
        <v>242</v>
      </c>
      <c r="B96" s="196">
        <f t="shared" si="13"/>
        <v>1536565195.8558042</v>
      </c>
      <c r="C96" s="196">
        <f t="shared" si="14"/>
        <v>3228356208.988574</v>
      </c>
      <c r="D96" s="196">
        <f t="shared" si="15"/>
        <v>68262741.894550562</v>
      </c>
      <c r="E96" s="197">
        <f t="shared" si="17"/>
        <v>4833184146.7389288</v>
      </c>
      <c r="F96" s="198">
        <f t="shared" si="16"/>
        <v>1080279</v>
      </c>
      <c r="K96">
        <f t="shared" si="18"/>
        <v>242</v>
      </c>
      <c r="L96" s="240">
        <v>2420</v>
      </c>
      <c r="M96">
        <v>1536565195.8558042</v>
      </c>
      <c r="O96">
        <f t="shared" si="19"/>
        <v>242</v>
      </c>
      <c r="P96" s="240">
        <v>2420</v>
      </c>
      <c r="Q96">
        <v>775624572.25997043</v>
      </c>
      <c r="R96">
        <v>2843092710.1217642</v>
      </c>
      <c r="S96">
        <v>2114280</v>
      </c>
      <c r="T96">
        <v>414613698.85398239</v>
      </c>
      <c r="U96">
        <f t="shared" si="20"/>
        <v>4035445261.2357173</v>
      </c>
      <c r="W96">
        <f t="shared" si="21"/>
        <v>242</v>
      </c>
      <c r="X96" s="240">
        <v>2420</v>
      </c>
      <c r="Y96">
        <v>85328427.368188202</v>
      </c>
    </row>
    <row r="97" spans="1:25">
      <c r="A97" s="201">
        <v>243</v>
      </c>
      <c r="B97" s="196">
        <f t="shared" si="13"/>
        <v>1175589607.412966</v>
      </c>
      <c r="C97" s="196">
        <f t="shared" si="14"/>
        <v>1640226915.1982565</v>
      </c>
      <c r="D97" s="196">
        <f t="shared" si="15"/>
        <v>447989539.27623409</v>
      </c>
      <c r="E97" s="197">
        <f t="shared" si="17"/>
        <v>3263806061.8874564</v>
      </c>
      <c r="F97" s="198">
        <f t="shared" si="16"/>
        <v>729503</v>
      </c>
      <c r="K97">
        <f t="shared" si="18"/>
        <v>243</v>
      </c>
      <c r="L97" s="240">
        <v>2430</v>
      </c>
      <c r="M97">
        <v>1175589607.412966</v>
      </c>
      <c r="O97">
        <f t="shared" si="19"/>
        <v>243</v>
      </c>
      <c r="P97" s="240">
        <v>2430</v>
      </c>
      <c r="Q97">
        <v>341795503.229985</v>
      </c>
      <c r="R97">
        <v>1475216040.1118526</v>
      </c>
      <c r="S97">
        <v>6660000</v>
      </c>
      <c r="T97">
        <v>226612100.65598282</v>
      </c>
      <c r="U97">
        <f t="shared" si="20"/>
        <v>2050283643.9978204</v>
      </c>
      <c r="W97">
        <f t="shared" si="21"/>
        <v>243</v>
      </c>
      <c r="X97" s="240">
        <v>2430</v>
      </c>
      <c r="Y97">
        <v>559986924.09529257</v>
      </c>
    </row>
    <row r="98" spans="1:25">
      <c r="A98" s="201">
        <v>244</v>
      </c>
      <c r="B98" s="196">
        <f t="shared" si="13"/>
        <v>1515966302.2887311</v>
      </c>
      <c r="C98" s="196">
        <f t="shared" si="14"/>
        <v>1814505626.8477974</v>
      </c>
      <c r="D98" s="196">
        <f t="shared" si="15"/>
        <v>267145496.06837988</v>
      </c>
      <c r="E98" s="197">
        <f t="shared" si="17"/>
        <v>3597617425.2049084</v>
      </c>
      <c r="F98" s="198">
        <f t="shared" si="16"/>
        <v>804114</v>
      </c>
      <c r="K98">
        <f t="shared" si="18"/>
        <v>244</v>
      </c>
      <c r="L98" s="240">
        <v>2440</v>
      </c>
      <c r="M98">
        <v>1515966302.2887311</v>
      </c>
      <c r="O98">
        <f t="shared" si="19"/>
        <v>244</v>
      </c>
      <c r="P98" s="240">
        <v>2440</v>
      </c>
      <c r="Q98">
        <v>233115091.07598722</v>
      </c>
      <c r="R98">
        <v>1347913351.981802</v>
      </c>
      <c r="S98">
        <v>12274272</v>
      </c>
      <c r="T98">
        <v>674829318.50195765</v>
      </c>
      <c r="U98">
        <f t="shared" si="20"/>
        <v>2268132033.5597467</v>
      </c>
      <c r="W98">
        <f t="shared" si="21"/>
        <v>244</v>
      </c>
      <c r="X98" s="240">
        <v>2440</v>
      </c>
      <c r="Y98">
        <v>333931870.08547485</v>
      </c>
    </row>
    <row r="99" spans="1:25">
      <c r="A99" s="201">
        <v>245</v>
      </c>
      <c r="B99" s="196">
        <f t="shared" si="13"/>
        <v>624826050.49729323</v>
      </c>
      <c r="C99" s="196">
        <f t="shared" si="14"/>
        <v>1181185402.3438408</v>
      </c>
      <c r="D99" s="196">
        <f t="shared" si="15"/>
        <v>140651512.93811426</v>
      </c>
      <c r="E99" s="197">
        <f t="shared" si="17"/>
        <v>1946662965.7792482</v>
      </c>
      <c r="F99" s="198">
        <f t="shared" si="16"/>
        <v>435104</v>
      </c>
      <c r="K99">
        <f t="shared" si="18"/>
        <v>245</v>
      </c>
      <c r="L99" s="240">
        <v>2450</v>
      </c>
      <c r="M99">
        <v>624826050.49729323</v>
      </c>
      <c r="O99">
        <f t="shared" si="19"/>
        <v>245</v>
      </c>
      <c r="P99" s="240">
        <v>2450</v>
      </c>
      <c r="Q99">
        <v>409437701.17999381</v>
      </c>
      <c r="R99">
        <v>1034790378.0898123</v>
      </c>
      <c r="S99">
        <v>2707362</v>
      </c>
      <c r="T99">
        <v>29546311.659994803</v>
      </c>
      <c r="U99">
        <f t="shared" si="20"/>
        <v>1476481752.929801</v>
      </c>
      <c r="W99">
        <f t="shared" si="21"/>
        <v>245</v>
      </c>
      <c r="X99" s="240">
        <v>2450</v>
      </c>
      <c r="Y99">
        <v>175814391.17264283</v>
      </c>
    </row>
    <row r="100" spans="1:25">
      <c r="A100" s="201">
        <v>246</v>
      </c>
      <c r="B100" s="196">
        <f t="shared" ref="B100:B131" si="22">VLOOKUP(A100,K:M,3,0)</f>
        <v>1052256172.8861091</v>
      </c>
      <c r="C100" s="196">
        <f t="shared" ref="C100:C131" si="23">VLOOKUP(A100,O:U,7,0)*0.8</f>
        <v>1586966937.174206</v>
      </c>
      <c r="D100" s="196">
        <f t="shared" ref="D100:D131" si="24">VLOOKUP(A100,W:Y,3,0)*0.8</f>
        <v>151840413.7939024</v>
      </c>
      <c r="E100" s="197">
        <f t="shared" si="17"/>
        <v>2791063523.8542175</v>
      </c>
      <c r="F100" s="198">
        <f t="shared" ref="F100:F131" si="25">ROUND(E100*(F$2/E$187), 0)</f>
        <v>623839</v>
      </c>
      <c r="K100">
        <f t="shared" si="18"/>
        <v>246</v>
      </c>
      <c r="L100" s="240">
        <v>2460</v>
      </c>
      <c r="M100">
        <v>1052256172.8861091</v>
      </c>
      <c r="O100">
        <f t="shared" si="19"/>
        <v>246</v>
      </c>
      <c r="P100" s="240">
        <v>2460</v>
      </c>
      <c r="Q100">
        <v>433734336.20399046</v>
      </c>
      <c r="R100">
        <v>1387218617.8577783</v>
      </c>
      <c r="S100">
        <v>0</v>
      </c>
      <c r="T100">
        <v>162755717.4059886</v>
      </c>
      <c r="U100">
        <f t="shared" si="20"/>
        <v>1983708671.4677575</v>
      </c>
      <c r="W100">
        <f t="shared" si="21"/>
        <v>246</v>
      </c>
      <c r="X100" s="240">
        <v>2460</v>
      </c>
      <c r="Y100">
        <v>189800517.242378</v>
      </c>
    </row>
    <row r="101" spans="1:25">
      <c r="A101" s="201">
        <v>247</v>
      </c>
      <c r="B101" s="196">
        <f t="shared" si="22"/>
        <v>950365827.80255103</v>
      </c>
      <c r="C101" s="196">
        <f t="shared" si="23"/>
        <v>2353070906.5325828</v>
      </c>
      <c r="D101" s="196">
        <f t="shared" si="24"/>
        <v>70734523.153749928</v>
      </c>
      <c r="E101" s="197">
        <f t="shared" si="17"/>
        <v>3374171257.4888835</v>
      </c>
      <c r="F101" s="198">
        <f t="shared" si="25"/>
        <v>754171</v>
      </c>
      <c r="K101">
        <f t="shared" si="18"/>
        <v>247</v>
      </c>
      <c r="L101" s="240">
        <v>2470</v>
      </c>
      <c r="M101">
        <v>950365827.80255103</v>
      </c>
      <c r="O101">
        <f t="shared" si="19"/>
        <v>247</v>
      </c>
      <c r="P101" s="240">
        <v>2470</v>
      </c>
      <c r="Q101">
        <v>644148958.20998216</v>
      </c>
      <c r="R101">
        <v>1860500040.5117664</v>
      </c>
      <c r="S101">
        <v>9900000</v>
      </c>
      <c r="T101">
        <v>426789634.4439804</v>
      </c>
      <c r="U101">
        <f t="shared" si="20"/>
        <v>2941338633.1657286</v>
      </c>
      <c r="W101">
        <f t="shared" si="21"/>
        <v>247</v>
      </c>
      <c r="X101" s="240">
        <v>2470</v>
      </c>
      <c r="Y101">
        <v>88418153.942187399</v>
      </c>
    </row>
    <row r="102" spans="1:25">
      <c r="A102" s="201">
        <v>248</v>
      </c>
      <c r="B102" s="196">
        <f t="shared" si="22"/>
        <v>701501255.43083429</v>
      </c>
      <c r="C102" s="196">
        <f t="shared" si="23"/>
        <v>1403578719.1646595</v>
      </c>
      <c r="D102" s="196">
        <f t="shared" si="24"/>
        <v>213332379.70556241</v>
      </c>
      <c r="E102" s="197">
        <f t="shared" si="17"/>
        <v>2318412354.3010564</v>
      </c>
      <c r="F102" s="198">
        <f t="shared" si="25"/>
        <v>518195</v>
      </c>
      <c r="K102">
        <f t="shared" si="18"/>
        <v>248</v>
      </c>
      <c r="L102" s="240">
        <v>2480</v>
      </c>
      <c r="M102">
        <v>701501255.43083429</v>
      </c>
      <c r="O102">
        <f t="shared" si="19"/>
        <v>248</v>
      </c>
      <c r="P102" s="240">
        <v>2480</v>
      </c>
      <c r="Q102">
        <v>321377341.30398899</v>
      </c>
      <c r="R102">
        <v>1161457758.9878399</v>
      </c>
      <c r="S102">
        <v>1008000</v>
      </c>
      <c r="T102">
        <v>270630298.66399562</v>
      </c>
      <c r="U102">
        <f t="shared" si="20"/>
        <v>1754473398.9558244</v>
      </c>
      <c r="W102">
        <f t="shared" si="21"/>
        <v>248</v>
      </c>
      <c r="X102" s="240">
        <v>2480</v>
      </c>
      <c r="Y102">
        <v>266665474.631953</v>
      </c>
    </row>
    <row r="103" spans="1:25">
      <c r="A103" s="201">
        <v>249</v>
      </c>
      <c r="B103" s="196">
        <f t="shared" si="22"/>
        <v>731706997.816414</v>
      </c>
      <c r="C103" s="196">
        <f t="shared" si="23"/>
        <v>1062890922.937457</v>
      </c>
      <c r="D103" s="196">
        <f t="shared" si="24"/>
        <v>51591197.515358083</v>
      </c>
      <c r="E103" s="197">
        <f t="shared" si="17"/>
        <v>1846189118.2692289</v>
      </c>
      <c r="F103" s="198">
        <f t="shared" si="25"/>
        <v>412647</v>
      </c>
      <c r="K103">
        <f t="shared" si="18"/>
        <v>249</v>
      </c>
      <c r="L103" s="240">
        <v>2490</v>
      </c>
      <c r="M103">
        <v>731706997.816414</v>
      </c>
      <c r="O103">
        <f t="shared" si="19"/>
        <v>249</v>
      </c>
      <c r="P103" s="240">
        <v>2490</v>
      </c>
      <c r="Q103">
        <v>234008264.0659914</v>
      </c>
      <c r="R103">
        <v>1013138448.1058413</v>
      </c>
      <c r="S103">
        <v>4120479.9999989998</v>
      </c>
      <c r="T103">
        <v>77346461.499989405</v>
      </c>
      <c r="U103">
        <f t="shared" si="20"/>
        <v>1328613653.6718211</v>
      </c>
      <c r="W103">
        <f t="shared" si="21"/>
        <v>249</v>
      </c>
      <c r="X103" s="240">
        <v>2490</v>
      </c>
      <c r="Y103">
        <v>64488996.894197598</v>
      </c>
    </row>
    <row r="104" spans="1:25">
      <c r="A104" s="201">
        <v>250</v>
      </c>
      <c r="B104" s="196">
        <f t="shared" si="22"/>
        <v>338355070.08249223</v>
      </c>
      <c r="C104" s="196">
        <f t="shared" si="23"/>
        <v>1026361562.2606585</v>
      </c>
      <c r="D104" s="196">
        <f t="shared" si="24"/>
        <v>79055286.220059857</v>
      </c>
      <c r="E104" s="197">
        <f t="shared" si="17"/>
        <v>1443771918.5632105</v>
      </c>
      <c r="F104" s="198">
        <f t="shared" si="25"/>
        <v>322702</v>
      </c>
      <c r="K104">
        <f t="shared" si="18"/>
        <v>250</v>
      </c>
      <c r="L104" s="240">
        <v>2500</v>
      </c>
      <c r="M104">
        <v>338355070.08249223</v>
      </c>
      <c r="O104">
        <f t="shared" si="19"/>
        <v>250</v>
      </c>
      <c r="P104" s="240">
        <v>2500</v>
      </c>
      <c r="Q104">
        <v>237228763.72599357</v>
      </c>
      <c r="R104">
        <v>978527385.91983414</v>
      </c>
      <c r="S104">
        <v>1565460</v>
      </c>
      <c r="T104">
        <v>65630343.179995194</v>
      </c>
      <c r="U104">
        <f t="shared" si="20"/>
        <v>1282951952.8258231</v>
      </c>
      <c r="W104">
        <f t="shared" si="21"/>
        <v>250</v>
      </c>
      <c r="X104" s="240">
        <v>2500</v>
      </c>
      <c r="Y104">
        <v>98819107.77507481</v>
      </c>
    </row>
    <row r="105" spans="1:25">
      <c r="A105" s="201">
        <v>251</v>
      </c>
      <c r="B105" s="196">
        <f t="shared" si="22"/>
        <v>412220095.50046664</v>
      </c>
      <c r="C105" s="196">
        <f t="shared" si="23"/>
        <v>911620818.20785546</v>
      </c>
      <c r="D105" s="196">
        <f t="shared" si="24"/>
        <v>51228307.802108482</v>
      </c>
      <c r="E105" s="197">
        <f t="shared" si="17"/>
        <v>1375069221.5104306</v>
      </c>
      <c r="F105" s="198">
        <f t="shared" si="25"/>
        <v>307346</v>
      </c>
      <c r="K105">
        <f t="shared" si="18"/>
        <v>251</v>
      </c>
      <c r="L105" s="240">
        <v>2510</v>
      </c>
      <c r="M105">
        <v>412220095.50046664</v>
      </c>
      <c r="O105">
        <f t="shared" si="19"/>
        <v>251</v>
      </c>
      <c r="P105" s="240">
        <v>2510</v>
      </c>
      <c r="Q105">
        <v>113880202.75199161</v>
      </c>
      <c r="R105">
        <v>899813850.20783472</v>
      </c>
      <c r="S105">
        <v>0</v>
      </c>
      <c r="T105">
        <v>125831969.79999301</v>
      </c>
      <c r="U105">
        <f t="shared" si="20"/>
        <v>1139526022.7598193</v>
      </c>
      <c r="W105">
        <f t="shared" si="21"/>
        <v>251</v>
      </c>
      <c r="X105" s="240">
        <v>2510</v>
      </c>
      <c r="Y105">
        <v>64035384.752635598</v>
      </c>
    </row>
    <row r="106" spans="1:25">
      <c r="A106" s="201">
        <v>252</v>
      </c>
      <c r="B106" s="196">
        <f t="shared" si="22"/>
        <v>763367910.11502182</v>
      </c>
      <c r="C106" s="196">
        <f t="shared" si="23"/>
        <v>1531935521.4254332</v>
      </c>
      <c r="D106" s="196">
        <f t="shared" si="24"/>
        <v>143249162.89526081</v>
      </c>
      <c r="E106" s="197">
        <f t="shared" si="17"/>
        <v>2438552594.4357157</v>
      </c>
      <c r="F106" s="198">
        <f t="shared" si="25"/>
        <v>545048</v>
      </c>
      <c r="K106">
        <f t="shared" si="18"/>
        <v>252</v>
      </c>
      <c r="L106" s="240">
        <v>2520</v>
      </c>
      <c r="M106">
        <v>763367910.11502182</v>
      </c>
      <c r="O106">
        <f t="shared" si="19"/>
        <v>252</v>
      </c>
      <c r="P106" s="240">
        <v>2520</v>
      </c>
      <c r="Q106">
        <v>279134046.14199299</v>
      </c>
      <c r="R106">
        <v>1252272382.2038198</v>
      </c>
      <c r="S106">
        <v>5879999.9999988005</v>
      </c>
      <c r="T106">
        <v>377632973.4359796</v>
      </c>
      <c r="U106">
        <f t="shared" si="20"/>
        <v>1914919401.7817912</v>
      </c>
      <c r="W106">
        <f t="shared" si="21"/>
        <v>252</v>
      </c>
      <c r="X106" s="240">
        <v>2520</v>
      </c>
      <c r="Y106">
        <v>179061453.61907601</v>
      </c>
    </row>
    <row r="107" spans="1:25">
      <c r="A107" s="201">
        <v>260</v>
      </c>
      <c r="B107" s="196">
        <f t="shared" si="22"/>
        <v>1057532067.4332099</v>
      </c>
      <c r="C107" s="196">
        <f t="shared" si="23"/>
        <v>1856417082.4045873</v>
      </c>
      <c r="D107" s="196">
        <f t="shared" si="24"/>
        <v>332985889.42391825</v>
      </c>
      <c r="E107" s="197">
        <f t="shared" si="17"/>
        <v>3246935039.2617154</v>
      </c>
      <c r="F107" s="198">
        <f t="shared" si="25"/>
        <v>725732</v>
      </c>
      <c r="K107">
        <f t="shared" si="18"/>
        <v>260</v>
      </c>
      <c r="L107" s="240">
        <v>2600</v>
      </c>
      <c r="M107">
        <v>1057532067.4332099</v>
      </c>
      <c r="O107">
        <f t="shared" si="19"/>
        <v>260</v>
      </c>
      <c r="P107" s="240">
        <v>2600</v>
      </c>
      <c r="Q107">
        <v>605132523.0219835</v>
      </c>
      <c r="R107">
        <v>1389800817.7477686</v>
      </c>
      <c r="S107">
        <v>38866369.999998599</v>
      </c>
      <c r="T107">
        <v>286721642.23598337</v>
      </c>
      <c r="U107">
        <f t="shared" si="20"/>
        <v>2320521353.005734</v>
      </c>
      <c r="W107">
        <f t="shared" si="21"/>
        <v>260</v>
      </c>
      <c r="X107" s="240">
        <v>2600</v>
      </c>
      <c r="Y107">
        <v>416232361.77989781</v>
      </c>
    </row>
    <row r="108" spans="1:25">
      <c r="A108" s="201">
        <v>262</v>
      </c>
      <c r="B108" s="196">
        <f t="shared" si="22"/>
        <v>862742079.45172882</v>
      </c>
      <c r="C108" s="196">
        <f t="shared" si="23"/>
        <v>1507921484.0189891</v>
      </c>
      <c r="D108" s="196">
        <f t="shared" si="24"/>
        <v>58170449.421852164</v>
      </c>
      <c r="E108" s="197">
        <f t="shared" si="17"/>
        <v>2428834012.89257</v>
      </c>
      <c r="F108" s="198">
        <f t="shared" si="25"/>
        <v>542876</v>
      </c>
      <c r="K108">
        <f t="shared" si="18"/>
        <v>262</v>
      </c>
      <c r="L108" s="240">
        <v>2620</v>
      </c>
      <c r="M108">
        <v>862742079.45172882</v>
      </c>
      <c r="O108">
        <f t="shared" si="19"/>
        <v>262</v>
      </c>
      <c r="P108" s="240">
        <v>2620</v>
      </c>
      <c r="Q108">
        <v>292839737.66999102</v>
      </c>
      <c r="R108">
        <v>1167759732.8177767</v>
      </c>
      <c r="S108">
        <v>0</v>
      </c>
      <c r="T108">
        <v>424302384.5359686</v>
      </c>
      <c r="U108">
        <f t="shared" si="20"/>
        <v>1884901855.0237362</v>
      </c>
      <c r="W108">
        <f t="shared" si="21"/>
        <v>262</v>
      </c>
      <c r="X108" s="240">
        <v>2620</v>
      </c>
      <c r="Y108">
        <v>72713061.777315199</v>
      </c>
    </row>
    <row r="109" spans="1:25">
      <c r="A109" s="201">
        <v>268</v>
      </c>
      <c r="B109" s="196">
        <f t="shared" si="22"/>
        <v>504599974.17568362</v>
      </c>
      <c r="C109" s="196">
        <f t="shared" si="23"/>
        <v>249138305.19672772</v>
      </c>
      <c r="D109" s="196">
        <f t="shared" si="24"/>
        <v>18345699.996246081</v>
      </c>
      <c r="E109" s="197">
        <f t="shared" si="17"/>
        <v>772083979.36865747</v>
      </c>
      <c r="F109" s="198">
        <f t="shared" si="25"/>
        <v>172571</v>
      </c>
      <c r="K109">
        <f t="shared" si="18"/>
        <v>268</v>
      </c>
      <c r="L109" s="240">
        <v>2680</v>
      </c>
      <c r="M109">
        <v>504599974.17568362</v>
      </c>
      <c r="O109">
        <f t="shared" si="19"/>
        <v>268</v>
      </c>
      <c r="P109" s="240">
        <v>2680</v>
      </c>
      <c r="Q109">
        <v>92070874.731996</v>
      </c>
      <c r="R109">
        <v>205797926.76391441</v>
      </c>
      <c r="S109">
        <v>0</v>
      </c>
      <c r="T109">
        <v>13554079.999999199</v>
      </c>
      <c r="U109">
        <f t="shared" si="20"/>
        <v>311422881.49590963</v>
      </c>
      <c r="W109">
        <f t="shared" si="21"/>
        <v>300</v>
      </c>
      <c r="X109" s="240">
        <v>3000</v>
      </c>
      <c r="Y109">
        <v>153005276.4713048</v>
      </c>
    </row>
    <row r="110" spans="1:25">
      <c r="A110" s="201">
        <v>300</v>
      </c>
      <c r="B110" s="196">
        <f t="shared" si="22"/>
        <v>978963240.66902363</v>
      </c>
      <c r="C110" s="196">
        <f t="shared" si="23"/>
        <v>2138394538.4157982</v>
      </c>
      <c r="D110" s="196">
        <f t="shared" si="24"/>
        <v>122404221.17704386</v>
      </c>
      <c r="E110" s="197">
        <f t="shared" si="17"/>
        <v>3239762000.2618656</v>
      </c>
      <c r="F110" s="198">
        <f t="shared" si="25"/>
        <v>724129</v>
      </c>
      <c r="K110">
        <f t="shared" si="18"/>
        <v>300</v>
      </c>
      <c r="L110" s="240">
        <v>3000</v>
      </c>
      <c r="M110">
        <v>978963240.66902363</v>
      </c>
      <c r="O110">
        <f t="shared" si="19"/>
        <v>300</v>
      </c>
      <c r="P110" s="240">
        <v>3000</v>
      </c>
      <c r="Q110">
        <v>568202039.189973</v>
      </c>
      <c r="R110">
        <v>1831238446.077785</v>
      </c>
      <c r="S110">
        <v>4771584</v>
      </c>
      <c r="T110">
        <v>268781103.7519896</v>
      </c>
      <c r="U110">
        <f t="shared" si="20"/>
        <v>2672993173.0197477</v>
      </c>
      <c r="W110">
        <f t="shared" si="21"/>
        <v>301</v>
      </c>
      <c r="X110" s="240">
        <v>3010</v>
      </c>
      <c r="Y110">
        <v>40483736.602197602</v>
      </c>
    </row>
    <row r="111" spans="1:25">
      <c r="A111" s="201">
        <v>301</v>
      </c>
      <c r="B111" s="196">
        <f t="shared" si="22"/>
        <v>892478687.01351702</v>
      </c>
      <c r="C111" s="196">
        <f t="shared" si="23"/>
        <v>1832737372.3646164</v>
      </c>
      <c r="D111" s="196">
        <f t="shared" si="24"/>
        <v>32386989.281758085</v>
      </c>
      <c r="E111" s="197">
        <f t="shared" si="17"/>
        <v>2757603048.6598916</v>
      </c>
      <c r="F111" s="198">
        <f t="shared" si="25"/>
        <v>616360</v>
      </c>
      <c r="K111">
        <f t="shared" si="18"/>
        <v>301</v>
      </c>
      <c r="L111" s="240">
        <v>3010</v>
      </c>
      <c r="M111">
        <v>892478687.01351702</v>
      </c>
      <c r="O111">
        <f t="shared" si="19"/>
        <v>301</v>
      </c>
      <c r="P111" s="240">
        <v>3010</v>
      </c>
      <c r="Q111">
        <v>199237904.00399703</v>
      </c>
      <c r="R111">
        <v>905045124.07982159</v>
      </c>
      <c r="S111">
        <v>10800000</v>
      </c>
      <c r="T111">
        <v>1175838687.3719521</v>
      </c>
      <c r="U111">
        <f t="shared" si="20"/>
        <v>2290921715.4557705</v>
      </c>
      <c r="W111">
        <f t="shared" si="21"/>
        <v>302</v>
      </c>
      <c r="X111" s="240">
        <v>3020</v>
      </c>
      <c r="Y111">
        <v>104933915.66839841</v>
      </c>
    </row>
    <row r="112" spans="1:25">
      <c r="A112" s="201">
        <v>302</v>
      </c>
      <c r="B112" s="196">
        <f t="shared" si="22"/>
        <v>881874310.72237515</v>
      </c>
      <c r="C112" s="196">
        <f t="shared" si="23"/>
        <v>781231382.75346208</v>
      </c>
      <c r="D112" s="196">
        <f t="shared" si="24"/>
        <v>83947132.534718737</v>
      </c>
      <c r="E112" s="197">
        <f t="shared" si="17"/>
        <v>1747052826.010556</v>
      </c>
      <c r="F112" s="198">
        <f t="shared" si="25"/>
        <v>390489</v>
      </c>
      <c r="K112">
        <f t="shared" si="18"/>
        <v>302</v>
      </c>
      <c r="L112" s="240">
        <v>3020</v>
      </c>
      <c r="M112">
        <v>881874310.72237515</v>
      </c>
      <c r="O112">
        <f t="shared" si="19"/>
        <v>302</v>
      </c>
      <c r="P112" s="240">
        <v>3020</v>
      </c>
      <c r="Q112">
        <v>198664913.59199101</v>
      </c>
      <c r="R112">
        <v>674955610.95384181</v>
      </c>
      <c r="S112">
        <v>3060000</v>
      </c>
      <c r="T112">
        <v>99858703.895994604</v>
      </c>
      <c r="U112">
        <f t="shared" si="20"/>
        <v>976539228.44182754</v>
      </c>
      <c r="W112">
        <f t="shared" si="21"/>
        <v>310</v>
      </c>
      <c r="X112" s="240">
        <v>3100</v>
      </c>
      <c r="Y112">
        <v>72349424.294852406</v>
      </c>
    </row>
    <row r="113" spans="1:25">
      <c r="A113" s="201">
        <v>310</v>
      </c>
      <c r="B113" s="196">
        <f t="shared" si="22"/>
        <v>839228215.92235374</v>
      </c>
      <c r="C113" s="196">
        <f t="shared" si="23"/>
        <v>1857537813.1789842</v>
      </c>
      <c r="D113" s="196">
        <f t="shared" si="24"/>
        <v>57879539.435881928</v>
      </c>
      <c r="E113" s="197">
        <f t="shared" si="17"/>
        <v>2754645568.53722</v>
      </c>
      <c r="F113" s="198">
        <f t="shared" si="25"/>
        <v>615699</v>
      </c>
      <c r="K113">
        <f t="shared" si="18"/>
        <v>310</v>
      </c>
      <c r="L113" s="240">
        <v>3100</v>
      </c>
      <c r="M113">
        <v>839228215.92235374</v>
      </c>
      <c r="O113">
        <f t="shared" si="19"/>
        <v>310</v>
      </c>
      <c r="P113" s="240">
        <v>3100</v>
      </c>
      <c r="Q113">
        <v>442630214.76199317</v>
      </c>
      <c r="R113">
        <v>1385480805.1637831</v>
      </c>
      <c r="S113">
        <v>25991941.9999968</v>
      </c>
      <c r="T113">
        <v>467819304.54795718</v>
      </c>
      <c r="U113">
        <f t="shared" si="20"/>
        <v>2321922266.4737301</v>
      </c>
      <c r="W113">
        <f t="shared" si="21"/>
        <v>313</v>
      </c>
      <c r="X113" s="240">
        <v>3130</v>
      </c>
      <c r="Y113">
        <v>133103143.55842482</v>
      </c>
    </row>
    <row r="114" spans="1:25">
      <c r="A114" s="201">
        <v>313</v>
      </c>
      <c r="B114" s="196">
        <f t="shared" si="22"/>
        <v>523486678.23585618</v>
      </c>
      <c r="C114" s="196">
        <f t="shared" si="23"/>
        <v>727913544.75666142</v>
      </c>
      <c r="D114" s="196">
        <f t="shared" si="24"/>
        <v>106482514.84673986</v>
      </c>
      <c r="E114" s="197">
        <f t="shared" si="17"/>
        <v>1357882737.8392572</v>
      </c>
      <c r="F114" s="198">
        <f t="shared" si="25"/>
        <v>303504</v>
      </c>
      <c r="K114">
        <f t="shared" si="18"/>
        <v>313</v>
      </c>
      <c r="L114" s="240">
        <v>3130</v>
      </c>
      <c r="M114">
        <v>523486678.23585618</v>
      </c>
      <c r="O114">
        <f t="shared" si="19"/>
        <v>313</v>
      </c>
      <c r="P114" s="240">
        <v>3130</v>
      </c>
      <c r="Q114">
        <v>96830642.761993796</v>
      </c>
      <c r="R114">
        <v>685601350.54384851</v>
      </c>
      <c r="S114">
        <v>7840908</v>
      </c>
      <c r="T114">
        <v>119619029.6399844</v>
      </c>
      <c r="U114">
        <f t="shared" si="20"/>
        <v>909891930.94582665</v>
      </c>
      <c r="W114">
        <f t="shared" si="21"/>
        <v>320</v>
      </c>
      <c r="X114" s="240">
        <v>3200</v>
      </c>
      <c r="Y114">
        <v>236045901.59396401</v>
      </c>
    </row>
    <row r="115" spans="1:25">
      <c r="A115" s="201">
        <v>320</v>
      </c>
      <c r="B115" s="196">
        <f t="shared" si="22"/>
        <v>1370659521.4103565</v>
      </c>
      <c r="C115" s="196">
        <f t="shared" si="23"/>
        <v>1942567372.7037506</v>
      </c>
      <c r="D115" s="196">
        <f t="shared" si="24"/>
        <v>188836721.27517122</v>
      </c>
      <c r="E115" s="197">
        <f t="shared" si="17"/>
        <v>3502063615.3892784</v>
      </c>
      <c r="F115" s="198">
        <f t="shared" si="25"/>
        <v>782757</v>
      </c>
      <c r="K115">
        <f t="shared" si="18"/>
        <v>320</v>
      </c>
      <c r="L115" s="240">
        <v>3200</v>
      </c>
      <c r="M115">
        <v>1370659521.4103565</v>
      </c>
      <c r="O115">
        <f t="shared" si="19"/>
        <v>320</v>
      </c>
      <c r="P115" s="240">
        <v>3200</v>
      </c>
      <c r="Q115">
        <v>459188561.34598863</v>
      </c>
      <c r="R115">
        <v>1843496875.5337062</v>
      </c>
      <c r="S115">
        <v>1862928</v>
      </c>
      <c r="T115">
        <v>123660850.99999321</v>
      </c>
      <c r="U115">
        <f t="shared" si="20"/>
        <v>2428209215.8796883</v>
      </c>
      <c r="W115">
        <f t="shared" si="21"/>
        <v>321</v>
      </c>
      <c r="X115" s="240">
        <v>3210</v>
      </c>
      <c r="Y115">
        <v>173317152.78930157</v>
      </c>
    </row>
    <row r="116" spans="1:25">
      <c r="A116" s="201">
        <v>321</v>
      </c>
      <c r="B116" s="196">
        <f t="shared" si="22"/>
        <v>892863396.23878574</v>
      </c>
      <c r="C116" s="196">
        <f t="shared" si="23"/>
        <v>1728251376.2254255</v>
      </c>
      <c r="D116" s="196">
        <f t="shared" si="24"/>
        <v>138653722.23144126</v>
      </c>
      <c r="E116" s="197">
        <f t="shared" si="17"/>
        <v>2759768494.695653</v>
      </c>
      <c r="F116" s="198">
        <f t="shared" si="25"/>
        <v>616844</v>
      </c>
      <c r="K116">
        <f t="shared" si="18"/>
        <v>321</v>
      </c>
      <c r="L116" s="240">
        <v>3210</v>
      </c>
      <c r="M116">
        <v>892863396.23878574</v>
      </c>
      <c r="O116">
        <f t="shared" si="19"/>
        <v>321</v>
      </c>
      <c r="P116" s="240">
        <v>3210</v>
      </c>
      <c r="Q116">
        <v>566903415.10998237</v>
      </c>
      <c r="R116">
        <v>1504476650.5918093</v>
      </c>
      <c r="S116">
        <v>0</v>
      </c>
      <c r="T116">
        <v>88934154.579990014</v>
      </c>
      <c r="U116">
        <f t="shared" si="20"/>
        <v>2160314220.2817817</v>
      </c>
      <c r="W116">
        <f t="shared" si="21"/>
        <v>322</v>
      </c>
      <c r="X116" s="240">
        <v>3220</v>
      </c>
      <c r="Y116">
        <v>185797708.8326298</v>
      </c>
    </row>
    <row r="117" spans="1:25">
      <c r="A117" s="201">
        <v>322</v>
      </c>
      <c r="B117" s="196">
        <f t="shared" si="22"/>
        <v>866096347.0417608</v>
      </c>
      <c r="C117" s="196">
        <f t="shared" si="23"/>
        <v>1013431354.3918586</v>
      </c>
      <c r="D117" s="196">
        <f t="shared" si="24"/>
        <v>148638167.06610385</v>
      </c>
      <c r="E117" s="197">
        <f t="shared" si="17"/>
        <v>2028165868.4997234</v>
      </c>
      <c r="F117" s="198">
        <f t="shared" si="25"/>
        <v>453321</v>
      </c>
      <c r="K117">
        <f t="shared" si="18"/>
        <v>322</v>
      </c>
      <c r="L117" s="240">
        <v>3220</v>
      </c>
      <c r="M117">
        <v>866096347.0417608</v>
      </c>
      <c r="O117">
        <f t="shared" si="19"/>
        <v>322</v>
      </c>
      <c r="P117" s="240">
        <v>3220</v>
      </c>
      <c r="Q117">
        <v>312669031.09999496</v>
      </c>
      <c r="R117">
        <v>846308012.50183141</v>
      </c>
      <c r="S117">
        <v>1800000</v>
      </c>
      <c r="T117">
        <v>106012149.38799661</v>
      </c>
      <c r="U117">
        <f t="shared" si="20"/>
        <v>1266789192.9898231</v>
      </c>
      <c r="W117">
        <f t="shared" si="21"/>
        <v>323</v>
      </c>
      <c r="X117" s="240">
        <v>3230</v>
      </c>
      <c r="Y117">
        <v>324422933.86750495</v>
      </c>
    </row>
    <row r="118" spans="1:25">
      <c r="A118" s="201">
        <v>323</v>
      </c>
      <c r="B118" s="196">
        <f t="shared" si="22"/>
        <v>499730943.87800616</v>
      </c>
      <c r="C118" s="196">
        <f t="shared" si="23"/>
        <v>992836848.29588509</v>
      </c>
      <c r="D118" s="196">
        <f t="shared" si="24"/>
        <v>259538347.09400398</v>
      </c>
      <c r="E118" s="197">
        <f t="shared" si="17"/>
        <v>1752106139.2678952</v>
      </c>
      <c r="F118" s="198">
        <f t="shared" si="25"/>
        <v>391618</v>
      </c>
      <c r="K118">
        <f t="shared" si="18"/>
        <v>323</v>
      </c>
      <c r="L118" s="240">
        <v>3230</v>
      </c>
      <c r="M118">
        <v>499730943.87800616</v>
      </c>
      <c r="O118">
        <f t="shared" si="19"/>
        <v>323</v>
      </c>
      <c r="P118" s="240">
        <v>3230</v>
      </c>
      <c r="Q118">
        <v>331438650.35799062</v>
      </c>
      <c r="R118">
        <v>796987275.17987347</v>
      </c>
      <c r="S118">
        <v>180000</v>
      </c>
      <c r="T118">
        <v>112440134.83199219</v>
      </c>
      <c r="U118">
        <f t="shared" si="20"/>
        <v>1241046060.3698564</v>
      </c>
      <c r="W118">
        <f t="shared" si="21"/>
        <v>351</v>
      </c>
      <c r="X118" s="240">
        <v>3510</v>
      </c>
      <c r="Y118">
        <v>70632204.210645407</v>
      </c>
    </row>
    <row r="119" spans="1:25">
      <c r="A119" s="201">
        <v>351</v>
      </c>
      <c r="B119" s="196">
        <f t="shared" si="22"/>
        <v>686273976.91332936</v>
      </c>
      <c r="C119" s="196">
        <f t="shared" si="23"/>
        <v>1210986544.3198502</v>
      </c>
      <c r="D119" s="196">
        <f t="shared" si="24"/>
        <v>56505763.368516326</v>
      </c>
      <c r="E119" s="197">
        <f t="shared" si="17"/>
        <v>1953766284.601696</v>
      </c>
      <c r="F119" s="198">
        <f t="shared" si="25"/>
        <v>436692</v>
      </c>
      <c r="K119">
        <f t="shared" si="18"/>
        <v>351</v>
      </c>
      <c r="L119" s="240">
        <v>3510</v>
      </c>
      <c r="M119">
        <v>686273976.91332936</v>
      </c>
      <c r="O119">
        <f t="shared" si="19"/>
        <v>351</v>
      </c>
      <c r="P119" s="240">
        <v>3510</v>
      </c>
      <c r="Q119">
        <v>269645848.62399179</v>
      </c>
      <c r="R119">
        <v>1128585410.8778267</v>
      </c>
      <c r="S119">
        <v>3229759.9999997998</v>
      </c>
      <c r="T119">
        <v>112272160.8979944</v>
      </c>
      <c r="U119">
        <f t="shared" si="20"/>
        <v>1513733180.3998127</v>
      </c>
      <c r="W119">
        <f t="shared" si="21"/>
        <v>400</v>
      </c>
      <c r="X119" s="240">
        <v>4000</v>
      </c>
      <c r="Y119">
        <v>234319813.2863844</v>
      </c>
    </row>
    <row r="120" spans="1:25">
      <c r="A120" s="201">
        <v>400</v>
      </c>
      <c r="B120" s="196">
        <f t="shared" si="22"/>
        <v>1227975773.9251122</v>
      </c>
      <c r="C120" s="196">
        <f t="shared" si="23"/>
        <v>2612541895.8908849</v>
      </c>
      <c r="D120" s="196">
        <f t="shared" si="24"/>
        <v>187455850.62910753</v>
      </c>
      <c r="E120" s="197">
        <f t="shared" si="17"/>
        <v>4027973520.4451046</v>
      </c>
      <c r="F120" s="198">
        <f t="shared" si="25"/>
        <v>900304</v>
      </c>
      <c r="K120">
        <f t="shared" si="18"/>
        <v>400</v>
      </c>
      <c r="L120" s="240">
        <v>4000</v>
      </c>
      <c r="M120">
        <v>1227975773.9251122</v>
      </c>
      <c r="O120">
        <f t="shared" si="19"/>
        <v>400</v>
      </c>
      <c r="P120" s="240">
        <v>4000</v>
      </c>
      <c r="Q120">
        <v>602659966.91197681</v>
      </c>
      <c r="R120">
        <v>2312336800.5516486</v>
      </c>
      <c r="S120">
        <v>7384646.3999994006</v>
      </c>
      <c r="T120">
        <v>343295955.99998099</v>
      </c>
      <c r="U120">
        <f t="shared" si="20"/>
        <v>3265677369.863606</v>
      </c>
      <c r="W120">
        <f t="shared" si="21"/>
        <v>401</v>
      </c>
      <c r="X120" s="240">
        <v>4010</v>
      </c>
      <c r="Y120">
        <v>38679600.011312403</v>
      </c>
    </row>
    <row r="121" spans="1:25">
      <c r="A121" s="201">
        <v>401</v>
      </c>
      <c r="B121" s="196">
        <f t="shared" si="22"/>
        <v>1243453826.5147259</v>
      </c>
      <c r="C121" s="196">
        <f t="shared" si="23"/>
        <v>1343771868.3390388</v>
      </c>
      <c r="D121" s="196">
        <f t="shared" si="24"/>
        <v>30943680.009049922</v>
      </c>
      <c r="E121" s="197">
        <f t="shared" si="17"/>
        <v>2618169374.8628144</v>
      </c>
      <c r="F121" s="198">
        <f t="shared" si="25"/>
        <v>585195</v>
      </c>
      <c r="K121">
        <f t="shared" si="18"/>
        <v>401</v>
      </c>
      <c r="L121" s="240">
        <v>4010</v>
      </c>
      <c r="M121">
        <v>1243453826.5147259</v>
      </c>
      <c r="O121">
        <f t="shared" si="19"/>
        <v>401</v>
      </c>
      <c r="P121" s="240">
        <v>4010</v>
      </c>
      <c r="Q121">
        <v>349381993.18598998</v>
      </c>
      <c r="R121">
        <v>1243623485.2378178</v>
      </c>
      <c r="S121">
        <v>900000</v>
      </c>
      <c r="T121">
        <v>85809356.999991</v>
      </c>
      <c r="U121">
        <f t="shared" si="20"/>
        <v>1679714835.4237986</v>
      </c>
      <c r="W121">
        <f t="shared" si="21"/>
        <v>402</v>
      </c>
      <c r="X121" s="240">
        <v>4020</v>
      </c>
      <c r="Y121">
        <v>124182564.00107759</v>
      </c>
    </row>
    <row r="122" spans="1:25">
      <c r="A122" s="201">
        <v>402</v>
      </c>
      <c r="B122" s="196">
        <f t="shared" si="22"/>
        <v>915207214.31716764</v>
      </c>
      <c r="C122" s="196">
        <f t="shared" si="23"/>
        <v>1692161779.2061682</v>
      </c>
      <c r="D122" s="196">
        <f t="shared" si="24"/>
        <v>99346051.20086208</v>
      </c>
      <c r="E122" s="197">
        <f t="shared" si="17"/>
        <v>2706715044.7241979</v>
      </c>
      <c r="F122" s="198">
        <f t="shared" si="25"/>
        <v>604986</v>
      </c>
      <c r="K122">
        <f t="shared" si="18"/>
        <v>402</v>
      </c>
      <c r="L122" s="240">
        <v>4020</v>
      </c>
      <c r="M122">
        <v>915207214.31716764</v>
      </c>
      <c r="O122">
        <f t="shared" si="19"/>
        <v>402</v>
      </c>
      <c r="P122" s="240">
        <v>4020</v>
      </c>
      <c r="Q122">
        <v>472545972.95797801</v>
      </c>
      <c r="R122">
        <v>1555283662.9937387</v>
      </c>
      <c r="S122">
        <v>20899397.879999999</v>
      </c>
      <c r="T122">
        <v>66473190.175993204</v>
      </c>
      <c r="U122">
        <f t="shared" si="20"/>
        <v>2115202224.00771</v>
      </c>
      <c r="W122">
        <f t="shared" si="21"/>
        <v>403</v>
      </c>
      <c r="X122" s="240">
        <v>4030</v>
      </c>
      <c r="Y122">
        <v>199064787.66084301</v>
      </c>
    </row>
    <row r="123" spans="1:25">
      <c r="A123" s="201">
        <v>403</v>
      </c>
      <c r="B123" s="196">
        <f t="shared" si="22"/>
        <v>1083691446.622808</v>
      </c>
      <c r="C123" s="196">
        <f t="shared" si="23"/>
        <v>1788370387.8605428</v>
      </c>
      <c r="D123" s="196">
        <f t="shared" si="24"/>
        <v>159251830.12867442</v>
      </c>
      <c r="E123" s="197">
        <f t="shared" si="17"/>
        <v>3031313664.6120253</v>
      </c>
      <c r="F123" s="198">
        <f t="shared" si="25"/>
        <v>677538</v>
      </c>
      <c r="K123">
        <f t="shared" si="18"/>
        <v>403</v>
      </c>
      <c r="L123" s="240">
        <v>4030</v>
      </c>
      <c r="M123">
        <v>1083691446.622808</v>
      </c>
      <c r="O123">
        <f t="shared" si="19"/>
        <v>403</v>
      </c>
      <c r="P123" s="240">
        <v>4030</v>
      </c>
      <c r="Q123">
        <v>487621831.95198905</v>
      </c>
      <c r="R123">
        <v>1575235056.587708</v>
      </c>
      <c r="S123">
        <v>19668219.999998398</v>
      </c>
      <c r="T123">
        <v>152937876.28598279</v>
      </c>
      <c r="U123">
        <f t="shared" si="20"/>
        <v>2235462984.8256783</v>
      </c>
      <c r="W123">
        <f t="shared" si="21"/>
        <v>420</v>
      </c>
      <c r="X123" s="240">
        <v>4200</v>
      </c>
      <c r="Y123">
        <v>492610330.86727285</v>
      </c>
    </row>
    <row r="124" spans="1:25">
      <c r="A124" s="201">
        <v>420</v>
      </c>
      <c r="B124" s="196">
        <f t="shared" si="22"/>
        <v>2434297840.902596</v>
      </c>
      <c r="C124" s="196">
        <f t="shared" si="23"/>
        <v>2730230626.4765286</v>
      </c>
      <c r="D124" s="196">
        <f t="shared" si="24"/>
        <v>394088264.69381833</v>
      </c>
      <c r="E124" s="197">
        <f t="shared" si="17"/>
        <v>5558616732.0729427</v>
      </c>
      <c r="F124" s="198">
        <f t="shared" si="25"/>
        <v>1242423</v>
      </c>
      <c r="K124">
        <f t="shared" si="18"/>
        <v>420</v>
      </c>
      <c r="L124" s="240">
        <v>4200</v>
      </c>
      <c r="M124">
        <v>2434297840.902596</v>
      </c>
      <c r="O124">
        <f t="shared" si="19"/>
        <v>420</v>
      </c>
      <c r="P124" s="240">
        <v>4200</v>
      </c>
      <c r="Q124">
        <v>732719293.20998466</v>
      </c>
      <c r="R124">
        <v>2152508564.0117035</v>
      </c>
      <c r="S124">
        <v>40301830.800000004</v>
      </c>
      <c r="T124">
        <v>487258595.07397205</v>
      </c>
      <c r="U124">
        <f t="shared" si="20"/>
        <v>3412788283.0956607</v>
      </c>
      <c r="W124">
        <f t="shared" si="21"/>
        <v>422</v>
      </c>
      <c r="X124" s="240">
        <v>4220</v>
      </c>
      <c r="Y124">
        <v>256794929.98951381</v>
      </c>
    </row>
    <row r="125" spans="1:25">
      <c r="A125" s="201">
        <v>422</v>
      </c>
      <c r="B125" s="196">
        <f t="shared" si="22"/>
        <v>2016544794.1218998</v>
      </c>
      <c r="C125" s="196">
        <f t="shared" si="23"/>
        <v>1873303342.0334454</v>
      </c>
      <c r="D125" s="196">
        <f t="shared" si="24"/>
        <v>205435943.99161106</v>
      </c>
      <c r="E125" s="197">
        <f t="shared" si="17"/>
        <v>4095284080.146956</v>
      </c>
      <c r="F125" s="198">
        <f t="shared" si="25"/>
        <v>915349</v>
      </c>
      <c r="K125">
        <f t="shared" si="18"/>
        <v>422</v>
      </c>
      <c r="L125" s="240">
        <v>4220</v>
      </c>
      <c r="M125">
        <v>2016544794.1218998</v>
      </c>
      <c r="O125">
        <f t="shared" si="19"/>
        <v>422</v>
      </c>
      <c r="P125" s="240">
        <v>4220</v>
      </c>
      <c r="Q125">
        <v>343675731.39598978</v>
      </c>
      <c r="R125">
        <v>1134233067.8218446</v>
      </c>
      <c r="S125">
        <v>0</v>
      </c>
      <c r="T125">
        <v>863720378.32397223</v>
      </c>
      <c r="U125">
        <f t="shared" si="20"/>
        <v>2341629177.5418067</v>
      </c>
      <c r="W125">
        <f t="shared" si="21"/>
        <v>423</v>
      </c>
      <c r="X125" s="240">
        <v>4230</v>
      </c>
      <c r="Y125">
        <v>165096922.62040481</v>
      </c>
    </row>
    <row r="126" spans="1:25">
      <c r="A126" s="201">
        <v>423</v>
      </c>
      <c r="B126" s="196">
        <f t="shared" si="22"/>
        <v>1008671509.4210148</v>
      </c>
      <c r="C126" s="196">
        <f t="shared" si="23"/>
        <v>1546394364.8605585</v>
      </c>
      <c r="D126" s="196">
        <f t="shared" si="24"/>
        <v>132077538.09632385</v>
      </c>
      <c r="E126" s="197">
        <f t="shared" si="17"/>
        <v>2687143412.3778973</v>
      </c>
      <c r="F126" s="198">
        <f t="shared" si="25"/>
        <v>600611</v>
      </c>
      <c r="K126">
        <f t="shared" si="18"/>
        <v>423</v>
      </c>
      <c r="L126" s="240">
        <v>4230</v>
      </c>
      <c r="M126">
        <v>1008671509.4210148</v>
      </c>
      <c r="O126">
        <f t="shared" si="19"/>
        <v>423</v>
      </c>
      <c r="P126" s="240">
        <v>4230</v>
      </c>
      <c r="Q126">
        <v>441935849.01999056</v>
      </c>
      <c r="R126">
        <v>1427706269.8477149</v>
      </c>
      <c r="S126">
        <v>1260000</v>
      </c>
      <c r="T126">
        <v>62090837.207992792</v>
      </c>
      <c r="U126">
        <f t="shared" si="20"/>
        <v>1932992956.0756981</v>
      </c>
      <c r="W126">
        <f t="shared" si="21"/>
        <v>424</v>
      </c>
      <c r="X126" s="240">
        <v>4240</v>
      </c>
      <c r="Y126">
        <v>448274300.11725032</v>
      </c>
    </row>
    <row r="127" spans="1:25">
      <c r="A127" s="201">
        <v>424</v>
      </c>
      <c r="B127" s="196">
        <f t="shared" si="22"/>
        <v>1956615088.4859622</v>
      </c>
      <c r="C127" s="196">
        <f t="shared" si="23"/>
        <v>2340772187.5325656</v>
      </c>
      <c r="D127" s="196">
        <f t="shared" si="24"/>
        <v>358619440.09380031</v>
      </c>
      <c r="E127" s="197">
        <f t="shared" si="17"/>
        <v>4656006716.1123285</v>
      </c>
      <c r="F127" s="198">
        <f t="shared" si="25"/>
        <v>1040678</v>
      </c>
      <c r="K127">
        <f t="shared" si="18"/>
        <v>424</v>
      </c>
      <c r="L127" s="240">
        <v>4240</v>
      </c>
      <c r="M127">
        <v>1956615088.4859622</v>
      </c>
      <c r="O127">
        <f t="shared" si="19"/>
        <v>424</v>
      </c>
      <c r="P127" s="240">
        <v>4240</v>
      </c>
      <c r="Q127">
        <v>557378136.89599693</v>
      </c>
      <c r="R127">
        <v>2227379572.8717246</v>
      </c>
      <c r="S127">
        <v>3031920</v>
      </c>
      <c r="T127">
        <v>138175604.6479848</v>
      </c>
      <c r="U127">
        <f t="shared" si="20"/>
        <v>2925965234.4157066</v>
      </c>
      <c r="W127">
        <f t="shared" si="21"/>
        <v>425</v>
      </c>
      <c r="X127" s="240">
        <v>4250</v>
      </c>
      <c r="Y127">
        <v>336266410.22039676</v>
      </c>
    </row>
    <row r="128" spans="1:25">
      <c r="A128" s="201">
        <v>425</v>
      </c>
      <c r="B128" s="196">
        <f t="shared" si="22"/>
        <v>1405316492.4873896</v>
      </c>
      <c r="C128" s="196">
        <f t="shared" si="23"/>
        <v>2333029363.8749886</v>
      </c>
      <c r="D128" s="196">
        <f t="shared" si="24"/>
        <v>269013128.17631739</v>
      </c>
      <c r="E128" s="197">
        <f t="shared" si="17"/>
        <v>4007358984.5386953</v>
      </c>
      <c r="F128" s="198">
        <f t="shared" si="25"/>
        <v>895697</v>
      </c>
      <c r="K128">
        <f t="shared" si="18"/>
        <v>425</v>
      </c>
      <c r="L128" s="240">
        <v>4250</v>
      </c>
      <c r="M128">
        <v>1405316492.4873896</v>
      </c>
      <c r="O128">
        <f t="shared" si="19"/>
        <v>425</v>
      </c>
      <c r="P128" s="240">
        <v>4250</v>
      </c>
      <c r="Q128">
        <v>516128278.26798534</v>
      </c>
      <c r="R128">
        <v>2220536139.8217554</v>
      </c>
      <c r="S128">
        <v>3943407.6</v>
      </c>
      <c r="T128">
        <v>175678879.15399501</v>
      </c>
      <c r="U128">
        <f t="shared" si="20"/>
        <v>2916286704.8437357</v>
      </c>
      <c r="W128">
        <f t="shared" si="21"/>
        <v>426</v>
      </c>
      <c r="X128" s="240">
        <v>4260</v>
      </c>
      <c r="Y128">
        <v>465043277.33105659</v>
      </c>
    </row>
    <row r="129" spans="1:25">
      <c r="A129" s="201">
        <v>426</v>
      </c>
      <c r="B129" s="196">
        <f t="shared" si="22"/>
        <v>947662670.14792228</v>
      </c>
      <c r="C129" s="196">
        <f t="shared" si="23"/>
        <v>1389764908.0350287</v>
      </c>
      <c r="D129" s="196">
        <f t="shared" si="24"/>
        <v>372034621.86484528</v>
      </c>
      <c r="E129" s="197">
        <f t="shared" si="17"/>
        <v>2709462200.0477962</v>
      </c>
      <c r="F129" s="198">
        <f t="shared" si="25"/>
        <v>605600</v>
      </c>
      <c r="K129">
        <f t="shared" si="18"/>
        <v>426</v>
      </c>
      <c r="L129" s="240">
        <v>4260</v>
      </c>
      <c r="M129">
        <v>947662670.14792228</v>
      </c>
      <c r="O129">
        <f t="shared" si="19"/>
        <v>426</v>
      </c>
      <c r="P129" s="240">
        <v>4260</v>
      </c>
      <c r="Q129">
        <v>299082328.92199445</v>
      </c>
      <c r="R129">
        <v>1307924714.0017996</v>
      </c>
      <c r="S129">
        <v>4497192</v>
      </c>
      <c r="T129">
        <v>125701900.11999179</v>
      </c>
      <c r="U129">
        <f t="shared" si="20"/>
        <v>1737206135.0437858</v>
      </c>
      <c r="W129">
        <f t="shared" si="21"/>
        <v>427</v>
      </c>
      <c r="X129" s="240">
        <v>4270</v>
      </c>
      <c r="Y129">
        <v>326647421.3990612</v>
      </c>
    </row>
    <row r="130" spans="1:25">
      <c r="A130" s="201">
        <v>427</v>
      </c>
      <c r="B130" s="196">
        <f t="shared" si="22"/>
        <v>1157199487.2945499</v>
      </c>
      <c r="C130" s="196">
        <f t="shared" si="23"/>
        <v>1464891828.6046104</v>
      </c>
      <c r="D130" s="196">
        <f t="shared" si="24"/>
        <v>261317937.11924899</v>
      </c>
      <c r="E130" s="197">
        <f t="shared" si="17"/>
        <v>2883409253.0184093</v>
      </c>
      <c r="F130" s="198">
        <f t="shared" si="25"/>
        <v>644479</v>
      </c>
      <c r="K130">
        <f t="shared" si="18"/>
        <v>427</v>
      </c>
      <c r="L130" s="240">
        <v>4270</v>
      </c>
      <c r="M130">
        <v>1157199487.2945499</v>
      </c>
      <c r="O130">
        <f t="shared" si="19"/>
        <v>427</v>
      </c>
      <c r="P130" s="240">
        <v>4270</v>
      </c>
      <c r="Q130">
        <v>424780200.86799061</v>
      </c>
      <c r="R130">
        <v>1307420230.4877782</v>
      </c>
      <c r="S130">
        <v>900000</v>
      </c>
      <c r="T130">
        <v>98014354.399994403</v>
      </c>
      <c r="U130">
        <f t="shared" si="20"/>
        <v>1831114785.7557631</v>
      </c>
      <c r="W130">
        <f t="shared" si="21"/>
        <v>429</v>
      </c>
      <c r="X130" s="240">
        <v>4290</v>
      </c>
      <c r="Y130">
        <v>264618871.19596583</v>
      </c>
    </row>
    <row r="131" spans="1:25">
      <c r="A131" s="201">
        <v>429</v>
      </c>
      <c r="B131" s="196">
        <f t="shared" si="22"/>
        <v>644796138.95398664</v>
      </c>
      <c r="C131" s="196">
        <f t="shared" si="23"/>
        <v>1305784714.4862194</v>
      </c>
      <c r="D131" s="196">
        <f t="shared" si="24"/>
        <v>211695096.95677269</v>
      </c>
      <c r="E131" s="197">
        <f t="shared" si="17"/>
        <v>2162275950.3969789</v>
      </c>
      <c r="F131" s="198">
        <f t="shared" si="25"/>
        <v>483297</v>
      </c>
      <c r="K131">
        <f t="shared" si="18"/>
        <v>429</v>
      </c>
      <c r="L131" s="240">
        <v>4290</v>
      </c>
      <c r="M131">
        <v>644796138.95398664</v>
      </c>
      <c r="O131">
        <f t="shared" si="19"/>
        <v>429</v>
      </c>
      <c r="P131" s="240">
        <v>4290</v>
      </c>
      <c r="Q131">
        <v>207097426.76999402</v>
      </c>
      <c r="R131">
        <v>1360809887.3377812</v>
      </c>
      <c r="S131">
        <v>1977598.8</v>
      </c>
      <c r="T131">
        <v>62345980.199998811</v>
      </c>
      <c r="U131">
        <f t="shared" si="20"/>
        <v>1632230893.107774</v>
      </c>
      <c r="W131">
        <f t="shared" si="21"/>
        <v>430</v>
      </c>
      <c r="X131" s="240">
        <v>4300</v>
      </c>
      <c r="Y131">
        <v>101475939.80819501</v>
      </c>
    </row>
    <row r="132" spans="1:25">
      <c r="A132" s="201">
        <v>430</v>
      </c>
      <c r="B132" s="196">
        <f t="shared" ref="B132:B163" si="26">VLOOKUP(A132,K:M,3,0)</f>
        <v>668736321.31023979</v>
      </c>
      <c r="C132" s="196">
        <f t="shared" ref="C132:C163" si="27">VLOOKUP(A132,O:U,7,0)*0.8</f>
        <v>1318203500.2382462</v>
      </c>
      <c r="D132" s="196">
        <f t="shared" ref="D132:D163" si="28">VLOOKUP(A132,W:Y,3,0)*0.8</f>
        <v>81180751.846556008</v>
      </c>
      <c r="E132" s="197">
        <f t="shared" ref="E132:E186" si="29">SUM(B132:D132)</f>
        <v>2068120573.3950419</v>
      </c>
      <c r="F132" s="198">
        <f t="shared" ref="F132:F163" si="30">ROUND(E132*(F$2/E$187), 0)</f>
        <v>462252</v>
      </c>
      <c r="K132">
        <f t="shared" si="18"/>
        <v>430</v>
      </c>
      <c r="L132" s="240">
        <v>4300</v>
      </c>
      <c r="M132">
        <v>668736321.31023979</v>
      </c>
      <c r="O132">
        <f t="shared" si="19"/>
        <v>430</v>
      </c>
      <c r="P132" s="240">
        <v>4300</v>
      </c>
      <c r="Q132">
        <v>146730919.64599442</v>
      </c>
      <c r="R132">
        <v>1435845822.835815</v>
      </c>
      <c r="S132">
        <v>0</v>
      </c>
      <c r="T132">
        <v>65177632.815998405</v>
      </c>
      <c r="U132">
        <f t="shared" si="20"/>
        <v>1647754375.2978077</v>
      </c>
      <c r="W132">
        <f t="shared" si="21"/>
        <v>431</v>
      </c>
      <c r="X132" s="240">
        <v>4310</v>
      </c>
      <c r="Y132">
        <v>134087368.59640861</v>
      </c>
    </row>
    <row r="133" spans="1:25">
      <c r="A133" s="201">
        <v>431</v>
      </c>
      <c r="B133" s="196">
        <f t="shared" si="26"/>
        <v>414759544.96292484</v>
      </c>
      <c r="C133" s="196">
        <f t="shared" si="27"/>
        <v>719383288.6574496</v>
      </c>
      <c r="D133" s="196">
        <f t="shared" si="28"/>
        <v>107269894.87712689</v>
      </c>
      <c r="E133" s="197">
        <f t="shared" si="29"/>
        <v>1241412728.4975014</v>
      </c>
      <c r="F133" s="198">
        <f t="shared" si="30"/>
        <v>277472</v>
      </c>
      <c r="K133">
        <f t="shared" ref="K133:K189" si="31">L133/10</f>
        <v>431</v>
      </c>
      <c r="L133" s="240">
        <v>4310</v>
      </c>
      <c r="M133">
        <v>414759544.96292484</v>
      </c>
      <c r="O133">
        <f t="shared" ref="O133:O189" si="32">P133/10</f>
        <v>431</v>
      </c>
      <c r="P133" s="240">
        <v>4310</v>
      </c>
      <c r="Q133">
        <v>130727537.8199982</v>
      </c>
      <c r="R133">
        <v>653914684.28181779</v>
      </c>
      <c r="S133">
        <v>6117840</v>
      </c>
      <c r="T133">
        <v>108469048.71999601</v>
      </c>
      <c r="U133">
        <f t="shared" ref="U133:U189" si="33">SUM(Q133:T133)</f>
        <v>899229110.82181191</v>
      </c>
      <c r="W133">
        <f t="shared" ref="W133:W189" si="34">X133/10</f>
        <v>451</v>
      </c>
      <c r="X133" s="240">
        <v>4510</v>
      </c>
      <c r="Y133">
        <v>78504606.099527806</v>
      </c>
    </row>
    <row r="134" spans="1:25">
      <c r="A134" s="201">
        <v>451</v>
      </c>
      <c r="B134" s="196">
        <f t="shared" si="26"/>
        <v>630956253.16621447</v>
      </c>
      <c r="C134" s="196">
        <f t="shared" si="27"/>
        <v>1377612960.0830398</v>
      </c>
      <c r="D134" s="196">
        <f t="shared" si="28"/>
        <v>62803684.879622251</v>
      </c>
      <c r="E134" s="197">
        <f t="shared" si="29"/>
        <v>2071372898.1288764</v>
      </c>
      <c r="F134" s="198">
        <f t="shared" si="30"/>
        <v>462979</v>
      </c>
      <c r="K134">
        <f t="shared" si="31"/>
        <v>451</v>
      </c>
      <c r="L134" s="240">
        <v>4510</v>
      </c>
      <c r="M134">
        <v>630956253.16621447</v>
      </c>
      <c r="O134">
        <f t="shared" si="32"/>
        <v>451</v>
      </c>
      <c r="P134" s="240">
        <v>4510</v>
      </c>
      <c r="Q134">
        <v>454404280.76399517</v>
      </c>
      <c r="R134">
        <v>1236121957.5398138</v>
      </c>
      <c r="S134">
        <v>0</v>
      </c>
      <c r="T134">
        <v>31489961.799990602</v>
      </c>
      <c r="U134">
        <f t="shared" si="33"/>
        <v>1722016200.1037996</v>
      </c>
      <c r="W134">
        <f t="shared" si="34"/>
        <v>500</v>
      </c>
      <c r="X134" s="240">
        <v>5000</v>
      </c>
      <c r="Y134">
        <v>139642930.99196219</v>
      </c>
    </row>
    <row r="135" spans="1:25">
      <c r="A135" s="201">
        <v>500</v>
      </c>
      <c r="B135" s="196">
        <f t="shared" si="26"/>
        <v>1202812602.987257</v>
      </c>
      <c r="C135" s="196">
        <f t="shared" si="27"/>
        <v>1475343370.1821725</v>
      </c>
      <c r="D135" s="196">
        <f t="shared" si="28"/>
        <v>111714344.79356976</v>
      </c>
      <c r="E135" s="197">
        <f t="shared" si="29"/>
        <v>2789870317.9629993</v>
      </c>
      <c r="F135" s="198">
        <f t="shared" si="30"/>
        <v>623572</v>
      </c>
      <c r="K135">
        <f t="shared" si="31"/>
        <v>500</v>
      </c>
      <c r="L135" s="240">
        <v>5000</v>
      </c>
      <c r="M135">
        <v>1202812602.987257</v>
      </c>
      <c r="O135">
        <f t="shared" si="32"/>
        <v>500</v>
      </c>
      <c r="P135" s="240">
        <v>5000</v>
      </c>
      <c r="Q135">
        <v>386074108.80998456</v>
      </c>
      <c r="R135">
        <v>1237603044.7457461</v>
      </c>
      <c r="S135">
        <v>7138080</v>
      </c>
      <c r="T135">
        <v>213363979.17198479</v>
      </c>
      <c r="U135">
        <f t="shared" si="33"/>
        <v>1844179212.7277155</v>
      </c>
      <c r="W135">
        <f t="shared" si="34"/>
        <v>501</v>
      </c>
      <c r="X135" s="240">
        <v>5010</v>
      </c>
      <c r="Y135">
        <v>65090020.485963807</v>
      </c>
    </row>
    <row r="136" spans="1:25">
      <c r="A136" s="201">
        <v>501</v>
      </c>
      <c r="B136" s="196">
        <f t="shared" si="26"/>
        <v>918362701.23320973</v>
      </c>
      <c r="C136" s="196">
        <f t="shared" si="27"/>
        <v>1416616800.4381149</v>
      </c>
      <c r="D136" s="196">
        <f t="shared" si="28"/>
        <v>52072016.38877105</v>
      </c>
      <c r="E136" s="197">
        <f t="shared" si="29"/>
        <v>2387051518.0600958</v>
      </c>
      <c r="F136" s="198">
        <f t="shared" si="30"/>
        <v>533537</v>
      </c>
      <c r="K136">
        <f t="shared" si="31"/>
        <v>501</v>
      </c>
      <c r="L136" s="240">
        <v>5010</v>
      </c>
      <c r="M136">
        <v>918362701.23320973</v>
      </c>
      <c r="O136">
        <f t="shared" si="32"/>
        <v>501</v>
      </c>
      <c r="P136" s="240">
        <v>5010</v>
      </c>
      <c r="Q136">
        <v>478752171.48398525</v>
      </c>
      <c r="R136">
        <v>1193650825.7376685</v>
      </c>
      <c r="S136">
        <v>5801436</v>
      </c>
      <c r="T136">
        <v>92566567.325989813</v>
      </c>
      <c r="U136">
        <f t="shared" si="33"/>
        <v>1770771000.5476434</v>
      </c>
      <c r="W136">
        <f t="shared" si="34"/>
        <v>520</v>
      </c>
      <c r="X136" s="240">
        <v>5200</v>
      </c>
      <c r="Y136">
        <v>152546281.70795181</v>
      </c>
    </row>
    <row r="137" spans="1:25">
      <c r="A137" s="201">
        <v>520</v>
      </c>
      <c r="B137" s="196">
        <f t="shared" si="26"/>
        <v>994351477.80072057</v>
      </c>
      <c r="C137" s="196">
        <f t="shared" si="27"/>
        <v>2483691637.1772747</v>
      </c>
      <c r="D137" s="196">
        <f t="shared" si="28"/>
        <v>122037025.36636145</v>
      </c>
      <c r="E137" s="197">
        <f t="shared" si="29"/>
        <v>3600080140.344357</v>
      </c>
      <c r="F137" s="198">
        <f t="shared" si="30"/>
        <v>804665</v>
      </c>
      <c r="K137">
        <f t="shared" si="31"/>
        <v>520</v>
      </c>
      <c r="L137" s="240">
        <v>5200</v>
      </c>
      <c r="M137">
        <v>994351477.80072057</v>
      </c>
      <c r="O137">
        <f t="shared" si="32"/>
        <v>520</v>
      </c>
      <c r="P137" s="240">
        <v>5200</v>
      </c>
      <c r="Q137">
        <v>577501132.24997282</v>
      </c>
      <c r="R137">
        <v>2283900760.9416442</v>
      </c>
      <c r="S137">
        <v>2700000</v>
      </c>
      <c r="T137">
        <v>240512653.27997643</v>
      </c>
      <c r="U137">
        <f t="shared" si="33"/>
        <v>3104614546.4715934</v>
      </c>
      <c r="W137">
        <f t="shared" si="34"/>
        <v>521</v>
      </c>
      <c r="X137" s="240">
        <v>5210</v>
      </c>
      <c r="Y137">
        <v>286304269.2646274</v>
      </c>
    </row>
    <row r="138" spans="1:25">
      <c r="A138" s="201">
        <v>521</v>
      </c>
      <c r="B138" s="196">
        <f t="shared" si="26"/>
        <v>3486571930.582109</v>
      </c>
      <c r="C138" s="196">
        <f t="shared" si="27"/>
        <v>3669297841.6444521</v>
      </c>
      <c r="D138" s="196">
        <f t="shared" si="28"/>
        <v>229043415.41170192</v>
      </c>
      <c r="E138" s="197">
        <f t="shared" si="29"/>
        <v>7384913187.6382627</v>
      </c>
      <c r="F138" s="198">
        <f t="shared" si="30"/>
        <v>1650624</v>
      </c>
      <c r="K138">
        <f t="shared" si="31"/>
        <v>521</v>
      </c>
      <c r="L138" s="240">
        <v>5210</v>
      </c>
      <c r="M138">
        <v>3486571930.582109</v>
      </c>
      <c r="O138">
        <f t="shared" si="32"/>
        <v>521</v>
      </c>
      <c r="P138" s="240">
        <v>5210</v>
      </c>
      <c r="Q138">
        <v>1316176992.801954</v>
      </c>
      <c r="R138">
        <v>2954834841.1236248</v>
      </c>
      <c r="S138">
        <v>14669550</v>
      </c>
      <c r="T138">
        <v>300940918.12998545</v>
      </c>
      <c r="U138">
        <f t="shared" si="33"/>
        <v>4586622302.0555649</v>
      </c>
      <c r="W138">
        <f t="shared" si="34"/>
        <v>522</v>
      </c>
      <c r="X138" s="240">
        <v>5220</v>
      </c>
      <c r="Y138">
        <v>274909292.05107224</v>
      </c>
    </row>
    <row r="139" spans="1:25">
      <c r="A139" s="201">
        <v>522</v>
      </c>
      <c r="B139" s="196">
        <f t="shared" si="26"/>
        <v>1984594327.5756896</v>
      </c>
      <c r="C139" s="196">
        <f t="shared" si="27"/>
        <v>3207502270.8860912</v>
      </c>
      <c r="D139" s="196">
        <f t="shared" si="28"/>
        <v>219927433.64085782</v>
      </c>
      <c r="E139" s="197">
        <f t="shared" si="29"/>
        <v>5412024032.1026382</v>
      </c>
      <c r="F139" s="198">
        <f t="shared" si="30"/>
        <v>1209658</v>
      </c>
      <c r="K139">
        <f t="shared" si="31"/>
        <v>522</v>
      </c>
      <c r="L139" s="240">
        <v>5220</v>
      </c>
      <c r="M139">
        <v>1984594327.5756896</v>
      </c>
      <c r="O139">
        <f t="shared" si="32"/>
        <v>522</v>
      </c>
      <c r="P139" s="240">
        <v>5220</v>
      </c>
      <c r="Q139">
        <v>1288259039.8379631</v>
      </c>
      <c r="R139">
        <v>2612593854.9696655</v>
      </c>
      <c r="S139">
        <v>1800000</v>
      </c>
      <c r="T139">
        <v>106724943.79998481</v>
      </c>
      <c r="U139">
        <f t="shared" si="33"/>
        <v>4009377838.6076136</v>
      </c>
      <c r="W139">
        <f t="shared" si="34"/>
        <v>523</v>
      </c>
      <c r="X139" s="240">
        <v>5230</v>
      </c>
      <c r="Y139">
        <v>108718640.8517544</v>
      </c>
    </row>
    <row r="140" spans="1:25">
      <c r="A140" s="201">
        <v>523</v>
      </c>
      <c r="B140" s="196">
        <f t="shared" si="26"/>
        <v>923862051.78408241</v>
      </c>
      <c r="C140" s="196">
        <f t="shared" si="27"/>
        <v>3161882035.1437278</v>
      </c>
      <c r="D140" s="196">
        <f t="shared" si="28"/>
        <v>86974912.681403518</v>
      </c>
      <c r="E140" s="197">
        <f t="shared" si="29"/>
        <v>4172718999.6092138</v>
      </c>
      <c r="F140" s="198">
        <f t="shared" si="30"/>
        <v>932657</v>
      </c>
      <c r="K140">
        <f t="shared" si="31"/>
        <v>523</v>
      </c>
      <c r="L140" s="240">
        <v>5230</v>
      </c>
      <c r="M140">
        <v>923862051.78408241</v>
      </c>
      <c r="O140">
        <f t="shared" si="32"/>
        <v>523</v>
      </c>
      <c r="P140" s="240">
        <v>5230</v>
      </c>
      <c r="Q140">
        <v>798280898.92997766</v>
      </c>
      <c r="R140">
        <v>3025131785.3996911</v>
      </c>
      <c r="S140">
        <v>4866120</v>
      </c>
      <c r="T140">
        <v>124073739.5999904</v>
      </c>
      <c r="U140">
        <f t="shared" si="33"/>
        <v>3952352543.9296594</v>
      </c>
      <c r="W140">
        <f t="shared" si="34"/>
        <v>524</v>
      </c>
      <c r="X140" s="240">
        <v>5240</v>
      </c>
      <c r="Y140">
        <v>224067584.3786208</v>
      </c>
    </row>
    <row r="141" spans="1:25">
      <c r="A141" s="201">
        <v>524</v>
      </c>
      <c r="B141" s="196">
        <f t="shared" si="26"/>
        <v>801149017.75418079</v>
      </c>
      <c r="C141" s="196">
        <f t="shared" si="27"/>
        <v>2031504846.2589326</v>
      </c>
      <c r="D141" s="196">
        <f t="shared" si="28"/>
        <v>179254067.50289667</v>
      </c>
      <c r="E141" s="197">
        <f t="shared" si="29"/>
        <v>3011907931.5160103</v>
      </c>
      <c r="F141" s="198">
        <f t="shared" si="30"/>
        <v>673201</v>
      </c>
      <c r="K141">
        <f t="shared" si="31"/>
        <v>524</v>
      </c>
      <c r="L141" s="240">
        <v>5240</v>
      </c>
      <c r="M141">
        <v>801149017.75418079</v>
      </c>
      <c r="O141">
        <f t="shared" si="32"/>
        <v>524</v>
      </c>
      <c r="P141" s="240">
        <v>5240</v>
      </c>
      <c r="Q141">
        <v>266045028.9799878</v>
      </c>
      <c r="R141">
        <v>2175273672.6016817</v>
      </c>
      <c r="S141">
        <v>900000</v>
      </c>
      <c r="T141">
        <v>97162356.241996199</v>
      </c>
      <c r="U141">
        <f t="shared" si="33"/>
        <v>2539381057.8236656</v>
      </c>
      <c r="W141">
        <f t="shared" si="34"/>
        <v>540</v>
      </c>
      <c r="X141" s="240">
        <v>5400</v>
      </c>
      <c r="Y141">
        <v>236276271.57083398</v>
      </c>
    </row>
    <row r="142" spans="1:25">
      <c r="A142" s="201">
        <v>540</v>
      </c>
      <c r="B142" s="196">
        <f t="shared" si="26"/>
        <v>522295927.87708277</v>
      </c>
      <c r="C142" s="196">
        <f t="shared" si="27"/>
        <v>1309425852.2973983</v>
      </c>
      <c r="D142" s="196">
        <f t="shared" si="28"/>
        <v>189021017.2566672</v>
      </c>
      <c r="E142" s="197">
        <f t="shared" si="29"/>
        <v>2020742797.4311483</v>
      </c>
      <c r="F142" s="198">
        <f t="shared" si="30"/>
        <v>451662</v>
      </c>
      <c r="K142">
        <f t="shared" si="31"/>
        <v>540</v>
      </c>
      <c r="L142" s="240">
        <v>5400</v>
      </c>
      <c r="M142">
        <v>522295927.87708277</v>
      </c>
      <c r="O142">
        <f t="shared" si="32"/>
        <v>540</v>
      </c>
      <c r="P142" s="240">
        <v>5400</v>
      </c>
      <c r="Q142">
        <v>336577776.27199203</v>
      </c>
      <c r="R142">
        <v>1185753275.5757596</v>
      </c>
      <c r="S142">
        <v>22500000</v>
      </c>
      <c r="T142">
        <v>91951263.523996204</v>
      </c>
      <c r="U142">
        <f t="shared" si="33"/>
        <v>1636782315.3717477</v>
      </c>
      <c r="W142">
        <f t="shared" si="34"/>
        <v>541</v>
      </c>
      <c r="X142" s="240">
        <v>5410</v>
      </c>
      <c r="Y142">
        <v>116805140.76419321</v>
      </c>
    </row>
    <row r="143" spans="1:25">
      <c r="A143" s="201">
        <v>541</v>
      </c>
      <c r="B143" s="196">
        <f t="shared" si="26"/>
        <v>838075244.59384477</v>
      </c>
      <c r="C143" s="196">
        <f t="shared" si="27"/>
        <v>2518207304.9261866</v>
      </c>
      <c r="D143" s="196">
        <f t="shared" si="28"/>
        <v>93444112.611354575</v>
      </c>
      <c r="E143" s="197">
        <f t="shared" si="29"/>
        <v>3449726662.1313858</v>
      </c>
      <c r="F143" s="198">
        <f t="shared" si="30"/>
        <v>771059</v>
      </c>
      <c r="K143">
        <f t="shared" si="31"/>
        <v>541</v>
      </c>
      <c r="L143" s="240">
        <v>5410</v>
      </c>
      <c r="M143">
        <v>838075244.59384477</v>
      </c>
      <c r="O143">
        <f t="shared" si="32"/>
        <v>541</v>
      </c>
      <c r="P143" s="240">
        <v>5410</v>
      </c>
      <c r="Q143">
        <v>798014155.73398387</v>
      </c>
      <c r="R143">
        <v>2237670832.3497558</v>
      </c>
      <c r="S143">
        <v>1800000</v>
      </c>
      <c r="T143">
        <v>110274143.073993</v>
      </c>
      <c r="U143">
        <f t="shared" si="33"/>
        <v>3147759131.157733</v>
      </c>
      <c r="W143">
        <f t="shared" si="34"/>
        <v>542</v>
      </c>
      <c r="X143" s="240">
        <v>5420</v>
      </c>
      <c r="Y143">
        <v>178447975.854844</v>
      </c>
    </row>
    <row r="144" spans="1:25">
      <c r="A144" s="201">
        <v>542</v>
      </c>
      <c r="B144" s="196">
        <f t="shared" si="26"/>
        <v>530463881.56795883</v>
      </c>
      <c r="C144" s="196">
        <f t="shared" si="27"/>
        <v>1553399632.9710262</v>
      </c>
      <c r="D144" s="196">
        <f t="shared" si="28"/>
        <v>142758380.6838752</v>
      </c>
      <c r="E144" s="197">
        <f t="shared" si="29"/>
        <v>2226621895.2228603</v>
      </c>
      <c r="F144" s="198">
        <f t="shared" si="30"/>
        <v>497679</v>
      </c>
      <c r="K144">
        <f t="shared" si="31"/>
        <v>542</v>
      </c>
      <c r="L144" s="240">
        <v>5420</v>
      </c>
      <c r="M144">
        <v>530463881.56795883</v>
      </c>
      <c r="O144">
        <f t="shared" si="32"/>
        <v>542</v>
      </c>
      <c r="P144" s="240">
        <v>5420</v>
      </c>
      <c r="Q144">
        <v>264379265.26998842</v>
      </c>
      <c r="R144">
        <v>1624066029.075798</v>
      </c>
      <c r="S144">
        <v>0</v>
      </c>
      <c r="T144">
        <v>53304246.867996</v>
      </c>
      <c r="U144">
        <f t="shared" si="33"/>
        <v>1941749541.2137825</v>
      </c>
      <c r="W144">
        <f t="shared" si="34"/>
        <v>600</v>
      </c>
      <c r="X144" s="240">
        <v>6000</v>
      </c>
      <c r="Y144">
        <v>82314322.161298811</v>
      </c>
    </row>
    <row r="145" spans="1:25">
      <c r="A145" s="201">
        <v>600</v>
      </c>
      <c r="B145" s="196">
        <f t="shared" si="26"/>
        <v>1417484772.6167197</v>
      </c>
      <c r="C145" s="196">
        <f t="shared" si="27"/>
        <v>1582619853.713341</v>
      </c>
      <c r="D145" s="196">
        <f t="shared" si="28"/>
        <v>65851457.729039051</v>
      </c>
      <c r="E145" s="197">
        <f t="shared" si="29"/>
        <v>3065956084.0591002</v>
      </c>
      <c r="F145" s="198">
        <f t="shared" si="30"/>
        <v>685281</v>
      </c>
      <c r="K145">
        <f t="shared" si="31"/>
        <v>600</v>
      </c>
      <c r="L145" s="240">
        <v>6000</v>
      </c>
      <c r="M145">
        <v>1417484772.6167197</v>
      </c>
      <c r="O145">
        <f t="shared" si="32"/>
        <v>600</v>
      </c>
      <c r="P145" s="240">
        <v>6000</v>
      </c>
      <c r="Q145">
        <v>463880980.32397562</v>
      </c>
      <c r="R145">
        <v>1412029507.1397157</v>
      </c>
      <c r="S145">
        <v>3537000</v>
      </c>
      <c r="T145">
        <v>98827329.677984983</v>
      </c>
      <c r="U145">
        <f t="shared" si="33"/>
        <v>1978274817.1416762</v>
      </c>
      <c r="W145">
        <f t="shared" si="34"/>
        <v>601</v>
      </c>
      <c r="X145" s="240">
        <v>6010</v>
      </c>
      <c r="Y145">
        <v>168271070.18174481</v>
      </c>
    </row>
    <row r="146" spans="1:25">
      <c r="A146" s="201">
        <v>601</v>
      </c>
      <c r="B146" s="196">
        <f t="shared" si="26"/>
        <v>1456665043.7387311</v>
      </c>
      <c r="C146" s="196">
        <f t="shared" si="27"/>
        <v>1621644731.8269856</v>
      </c>
      <c r="D146" s="196">
        <f t="shared" si="28"/>
        <v>134616856.14539585</v>
      </c>
      <c r="E146" s="197">
        <f t="shared" si="29"/>
        <v>3212926631.7111125</v>
      </c>
      <c r="F146" s="198">
        <f t="shared" si="30"/>
        <v>718131</v>
      </c>
      <c r="K146">
        <f t="shared" si="31"/>
        <v>601</v>
      </c>
      <c r="L146" s="240">
        <v>6010</v>
      </c>
      <c r="M146">
        <v>1456665043.7387311</v>
      </c>
      <c r="O146">
        <f t="shared" si="32"/>
        <v>601</v>
      </c>
      <c r="P146" s="240">
        <v>6010</v>
      </c>
      <c r="Q146">
        <v>318290649.22198617</v>
      </c>
      <c r="R146">
        <v>1365245078.8857589</v>
      </c>
      <c r="S146">
        <v>2700000</v>
      </c>
      <c r="T146">
        <v>340820186.67598683</v>
      </c>
      <c r="U146">
        <f t="shared" si="33"/>
        <v>2027055914.7837319</v>
      </c>
      <c r="W146">
        <f t="shared" si="34"/>
        <v>602</v>
      </c>
      <c r="X146" s="240">
        <v>6020</v>
      </c>
      <c r="Y146">
        <v>86391639.726203188</v>
      </c>
    </row>
    <row r="147" spans="1:25">
      <c r="A147" s="201">
        <v>602</v>
      </c>
      <c r="B147" s="196">
        <f t="shared" si="26"/>
        <v>756152412.39508331</v>
      </c>
      <c r="C147" s="196">
        <f t="shared" si="27"/>
        <v>1464694630.7470112</v>
      </c>
      <c r="D147" s="196">
        <f t="shared" si="28"/>
        <v>69113311.780962557</v>
      </c>
      <c r="E147" s="197">
        <f t="shared" si="29"/>
        <v>2289960354.9230571</v>
      </c>
      <c r="F147" s="198">
        <f t="shared" si="30"/>
        <v>511836</v>
      </c>
      <c r="K147">
        <f t="shared" si="31"/>
        <v>602</v>
      </c>
      <c r="L147" s="240">
        <v>6020</v>
      </c>
      <c r="M147">
        <v>756152412.39508331</v>
      </c>
      <c r="O147">
        <f t="shared" si="32"/>
        <v>602</v>
      </c>
      <c r="P147" s="240">
        <v>6020</v>
      </c>
      <c r="Q147">
        <v>405834865.56199074</v>
      </c>
      <c r="R147">
        <v>1388154358.0717847</v>
      </c>
      <c r="S147">
        <v>0</v>
      </c>
      <c r="T147">
        <v>36879064.799988598</v>
      </c>
      <c r="U147">
        <f t="shared" si="33"/>
        <v>1830868288.433764</v>
      </c>
      <c r="W147">
        <f t="shared" si="34"/>
        <v>620</v>
      </c>
      <c r="X147" s="240">
        <v>6200</v>
      </c>
      <c r="Y147">
        <v>669587976.43259501</v>
      </c>
    </row>
    <row r="148" spans="1:25">
      <c r="A148" s="201">
        <v>620</v>
      </c>
      <c r="B148" s="196">
        <f t="shared" si="26"/>
        <v>1104888537.1042864</v>
      </c>
      <c r="C148" s="196">
        <f t="shared" si="27"/>
        <v>1509563726.7853553</v>
      </c>
      <c r="D148" s="196">
        <f t="shared" si="28"/>
        <v>535670381.14607602</v>
      </c>
      <c r="E148" s="197">
        <f t="shared" si="29"/>
        <v>3150122645.035718</v>
      </c>
      <c r="F148" s="198">
        <f t="shared" si="30"/>
        <v>704093</v>
      </c>
      <c r="K148">
        <f t="shared" si="31"/>
        <v>620</v>
      </c>
      <c r="L148" s="240">
        <v>6200</v>
      </c>
      <c r="M148">
        <v>1104888537.1042864</v>
      </c>
      <c r="O148">
        <f t="shared" si="32"/>
        <v>620</v>
      </c>
      <c r="P148" s="240">
        <v>6200</v>
      </c>
      <c r="Q148">
        <v>409721594.11798686</v>
      </c>
      <c r="R148">
        <v>1408400481.4997184</v>
      </c>
      <c r="S148">
        <v>2700000</v>
      </c>
      <c r="T148">
        <v>66132582.863988608</v>
      </c>
      <c r="U148">
        <f t="shared" si="33"/>
        <v>1886954658.481694</v>
      </c>
      <c r="W148">
        <f t="shared" si="34"/>
        <v>621</v>
      </c>
      <c r="X148" s="240">
        <v>6210</v>
      </c>
      <c r="Y148">
        <v>747936199.2804004</v>
      </c>
    </row>
    <row r="149" spans="1:25">
      <c r="A149" s="201">
        <v>621</v>
      </c>
      <c r="B149" s="196">
        <f t="shared" si="26"/>
        <v>1294987544.8642588</v>
      </c>
      <c r="C149" s="196">
        <f t="shared" si="27"/>
        <v>2019949493.8061624</v>
      </c>
      <c r="D149" s="196">
        <f t="shared" si="28"/>
        <v>598348959.42432034</v>
      </c>
      <c r="E149" s="197">
        <f t="shared" si="29"/>
        <v>3913285998.0947413</v>
      </c>
      <c r="F149" s="198">
        <f t="shared" si="30"/>
        <v>874670</v>
      </c>
      <c r="K149">
        <f t="shared" si="31"/>
        <v>621</v>
      </c>
      <c r="L149" s="240">
        <v>6210</v>
      </c>
      <c r="M149">
        <v>1294987544.8642588</v>
      </c>
      <c r="O149">
        <f t="shared" si="32"/>
        <v>621</v>
      </c>
      <c r="P149" s="240">
        <v>6210</v>
      </c>
      <c r="Q149">
        <v>629514205.1039772</v>
      </c>
      <c r="R149">
        <v>1691703965.4217381</v>
      </c>
      <c r="S149">
        <v>21901680</v>
      </c>
      <c r="T149">
        <v>181817016.73198742</v>
      </c>
      <c r="U149">
        <f t="shared" si="33"/>
        <v>2524936867.2577028</v>
      </c>
      <c r="W149">
        <f t="shared" si="34"/>
        <v>622</v>
      </c>
      <c r="X149" s="240">
        <v>6220</v>
      </c>
      <c r="Y149">
        <v>187993973.45081979</v>
      </c>
    </row>
    <row r="150" spans="1:25">
      <c r="A150" s="201">
        <v>622</v>
      </c>
      <c r="B150" s="196">
        <f t="shared" si="26"/>
        <v>1022942198.0689797</v>
      </c>
      <c r="C150" s="196">
        <f t="shared" si="27"/>
        <v>1864971015.8253775</v>
      </c>
      <c r="D150" s="196">
        <f t="shared" si="28"/>
        <v>150395178.76065585</v>
      </c>
      <c r="E150" s="197">
        <f t="shared" si="29"/>
        <v>3038308392.6550131</v>
      </c>
      <c r="F150" s="198">
        <f t="shared" si="30"/>
        <v>679101</v>
      </c>
      <c r="K150">
        <f t="shared" si="31"/>
        <v>622</v>
      </c>
      <c r="L150" s="240">
        <v>6220</v>
      </c>
      <c r="M150">
        <v>1022942198.0689797</v>
      </c>
      <c r="O150">
        <f t="shared" si="32"/>
        <v>622</v>
      </c>
      <c r="P150" s="240">
        <v>6220</v>
      </c>
      <c r="Q150">
        <v>358974713.36998081</v>
      </c>
      <c r="R150">
        <v>1456692539.5897779</v>
      </c>
      <c r="S150">
        <v>2079720</v>
      </c>
      <c r="T150">
        <v>513466796.82196265</v>
      </c>
      <c r="U150">
        <f t="shared" si="33"/>
        <v>2331213769.7817216</v>
      </c>
      <c r="W150">
        <f t="shared" si="34"/>
        <v>640</v>
      </c>
      <c r="X150" s="240">
        <v>6400</v>
      </c>
      <c r="Y150">
        <v>347597893.55415922</v>
      </c>
    </row>
    <row r="151" spans="1:25">
      <c r="A151" s="201">
        <v>640</v>
      </c>
      <c r="B151" s="196">
        <f t="shared" si="26"/>
        <v>1792274194.6542187</v>
      </c>
      <c r="C151" s="196">
        <f t="shared" si="27"/>
        <v>2524351076.7613115</v>
      </c>
      <c r="D151" s="196">
        <f t="shared" si="28"/>
        <v>278078314.8433274</v>
      </c>
      <c r="E151" s="197">
        <f t="shared" si="29"/>
        <v>4594703586.2588577</v>
      </c>
      <c r="F151" s="198">
        <f t="shared" si="30"/>
        <v>1026976</v>
      </c>
      <c r="K151">
        <f t="shared" si="31"/>
        <v>640</v>
      </c>
      <c r="L151" s="240">
        <v>6400</v>
      </c>
      <c r="M151">
        <v>1792274194.6542187</v>
      </c>
      <c r="O151">
        <f t="shared" si="32"/>
        <v>640</v>
      </c>
      <c r="P151" s="240">
        <v>6400</v>
      </c>
      <c r="Q151">
        <v>610965625.91799057</v>
      </c>
      <c r="R151">
        <v>2233602734.4336634</v>
      </c>
      <c r="S151">
        <v>11269149.9999984</v>
      </c>
      <c r="T151">
        <v>299601335.59998661</v>
      </c>
      <c r="U151">
        <f t="shared" si="33"/>
        <v>3155438845.9516392</v>
      </c>
      <c r="W151">
        <f t="shared" si="34"/>
        <v>642</v>
      </c>
      <c r="X151" s="240">
        <v>6420</v>
      </c>
      <c r="Y151">
        <v>261641337.7870512</v>
      </c>
    </row>
    <row r="152" spans="1:25">
      <c r="A152" s="201">
        <v>642</v>
      </c>
      <c r="B152" s="196">
        <f t="shared" si="26"/>
        <v>1306290021.5142808</v>
      </c>
      <c r="C152" s="196">
        <f t="shared" si="27"/>
        <v>2574515211.6365962</v>
      </c>
      <c r="D152" s="196">
        <f t="shared" si="28"/>
        <v>209313070.22964096</v>
      </c>
      <c r="E152" s="197">
        <f t="shared" si="29"/>
        <v>4090118303.380518</v>
      </c>
      <c r="F152" s="198">
        <f t="shared" si="30"/>
        <v>914195</v>
      </c>
      <c r="K152">
        <f t="shared" si="31"/>
        <v>642</v>
      </c>
      <c r="L152" s="240">
        <v>6420</v>
      </c>
      <c r="M152">
        <v>1306290021.5142808</v>
      </c>
      <c r="O152">
        <f t="shared" si="32"/>
        <v>642</v>
      </c>
      <c r="P152" s="240">
        <v>6420</v>
      </c>
      <c r="Q152">
        <v>572678365.23798299</v>
      </c>
      <c r="R152">
        <v>2538428013.8277678</v>
      </c>
      <c r="S152">
        <v>0</v>
      </c>
      <c r="T152">
        <v>107037635.47999381</v>
      </c>
      <c r="U152">
        <f t="shared" si="33"/>
        <v>3218144014.5457449</v>
      </c>
      <c r="W152">
        <f t="shared" si="34"/>
        <v>643</v>
      </c>
      <c r="X152" s="240">
        <v>6430</v>
      </c>
      <c r="Y152">
        <v>371997084.26261663</v>
      </c>
    </row>
    <row r="153" spans="1:25">
      <c r="A153" s="201">
        <v>643</v>
      </c>
      <c r="B153" s="196">
        <f t="shared" si="26"/>
        <v>752868871.58794308</v>
      </c>
      <c r="C153" s="196">
        <f t="shared" si="27"/>
        <v>1336881824.1598332</v>
      </c>
      <c r="D153" s="196">
        <f t="shared" si="28"/>
        <v>297597667.41009331</v>
      </c>
      <c r="E153" s="197">
        <f t="shared" si="29"/>
        <v>2387348363.1578693</v>
      </c>
      <c r="F153" s="198">
        <f t="shared" si="30"/>
        <v>533603</v>
      </c>
      <c r="K153">
        <f t="shared" si="31"/>
        <v>643</v>
      </c>
      <c r="L153" s="240">
        <v>6430</v>
      </c>
      <c r="M153">
        <v>752868871.58794308</v>
      </c>
      <c r="O153">
        <f t="shared" si="32"/>
        <v>643</v>
      </c>
      <c r="P153" s="240">
        <v>6430</v>
      </c>
      <c r="Q153">
        <v>320127181.5239802</v>
      </c>
      <c r="R153">
        <v>1234647299.1578236</v>
      </c>
      <c r="S153">
        <v>6058764</v>
      </c>
      <c r="T153">
        <v>110269035.5179878</v>
      </c>
      <c r="U153">
        <f t="shared" si="33"/>
        <v>1671102280.1997914</v>
      </c>
      <c r="W153">
        <f t="shared" si="34"/>
        <v>644</v>
      </c>
      <c r="X153" s="240">
        <v>6440</v>
      </c>
      <c r="Y153">
        <v>908481506.25392914</v>
      </c>
    </row>
    <row r="154" spans="1:25">
      <c r="A154" s="201">
        <v>644</v>
      </c>
      <c r="B154" s="196">
        <f t="shared" si="26"/>
        <v>1032087859.1290281</v>
      </c>
      <c r="C154" s="196">
        <f t="shared" si="27"/>
        <v>1258777158.7454238</v>
      </c>
      <c r="D154" s="196">
        <f t="shared" si="28"/>
        <v>726785205.00314331</v>
      </c>
      <c r="E154" s="197">
        <f t="shared" si="29"/>
        <v>3017650222.8775949</v>
      </c>
      <c r="F154" s="198">
        <f t="shared" si="30"/>
        <v>674484</v>
      </c>
      <c r="K154">
        <f t="shared" si="31"/>
        <v>644</v>
      </c>
      <c r="L154" s="240">
        <v>6440</v>
      </c>
      <c r="M154">
        <v>1032087859.1290281</v>
      </c>
      <c r="O154">
        <f t="shared" si="32"/>
        <v>644</v>
      </c>
      <c r="P154" s="240">
        <v>6440</v>
      </c>
      <c r="Q154">
        <v>296174713.20598084</v>
      </c>
      <c r="R154">
        <v>1045396820.3858118</v>
      </c>
      <c r="S154">
        <v>13392900</v>
      </c>
      <c r="T154">
        <v>218507014.83998701</v>
      </c>
      <c r="U154">
        <f t="shared" si="33"/>
        <v>1573471448.4317796</v>
      </c>
      <c r="W154">
        <f t="shared" si="34"/>
        <v>645</v>
      </c>
      <c r="X154" s="240">
        <v>6450</v>
      </c>
      <c r="Y154">
        <v>178561336.98863164</v>
      </c>
    </row>
    <row r="155" spans="1:25">
      <c r="A155" s="201">
        <v>645</v>
      </c>
      <c r="B155" s="196">
        <f t="shared" si="26"/>
        <v>1102120203.7263384</v>
      </c>
      <c r="C155" s="196">
        <f t="shared" si="27"/>
        <v>1829743928.8909848</v>
      </c>
      <c r="D155" s="196">
        <f t="shared" si="28"/>
        <v>142849069.59090531</v>
      </c>
      <c r="E155" s="197">
        <f t="shared" si="29"/>
        <v>3074713202.2082281</v>
      </c>
      <c r="F155" s="198">
        <f t="shared" si="30"/>
        <v>687238</v>
      </c>
      <c r="K155">
        <f t="shared" si="31"/>
        <v>645</v>
      </c>
      <c r="L155" s="240">
        <v>6450</v>
      </c>
      <c r="M155">
        <v>1102120203.7263384</v>
      </c>
      <c r="O155">
        <f t="shared" si="32"/>
        <v>645</v>
      </c>
      <c r="P155" s="240">
        <v>6450</v>
      </c>
      <c r="Q155">
        <v>243468958.40799299</v>
      </c>
      <c r="R155">
        <v>1789351733.3617494</v>
      </c>
      <c r="S155">
        <v>7097199.9999984</v>
      </c>
      <c r="T155">
        <v>247262019.34399021</v>
      </c>
      <c r="U155">
        <f t="shared" si="33"/>
        <v>2287179911.1137309</v>
      </c>
      <c r="W155">
        <f t="shared" si="34"/>
        <v>646</v>
      </c>
      <c r="X155" s="240">
        <v>6460</v>
      </c>
      <c r="Y155">
        <v>134850059.85286561</v>
      </c>
    </row>
    <row r="156" spans="1:25">
      <c r="A156" s="201">
        <v>646</v>
      </c>
      <c r="B156" s="196">
        <f t="shared" si="26"/>
        <v>879968223.476372</v>
      </c>
      <c r="C156" s="196">
        <f t="shared" si="27"/>
        <v>1695256726.446233</v>
      </c>
      <c r="D156" s="196">
        <f t="shared" si="28"/>
        <v>107880047.88229249</v>
      </c>
      <c r="E156" s="197">
        <f t="shared" si="29"/>
        <v>2683104997.8048973</v>
      </c>
      <c r="F156" s="198">
        <f t="shared" si="30"/>
        <v>599709</v>
      </c>
      <c r="K156">
        <f t="shared" si="31"/>
        <v>646</v>
      </c>
      <c r="L156" s="240">
        <v>6460</v>
      </c>
      <c r="M156">
        <v>879968223.476372</v>
      </c>
      <c r="O156">
        <f t="shared" si="32"/>
        <v>646</v>
      </c>
      <c r="P156" s="240">
        <v>6460</v>
      </c>
      <c r="Q156">
        <v>738334976.1259824</v>
      </c>
      <c r="R156">
        <v>1304456831.8918161</v>
      </c>
      <c r="S156">
        <v>11301840</v>
      </c>
      <c r="T156">
        <v>64977260.039992802</v>
      </c>
      <c r="U156">
        <f t="shared" si="33"/>
        <v>2119070908.0577912</v>
      </c>
      <c r="W156">
        <f t="shared" si="34"/>
        <v>647</v>
      </c>
      <c r="X156" s="240">
        <v>6470</v>
      </c>
      <c r="Y156">
        <v>205811221.6997304</v>
      </c>
    </row>
    <row r="157" spans="1:25">
      <c r="A157" s="201">
        <v>647</v>
      </c>
      <c r="B157" s="196">
        <f t="shared" si="26"/>
        <v>978136709.51546693</v>
      </c>
      <c r="C157" s="196">
        <f t="shared" si="27"/>
        <v>2738418436.4733796</v>
      </c>
      <c r="D157" s="196">
        <f t="shared" si="28"/>
        <v>164648977.35978433</v>
      </c>
      <c r="E157" s="197">
        <f t="shared" si="29"/>
        <v>3881204123.3486309</v>
      </c>
      <c r="F157" s="198">
        <f t="shared" si="30"/>
        <v>867500</v>
      </c>
      <c r="K157">
        <f t="shared" si="31"/>
        <v>647</v>
      </c>
      <c r="L157" s="240">
        <v>6470</v>
      </c>
      <c r="M157">
        <v>978136709.51546693</v>
      </c>
      <c r="O157">
        <f t="shared" si="32"/>
        <v>647</v>
      </c>
      <c r="P157" s="240">
        <v>6470</v>
      </c>
      <c r="Q157">
        <v>1520351139.9439783</v>
      </c>
      <c r="R157">
        <v>1819939846.5777531</v>
      </c>
      <c r="S157">
        <v>16113240</v>
      </c>
      <c r="T157">
        <v>66618819.069993004</v>
      </c>
      <c r="U157">
        <f t="shared" si="33"/>
        <v>3423023045.5917244</v>
      </c>
      <c r="W157">
        <f t="shared" si="34"/>
        <v>648</v>
      </c>
      <c r="X157" s="240">
        <v>6480</v>
      </c>
      <c r="Y157">
        <v>86637658.084626585</v>
      </c>
    </row>
    <row r="158" spans="1:25">
      <c r="A158" s="201">
        <v>648</v>
      </c>
      <c r="B158" s="196">
        <f t="shared" si="26"/>
        <v>1177790953.6540973</v>
      </c>
      <c r="C158" s="196">
        <f t="shared" si="27"/>
        <v>1349161368.2894392</v>
      </c>
      <c r="D158" s="196">
        <f t="shared" si="28"/>
        <v>69310126.467701271</v>
      </c>
      <c r="E158" s="197">
        <f t="shared" si="29"/>
        <v>2596262448.4112382</v>
      </c>
      <c r="F158" s="198">
        <f t="shared" si="30"/>
        <v>580298</v>
      </c>
      <c r="K158">
        <f t="shared" si="31"/>
        <v>648</v>
      </c>
      <c r="L158" s="240">
        <v>6480</v>
      </c>
      <c r="M158">
        <v>1177790953.6540973</v>
      </c>
      <c r="O158">
        <f t="shared" si="32"/>
        <v>648</v>
      </c>
      <c r="P158" s="240">
        <v>6480</v>
      </c>
      <c r="Q158">
        <v>503455088.81398493</v>
      </c>
      <c r="R158">
        <v>1067654023.7578254</v>
      </c>
      <c r="S158">
        <v>10730177.199999001</v>
      </c>
      <c r="T158">
        <v>104612420.58998941</v>
      </c>
      <c r="U158">
        <f t="shared" si="33"/>
        <v>1686451710.3617988</v>
      </c>
      <c r="W158">
        <f t="shared" si="34"/>
        <v>681</v>
      </c>
      <c r="X158" s="240">
        <v>6810</v>
      </c>
      <c r="Y158">
        <v>139050860.0946244</v>
      </c>
    </row>
    <row r="159" spans="1:25">
      <c r="A159" s="201">
        <v>681</v>
      </c>
      <c r="B159" s="196">
        <f t="shared" si="26"/>
        <v>776409171.23950088</v>
      </c>
      <c r="C159" s="196">
        <f t="shared" si="27"/>
        <v>1956646419.530988</v>
      </c>
      <c r="D159" s="196">
        <f t="shared" si="28"/>
        <v>111240688.07569952</v>
      </c>
      <c r="E159" s="197">
        <f t="shared" si="29"/>
        <v>2844296278.8461881</v>
      </c>
      <c r="F159" s="198">
        <f t="shared" si="30"/>
        <v>635737</v>
      </c>
      <c r="K159">
        <f t="shared" si="31"/>
        <v>681</v>
      </c>
      <c r="L159" s="240">
        <v>6810</v>
      </c>
      <c r="M159">
        <v>776409171.23950088</v>
      </c>
      <c r="O159">
        <f t="shared" si="32"/>
        <v>681</v>
      </c>
      <c r="P159" s="240">
        <v>6810</v>
      </c>
      <c r="Q159">
        <v>556376703.40197015</v>
      </c>
      <c r="R159">
        <v>1845557563.0117736</v>
      </c>
      <c r="S159">
        <v>1925640</v>
      </c>
      <c r="T159">
        <v>41948117.999991007</v>
      </c>
      <c r="U159">
        <f t="shared" si="33"/>
        <v>2445808024.4137349</v>
      </c>
      <c r="W159">
        <f t="shared" si="34"/>
        <v>700</v>
      </c>
      <c r="X159" s="240">
        <v>7000</v>
      </c>
      <c r="Y159">
        <v>245520959.160157</v>
      </c>
    </row>
    <row r="160" spans="1:25">
      <c r="A160" s="201">
        <v>700</v>
      </c>
      <c r="B160" s="196">
        <f t="shared" si="26"/>
        <v>1699259592.2774475</v>
      </c>
      <c r="C160" s="196">
        <f t="shared" si="27"/>
        <v>1498521188.8270297</v>
      </c>
      <c r="D160" s="196">
        <f t="shared" si="28"/>
        <v>196416767.3281256</v>
      </c>
      <c r="E160" s="197">
        <f t="shared" si="29"/>
        <v>3394197548.4326024</v>
      </c>
      <c r="F160" s="198">
        <f t="shared" si="30"/>
        <v>758647</v>
      </c>
      <c r="K160">
        <f t="shared" si="31"/>
        <v>700</v>
      </c>
      <c r="L160" s="240">
        <v>7000</v>
      </c>
      <c r="M160">
        <v>1699259592.2774475</v>
      </c>
      <c r="O160">
        <f t="shared" si="32"/>
        <v>700</v>
      </c>
      <c r="P160" s="240">
        <v>7000</v>
      </c>
      <c r="Q160">
        <v>377248859.85998702</v>
      </c>
      <c r="R160">
        <v>1325835473.1558082</v>
      </c>
      <c r="S160">
        <v>18645798.699999001</v>
      </c>
      <c r="T160">
        <v>151421354.3179926</v>
      </c>
      <c r="U160">
        <f t="shared" si="33"/>
        <v>1873151486.033787</v>
      </c>
      <c r="W160">
        <f t="shared" si="34"/>
        <v>701</v>
      </c>
      <c r="X160" s="240">
        <v>7010</v>
      </c>
      <c r="Y160">
        <v>149925901.28171322</v>
      </c>
    </row>
    <row r="161" spans="1:25">
      <c r="A161" s="201">
        <v>701</v>
      </c>
      <c r="B161" s="196">
        <f t="shared" si="26"/>
        <v>715641645.97816586</v>
      </c>
      <c r="C161" s="196">
        <f t="shared" si="27"/>
        <v>1085666652.2350068</v>
      </c>
      <c r="D161" s="196">
        <f t="shared" si="28"/>
        <v>119940721.02537058</v>
      </c>
      <c r="E161" s="197">
        <f t="shared" si="29"/>
        <v>1921249019.2385433</v>
      </c>
      <c r="F161" s="198">
        <f t="shared" si="30"/>
        <v>429424</v>
      </c>
      <c r="K161">
        <f t="shared" si="31"/>
        <v>701</v>
      </c>
      <c r="L161" s="240">
        <v>7010</v>
      </c>
      <c r="M161">
        <v>715641645.97816586</v>
      </c>
      <c r="O161">
        <f t="shared" si="32"/>
        <v>701</v>
      </c>
      <c r="P161" s="240">
        <v>7010</v>
      </c>
      <c r="Q161">
        <v>268636272.67399502</v>
      </c>
      <c r="R161">
        <v>1042169059.2837709</v>
      </c>
      <c r="S161">
        <v>6697859.9999976009</v>
      </c>
      <c r="T161">
        <v>39580123.335994802</v>
      </c>
      <c r="U161">
        <f t="shared" si="33"/>
        <v>1357083315.2937584</v>
      </c>
      <c r="W161">
        <f t="shared" si="34"/>
        <v>702</v>
      </c>
      <c r="X161" s="240">
        <v>7020</v>
      </c>
      <c r="Y161">
        <v>214551118.57240739</v>
      </c>
    </row>
    <row r="162" spans="1:25">
      <c r="A162" s="201">
        <v>702</v>
      </c>
      <c r="B162" s="196">
        <f t="shared" si="26"/>
        <v>608624735.30001223</v>
      </c>
      <c r="C162" s="196">
        <f t="shared" si="27"/>
        <v>1021324595.0398388</v>
      </c>
      <c r="D162" s="196">
        <f t="shared" si="28"/>
        <v>171640894.85792592</v>
      </c>
      <c r="E162" s="197">
        <f t="shared" si="29"/>
        <v>1801590225.1977768</v>
      </c>
      <c r="F162" s="198">
        <f t="shared" si="30"/>
        <v>402679</v>
      </c>
      <c r="K162">
        <f t="shared" si="31"/>
        <v>702</v>
      </c>
      <c r="L162" s="240">
        <v>7020</v>
      </c>
      <c r="M162">
        <v>608624735.30001223</v>
      </c>
      <c r="O162">
        <f t="shared" si="32"/>
        <v>702</v>
      </c>
      <c r="P162" s="240">
        <v>7020</v>
      </c>
      <c r="Q162">
        <v>157517421.22599301</v>
      </c>
      <c r="R162">
        <v>964969345.32181203</v>
      </c>
      <c r="S162">
        <v>2108160</v>
      </c>
      <c r="T162">
        <v>152060817.25199342</v>
      </c>
      <c r="U162">
        <f t="shared" si="33"/>
        <v>1276655743.7997985</v>
      </c>
      <c r="W162">
        <f t="shared" si="34"/>
        <v>703</v>
      </c>
      <c r="X162" s="240">
        <v>7030</v>
      </c>
      <c r="Y162">
        <v>74032209.871518403</v>
      </c>
    </row>
    <row r="163" spans="1:25">
      <c r="A163" s="201">
        <v>703</v>
      </c>
      <c r="B163" s="196">
        <f t="shared" si="26"/>
        <v>547887303.76379085</v>
      </c>
      <c r="C163" s="196">
        <f t="shared" si="27"/>
        <v>942624725.30058956</v>
      </c>
      <c r="D163" s="196">
        <f t="shared" si="28"/>
        <v>59225767.897214726</v>
      </c>
      <c r="E163" s="197">
        <f t="shared" si="29"/>
        <v>1549737796.9615951</v>
      </c>
      <c r="F163" s="198">
        <f t="shared" si="30"/>
        <v>346387</v>
      </c>
      <c r="K163">
        <f t="shared" si="31"/>
        <v>703</v>
      </c>
      <c r="L163" s="240">
        <v>7030</v>
      </c>
      <c r="M163">
        <v>547887303.76379085</v>
      </c>
      <c r="O163">
        <f t="shared" si="32"/>
        <v>703</v>
      </c>
      <c r="P163" s="240">
        <v>7030</v>
      </c>
      <c r="Q163">
        <v>145307336.11199459</v>
      </c>
      <c r="R163">
        <v>915638377.82575142</v>
      </c>
      <c r="S163">
        <v>10263870</v>
      </c>
      <c r="T163">
        <v>107071322.68799099</v>
      </c>
      <c r="U163">
        <f t="shared" si="33"/>
        <v>1178280906.625737</v>
      </c>
      <c r="W163">
        <f t="shared" si="34"/>
        <v>704</v>
      </c>
      <c r="X163" s="240">
        <v>7040</v>
      </c>
      <c r="Y163">
        <v>108485279.45617642</v>
      </c>
    </row>
    <row r="164" spans="1:25">
      <c r="A164" s="201">
        <v>704</v>
      </c>
      <c r="B164" s="196">
        <f t="shared" ref="B164:B179" si="35">VLOOKUP(A164,K:M,3,0)</f>
        <v>650414736.51526594</v>
      </c>
      <c r="C164" s="196">
        <f t="shared" ref="C164:C179" si="36">VLOOKUP(A164,O:U,7,0)*0.8</f>
        <v>959119462.83016956</v>
      </c>
      <c r="D164" s="196">
        <f t="shared" ref="D164:D179" si="37">VLOOKUP(A164,W:Y,3,0)*0.8</f>
        <v>86788223.564941138</v>
      </c>
      <c r="E164" s="197">
        <f t="shared" si="29"/>
        <v>1696322422.9103768</v>
      </c>
      <c r="F164" s="198">
        <f t="shared" ref="F164:F186" si="38">ROUND(E164*(F$2/E$187), 0)</f>
        <v>379150</v>
      </c>
      <c r="K164">
        <f t="shared" si="31"/>
        <v>704</v>
      </c>
      <c r="L164" s="240">
        <v>7040</v>
      </c>
      <c r="M164">
        <v>650414736.51526594</v>
      </c>
      <c r="O164">
        <f t="shared" si="32"/>
        <v>704</v>
      </c>
      <c r="P164" s="240">
        <v>7040</v>
      </c>
      <c r="Q164">
        <v>151972408.29798901</v>
      </c>
      <c r="R164">
        <v>794180100.65573883</v>
      </c>
      <c r="S164">
        <v>4979839.9999985993</v>
      </c>
      <c r="T164">
        <v>247766979.58398542</v>
      </c>
      <c r="U164">
        <f t="shared" si="33"/>
        <v>1198899328.5377119</v>
      </c>
      <c r="W164">
        <f t="shared" si="34"/>
        <v>705</v>
      </c>
      <c r="X164" s="240">
        <v>7050</v>
      </c>
      <c r="Y164">
        <v>161708092.0435046</v>
      </c>
    </row>
    <row r="165" spans="1:25">
      <c r="A165" s="201">
        <v>705</v>
      </c>
      <c r="B165" s="196">
        <f t="shared" si="35"/>
        <v>960532944.48243427</v>
      </c>
      <c r="C165" s="196">
        <f t="shared" si="36"/>
        <v>697202535.87665725</v>
      </c>
      <c r="D165" s="196">
        <f t="shared" si="37"/>
        <v>129366473.63480368</v>
      </c>
      <c r="E165" s="197">
        <f t="shared" si="29"/>
        <v>1787101953.9938953</v>
      </c>
      <c r="F165" s="198">
        <f t="shared" si="38"/>
        <v>399441</v>
      </c>
      <c r="K165">
        <f t="shared" si="31"/>
        <v>705</v>
      </c>
      <c r="L165" s="240">
        <v>7050</v>
      </c>
      <c r="M165">
        <v>960532944.48243427</v>
      </c>
      <c r="O165">
        <f t="shared" si="32"/>
        <v>705</v>
      </c>
      <c r="P165" s="240">
        <v>7050</v>
      </c>
      <c r="Q165">
        <v>136102883.997996</v>
      </c>
      <c r="R165">
        <v>705325896.3478303</v>
      </c>
      <c r="S165">
        <v>0</v>
      </c>
      <c r="T165">
        <v>30074389.499995202</v>
      </c>
      <c r="U165">
        <f t="shared" si="33"/>
        <v>871503169.8458215</v>
      </c>
      <c r="W165">
        <f t="shared" si="34"/>
        <v>706</v>
      </c>
      <c r="X165" s="240">
        <v>7060</v>
      </c>
      <c r="Y165">
        <v>165336476.29616821</v>
      </c>
    </row>
    <row r="166" spans="1:25">
      <c r="A166" s="201">
        <v>706</v>
      </c>
      <c r="B166" s="196">
        <f t="shared" si="35"/>
        <v>726791889.88703668</v>
      </c>
      <c r="C166" s="196">
        <f t="shared" si="36"/>
        <v>1220898673.3870513</v>
      </c>
      <c r="D166" s="196">
        <f t="shared" si="37"/>
        <v>132269181.03693457</v>
      </c>
      <c r="E166" s="197">
        <f t="shared" si="29"/>
        <v>2079959744.3110225</v>
      </c>
      <c r="F166" s="198">
        <f t="shared" si="38"/>
        <v>464898</v>
      </c>
      <c r="K166">
        <f t="shared" si="31"/>
        <v>706</v>
      </c>
      <c r="L166" s="240">
        <v>7060</v>
      </c>
      <c r="M166">
        <v>726791889.88703668</v>
      </c>
      <c r="O166">
        <f t="shared" si="32"/>
        <v>706</v>
      </c>
      <c r="P166" s="240">
        <v>7060</v>
      </c>
      <c r="Q166">
        <v>308004225.48999</v>
      </c>
      <c r="R166">
        <v>1137626511.1318316</v>
      </c>
      <c r="S166">
        <v>6423318</v>
      </c>
      <c r="T166">
        <v>74069287.111992598</v>
      </c>
      <c r="U166">
        <f t="shared" si="33"/>
        <v>1526123341.7338142</v>
      </c>
      <c r="W166">
        <f t="shared" si="34"/>
        <v>707</v>
      </c>
      <c r="X166" s="240">
        <v>7070</v>
      </c>
      <c r="Y166">
        <v>222181629.5908598</v>
      </c>
    </row>
    <row r="167" spans="1:25">
      <c r="A167" s="201">
        <v>707</v>
      </c>
      <c r="B167" s="196">
        <f t="shared" si="35"/>
        <v>512114924.85292184</v>
      </c>
      <c r="C167" s="196">
        <f t="shared" si="36"/>
        <v>732562702.79669571</v>
      </c>
      <c r="D167" s="196">
        <f t="shared" si="37"/>
        <v>177745303.67268786</v>
      </c>
      <c r="E167" s="197">
        <f t="shared" si="29"/>
        <v>1422422931.3223054</v>
      </c>
      <c r="F167" s="198">
        <f t="shared" si="38"/>
        <v>317930</v>
      </c>
      <c r="K167">
        <f t="shared" si="31"/>
        <v>707</v>
      </c>
      <c r="L167" s="240">
        <v>7070</v>
      </c>
      <c r="M167">
        <v>512114924.85292184</v>
      </c>
      <c r="O167">
        <f t="shared" si="32"/>
        <v>707</v>
      </c>
      <c r="P167" s="240">
        <v>7070</v>
      </c>
      <c r="Q167">
        <v>207716172.37199283</v>
      </c>
      <c r="R167">
        <v>605732695.55587983</v>
      </c>
      <c r="S167">
        <v>7532598.5999999996</v>
      </c>
      <c r="T167">
        <v>94721911.967997</v>
      </c>
      <c r="U167">
        <f t="shared" si="33"/>
        <v>915703378.49586964</v>
      </c>
      <c r="W167">
        <f t="shared" si="34"/>
        <v>708</v>
      </c>
      <c r="X167" s="240">
        <v>7080</v>
      </c>
      <c r="Y167">
        <v>151601209.44352299</v>
      </c>
    </row>
    <row r="168" spans="1:25">
      <c r="A168" s="201">
        <v>708</v>
      </c>
      <c r="B168" s="196">
        <f t="shared" si="35"/>
        <v>546054502.61044717</v>
      </c>
      <c r="C168" s="196">
        <f t="shared" si="36"/>
        <v>998740901.51667368</v>
      </c>
      <c r="D168" s="196">
        <f t="shared" si="37"/>
        <v>121280967.55481839</v>
      </c>
      <c r="E168" s="197">
        <f t="shared" si="29"/>
        <v>1666076371.6819394</v>
      </c>
      <c r="F168" s="198">
        <f t="shared" si="38"/>
        <v>372390</v>
      </c>
      <c r="K168">
        <f t="shared" si="31"/>
        <v>708</v>
      </c>
      <c r="L168" s="240">
        <v>7080</v>
      </c>
      <c r="M168">
        <v>546054502.61044717</v>
      </c>
      <c r="O168">
        <f t="shared" si="32"/>
        <v>708</v>
      </c>
      <c r="P168" s="240">
        <v>7080</v>
      </c>
      <c r="Q168">
        <v>223853249.95598704</v>
      </c>
      <c r="R168">
        <v>878204505.6538614</v>
      </c>
      <c r="S168">
        <v>12867005.9999988</v>
      </c>
      <c r="T168">
        <v>133501365.2859948</v>
      </c>
      <c r="U168">
        <f t="shared" si="33"/>
        <v>1248426126.8958421</v>
      </c>
      <c r="W168">
        <f t="shared" si="34"/>
        <v>709</v>
      </c>
      <c r="X168" s="240">
        <v>7090</v>
      </c>
      <c r="Y168">
        <v>325008162.185287</v>
      </c>
    </row>
    <row r="169" spans="1:25">
      <c r="A169" s="201">
        <v>709</v>
      </c>
      <c r="B169" s="196">
        <f t="shared" si="35"/>
        <v>906211092.32306516</v>
      </c>
      <c r="C169" s="196">
        <f t="shared" si="36"/>
        <v>1068181748.7534533</v>
      </c>
      <c r="D169" s="196">
        <f t="shared" si="37"/>
        <v>260006529.74822962</v>
      </c>
      <c r="E169" s="197">
        <f t="shared" si="29"/>
        <v>2234399370.824748</v>
      </c>
      <c r="F169" s="198">
        <f t="shared" si="38"/>
        <v>499417</v>
      </c>
      <c r="K169">
        <f t="shared" si="31"/>
        <v>709</v>
      </c>
      <c r="L169" s="240">
        <v>7090</v>
      </c>
      <c r="M169">
        <v>906211092.32306516</v>
      </c>
      <c r="O169">
        <f t="shared" si="32"/>
        <v>709</v>
      </c>
      <c r="P169" s="240">
        <v>7090</v>
      </c>
      <c r="Q169">
        <v>319591333.35999</v>
      </c>
      <c r="R169">
        <v>910333688.00183094</v>
      </c>
      <c r="S169">
        <v>10482675.48</v>
      </c>
      <c r="T169">
        <v>94819489.099995598</v>
      </c>
      <c r="U169">
        <f t="shared" si="33"/>
        <v>1335227185.9418166</v>
      </c>
      <c r="W169">
        <f t="shared" si="34"/>
        <v>710</v>
      </c>
      <c r="X169" s="240">
        <v>7100</v>
      </c>
      <c r="Y169">
        <v>133085115.58640639</v>
      </c>
    </row>
    <row r="170" spans="1:25">
      <c r="A170" s="201">
        <v>710</v>
      </c>
      <c r="B170" s="196">
        <f t="shared" si="35"/>
        <v>878444270.56250763</v>
      </c>
      <c r="C170" s="196">
        <f t="shared" si="36"/>
        <v>2007635851.7870355</v>
      </c>
      <c r="D170" s="196">
        <f t="shared" si="37"/>
        <v>106468092.46912512</v>
      </c>
      <c r="E170" s="197">
        <f t="shared" si="29"/>
        <v>2992548214.8186684</v>
      </c>
      <c r="F170" s="198">
        <f t="shared" si="38"/>
        <v>668873</v>
      </c>
      <c r="K170">
        <f t="shared" si="31"/>
        <v>710</v>
      </c>
      <c r="L170" s="240">
        <v>7100</v>
      </c>
      <c r="M170">
        <v>878444270.56250763</v>
      </c>
      <c r="O170">
        <f t="shared" si="32"/>
        <v>710</v>
      </c>
      <c r="P170" s="240">
        <v>7100</v>
      </c>
      <c r="Q170">
        <v>300308765.01199025</v>
      </c>
      <c r="R170">
        <v>2064536151.0078187</v>
      </c>
      <c r="S170">
        <v>18785999.9999988</v>
      </c>
      <c r="T170">
        <v>125913898.71398699</v>
      </c>
      <c r="U170">
        <f t="shared" si="33"/>
        <v>2509544814.7337942</v>
      </c>
      <c r="W170">
        <f t="shared" si="34"/>
        <v>711</v>
      </c>
      <c r="X170" s="240">
        <v>7110</v>
      </c>
      <c r="Y170">
        <v>92514270.747067794</v>
      </c>
    </row>
    <row r="171" spans="1:25">
      <c r="A171" s="201">
        <v>711</v>
      </c>
      <c r="B171" s="196">
        <f t="shared" si="35"/>
        <v>994094004.35831964</v>
      </c>
      <c r="C171" s="196">
        <f t="shared" si="36"/>
        <v>1096079287.1549847</v>
      </c>
      <c r="D171" s="196">
        <f t="shared" si="37"/>
        <v>74011416.597654238</v>
      </c>
      <c r="E171" s="197">
        <f t="shared" si="29"/>
        <v>2164184708.1109586</v>
      </c>
      <c r="F171" s="198">
        <f t="shared" si="38"/>
        <v>483723</v>
      </c>
      <c r="K171">
        <f t="shared" si="31"/>
        <v>711</v>
      </c>
      <c r="L171" s="240">
        <v>7110</v>
      </c>
      <c r="M171">
        <v>994094004.35831964</v>
      </c>
      <c r="O171">
        <f t="shared" si="32"/>
        <v>711</v>
      </c>
      <c r="P171" s="240">
        <v>7110</v>
      </c>
      <c r="Q171">
        <v>217814298.619986</v>
      </c>
      <c r="R171">
        <v>1004685280.5417588</v>
      </c>
      <c r="S171">
        <v>7356960</v>
      </c>
      <c r="T171">
        <v>140242569.78198603</v>
      </c>
      <c r="U171">
        <f t="shared" si="33"/>
        <v>1370099108.9437308</v>
      </c>
      <c r="W171">
        <f t="shared" si="34"/>
        <v>712</v>
      </c>
      <c r="X171" s="240">
        <v>7120</v>
      </c>
      <c r="Y171">
        <v>42010499.794863001</v>
      </c>
    </row>
    <row r="172" spans="1:25">
      <c r="A172" s="201">
        <v>712</v>
      </c>
      <c r="B172" s="196">
        <f t="shared" si="35"/>
        <v>265817553.47960281</v>
      </c>
      <c r="C172" s="196">
        <f t="shared" si="36"/>
        <v>599472229.08467805</v>
      </c>
      <c r="D172" s="196">
        <f t="shared" si="37"/>
        <v>33608399.835890405</v>
      </c>
      <c r="E172" s="197">
        <f t="shared" si="29"/>
        <v>898898182.40017128</v>
      </c>
      <c r="F172" s="198">
        <f t="shared" si="38"/>
        <v>200915</v>
      </c>
      <c r="K172">
        <f t="shared" si="31"/>
        <v>712</v>
      </c>
      <c r="L172" s="240">
        <v>7120</v>
      </c>
      <c r="M172">
        <v>265817553.47960281</v>
      </c>
      <c r="O172">
        <f t="shared" si="32"/>
        <v>712</v>
      </c>
      <c r="P172" s="240">
        <v>7120</v>
      </c>
      <c r="Q172">
        <v>113912259.9239988</v>
      </c>
      <c r="R172">
        <v>596308691.77784991</v>
      </c>
      <c r="S172">
        <v>0</v>
      </c>
      <c r="T172">
        <v>39119334.6539988</v>
      </c>
      <c r="U172">
        <f t="shared" si="33"/>
        <v>749340286.3558476</v>
      </c>
      <c r="W172">
        <f t="shared" si="34"/>
        <v>719</v>
      </c>
      <c r="X172" s="240">
        <v>7190</v>
      </c>
      <c r="Y172">
        <v>314706559.66417843</v>
      </c>
    </row>
    <row r="173" spans="1:25">
      <c r="A173" s="201">
        <v>719</v>
      </c>
      <c r="B173" s="196">
        <f t="shared" si="35"/>
        <v>1220890268.0116239</v>
      </c>
      <c r="C173" s="196">
        <f t="shared" si="36"/>
        <v>1863570785.0382245</v>
      </c>
      <c r="D173" s="196">
        <f t="shared" si="37"/>
        <v>251765247.73134276</v>
      </c>
      <c r="E173" s="197">
        <f t="shared" si="29"/>
        <v>3336226300.7811913</v>
      </c>
      <c r="F173" s="198">
        <f t="shared" si="38"/>
        <v>745690</v>
      </c>
      <c r="K173">
        <f t="shared" si="31"/>
        <v>719</v>
      </c>
      <c r="L173" s="240">
        <v>7190</v>
      </c>
      <c r="M173">
        <v>1220890268.0116239</v>
      </c>
      <c r="O173">
        <f t="shared" si="32"/>
        <v>719</v>
      </c>
      <c r="P173" s="240">
        <v>7190</v>
      </c>
      <c r="Q173">
        <v>413250726.80198884</v>
      </c>
      <c r="R173">
        <v>1808374253.695801</v>
      </c>
      <c r="S173">
        <v>2051776.8</v>
      </c>
      <c r="T173">
        <v>105786723.99999061</v>
      </c>
      <c r="U173">
        <f t="shared" si="33"/>
        <v>2329463481.2977805</v>
      </c>
      <c r="W173">
        <f t="shared" si="34"/>
        <v>720</v>
      </c>
      <c r="X173" s="240">
        <v>7200</v>
      </c>
      <c r="Y173">
        <v>206746931.33129421</v>
      </c>
    </row>
    <row r="174" spans="1:25">
      <c r="A174" s="201">
        <v>720</v>
      </c>
      <c r="B174" s="196">
        <f t="shared" si="35"/>
        <v>1834237116.8415523</v>
      </c>
      <c r="C174" s="196">
        <f t="shared" si="36"/>
        <v>1413685696.3534253</v>
      </c>
      <c r="D174" s="196">
        <f t="shared" si="37"/>
        <v>165397545.06503537</v>
      </c>
      <c r="E174" s="197">
        <f t="shared" si="29"/>
        <v>3413320358.2600131</v>
      </c>
      <c r="F174" s="198">
        <f t="shared" si="38"/>
        <v>762921</v>
      </c>
      <c r="K174">
        <f t="shared" si="31"/>
        <v>720</v>
      </c>
      <c r="L174" s="240">
        <v>7200</v>
      </c>
      <c r="M174">
        <v>1834237116.8415523</v>
      </c>
      <c r="O174">
        <f t="shared" si="32"/>
        <v>720</v>
      </c>
      <c r="P174" s="240">
        <v>7200</v>
      </c>
      <c r="Q174">
        <v>360031712.49397981</v>
      </c>
      <c r="R174">
        <v>1345308927.547806</v>
      </c>
      <c r="S174">
        <v>2880000</v>
      </c>
      <c r="T174">
        <v>58886480.399995804</v>
      </c>
      <c r="U174">
        <f t="shared" si="33"/>
        <v>1767107120.4417815</v>
      </c>
      <c r="W174">
        <f t="shared" si="34"/>
        <v>721</v>
      </c>
      <c r="X174" s="240">
        <v>7210</v>
      </c>
      <c r="Y174">
        <v>152268284.7588326</v>
      </c>
    </row>
    <row r="175" spans="1:25">
      <c r="A175" s="201">
        <v>721</v>
      </c>
      <c r="B175" s="196">
        <f t="shared" si="35"/>
        <v>1282104680.4263439</v>
      </c>
      <c r="C175" s="196">
        <f t="shared" si="36"/>
        <v>1605898552.297451</v>
      </c>
      <c r="D175" s="196">
        <f t="shared" si="37"/>
        <v>121814627.80706608</v>
      </c>
      <c r="E175" s="197">
        <f t="shared" si="29"/>
        <v>3009817860.5308609</v>
      </c>
      <c r="F175" s="198">
        <f t="shared" si="38"/>
        <v>672733</v>
      </c>
      <c r="K175">
        <f t="shared" si="31"/>
        <v>721</v>
      </c>
      <c r="L175" s="240">
        <v>7210</v>
      </c>
      <c r="M175">
        <v>1282104680.4263439</v>
      </c>
      <c r="O175">
        <f t="shared" si="32"/>
        <v>721</v>
      </c>
      <c r="P175" s="240">
        <v>7210</v>
      </c>
      <c r="Q175">
        <v>536853943.57598281</v>
      </c>
      <c r="R175">
        <v>1386733153.5958338</v>
      </c>
      <c r="S175">
        <v>2588130</v>
      </c>
      <c r="T175">
        <v>81197963.199997216</v>
      </c>
      <c r="U175">
        <f t="shared" si="33"/>
        <v>2007373190.3718138</v>
      </c>
      <c r="W175">
        <f t="shared" si="34"/>
        <v>722</v>
      </c>
      <c r="X175" s="240">
        <v>7220</v>
      </c>
      <c r="Y175">
        <v>186165770.55596262</v>
      </c>
    </row>
    <row r="176" spans="1:25">
      <c r="A176" s="201">
        <v>722</v>
      </c>
      <c r="B176" s="196">
        <f t="shared" si="35"/>
        <v>422659157.18381059</v>
      </c>
      <c r="C176" s="196">
        <f t="shared" si="36"/>
        <v>1002702069.5966496</v>
      </c>
      <c r="D176" s="196">
        <f t="shared" si="37"/>
        <v>148932616.4447701</v>
      </c>
      <c r="E176" s="197">
        <f t="shared" si="29"/>
        <v>1574293843.2252305</v>
      </c>
      <c r="F176" s="198">
        <f t="shared" si="38"/>
        <v>351875</v>
      </c>
      <c r="K176">
        <f t="shared" si="31"/>
        <v>722</v>
      </c>
      <c r="L176" s="240">
        <v>7220</v>
      </c>
      <c r="M176">
        <v>422659157.18381059</v>
      </c>
      <c r="O176">
        <f t="shared" si="32"/>
        <v>722</v>
      </c>
      <c r="P176" s="240">
        <v>7220</v>
      </c>
      <c r="Q176">
        <v>204704217.72999179</v>
      </c>
      <c r="R176">
        <v>947024286.06582916</v>
      </c>
      <c r="S176">
        <v>20446199.999998197</v>
      </c>
      <c r="T176">
        <v>81202883.199992999</v>
      </c>
      <c r="U176">
        <f t="shared" si="33"/>
        <v>1253377586.9958119</v>
      </c>
      <c r="W176">
        <f t="shared" si="34"/>
        <v>751</v>
      </c>
      <c r="X176" s="240">
        <v>7510</v>
      </c>
      <c r="Y176">
        <v>50079073.112637199</v>
      </c>
    </row>
    <row r="177" spans="1:25">
      <c r="A177" s="201">
        <v>751</v>
      </c>
      <c r="B177" s="196">
        <f t="shared" si="35"/>
        <v>411713473.30774319</v>
      </c>
      <c r="C177" s="196">
        <f t="shared" si="36"/>
        <v>1072469923.0254402</v>
      </c>
      <c r="D177" s="196">
        <f t="shared" si="37"/>
        <v>40063258.490109764</v>
      </c>
      <c r="E177" s="197">
        <f t="shared" si="29"/>
        <v>1524246654.823293</v>
      </c>
      <c r="F177" s="198">
        <f t="shared" si="38"/>
        <v>340689</v>
      </c>
      <c r="K177">
        <f t="shared" si="31"/>
        <v>751</v>
      </c>
      <c r="L177" s="240">
        <v>7510</v>
      </c>
      <c r="M177">
        <v>411713473.30774319</v>
      </c>
      <c r="O177">
        <f t="shared" si="32"/>
        <v>751</v>
      </c>
      <c r="P177" s="240">
        <v>7510</v>
      </c>
      <c r="Q177">
        <v>386030131.5399912</v>
      </c>
      <c r="R177">
        <v>925970989.24180984</v>
      </c>
      <c r="S177">
        <v>0</v>
      </c>
      <c r="T177">
        <v>28586282.9999994</v>
      </c>
      <c r="U177">
        <f t="shared" si="33"/>
        <v>1340587403.7818003</v>
      </c>
      <c r="W177">
        <f t="shared" si="34"/>
        <v>752</v>
      </c>
      <c r="X177" s="240">
        <v>7520</v>
      </c>
      <c r="Y177">
        <v>61390796.664845407</v>
      </c>
    </row>
    <row r="178" spans="1:25">
      <c r="A178" s="201">
        <v>752</v>
      </c>
      <c r="B178" s="196">
        <f t="shared" si="35"/>
        <v>920486915.25725138</v>
      </c>
      <c r="C178" s="196">
        <f t="shared" si="36"/>
        <v>1505024872.0206454</v>
      </c>
      <c r="D178" s="196">
        <f t="shared" si="37"/>
        <v>49112637.33187633</v>
      </c>
      <c r="E178" s="197">
        <f t="shared" si="29"/>
        <v>2474624424.6097732</v>
      </c>
      <c r="F178" s="198">
        <f t="shared" si="38"/>
        <v>553111</v>
      </c>
      <c r="K178">
        <f t="shared" si="31"/>
        <v>752</v>
      </c>
      <c r="L178" s="240">
        <v>7520</v>
      </c>
      <c r="M178">
        <v>920486915.25725138</v>
      </c>
      <c r="O178">
        <f t="shared" si="32"/>
        <v>752</v>
      </c>
      <c r="P178" s="240">
        <v>7520</v>
      </c>
      <c r="Q178">
        <v>284267289.95198822</v>
      </c>
      <c r="R178">
        <v>1465823798.7218263</v>
      </c>
      <c r="S178">
        <v>6305208.4199988004</v>
      </c>
      <c r="T178">
        <v>124884792.9319932</v>
      </c>
      <c r="U178">
        <f t="shared" si="33"/>
        <v>1881281090.0258067</v>
      </c>
      <c r="W178">
        <f t="shared" si="34"/>
        <v>753</v>
      </c>
      <c r="X178" s="240">
        <v>7530</v>
      </c>
      <c r="Y178">
        <v>43275073.093965605</v>
      </c>
    </row>
    <row r="179" spans="1:25">
      <c r="A179" s="201">
        <v>753</v>
      </c>
      <c r="B179" s="196">
        <f t="shared" si="35"/>
        <v>770431419.3310926</v>
      </c>
      <c r="C179" s="196">
        <f t="shared" si="36"/>
        <v>866476378.88466346</v>
      </c>
      <c r="D179" s="196">
        <f t="shared" si="37"/>
        <v>34620058.475172482</v>
      </c>
      <c r="E179" s="197">
        <f t="shared" si="29"/>
        <v>1671527856.6909285</v>
      </c>
      <c r="F179" s="198">
        <f t="shared" si="38"/>
        <v>373608</v>
      </c>
      <c r="K179">
        <f t="shared" si="31"/>
        <v>753</v>
      </c>
      <c r="L179" s="240">
        <v>7530</v>
      </c>
      <c r="M179">
        <v>770431419.3310926</v>
      </c>
      <c r="O179">
        <f t="shared" si="32"/>
        <v>753</v>
      </c>
      <c r="P179" s="240">
        <v>7530</v>
      </c>
      <c r="Q179">
        <v>152068097.20999321</v>
      </c>
      <c r="R179">
        <v>829937087.75584614</v>
      </c>
      <c r="S179">
        <v>2880000</v>
      </c>
      <c r="T179">
        <v>98210288.639989823</v>
      </c>
      <c r="U179">
        <f t="shared" si="33"/>
        <v>1083095473.6058292</v>
      </c>
      <c r="W179">
        <f t="shared" si="34"/>
        <v>760</v>
      </c>
      <c r="X179" s="240">
        <v>7600</v>
      </c>
      <c r="Y179">
        <v>54373576.17397321</v>
      </c>
    </row>
    <row r="180" spans="1:25">
      <c r="A180" s="432">
        <v>760</v>
      </c>
      <c r="B180" s="238">
        <f>B191+B192</f>
        <v>1114765190.1135333</v>
      </c>
      <c r="C180" s="238">
        <f>C191+C192</f>
        <v>2612497654.6252661</v>
      </c>
      <c r="D180" s="238">
        <f>D191+D192</f>
        <v>50174678.28636609</v>
      </c>
      <c r="E180" s="197">
        <f t="shared" si="29"/>
        <v>3777437523.0251651</v>
      </c>
      <c r="F180" s="198">
        <f t="shared" si="38"/>
        <v>844306</v>
      </c>
      <c r="K180">
        <f t="shared" si="31"/>
        <v>760</v>
      </c>
      <c r="L180" s="240">
        <v>7600</v>
      </c>
      <c r="M180">
        <v>486920383.37397116</v>
      </c>
      <c r="O180">
        <f t="shared" si="32"/>
        <v>760</v>
      </c>
      <c r="P180" s="240">
        <v>7600</v>
      </c>
      <c r="Q180">
        <v>1073586090.3379686</v>
      </c>
      <c r="R180">
        <v>1004837838.8818266</v>
      </c>
      <c r="S180">
        <v>9092196</v>
      </c>
      <c r="T180">
        <v>50873927.199991196</v>
      </c>
      <c r="U180">
        <f t="shared" si="33"/>
        <v>2138390052.4197865</v>
      </c>
      <c r="W180">
        <f t="shared" si="34"/>
        <v>765</v>
      </c>
      <c r="X180" s="240">
        <v>7650</v>
      </c>
      <c r="Y180">
        <v>8344771.6839843998</v>
      </c>
    </row>
    <row r="181" spans="1:25">
      <c r="A181" s="201">
        <v>800</v>
      </c>
      <c r="B181" s="196">
        <f>VLOOKUP(A181,K:M,3,0)</f>
        <v>1136285931.1063273</v>
      </c>
      <c r="C181" s="196">
        <f>VLOOKUP(A181,O:U,7,0)*0.8</f>
        <v>1418380516.0045643</v>
      </c>
      <c r="D181" s="196">
        <f>VLOOKUP(A181,W:Y,3,0)*0.8</f>
        <v>175617820.5674386</v>
      </c>
      <c r="E181" s="197">
        <f t="shared" si="29"/>
        <v>2730284267.6783299</v>
      </c>
      <c r="F181" s="198">
        <f t="shared" si="38"/>
        <v>610254</v>
      </c>
      <c r="K181">
        <f t="shared" si="31"/>
        <v>765</v>
      </c>
      <c r="L181" s="240">
        <v>7650</v>
      </c>
      <c r="M181">
        <v>627844806.73956203</v>
      </c>
      <c r="O181">
        <f t="shared" si="32"/>
        <v>765</v>
      </c>
      <c r="P181" s="240">
        <v>7650</v>
      </c>
      <c r="Q181">
        <v>257300732.83799163</v>
      </c>
      <c r="R181">
        <v>793498304.73580754</v>
      </c>
      <c r="S181">
        <v>0</v>
      </c>
      <c r="T181">
        <v>76432978.287997201</v>
      </c>
      <c r="U181">
        <f t="shared" si="33"/>
        <v>1127232015.8617964</v>
      </c>
      <c r="W181">
        <f t="shared" si="34"/>
        <v>800</v>
      </c>
      <c r="X181" s="240">
        <v>8000</v>
      </c>
      <c r="Y181">
        <v>219522275.70929822</v>
      </c>
    </row>
    <row r="182" spans="1:25">
      <c r="A182" s="201">
        <v>801</v>
      </c>
      <c r="B182" s="196">
        <f>VLOOKUP(A182,K:M,3,0)</f>
        <v>1473888919.1940346</v>
      </c>
      <c r="C182" s="196">
        <f>VLOOKUP(A182,O:U,7,0)*0.8</f>
        <v>2160946487.2941575</v>
      </c>
      <c r="D182" s="196">
        <f>VLOOKUP(A182,W:Y,3,0)*0.8</f>
        <v>66557385.29080832</v>
      </c>
      <c r="E182" s="197">
        <f t="shared" si="29"/>
        <v>3701392791.7790003</v>
      </c>
      <c r="F182" s="198">
        <f t="shared" si="38"/>
        <v>827309</v>
      </c>
      <c r="K182">
        <f t="shared" si="31"/>
        <v>800</v>
      </c>
      <c r="L182" s="240">
        <v>8000</v>
      </c>
      <c r="M182">
        <v>1136285931.1063273</v>
      </c>
      <c r="O182">
        <f t="shared" si="32"/>
        <v>800</v>
      </c>
      <c r="P182" s="240">
        <v>8000</v>
      </c>
      <c r="Q182">
        <v>382148379.58598816</v>
      </c>
      <c r="R182">
        <v>1242696283.3137312</v>
      </c>
      <c r="S182">
        <v>10915083</v>
      </c>
      <c r="T182">
        <v>137215899.10598582</v>
      </c>
      <c r="U182">
        <f t="shared" si="33"/>
        <v>1772975645.0057051</v>
      </c>
      <c r="W182">
        <f t="shared" si="34"/>
        <v>801</v>
      </c>
      <c r="X182" s="240">
        <v>8010</v>
      </c>
      <c r="Y182">
        <v>83196731.6135104</v>
      </c>
    </row>
    <row r="183" spans="1:25">
      <c r="A183" s="432">
        <v>802</v>
      </c>
      <c r="B183" s="238">
        <f>B194+B195</f>
        <v>1316152352.3396659</v>
      </c>
      <c r="C183" s="238">
        <f>C194+C195</f>
        <v>2968735743.8540182</v>
      </c>
      <c r="D183" s="238">
        <f>D194+D195</f>
        <v>448965191.72741967</v>
      </c>
      <c r="E183" s="197">
        <f t="shared" si="29"/>
        <v>4733853287.9211035</v>
      </c>
      <c r="F183" s="198">
        <f t="shared" si="38"/>
        <v>1058078</v>
      </c>
      <c r="K183">
        <f t="shared" si="31"/>
        <v>801</v>
      </c>
      <c r="L183" s="240">
        <v>8010</v>
      </c>
      <c r="M183">
        <v>1473888919.1940346</v>
      </c>
      <c r="O183">
        <f t="shared" si="32"/>
        <v>801</v>
      </c>
      <c r="P183" s="240">
        <v>8010</v>
      </c>
      <c r="Q183">
        <v>728935903.04996872</v>
      </c>
      <c r="R183">
        <v>1661133180.7677493</v>
      </c>
      <c r="S183">
        <v>19660004.599998601</v>
      </c>
      <c r="T183">
        <v>291454020.69998038</v>
      </c>
      <c r="U183">
        <f t="shared" si="33"/>
        <v>2701183109.1176968</v>
      </c>
      <c r="W183">
        <f t="shared" si="34"/>
        <v>802</v>
      </c>
      <c r="X183" s="240">
        <v>8020</v>
      </c>
      <c r="Y183">
        <v>117775844.52596182</v>
      </c>
    </row>
    <row r="184" spans="1:25">
      <c r="A184" s="201">
        <v>820</v>
      </c>
      <c r="B184" s="196">
        <f>VLOOKUP(A184,K:M,3,0)</f>
        <v>975109701.94086421</v>
      </c>
      <c r="C184" s="196">
        <f>VLOOKUP(A184,O:U,7,0)*0.8</f>
        <v>1205680264.11338</v>
      </c>
      <c r="D184" s="196">
        <f>VLOOKUP(A184,W:Y,3,0)*0.8</f>
        <v>63931375.960876159</v>
      </c>
      <c r="E184" s="197">
        <f t="shared" si="29"/>
        <v>2244721342.01512</v>
      </c>
      <c r="F184" s="198">
        <f t="shared" si="38"/>
        <v>501724</v>
      </c>
      <c r="K184">
        <f t="shared" si="31"/>
        <v>802</v>
      </c>
      <c r="L184" s="240">
        <v>8020</v>
      </c>
      <c r="M184">
        <v>922527236.28767157</v>
      </c>
      <c r="O184">
        <f t="shared" si="32"/>
        <v>802</v>
      </c>
      <c r="P184" s="240">
        <v>8020</v>
      </c>
      <c r="Q184">
        <v>360211363.623981</v>
      </c>
      <c r="R184">
        <v>1771249937.3917542</v>
      </c>
      <c r="S184">
        <v>7424753.9999994002</v>
      </c>
      <c r="T184">
        <v>219250488.4119882</v>
      </c>
      <c r="U184">
        <f t="shared" si="33"/>
        <v>2358136543.4277225</v>
      </c>
      <c r="W184">
        <f t="shared" si="34"/>
        <v>813</v>
      </c>
      <c r="X184" s="240">
        <v>8130</v>
      </c>
      <c r="Y184">
        <v>443430645.13331276</v>
      </c>
    </row>
    <row r="185" spans="1:25">
      <c r="A185" s="201">
        <v>830</v>
      </c>
      <c r="B185" s="196">
        <f>VLOOKUP(A185,K:M,3,0)</f>
        <v>665071766.51742363</v>
      </c>
      <c r="C185" s="196">
        <f>VLOOKUP(A185,O:U,7,0)*0.8</f>
        <v>987484741.67988443</v>
      </c>
      <c r="D185" s="196">
        <f>VLOOKUP(A185,W:Y,3,0)*0.8</f>
        <v>185739034.22392112</v>
      </c>
      <c r="E185" s="197">
        <f t="shared" si="29"/>
        <v>1838295542.4212291</v>
      </c>
      <c r="F185" s="198">
        <f t="shared" si="38"/>
        <v>410883</v>
      </c>
      <c r="K185">
        <f t="shared" si="31"/>
        <v>813</v>
      </c>
      <c r="L185" s="240">
        <v>8130</v>
      </c>
      <c r="M185">
        <v>393625116.0519942</v>
      </c>
      <c r="O185">
        <f t="shared" si="32"/>
        <v>813</v>
      </c>
      <c r="P185" s="240">
        <v>8130</v>
      </c>
      <c r="Q185">
        <v>171259598.2619952</v>
      </c>
      <c r="R185">
        <v>1106991208.12781</v>
      </c>
      <c r="S185">
        <v>900000</v>
      </c>
      <c r="T185">
        <v>73632329.999994606</v>
      </c>
      <c r="U185">
        <f t="shared" si="33"/>
        <v>1352783136.3897998</v>
      </c>
      <c r="W185">
        <f t="shared" si="34"/>
        <v>820</v>
      </c>
      <c r="X185" s="240">
        <v>8200</v>
      </c>
      <c r="Y185">
        <v>79914219.951095194</v>
      </c>
    </row>
    <row r="186" spans="1:25">
      <c r="A186" s="201">
        <v>888</v>
      </c>
      <c r="B186" s="196">
        <f>VLOOKUP(A186,K:M,3,0)</f>
        <v>535184098.46279776</v>
      </c>
      <c r="C186" s="196">
        <f>VLOOKUP(A186,O:U,7,0)*0.8</f>
        <v>360226925.823901</v>
      </c>
      <c r="D186" s="196">
        <f>VLOOKUP(A186,W:Y,3,0)*0.8</f>
        <v>60693290.065888643</v>
      </c>
      <c r="E186" s="197">
        <f t="shared" si="29"/>
        <v>956104314.35258746</v>
      </c>
      <c r="F186" s="198">
        <f t="shared" si="38"/>
        <v>213702</v>
      </c>
      <c r="K186">
        <f t="shared" si="31"/>
        <v>820</v>
      </c>
      <c r="L186" s="240">
        <v>8200</v>
      </c>
      <c r="M186">
        <v>975109701.94086421</v>
      </c>
      <c r="O186">
        <f t="shared" si="32"/>
        <v>820</v>
      </c>
      <c r="P186" s="240">
        <v>8200</v>
      </c>
      <c r="Q186">
        <v>297224022.46798444</v>
      </c>
      <c r="R186">
        <v>1044854815.2217507</v>
      </c>
      <c r="S186">
        <v>17403538.9999968</v>
      </c>
      <c r="T186">
        <v>147617953.45199281</v>
      </c>
      <c r="U186">
        <f t="shared" si="33"/>
        <v>1507100330.1417248</v>
      </c>
      <c r="W186">
        <f t="shared" si="34"/>
        <v>830</v>
      </c>
      <c r="X186" s="240">
        <v>8300</v>
      </c>
      <c r="Y186">
        <v>232173792.77990139</v>
      </c>
    </row>
    <row r="187" spans="1:25">
      <c r="A187" s="201" t="s">
        <v>208</v>
      </c>
      <c r="B187" s="192">
        <f>SUM(B4:B186)</f>
        <v>188001807546.73291</v>
      </c>
      <c r="C187" s="192">
        <f>SUM(C4:C186)</f>
        <v>265914211516.11508</v>
      </c>
      <c r="D187" s="192">
        <f>SUM(D4:D186)</f>
        <v>33527669498.047138</v>
      </c>
      <c r="E187" s="197">
        <f>SUM(E4:E186)</f>
        <v>487443688560.89496</v>
      </c>
      <c r="F187" s="198">
        <f>SUM(F4:F186)</f>
        <v>108949988</v>
      </c>
      <c r="K187">
        <f t="shared" si="31"/>
        <v>830</v>
      </c>
      <c r="L187" s="240">
        <v>8300</v>
      </c>
      <c r="M187">
        <v>665071766.51742363</v>
      </c>
      <c r="O187">
        <f t="shared" si="32"/>
        <v>830</v>
      </c>
      <c r="P187" s="240">
        <v>8300</v>
      </c>
      <c r="Q187">
        <v>244149786.10399503</v>
      </c>
      <c r="R187">
        <v>807778358.99586904</v>
      </c>
      <c r="S187">
        <v>4204800</v>
      </c>
      <c r="T187">
        <v>178222981.99999142</v>
      </c>
      <c r="U187">
        <f t="shared" si="33"/>
        <v>1234355927.0998554</v>
      </c>
      <c r="W187">
        <f t="shared" si="34"/>
        <v>888</v>
      </c>
      <c r="X187" s="240">
        <v>8880</v>
      </c>
      <c r="Y187">
        <v>75866612.582360804</v>
      </c>
    </row>
    <row r="188" spans="1:25">
      <c r="K188">
        <f t="shared" si="31"/>
        <v>888</v>
      </c>
      <c r="L188" s="240">
        <v>8880</v>
      </c>
      <c r="M188">
        <v>535184098.46279776</v>
      </c>
      <c r="O188">
        <f t="shared" si="32"/>
        <v>888</v>
      </c>
      <c r="P188" s="240">
        <v>8880</v>
      </c>
      <c r="Q188">
        <v>62624126.48999761</v>
      </c>
      <c r="R188">
        <v>341170421.28988141</v>
      </c>
      <c r="S188">
        <v>0</v>
      </c>
      <c r="T188">
        <v>46489109.499997199</v>
      </c>
      <c r="U188">
        <f t="shared" si="33"/>
        <v>450283657.27987623</v>
      </c>
      <c r="W188">
        <f t="shared" si="34"/>
        <v>268</v>
      </c>
      <c r="X188" s="240">
        <v>2680</v>
      </c>
      <c r="Y188">
        <v>22932124.995307602</v>
      </c>
    </row>
    <row r="189" spans="1:25">
      <c r="K189" t="e">
        <f t="shared" si="31"/>
        <v>#VALUE!</v>
      </c>
      <c r="L189" s="240" t="s">
        <v>208</v>
      </c>
      <c r="M189">
        <v>188001807546.73291</v>
      </c>
      <c r="O189" t="e">
        <f t="shared" si="32"/>
        <v>#VALUE!</v>
      </c>
      <c r="P189" s="240" t="s">
        <v>208</v>
      </c>
      <c r="Q189">
        <v>72383438037.331802</v>
      </c>
      <c r="R189">
        <v>228540629761.52191</v>
      </c>
      <c r="S189">
        <v>1033304467.8799495</v>
      </c>
      <c r="T189">
        <v>30435392128.410294</v>
      </c>
      <c r="U189">
        <f t="shared" si="33"/>
        <v>332392764395.14392</v>
      </c>
      <c r="W189" t="e">
        <f t="shared" si="34"/>
        <v>#VALUE!</v>
      </c>
      <c r="X189" s="240" t="s">
        <v>208</v>
      </c>
      <c r="Y189">
        <v>41909586872.558929</v>
      </c>
    </row>
    <row r="191" spans="1:25">
      <c r="A191" s="8">
        <v>760</v>
      </c>
      <c r="B191" s="188">
        <v>486920383.37397116</v>
      </c>
      <c r="C191" s="191">
        <v>1710712041.9358292</v>
      </c>
      <c r="D191" s="199">
        <v>43498860.939178571</v>
      </c>
      <c r="E191" s="187">
        <v>2241131286.2489786</v>
      </c>
    </row>
    <row r="192" spans="1:25">
      <c r="A192" s="8">
        <v>765</v>
      </c>
      <c r="B192" s="188">
        <v>627844806.73956203</v>
      </c>
      <c r="C192" s="191">
        <v>901785612.68943715</v>
      </c>
      <c r="D192" s="199">
        <v>6675817.34718752</v>
      </c>
      <c r="E192" s="187">
        <v>1536306236.7761867</v>
      </c>
    </row>
    <row r="194" spans="1:5">
      <c r="A194" s="8">
        <v>802</v>
      </c>
      <c r="B194" s="188">
        <v>922527236.28767157</v>
      </c>
      <c r="C194" s="191">
        <v>1886509234.742178</v>
      </c>
      <c r="D194" s="199">
        <v>94220675.620769456</v>
      </c>
      <c r="E194" s="187">
        <v>2903257146.650619</v>
      </c>
    </row>
    <row r="195" spans="1:5">
      <c r="A195" s="8">
        <v>813</v>
      </c>
      <c r="B195" s="188">
        <v>393625116.0519942</v>
      </c>
      <c r="C195" s="191">
        <v>1082226509.11184</v>
      </c>
      <c r="D195" s="199">
        <v>354744516.10665023</v>
      </c>
      <c r="E195" s="187">
        <v>1830596141.2704844</v>
      </c>
    </row>
  </sheetData>
  <autoFilter ref="A1:F187" xr:uid="{00000000-0001-0000-1500-000000000000}"/>
  <phoneticPr fontId="13" type="noConversion"/>
  <pageMargins left="0.74803149606299213" right="0.74803149606299213" top="0.98425196850393704" bottom="0.98425196850393704" header="0.51181102362204722" footer="0.51181102362204722"/>
  <pageSetup paperSize="9" scale="79" fitToHeight="0" orientation="portrait" r:id="rId4"/>
  <headerFooter alignWithMargins="0"/>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pageSetUpPr fitToPage="1"/>
  </sheetPr>
  <dimension ref="A1:BE656"/>
  <sheetViews>
    <sheetView view="pageBreakPreview" zoomScaleNormal="100" zoomScaleSheetLayoutView="100" workbookViewId="0">
      <pane ySplit="3" topLeftCell="A29" activePane="bottomLeft" state="frozen"/>
      <selection pane="bottomLeft" activeCell="K22" sqref="K22"/>
    </sheetView>
  </sheetViews>
  <sheetFormatPr defaultColWidth="8.875" defaultRowHeight="16.5"/>
  <cols>
    <col min="1" max="1" width="11.625" bestFit="1" customWidth="1"/>
    <col min="4" max="4" width="16.125" bestFit="1" customWidth="1"/>
    <col min="5" max="5" width="13.875" bestFit="1" customWidth="1"/>
    <col min="6" max="9" width="13.875" customWidth="1"/>
    <col min="10" max="10" width="14.75" customWidth="1"/>
    <col min="11" max="11" width="13.875" customWidth="1"/>
    <col min="12" max="12" width="13.875" style="342" customWidth="1"/>
    <col min="13" max="16" width="13.875" style="243" customWidth="1"/>
    <col min="17" max="18" width="13.875" customWidth="1"/>
    <col min="19" max="19" width="11.625" bestFit="1" customWidth="1"/>
    <col min="20" max="20" width="22.75" bestFit="1" customWidth="1"/>
    <col min="21" max="21" width="9.5" bestFit="1" customWidth="1"/>
    <col min="22" max="23" width="16.125" bestFit="1" customWidth="1"/>
    <col min="24" max="24" width="14.375" bestFit="1" customWidth="1"/>
    <col min="25" max="25" width="16.125" bestFit="1" customWidth="1"/>
    <col min="26" max="31" width="16.125" customWidth="1"/>
    <col min="32" max="32" width="13.5" bestFit="1" customWidth="1"/>
    <col min="33" max="33" width="14.375" bestFit="1" customWidth="1"/>
    <col min="34" max="34" width="16.125" style="342" customWidth="1"/>
    <col min="35" max="35" width="19" style="243" bestFit="1" customWidth="1"/>
    <col min="36" max="36" width="23.625" style="243" bestFit="1" customWidth="1"/>
    <col min="37" max="37" width="10" style="243" bestFit="1" customWidth="1"/>
    <col min="38" max="38" width="16.875" style="243" bestFit="1" customWidth="1"/>
    <col min="39" max="39" width="16.625" style="243" bestFit="1" customWidth="1"/>
    <col min="40" max="40" width="13.625" style="243" bestFit="1" customWidth="1"/>
    <col min="41" max="41" width="14.5" style="243" bestFit="1" customWidth="1"/>
    <col min="44" max="44" width="16.875" bestFit="1" customWidth="1"/>
    <col min="45" max="45" width="23.625" bestFit="1" customWidth="1"/>
    <col min="46" max="46" width="10.75" customWidth="1"/>
    <col min="47" max="47" width="18" customWidth="1"/>
    <col min="49" max="49" width="19" bestFit="1" customWidth="1"/>
    <col min="52" max="52" width="14.875" bestFit="1" customWidth="1"/>
    <col min="53" max="53" width="12" style="342" customWidth="1"/>
    <col min="54" max="54" width="16.875" style="243" bestFit="1" customWidth="1"/>
    <col min="55" max="55" width="23.625" style="243" bestFit="1" customWidth="1"/>
    <col min="56" max="56" width="10" style="243" bestFit="1" customWidth="1"/>
    <col min="57" max="57" width="14.5" style="243" bestFit="1" customWidth="1"/>
  </cols>
  <sheetData>
    <row r="1" spans="1:57" ht="24.75" customHeight="1">
      <c r="A1" s="242" t="s">
        <v>1271</v>
      </c>
      <c r="G1" s="242" t="s">
        <v>1271</v>
      </c>
      <c r="M1" s="242" t="s">
        <v>1271</v>
      </c>
      <c r="S1" s="242" t="s">
        <v>425</v>
      </c>
      <c r="AA1" s="242" t="s">
        <v>425</v>
      </c>
      <c r="AI1" s="244" t="s">
        <v>425</v>
      </c>
      <c r="AR1" s="242" t="s">
        <v>1272</v>
      </c>
      <c r="AW1" s="242" t="s">
        <v>1272</v>
      </c>
      <c r="BB1" s="242" t="s">
        <v>1272</v>
      </c>
    </row>
    <row r="2" spans="1:57" ht="29.25" customHeight="1">
      <c r="A2" s="242" t="s">
        <v>1270</v>
      </c>
      <c r="G2" s="242" t="s">
        <v>1273</v>
      </c>
      <c r="M2" s="242" t="s">
        <v>1600</v>
      </c>
      <c r="S2" s="242" t="s">
        <v>1270</v>
      </c>
      <c r="AA2" s="242" t="s">
        <v>1273</v>
      </c>
      <c r="AI2" s="242" t="s">
        <v>1600</v>
      </c>
      <c r="AR2" s="242" t="s">
        <v>1270</v>
      </c>
      <c r="AW2" s="242" t="s">
        <v>1273</v>
      </c>
      <c r="BB2" s="242" t="s">
        <v>1600</v>
      </c>
    </row>
    <row r="3" spans="1:57">
      <c r="A3" t="s">
        <v>899</v>
      </c>
      <c r="B3" t="s">
        <v>213</v>
      </c>
      <c r="C3" t="s">
        <v>900</v>
      </c>
      <c r="D3" t="s">
        <v>901</v>
      </c>
      <c r="E3" t="s">
        <v>902</v>
      </c>
      <c r="G3" t="s">
        <v>899</v>
      </c>
      <c r="H3" t="s">
        <v>213</v>
      </c>
      <c r="I3" t="s">
        <v>900</v>
      </c>
      <c r="J3" t="s">
        <v>901</v>
      </c>
      <c r="K3" t="s">
        <v>902</v>
      </c>
      <c r="M3" s="243" t="s">
        <v>899</v>
      </c>
      <c r="N3" s="243" t="s">
        <v>213</v>
      </c>
      <c r="O3" s="243" t="s">
        <v>900</v>
      </c>
      <c r="P3" s="243" t="s">
        <v>901</v>
      </c>
      <c r="Q3" t="s">
        <v>902</v>
      </c>
      <c r="S3" t="s">
        <v>899</v>
      </c>
      <c r="T3" t="s">
        <v>213</v>
      </c>
      <c r="U3" t="s">
        <v>900</v>
      </c>
      <c r="V3" t="s">
        <v>1258</v>
      </c>
      <c r="W3" t="s">
        <v>1259</v>
      </c>
      <c r="X3" t="s">
        <v>1260</v>
      </c>
      <c r="Y3" t="s">
        <v>1261</v>
      </c>
      <c r="AA3" t="s">
        <v>899</v>
      </c>
      <c r="AB3" t="s">
        <v>213</v>
      </c>
      <c r="AC3" t="s">
        <v>900</v>
      </c>
      <c r="AD3" t="s">
        <v>1258</v>
      </c>
      <c r="AE3" t="s">
        <v>1259</v>
      </c>
      <c r="AF3" t="s">
        <v>1260</v>
      </c>
      <c r="AG3" t="s">
        <v>1261</v>
      </c>
      <c r="AI3" s="243" t="s">
        <v>899</v>
      </c>
      <c r="AJ3" s="243" t="s">
        <v>213</v>
      </c>
      <c r="AK3" s="243" t="s">
        <v>900</v>
      </c>
      <c r="AL3" s="243" t="s">
        <v>1258</v>
      </c>
      <c r="AM3" s="243" t="s">
        <v>1259</v>
      </c>
      <c r="AN3" s="243" t="s">
        <v>1260</v>
      </c>
      <c r="AO3" s="243" t="s">
        <v>1261</v>
      </c>
      <c r="AR3" t="s">
        <v>899</v>
      </c>
      <c r="AS3" t="s">
        <v>213</v>
      </c>
      <c r="AT3" t="s">
        <v>900</v>
      </c>
      <c r="AU3" t="s">
        <v>1262</v>
      </c>
      <c r="AW3" t="s">
        <v>899</v>
      </c>
      <c r="AX3" t="s">
        <v>213</v>
      </c>
      <c r="AY3" t="s">
        <v>900</v>
      </c>
      <c r="AZ3" t="s">
        <v>1262</v>
      </c>
      <c r="BB3" s="243" t="s">
        <v>899</v>
      </c>
      <c r="BC3" s="243" t="s">
        <v>213</v>
      </c>
      <c r="BD3" s="243" t="s">
        <v>900</v>
      </c>
      <c r="BE3" s="243" t="s">
        <v>1262</v>
      </c>
    </row>
    <row r="4" spans="1:57">
      <c r="A4">
        <v>1000</v>
      </c>
      <c r="B4" t="s">
        <v>215</v>
      </c>
      <c r="C4" t="s">
        <v>919</v>
      </c>
      <c r="D4" s="176">
        <v>416908541.03100699</v>
      </c>
      <c r="E4">
        <v>0</v>
      </c>
      <c r="G4">
        <v>1000</v>
      </c>
      <c r="H4" t="s">
        <v>215</v>
      </c>
      <c r="I4" t="s">
        <v>919</v>
      </c>
      <c r="J4" s="176">
        <v>310700498.41108203</v>
      </c>
      <c r="K4">
        <v>0</v>
      </c>
      <c r="L4" s="342" t="str">
        <f>IF(AND(A4 = G4, C4 = I4), "", "ATT")</f>
        <v/>
      </c>
      <c r="M4">
        <v>1000</v>
      </c>
      <c r="N4" t="s">
        <v>215</v>
      </c>
      <c r="O4" t="s">
        <v>919</v>
      </c>
      <c r="P4" s="243">
        <f>D4+(J4*0.8)</f>
        <v>665468939.75987267</v>
      </c>
      <c r="S4">
        <v>1000</v>
      </c>
      <c r="T4" t="s">
        <v>215</v>
      </c>
      <c r="U4" t="s">
        <v>919</v>
      </c>
      <c r="V4" s="176">
        <v>75655521.598887995</v>
      </c>
      <c r="W4" s="176">
        <v>218026728.681088</v>
      </c>
      <c r="X4" s="176">
        <v>292000</v>
      </c>
      <c r="Y4" s="176">
        <v>22796174.648887001</v>
      </c>
      <c r="Z4" s="176"/>
      <c r="AA4">
        <v>1000</v>
      </c>
      <c r="AB4" s="176" t="s">
        <v>215</v>
      </c>
      <c r="AC4" s="176" t="s">
        <v>919</v>
      </c>
      <c r="AD4" s="176">
        <v>75655521.598887995</v>
      </c>
      <c r="AE4" s="176">
        <v>218026728.681088</v>
      </c>
      <c r="AF4">
        <v>292000</v>
      </c>
      <c r="AG4" s="176">
        <v>22796174.648887001</v>
      </c>
      <c r="AH4" s="342" t="str">
        <f t="shared" ref="AH4:AH67" si="0">IF(AND(M4 = S4, O4 = U4), "", "ATT")</f>
        <v/>
      </c>
      <c r="AI4">
        <v>1000</v>
      </c>
      <c r="AJ4" t="s">
        <v>215</v>
      </c>
      <c r="AK4" t="s">
        <v>919</v>
      </c>
      <c r="AL4" s="245">
        <f t="shared" ref="AL4:AL67" si="1">V4+(AD4*0.8)</f>
        <v>136179938.87799841</v>
      </c>
      <c r="AM4" s="245">
        <f t="shared" ref="AM4:AM67" si="2">W4+(AE4*0.8)</f>
        <v>392448111.62595844</v>
      </c>
      <c r="AN4" s="245">
        <f t="shared" ref="AN4:AN67" si="3">X4+(AF4*0.8)</f>
        <v>525600</v>
      </c>
      <c r="AO4" s="245">
        <f t="shared" ref="AO4:AO67" si="4">Y4+(AG4*0.8)</f>
        <v>41033114.367996603</v>
      </c>
      <c r="AP4" s="176"/>
      <c r="AQ4" s="176"/>
      <c r="AR4">
        <v>1000</v>
      </c>
      <c r="AS4" t="s">
        <v>215</v>
      </c>
      <c r="AT4" t="s">
        <v>919</v>
      </c>
      <c r="AU4" s="176">
        <v>60882536.641094998</v>
      </c>
      <c r="AW4">
        <v>1000</v>
      </c>
      <c r="AX4" t="s">
        <v>215</v>
      </c>
      <c r="AY4" t="s">
        <v>919</v>
      </c>
      <c r="AZ4" s="176">
        <v>68442521.758879006</v>
      </c>
      <c r="BA4" s="342" t="str">
        <f>IF(AND(AR4 = AW4, AT4 = AY4), "", "ATT")</f>
        <v/>
      </c>
      <c r="BB4">
        <v>1000</v>
      </c>
      <c r="BC4" t="s">
        <v>215</v>
      </c>
      <c r="BD4" t="s">
        <v>919</v>
      </c>
      <c r="BE4" s="243">
        <f>AU4+(0.8*AZ4)</f>
        <v>115636554.04819821</v>
      </c>
    </row>
    <row r="5" spans="1:57">
      <c r="A5">
        <v>1000</v>
      </c>
      <c r="B5" t="s">
        <v>215</v>
      </c>
      <c r="C5" t="s">
        <v>1926</v>
      </c>
      <c r="D5" s="176">
        <v>152422675.703291</v>
      </c>
      <c r="E5">
        <v>0</v>
      </c>
      <c r="G5">
        <v>1000</v>
      </c>
      <c r="H5" t="s">
        <v>215</v>
      </c>
      <c r="I5" t="s">
        <v>1926</v>
      </c>
      <c r="J5" s="176">
        <v>67486665.479989007</v>
      </c>
      <c r="K5">
        <v>0</v>
      </c>
      <c r="L5" s="342" t="str">
        <f t="shared" ref="L5:L68" si="5">IF(AND(A5 = G5, C5 = I5), "", "ATT")</f>
        <v/>
      </c>
      <c r="M5">
        <v>1000</v>
      </c>
      <c r="N5" t="s">
        <v>215</v>
      </c>
      <c r="O5" t="s">
        <v>1926</v>
      </c>
      <c r="P5" s="243">
        <f t="shared" ref="P5:P68" si="6">D5+(J5*0.8)</f>
        <v>206412008.08728221</v>
      </c>
      <c r="S5">
        <v>1000</v>
      </c>
      <c r="T5" t="s">
        <v>215</v>
      </c>
      <c r="U5" t="s">
        <v>1926</v>
      </c>
      <c r="V5" s="176">
        <v>35828762.681110002</v>
      </c>
      <c r="W5" s="176">
        <v>44413410.536660001</v>
      </c>
      <c r="X5" s="176">
        <v>0</v>
      </c>
      <c r="Y5" s="176">
        <v>17895769.555553</v>
      </c>
      <c r="Z5" s="176"/>
      <c r="AA5">
        <v>1000</v>
      </c>
      <c r="AB5" s="176" t="s">
        <v>215</v>
      </c>
      <c r="AC5" s="176" t="s">
        <v>1926</v>
      </c>
      <c r="AD5" s="176">
        <v>35828762.681110002</v>
      </c>
      <c r="AE5" s="176">
        <v>44413410.536660001</v>
      </c>
      <c r="AF5" s="176">
        <v>0</v>
      </c>
      <c r="AG5" s="176">
        <v>17895769.555553</v>
      </c>
      <c r="AH5" s="342" t="str">
        <f t="shared" si="0"/>
        <v/>
      </c>
      <c r="AI5">
        <v>1000</v>
      </c>
      <c r="AJ5" t="s">
        <v>215</v>
      </c>
      <c r="AK5" t="s">
        <v>1926</v>
      </c>
      <c r="AL5" s="245">
        <f t="shared" si="1"/>
        <v>64491772.825998008</v>
      </c>
      <c r="AM5" s="245">
        <f t="shared" si="2"/>
        <v>79944138.96598801</v>
      </c>
      <c r="AN5" s="245">
        <f t="shared" si="3"/>
        <v>0</v>
      </c>
      <c r="AO5" s="245">
        <f t="shared" si="4"/>
        <v>32212385.199995402</v>
      </c>
      <c r="AP5" s="176"/>
      <c r="AQ5" s="176"/>
      <c r="AR5">
        <v>1000</v>
      </c>
      <c r="AS5" t="s">
        <v>215</v>
      </c>
      <c r="AT5" t="s">
        <v>1926</v>
      </c>
      <c r="AU5" s="176">
        <v>117293090.04554901</v>
      </c>
      <c r="AW5">
        <v>1000</v>
      </c>
      <c r="AX5" t="s">
        <v>215</v>
      </c>
      <c r="AY5" t="s">
        <v>1926</v>
      </c>
      <c r="AZ5" s="176">
        <v>91126197.801108003</v>
      </c>
      <c r="BA5" s="342" t="str">
        <f t="shared" ref="BA5:BA68" si="7">IF(AND(AR5 = AW5, AT5 = AY5), "", "ATT")</f>
        <v/>
      </c>
      <c r="BB5">
        <v>1000</v>
      </c>
      <c r="BC5" t="s">
        <v>215</v>
      </c>
      <c r="BD5" t="s">
        <v>1926</v>
      </c>
      <c r="BE5" s="243">
        <f t="shared" ref="BE5:BE68" si="8">AU5+(0.8*AZ5)</f>
        <v>190194048.28643543</v>
      </c>
    </row>
    <row r="6" spans="1:57">
      <c r="A6">
        <v>1000</v>
      </c>
      <c r="B6" t="s">
        <v>215</v>
      </c>
      <c r="C6" t="s">
        <v>904</v>
      </c>
      <c r="D6" s="176">
        <v>170430953.03545699</v>
      </c>
      <c r="E6">
        <v>0</v>
      </c>
      <c r="G6">
        <v>1000</v>
      </c>
      <c r="H6" t="s">
        <v>215</v>
      </c>
      <c r="I6" t="s">
        <v>904</v>
      </c>
      <c r="J6" s="176">
        <v>105280067.878868</v>
      </c>
      <c r="K6">
        <v>0</v>
      </c>
      <c r="L6" s="342" t="str">
        <f t="shared" si="5"/>
        <v/>
      </c>
      <c r="M6">
        <v>1000</v>
      </c>
      <c r="N6" t="s">
        <v>215</v>
      </c>
      <c r="O6" t="s">
        <v>904</v>
      </c>
      <c r="P6" s="243">
        <f t="shared" si="6"/>
        <v>254655007.3385514</v>
      </c>
      <c r="S6">
        <v>1000</v>
      </c>
      <c r="T6" t="s">
        <v>215</v>
      </c>
      <c r="U6" t="s">
        <v>904</v>
      </c>
      <c r="V6" s="176">
        <v>30240774.748888001</v>
      </c>
      <c r="W6" s="176">
        <v>69590597.193298995</v>
      </c>
      <c r="X6">
        <v>0</v>
      </c>
      <c r="Y6" s="176">
        <v>5373745.5999990003</v>
      </c>
      <c r="Z6" s="176"/>
      <c r="AA6">
        <v>1000</v>
      </c>
      <c r="AB6" s="176" t="s">
        <v>215</v>
      </c>
      <c r="AC6" s="176" t="s">
        <v>904</v>
      </c>
      <c r="AD6" s="176">
        <v>30240774.748888001</v>
      </c>
      <c r="AE6" s="176">
        <v>69590597.193298995</v>
      </c>
      <c r="AF6">
        <v>0</v>
      </c>
      <c r="AG6" s="176">
        <v>5373745.5999990003</v>
      </c>
      <c r="AH6" s="342" t="str">
        <f t="shared" si="0"/>
        <v/>
      </c>
      <c r="AI6">
        <v>1000</v>
      </c>
      <c r="AJ6" t="s">
        <v>215</v>
      </c>
      <c r="AK6" t="s">
        <v>904</v>
      </c>
      <c r="AL6" s="245">
        <f t="shared" si="1"/>
        <v>54433394.547998399</v>
      </c>
      <c r="AM6" s="245">
        <f t="shared" si="2"/>
        <v>125263074.9479382</v>
      </c>
      <c r="AN6" s="245">
        <f t="shared" si="3"/>
        <v>0</v>
      </c>
      <c r="AO6" s="245">
        <f t="shared" si="4"/>
        <v>9672742.0799982008</v>
      </c>
      <c r="AP6" s="176"/>
      <c r="AQ6" s="176"/>
      <c r="AR6">
        <v>1000</v>
      </c>
      <c r="AS6" t="s">
        <v>215</v>
      </c>
      <c r="AT6" t="s">
        <v>904</v>
      </c>
      <c r="AU6" s="176">
        <v>7933427.031099</v>
      </c>
      <c r="AW6">
        <v>1000</v>
      </c>
      <c r="AX6" t="s">
        <v>215</v>
      </c>
      <c r="AY6" t="s">
        <v>904</v>
      </c>
      <c r="AZ6" s="176">
        <v>23742273.613327999</v>
      </c>
      <c r="BA6" s="342" t="str">
        <f t="shared" si="7"/>
        <v/>
      </c>
      <c r="BB6">
        <v>1000</v>
      </c>
      <c r="BC6" t="s">
        <v>215</v>
      </c>
      <c r="BD6" t="s">
        <v>904</v>
      </c>
      <c r="BE6" s="243">
        <f t="shared" si="8"/>
        <v>26927245.921761397</v>
      </c>
    </row>
    <row r="7" spans="1:57">
      <c r="A7">
        <v>1000</v>
      </c>
      <c r="B7" t="s">
        <v>215</v>
      </c>
      <c r="C7" t="s">
        <v>1664</v>
      </c>
      <c r="D7" s="176">
        <v>80704445.426621005</v>
      </c>
      <c r="E7">
        <v>0</v>
      </c>
      <c r="G7">
        <v>1000</v>
      </c>
      <c r="H7" t="s">
        <v>215</v>
      </c>
      <c r="I7" t="s">
        <v>1664</v>
      </c>
      <c r="J7" s="176">
        <v>55424039.522211999</v>
      </c>
      <c r="K7">
        <v>0</v>
      </c>
      <c r="L7" s="342" t="str">
        <f t="shared" si="5"/>
        <v/>
      </c>
      <c r="M7">
        <v>1000</v>
      </c>
      <c r="N7" t="s">
        <v>215</v>
      </c>
      <c r="O7" t="s">
        <v>1664</v>
      </c>
      <c r="P7" s="243">
        <f t="shared" si="6"/>
        <v>125043677.0443906</v>
      </c>
      <c r="S7">
        <v>1000</v>
      </c>
      <c r="T7" t="s">
        <v>215</v>
      </c>
      <c r="U7" t="s">
        <v>1664</v>
      </c>
      <c r="V7" s="176">
        <v>25059427.759999</v>
      </c>
      <c r="W7" s="176">
        <v>90412449.315532997</v>
      </c>
      <c r="X7">
        <v>0</v>
      </c>
      <c r="Y7" s="176">
        <v>3143206</v>
      </c>
      <c r="Z7" s="176"/>
      <c r="AA7">
        <v>1000</v>
      </c>
      <c r="AB7" s="176" t="s">
        <v>215</v>
      </c>
      <c r="AC7" s="176" t="s">
        <v>1664</v>
      </c>
      <c r="AD7" s="176">
        <v>25059427.759999</v>
      </c>
      <c r="AE7" s="176">
        <v>90412449.315532997</v>
      </c>
      <c r="AF7">
        <v>0</v>
      </c>
      <c r="AG7" s="176">
        <v>3143206</v>
      </c>
      <c r="AH7" s="342" t="str">
        <f t="shared" si="0"/>
        <v/>
      </c>
      <c r="AI7">
        <v>1000</v>
      </c>
      <c r="AJ7" t="s">
        <v>215</v>
      </c>
      <c r="AK7" t="s">
        <v>1664</v>
      </c>
      <c r="AL7" s="245">
        <f t="shared" si="1"/>
        <v>45106969.967998199</v>
      </c>
      <c r="AM7" s="245">
        <f t="shared" si="2"/>
        <v>162742408.76795942</v>
      </c>
      <c r="AN7" s="245">
        <f t="shared" si="3"/>
        <v>0</v>
      </c>
      <c r="AO7" s="245">
        <f t="shared" si="4"/>
        <v>5657770.8000000007</v>
      </c>
      <c r="AP7" s="176"/>
      <c r="AQ7" s="176"/>
      <c r="AR7">
        <v>1000</v>
      </c>
      <c r="AS7" t="s">
        <v>215</v>
      </c>
      <c r="AT7" t="s">
        <v>1664</v>
      </c>
      <c r="AU7" s="176">
        <v>5782759.7777669998</v>
      </c>
      <c r="AW7">
        <v>1000</v>
      </c>
      <c r="AX7" t="s">
        <v>215</v>
      </c>
      <c r="AY7" t="s">
        <v>1664</v>
      </c>
      <c r="AZ7" s="176">
        <v>20603635.762221001</v>
      </c>
      <c r="BA7" s="342" t="str">
        <f t="shared" si="7"/>
        <v/>
      </c>
      <c r="BB7">
        <v>1000</v>
      </c>
      <c r="BC7" t="s">
        <v>215</v>
      </c>
      <c r="BD7" t="s">
        <v>1664</v>
      </c>
      <c r="BE7" s="243">
        <f t="shared" si="8"/>
        <v>22265668.387543801</v>
      </c>
    </row>
    <row r="8" spans="1:57">
      <c r="A8">
        <v>1000</v>
      </c>
      <c r="B8" t="s">
        <v>215</v>
      </c>
      <c r="C8" t="s">
        <v>1543</v>
      </c>
      <c r="D8" s="176">
        <v>318591660.52325898</v>
      </c>
      <c r="E8">
        <v>0</v>
      </c>
      <c r="G8">
        <v>1000</v>
      </c>
      <c r="H8" t="s">
        <v>215</v>
      </c>
      <c r="I8" t="s">
        <v>1543</v>
      </c>
      <c r="J8" s="176">
        <v>299961644.89442402</v>
      </c>
      <c r="K8">
        <v>0</v>
      </c>
      <c r="L8" s="342" t="str">
        <f t="shared" si="5"/>
        <v/>
      </c>
      <c r="M8">
        <v>1000</v>
      </c>
      <c r="N8" t="s">
        <v>215</v>
      </c>
      <c r="O8" t="s">
        <v>1543</v>
      </c>
      <c r="P8" s="243">
        <f t="shared" si="6"/>
        <v>558560976.43879819</v>
      </c>
      <c r="S8">
        <v>1000</v>
      </c>
      <c r="T8" t="s">
        <v>215</v>
      </c>
      <c r="U8" t="s">
        <v>1543</v>
      </c>
      <c r="V8" s="176">
        <v>56672999.341108002</v>
      </c>
      <c r="W8" s="176">
        <v>115875189.882202</v>
      </c>
      <c r="X8" s="176">
        <v>1576160</v>
      </c>
      <c r="Y8" s="176">
        <v>1756378.3333330001</v>
      </c>
      <c r="Z8" s="176"/>
      <c r="AA8">
        <v>1000</v>
      </c>
      <c r="AB8" s="176" t="s">
        <v>215</v>
      </c>
      <c r="AC8" s="176" t="s">
        <v>1543</v>
      </c>
      <c r="AD8" s="176">
        <v>56672999.341108002</v>
      </c>
      <c r="AE8" s="176">
        <v>115875189.882202</v>
      </c>
      <c r="AF8" s="176">
        <v>1576160</v>
      </c>
      <c r="AG8" s="176">
        <v>1756378.3333330001</v>
      </c>
      <c r="AH8" s="342" t="str">
        <f t="shared" si="0"/>
        <v/>
      </c>
      <c r="AI8">
        <v>1000</v>
      </c>
      <c r="AJ8" t="s">
        <v>215</v>
      </c>
      <c r="AK8" t="s">
        <v>1543</v>
      </c>
      <c r="AL8" s="245">
        <f t="shared" si="1"/>
        <v>102011398.81399441</v>
      </c>
      <c r="AM8" s="245">
        <f t="shared" si="2"/>
        <v>208575341.7879636</v>
      </c>
      <c r="AN8" s="245">
        <f t="shared" si="3"/>
        <v>2837088</v>
      </c>
      <c r="AO8" s="245">
        <f t="shared" si="4"/>
        <v>3161480.9999994002</v>
      </c>
      <c r="AP8" s="176"/>
      <c r="AQ8" s="176"/>
      <c r="AR8">
        <v>1000</v>
      </c>
      <c r="AS8" t="s">
        <v>215</v>
      </c>
      <c r="AT8" t="s">
        <v>1543</v>
      </c>
      <c r="AU8" s="176">
        <v>79512920.092212006</v>
      </c>
      <c r="AW8">
        <v>1000</v>
      </c>
      <c r="AX8" t="s">
        <v>215</v>
      </c>
      <c r="AY8" t="s">
        <v>1543</v>
      </c>
      <c r="AZ8" s="176">
        <v>55873849.722218998</v>
      </c>
      <c r="BA8" s="342" t="str">
        <f t="shared" si="7"/>
        <v/>
      </c>
      <c r="BB8">
        <v>1000</v>
      </c>
      <c r="BC8" t="s">
        <v>215</v>
      </c>
      <c r="BD8" t="s">
        <v>1543</v>
      </c>
      <c r="BE8" s="243">
        <f t="shared" si="8"/>
        <v>124211999.8699872</v>
      </c>
    </row>
    <row r="9" spans="1:57">
      <c r="A9">
        <v>1000</v>
      </c>
      <c r="B9" t="s">
        <v>215</v>
      </c>
      <c r="C9" t="s">
        <v>1663</v>
      </c>
      <c r="D9" s="176">
        <v>107093155.509947</v>
      </c>
      <c r="E9">
        <v>0</v>
      </c>
      <c r="G9">
        <v>1000</v>
      </c>
      <c r="H9" t="s">
        <v>215</v>
      </c>
      <c r="I9" t="s">
        <v>1663</v>
      </c>
      <c r="J9" s="176">
        <v>49894758.977765001</v>
      </c>
      <c r="K9">
        <v>0</v>
      </c>
      <c r="L9" s="342" t="str">
        <f t="shared" si="5"/>
        <v/>
      </c>
      <c r="M9">
        <v>1000</v>
      </c>
      <c r="N9" t="s">
        <v>215</v>
      </c>
      <c r="O9" t="s">
        <v>1663</v>
      </c>
      <c r="P9" s="243">
        <f t="shared" si="6"/>
        <v>147008962.692159</v>
      </c>
      <c r="S9">
        <v>1000</v>
      </c>
      <c r="T9" t="s">
        <v>215</v>
      </c>
      <c r="U9" t="s">
        <v>1663</v>
      </c>
      <c r="V9" s="176">
        <v>17848779.359999999</v>
      </c>
      <c r="W9" s="176">
        <v>53910031.058875002</v>
      </c>
      <c r="X9" s="176">
        <v>0</v>
      </c>
      <c r="Y9" s="176">
        <v>0</v>
      </c>
      <c r="Z9" s="176"/>
      <c r="AA9">
        <v>1000</v>
      </c>
      <c r="AB9" s="176" t="s">
        <v>215</v>
      </c>
      <c r="AC9" s="176" t="s">
        <v>1663</v>
      </c>
      <c r="AD9" s="176">
        <v>17848779.359999999</v>
      </c>
      <c r="AE9" s="176">
        <v>53910031.058875002</v>
      </c>
      <c r="AF9">
        <v>0</v>
      </c>
      <c r="AG9" s="176">
        <v>0</v>
      </c>
      <c r="AH9" s="342" t="str">
        <f t="shared" si="0"/>
        <v/>
      </c>
      <c r="AI9">
        <v>1000</v>
      </c>
      <c r="AJ9" t="s">
        <v>215</v>
      </c>
      <c r="AK9" t="s">
        <v>1663</v>
      </c>
      <c r="AL9" s="245">
        <f t="shared" si="1"/>
        <v>32127802.847999997</v>
      </c>
      <c r="AM9" s="245">
        <f t="shared" si="2"/>
        <v>97038055.905975014</v>
      </c>
      <c r="AN9" s="245">
        <f t="shared" si="3"/>
        <v>0</v>
      </c>
      <c r="AO9" s="245">
        <f t="shared" si="4"/>
        <v>0</v>
      </c>
      <c r="AP9" s="176"/>
      <c r="AQ9" s="176"/>
      <c r="AR9">
        <v>1000</v>
      </c>
      <c r="AS9" t="s">
        <v>215</v>
      </c>
      <c r="AT9" t="s">
        <v>1663</v>
      </c>
      <c r="AU9" s="176">
        <v>9797299.2033270001</v>
      </c>
      <c r="AW9">
        <v>1000</v>
      </c>
      <c r="AX9" t="s">
        <v>215</v>
      </c>
      <c r="AY9" t="s">
        <v>1663</v>
      </c>
      <c r="AZ9" s="176">
        <v>881926.66888699995</v>
      </c>
      <c r="BA9" s="342" t="str">
        <f t="shared" si="7"/>
        <v/>
      </c>
      <c r="BB9">
        <v>1000</v>
      </c>
      <c r="BC9" t="s">
        <v>215</v>
      </c>
      <c r="BD9" t="s">
        <v>1663</v>
      </c>
      <c r="BE9" s="243">
        <f t="shared" si="8"/>
        <v>10502840.538436601</v>
      </c>
    </row>
    <row r="10" spans="1:57">
      <c r="A10">
        <v>1000</v>
      </c>
      <c r="B10" t="s">
        <v>215</v>
      </c>
      <c r="C10" t="s">
        <v>1665</v>
      </c>
      <c r="D10" s="176">
        <v>58076008.101072997</v>
      </c>
      <c r="E10">
        <v>0</v>
      </c>
      <c r="G10">
        <v>1000</v>
      </c>
      <c r="H10" t="s">
        <v>215</v>
      </c>
      <c r="I10" t="s">
        <v>1665</v>
      </c>
      <c r="J10" s="176">
        <v>32397120.274434999</v>
      </c>
      <c r="K10">
        <v>0</v>
      </c>
      <c r="L10" s="342" t="str">
        <f t="shared" si="5"/>
        <v/>
      </c>
      <c r="M10">
        <v>1000</v>
      </c>
      <c r="N10" t="s">
        <v>215</v>
      </c>
      <c r="O10" t="s">
        <v>1665</v>
      </c>
      <c r="P10" s="243">
        <f t="shared" si="6"/>
        <v>83993704.320620999</v>
      </c>
      <c r="S10">
        <v>1000</v>
      </c>
      <c r="T10" t="s">
        <v>215</v>
      </c>
      <c r="U10" t="s">
        <v>1665</v>
      </c>
      <c r="V10" s="176">
        <v>7649044</v>
      </c>
      <c r="W10" s="176">
        <v>47161995.531097002</v>
      </c>
      <c r="X10" s="176">
        <v>0</v>
      </c>
      <c r="Y10" s="176">
        <v>1097754</v>
      </c>
      <c r="Z10" s="176"/>
      <c r="AA10">
        <v>1000</v>
      </c>
      <c r="AB10" s="176" t="s">
        <v>215</v>
      </c>
      <c r="AC10" s="176" t="s">
        <v>1665</v>
      </c>
      <c r="AD10" s="176">
        <v>7649044</v>
      </c>
      <c r="AE10" s="176">
        <v>47161995.531097002</v>
      </c>
      <c r="AF10" s="176">
        <v>0</v>
      </c>
      <c r="AG10" s="176">
        <v>1097754</v>
      </c>
      <c r="AH10" s="342" t="str">
        <f t="shared" si="0"/>
        <v/>
      </c>
      <c r="AI10">
        <v>1000</v>
      </c>
      <c r="AJ10" t="s">
        <v>215</v>
      </c>
      <c r="AK10" t="s">
        <v>1665</v>
      </c>
      <c r="AL10" s="245">
        <f t="shared" si="1"/>
        <v>13768279.199999999</v>
      </c>
      <c r="AM10" s="245">
        <f t="shared" si="2"/>
        <v>84891591.955974609</v>
      </c>
      <c r="AN10" s="245">
        <f t="shared" si="3"/>
        <v>0</v>
      </c>
      <c r="AO10" s="245">
        <f t="shared" si="4"/>
        <v>1975957.2000000002</v>
      </c>
      <c r="AP10" s="176"/>
      <c r="AQ10" s="176"/>
      <c r="AR10">
        <v>1000</v>
      </c>
      <c r="AS10" t="s">
        <v>215</v>
      </c>
      <c r="AT10" t="s">
        <v>1665</v>
      </c>
      <c r="AU10" s="176">
        <v>2122721.8655519998</v>
      </c>
      <c r="AW10">
        <v>1000</v>
      </c>
      <c r="AX10" t="s">
        <v>215</v>
      </c>
      <c r="AY10" t="s">
        <v>1665</v>
      </c>
      <c r="AZ10" s="176">
        <v>950583.05888799997</v>
      </c>
      <c r="BA10" s="342" t="str">
        <f t="shared" si="7"/>
        <v/>
      </c>
      <c r="BB10">
        <v>1000</v>
      </c>
      <c r="BC10" t="s">
        <v>215</v>
      </c>
      <c r="BD10" t="s">
        <v>1665</v>
      </c>
      <c r="BE10" s="243">
        <f t="shared" si="8"/>
        <v>2883188.3126623998</v>
      </c>
    </row>
    <row r="11" spans="1:57">
      <c r="A11">
        <v>1010</v>
      </c>
      <c r="B11" t="s">
        <v>216</v>
      </c>
      <c r="C11" t="s">
        <v>1667</v>
      </c>
      <c r="D11" s="176">
        <v>76267179.167720005</v>
      </c>
      <c r="E11">
        <v>0</v>
      </c>
      <c r="G11">
        <v>1010</v>
      </c>
      <c r="H11" t="s">
        <v>216</v>
      </c>
      <c r="I11" t="s">
        <v>1667</v>
      </c>
      <c r="J11" s="176">
        <v>26019467.995545998</v>
      </c>
      <c r="K11">
        <v>0</v>
      </c>
      <c r="L11" s="342" t="str">
        <f t="shared" si="5"/>
        <v/>
      </c>
      <c r="M11">
        <v>1010</v>
      </c>
      <c r="N11" t="s">
        <v>216</v>
      </c>
      <c r="O11" t="s">
        <v>1667</v>
      </c>
      <c r="P11" s="243">
        <f t="shared" si="6"/>
        <v>97082753.564156801</v>
      </c>
      <c r="S11">
        <v>1010</v>
      </c>
      <c r="T11" t="s">
        <v>216</v>
      </c>
      <c r="U11" t="s">
        <v>1667</v>
      </c>
      <c r="V11" s="176">
        <v>14952036.18111</v>
      </c>
      <c r="W11" s="176">
        <v>65873302.639977999</v>
      </c>
      <c r="X11">
        <v>1000000</v>
      </c>
      <c r="Y11" s="176">
        <v>13135750</v>
      </c>
      <c r="Z11" s="176"/>
      <c r="AA11">
        <v>1010</v>
      </c>
      <c r="AB11" s="176" t="s">
        <v>216</v>
      </c>
      <c r="AC11" s="176" t="s">
        <v>1667</v>
      </c>
      <c r="AD11" s="176">
        <v>14952036.18111</v>
      </c>
      <c r="AE11" s="176">
        <v>65873302.639977999</v>
      </c>
      <c r="AF11">
        <v>1000000</v>
      </c>
      <c r="AG11" s="176">
        <v>13135750</v>
      </c>
      <c r="AH11" s="342" t="str">
        <f t="shared" si="0"/>
        <v/>
      </c>
      <c r="AI11">
        <v>1010</v>
      </c>
      <c r="AJ11" t="s">
        <v>216</v>
      </c>
      <c r="AK11" t="s">
        <v>1667</v>
      </c>
      <c r="AL11" s="245">
        <f t="shared" si="1"/>
        <v>26913665.125998002</v>
      </c>
      <c r="AM11" s="245">
        <f t="shared" si="2"/>
        <v>118571944.7519604</v>
      </c>
      <c r="AN11" s="245">
        <f t="shared" si="3"/>
        <v>1800000</v>
      </c>
      <c r="AO11" s="245">
        <f t="shared" si="4"/>
        <v>23644350</v>
      </c>
      <c r="AP11" s="176"/>
      <c r="AQ11" s="176"/>
      <c r="AR11">
        <v>1010</v>
      </c>
      <c r="AS11" t="s">
        <v>216</v>
      </c>
      <c r="AT11" t="s">
        <v>1667</v>
      </c>
      <c r="AU11" s="176">
        <v>2342206.8111049999</v>
      </c>
      <c r="AW11">
        <v>1010</v>
      </c>
      <c r="AX11" t="s">
        <v>216</v>
      </c>
      <c r="AY11" t="s">
        <v>1667</v>
      </c>
      <c r="AZ11">
        <v>20911846.754443001</v>
      </c>
      <c r="BA11" s="342" t="str">
        <f t="shared" si="7"/>
        <v/>
      </c>
      <c r="BB11">
        <v>1010</v>
      </c>
      <c r="BC11" t="s">
        <v>216</v>
      </c>
      <c r="BD11" t="s">
        <v>1667</v>
      </c>
      <c r="BE11" s="243">
        <f t="shared" si="8"/>
        <v>19071684.2146594</v>
      </c>
    </row>
    <row r="12" spans="1:57">
      <c r="A12">
        <v>1010</v>
      </c>
      <c r="B12" t="s">
        <v>216</v>
      </c>
      <c r="C12" t="s">
        <v>1927</v>
      </c>
      <c r="D12" s="176">
        <v>119518397.164388</v>
      </c>
      <c r="E12">
        <v>0</v>
      </c>
      <c r="G12">
        <v>1010</v>
      </c>
      <c r="H12" t="s">
        <v>216</v>
      </c>
      <c r="I12" t="s">
        <v>1927</v>
      </c>
      <c r="J12" s="176">
        <v>31726463.491101</v>
      </c>
      <c r="K12">
        <v>0</v>
      </c>
      <c r="L12" s="342" t="str">
        <f t="shared" si="5"/>
        <v/>
      </c>
      <c r="M12">
        <v>1010</v>
      </c>
      <c r="N12" t="s">
        <v>216</v>
      </c>
      <c r="O12" t="s">
        <v>1927</v>
      </c>
      <c r="P12" s="243">
        <f t="shared" si="6"/>
        <v>144899567.9572688</v>
      </c>
      <c r="S12">
        <v>1010</v>
      </c>
      <c r="T12" t="s">
        <v>216</v>
      </c>
      <c r="U12" t="s">
        <v>1927</v>
      </c>
      <c r="V12" s="176">
        <v>17465079.59</v>
      </c>
      <c r="W12" s="176">
        <v>70116876.751095995</v>
      </c>
      <c r="X12" s="176">
        <v>0</v>
      </c>
      <c r="Y12" s="176">
        <v>58888441.666666001</v>
      </c>
      <c r="Z12" s="176"/>
      <c r="AA12">
        <v>1010</v>
      </c>
      <c r="AB12" s="176" t="s">
        <v>216</v>
      </c>
      <c r="AC12" s="176" t="s">
        <v>1927</v>
      </c>
      <c r="AD12" s="176">
        <v>17465079.59</v>
      </c>
      <c r="AE12" s="176">
        <v>70116876.751095995</v>
      </c>
      <c r="AF12" s="176">
        <v>0</v>
      </c>
      <c r="AG12" s="176">
        <v>58888441.666666001</v>
      </c>
      <c r="AH12" s="342" t="str">
        <f t="shared" si="0"/>
        <v/>
      </c>
      <c r="AI12">
        <v>1010</v>
      </c>
      <c r="AJ12" t="s">
        <v>216</v>
      </c>
      <c r="AK12" t="s">
        <v>1927</v>
      </c>
      <c r="AL12" s="245">
        <f t="shared" si="1"/>
        <v>31437143.262000002</v>
      </c>
      <c r="AM12" s="245">
        <f t="shared" si="2"/>
        <v>126210378.1519728</v>
      </c>
      <c r="AN12" s="245">
        <f t="shared" si="3"/>
        <v>0</v>
      </c>
      <c r="AO12" s="245">
        <f t="shared" si="4"/>
        <v>105999194.99999881</v>
      </c>
      <c r="AP12" s="176"/>
      <c r="AQ12" s="176"/>
      <c r="AR12">
        <v>1010</v>
      </c>
      <c r="AS12" t="s">
        <v>216</v>
      </c>
      <c r="AT12" t="s">
        <v>1927</v>
      </c>
      <c r="AU12" s="176">
        <v>6562532.8233310003</v>
      </c>
      <c r="AW12">
        <v>1010</v>
      </c>
      <c r="AX12" t="s">
        <v>216</v>
      </c>
      <c r="AY12" t="s">
        <v>1927</v>
      </c>
      <c r="AZ12" s="176">
        <v>479935.04666599998</v>
      </c>
      <c r="BA12" s="342" t="str">
        <f t="shared" si="7"/>
        <v/>
      </c>
      <c r="BB12">
        <v>1010</v>
      </c>
      <c r="BC12" t="s">
        <v>216</v>
      </c>
      <c r="BD12" t="s">
        <v>1927</v>
      </c>
      <c r="BE12" s="243">
        <f t="shared" si="8"/>
        <v>6946480.8606638005</v>
      </c>
    </row>
    <row r="13" spans="1:57">
      <c r="A13">
        <v>1010</v>
      </c>
      <c r="B13" t="s">
        <v>216</v>
      </c>
      <c r="C13" t="s">
        <v>1666</v>
      </c>
      <c r="D13" s="176">
        <v>162899624.435498</v>
      </c>
      <c r="E13">
        <v>0</v>
      </c>
      <c r="G13">
        <v>1010</v>
      </c>
      <c r="H13" t="s">
        <v>216</v>
      </c>
      <c r="I13" t="s">
        <v>1666</v>
      </c>
      <c r="J13" s="176">
        <v>96835453.467765003</v>
      </c>
      <c r="K13">
        <v>0</v>
      </c>
      <c r="L13" s="342" t="str">
        <f t="shared" si="5"/>
        <v/>
      </c>
      <c r="M13">
        <v>1010</v>
      </c>
      <c r="N13" t="s">
        <v>216</v>
      </c>
      <c r="O13" t="s">
        <v>1666</v>
      </c>
      <c r="P13" s="243">
        <f t="shared" si="6"/>
        <v>240367987.20971</v>
      </c>
      <c r="S13">
        <v>1010</v>
      </c>
      <c r="T13" t="s">
        <v>216</v>
      </c>
      <c r="U13" t="s">
        <v>1666</v>
      </c>
      <c r="V13" s="176">
        <v>40115856.893333003</v>
      </c>
      <c r="W13" s="176">
        <v>121864854.11442301</v>
      </c>
      <c r="X13" s="176">
        <v>0</v>
      </c>
      <c r="Y13" s="176">
        <v>34770240</v>
      </c>
      <c r="Z13" s="176"/>
      <c r="AA13">
        <v>1010</v>
      </c>
      <c r="AB13" s="176" t="s">
        <v>216</v>
      </c>
      <c r="AC13" s="176" t="s">
        <v>1666</v>
      </c>
      <c r="AD13" s="176">
        <v>40115856.893333003</v>
      </c>
      <c r="AE13" s="176">
        <v>121864854.11442301</v>
      </c>
      <c r="AF13">
        <v>0</v>
      </c>
      <c r="AG13" s="176">
        <v>34770240</v>
      </c>
      <c r="AH13" s="342" t="str">
        <f t="shared" si="0"/>
        <v/>
      </c>
      <c r="AI13">
        <v>1010</v>
      </c>
      <c r="AJ13" t="s">
        <v>216</v>
      </c>
      <c r="AK13" t="s">
        <v>1666</v>
      </c>
      <c r="AL13" s="245">
        <f t="shared" si="1"/>
        <v>72208542.407999411</v>
      </c>
      <c r="AM13" s="245">
        <f t="shared" si="2"/>
        <v>219356737.40596142</v>
      </c>
      <c r="AN13" s="245">
        <f t="shared" si="3"/>
        <v>0</v>
      </c>
      <c r="AO13" s="245">
        <f t="shared" si="4"/>
        <v>62586432</v>
      </c>
      <c r="AP13" s="176"/>
      <c r="AQ13" s="176"/>
      <c r="AR13">
        <v>1010</v>
      </c>
      <c r="AS13" t="s">
        <v>216</v>
      </c>
      <c r="AT13" t="s">
        <v>1666</v>
      </c>
      <c r="AU13" s="176">
        <v>55458561.121100999</v>
      </c>
      <c r="AW13">
        <v>1010</v>
      </c>
      <c r="AX13" t="s">
        <v>216</v>
      </c>
      <c r="AY13" t="s">
        <v>1666</v>
      </c>
      <c r="AZ13" s="176">
        <v>12835068.355552001</v>
      </c>
      <c r="BA13" s="342" t="str">
        <f t="shared" si="7"/>
        <v/>
      </c>
      <c r="BB13">
        <v>1010</v>
      </c>
      <c r="BC13" t="s">
        <v>216</v>
      </c>
      <c r="BD13" t="s">
        <v>1666</v>
      </c>
      <c r="BE13" s="243">
        <f t="shared" si="8"/>
        <v>65726615.805542603</v>
      </c>
    </row>
    <row r="14" spans="1:57">
      <c r="A14">
        <v>1030</v>
      </c>
      <c r="B14" t="s">
        <v>217</v>
      </c>
      <c r="C14" t="s">
        <v>1027</v>
      </c>
      <c r="D14" s="176">
        <v>180735461.87544599</v>
      </c>
      <c r="E14">
        <v>0</v>
      </c>
      <c r="G14">
        <v>1030</v>
      </c>
      <c r="H14" t="s">
        <v>217</v>
      </c>
      <c r="I14" t="s">
        <v>1027</v>
      </c>
      <c r="J14" s="176">
        <v>64787000.956644997</v>
      </c>
      <c r="K14">
        <v>0</v>
      </c>
      <c r="L14" s="342" t="str">
        <f t="shared" si="5"/>
        <v/>
      </c>
      <c r="M14">
        <v>1030</v>
      </c>
      <c r="N14" t="s">
        <v>217</v>
      </c>
      <c r="O14" t="s">
        <v>1027</v>
      </c>
      <c r="P14" s="243">
        <f t="shared" si="6"/>
        <v>232565062.640762</v>
      </c>
      <c r="S14">
        <v>1030</v>
      </c>
      <c r="T14" t="s">
        <v>217</v>
      </c>
      <c r="U14" t="s">
        <v>1027</v>
      </c>
      <c r="V14" s="176">
        <v>25026255.638886999</v>
      </c>
      <c r="W14" s="176">
        <v>113796476.208848</v>
      </c>
      <c r="X14">
        <v>0</v>
      </c>
      <c r="Y14" s="176">
        <v>18482335.872221</v>
      </c>
      <c r="Z14" s="176"/>
      <c r="AA14">
        <v>1030</v>
      </c>
      <c r="AB14" s="176" t="s">
        <v>217</v>
      </c>
      <c r="AC14" s="176" t="s">
        <v>1027</v>
      </c>
      <c r="AD14" s="176">
        <v>25026255.638886999</v>
      </c>
      <c r="AE14" s="176">
        <v>113796476.208848</v>
      </c>
      <c r="AF14">
        <v>0</v>
      </c>
      <c r="AG14" s="176">
        <v>18482335.872221</v>
      </c>
      <c r="AH14" s="342" t="str">
        <f t="shared" si="0"/>
        <v/>
      </c>
      <c r="AI14">
        <v>1030</v>
      </c>
      <c r="AJ14" t="s">
        <v>217</v>
      </c>
      <c r="AK14" t="s">
        <v>1027</v>
      </c>
      <c r="AL14" s="245">
        <f t="shared" si="1"/>
        <v>45047260.149996601</v>
      </c>
      <c r="AM14" s="245">
        <f t="shared" si="2"/>
        <v>204833657.17592639</v>
      </c>
      <c r="AN14" s="245">
        <f t="shared" si="3"/>
        <v>0</v>
      </c>
      <c r="AO14" s="245">
        <f t="shared" si="4"/>
        <v>33268204.569997802</v>
      </c>
      <c r="AP14" s="176"/>
      <c r="AQ14" s="176"/>
      <c r="AR14">
        <v>1030</v>
      </c>
      <c r="AS14" t="s">
        <v>217</v>
      </c>
      <c r="AT14" t="s">
        <v>1027</v>
      </c>
      <c r="AU14" s="176">
        <v>10647731.096656</v>
      </c>
      <c r="AW14">
        <v>1030</v>
      </c>
      <c r="AX14" t="s">
        <v>217</v>
      </c>
      <c r="AY14" t="s">
        <v>1027</v>
      </c>
      <c r="AZ14" s="176">
        <v>12109188.544443</v>
      </c>
      <c r="BA14" s="342" t="str">
        <f t="shared" si="7"/>
        <v/>
      </c>
      <c r="BB14">
        <v>1030</v>
      </c>
      <c r="BC14" t="s">
        <v>217</v>
      </c>
      <c r="BD14" t="s">
        <v>1027</v>
      </c>
      <c r="BE14" s="243">
        <f t="shared" si="8"/>
        <v>20335081.932210401</v>
      </c>
    </row>
    <row r="15" spans="1:57">
      <c r="A15">
        <v>1030</v>
      </c>
      <c r="B15" t="s">
        <v>217</v>
      </c>
      <c r="C15" t="s">
        <v>1668</v>
      </c>
      <c r="D15" s="176">
        <v>98322997.823293999</v>
      </c>
      <c r="E15">
        <v>0</v>
      </c>
      <c r="G15">
        <v>1030</v>
      </c>
      <c r="H15" t="s">
        <v>217</v>
      </c>
      <c r="I15" t="s">
        <v>1668</v>
      </c>
      <c r="J15" s="176">
        <v>17021402.052216999</v>
      </c>
      <c r="K15">
        <v>0</v>
      </c>
      <c r="L15" s="342" t="str">
        <f t="shared" si="5"/>
        <v/>
      </c>
      <c r="M15">
        <v>1030</v>
      </c>
      <c r="N15" t="s">
        <v>217</v>
      </c>
      <c r="O15" t="s">
        <v>1668</v>
      </c>
      <c r="P15" s="243">
        <f t="shared" si="6"/>
        <v>111940119.4650676</v>
      </c>
      <c r="S15">
        <v>1030</v>
      </c>
      <c r="T15" t="s">
        <v>217</v>
      </c>
      <c r="U15" t="s">
        <v>1668</v>
      </c>
      <c r="V15" s="176">
        <v>36037856.158887997</v>
      </c>
      <c r="W15" s="176">
        <v>109056059.71776401</v>
      </c>
      <c r="X15">
        <v>0</v>
      </c>
      <c r="Y15" s="176">
        <v>10505400</v>
      </c>
      <c r="Z15" s="176"/>
      <c r="AA15">
        <v>1030</v>
      </c>
      <c r="AB15" s="176" t="s">
        <v>217</v>
      </c>
      <c r="AC15" s="176" t="s">
        <v>1668</v>
      </c>
      <c r="AD15" s="176">
        <v>36037856.158887997</v>
      </c>
      <c r="AE15" s="176">
        <v>109056059.71776401</v>
      </c>
      <c r="AF15">
        <v>0</v>
      </c>
      <c r="AG15" s="176">
        <v>10505400</v>
      </c>
      <c r="AH15" s="342" t="str">
        <f t="shared" si="0"/>
        <v/>
      </c>
      <c r="AI15">
        <v>1030</v>
      </c>
      <c r="AJ15" t="s">
        <v>217</v>
      </c>
      <c r="AK15" t="s">
        <v>1668</v>
      </c>
      <c r="AL15" s="245">
        <f t="shared" si="1"/>
        <v>64868141.085998401</v>
      </c>
      <c r="AM15" s="245">
        <f t="shared" si="2"/>
        <v>196300907.49197522</v>
      </c>
      <c r="AN15" s="245">
        <f t="shared" si="3"/>
        <v>0</v>
      </c>
      <c r="AO15" s="245">
        <f t="shared" si="4"/>
        <v>18909720</v>
      </c>
      <c r="AP15" s="176"/>
      <c r="AQ15" s="176"/>
      <c r="AR15">
        <v>1030</v>
      </c>
      <c r="AS15" t="s">
        <v>217</v>
      </c>
      <c r="AT15" t="s">
        <v>1668</v>
      </c>
      <c r="AU15" s="176">
        <v>22855953.324441001</v>
      </c>
      <c r="AW15">
        <v>1030</v>
      </c>
      <c r="AX15" t="s">
        <v>217</v>
      </c>
      <c r="AY15" t="s">
        <v>1668</v>
      </c>
      <c r="AZ15" s="176">
        <v>1432953.3733330001</v>
      </c>
      <c r="BA15" s="342" t="str">
        <f t="shared" si="7"/>
        <v/>
      </c>
      <c r="BB15">
        <v>1030</v>
      </c>
      <c r="BC15" t="s">
        <v>217</v>
      </c>
      <c r="BD15" t="s">
        <v>1668</v>
      </c>
      <c r="BE15" s="243">
        <f t="shared" si="8"/>
        <v>24002316.023107402</v>
      </c>
    </row>
    <row r="16" spans="1:57">
      <c r="A16">
        <v>1030</v>
      </c>
      <c r="B16" t="s">
        <v>217</v>
      </c>
      <c r="C16" t="s">
        <v>1544</v>
      </c>
      <c r="D16" s="176">
        <v>62286181.195517004</v>
      </c>
      <c r="E16">
        <v>0</v>
      </c>
      <c r="G16">
        <v>1030</v>
      </c>
      <c r="H16" t="s">
        <v>217</v>
      </c>
      <c r="I16" t="s">
        <v>1544</v>
      </c>
      <c r="J16" s="176">
        <v>48640057.072212003</v>
      </c>
      <c r="K16">
        <v>0</v>
      </c>
      <c r="L16" s="342" t="str">
        <f t="shared" si="5"/>
        <v/>
      </c>
      <c r="M16">
        <v>1030</v>
      </c>
      <c r="N16" t="s">
        <v>217</v>
      </c>
      <c r="O16" t="s">
        <v>1544</v>
      </c>
      <c r="P16" s="243">
        <f t="shared" si="6"/>
        <v>101198226.85328661</v>
      </c>
      <c r="S16">
        <v>1030</v>
      </c>
      <c r="T16" t="s">
        <v>217</v>
      </c>
      <c r="U16" t="s">
        <v>1544</v>
      </c>
      <c r="V16" s="176">
        <v>12980451.52</v>
      </c>
      <c r="W16" s="176">
        <v>146878176.927766</v>
      </c>
      <c r="X16" s="176">
        <v>500000</v>
      </c>
      <c r="Y16" s="176">
        <v>5599325.555555</v>
      </c>
      <c r="Z16" s="176"/>
      <c r="AA16">
        <v>1030</v>
      </c>
      <c r="AB16" s="176" t="s">
        <v>217</v>
      </c>
      <c r="AC16" s="176" t="s">
        <v>1544</v>
      </c>
      <c r="AD16" s="176">
        <v>12980451.52</v>
      </c>
      <c r="AE16" s="176">
        <v>146878176.927766</v>
      </c>
      <c r="AF16">
        <v>500000</v>
      </c>
      <c r="AG16" s="176">
        <v>5599325.555555</v>
      </c>
      <c r="AH16" s="342" t="str">
        <f t="shared" si="0"/>
        <v/>
      </c>
      <c r="AI16">
        <v>1030</v>
      </c>
      <c r="AJ16" t="s">
        <v>217</v>
      </c>
      <c r="AK16" t="s">
        <v>1544</v>
      </c>
      <c r="AL16" s="245">
        <f t="shared" si="1"/>
        <v>23364812.736000001</v>
      </c>
      <c r="AM16" s="245">
        <f t="shared" si="2"/>
        <v>264380718.46997881</v>
      </c>
      <c r="AN16" s="245">
        <f t="shared" si="3"/>
        <v>900000</v>
      </c>
      <c r="AO16" s="245">
        <f t="shared" si="4"/>
        <v>10078785.999999</v>
      </c>
      <c r="AP16" s="176"/>
      <c r="AQ16" s="176"/>
      <c r="AR16">
        <v>1030</v>
      </c>
      <c r="AS16" t="s">
        <v>217</v>
      </c>
      <c r="AT16" t="s">
        <v>1544</v>
      </c>
      <c r="AU16" s="176">
        <v>1367167.655553</v>
      </c>
      <c r="AW16">
        <v>1030</v>
      </c>
      <c r="AX16" t="s">
        <v>217</v>
      </c>
      <c r="AY16" t="s">
        <v>1544</v>
      </c>
      <c r="AZ16" s="176">
        <v>19080294.629996002</v>
      </c>
      <c r="BA16" s="342" t="str">
        <f t="shared" si="7"/>
        <v/>
      </c>
      <c r="BB16">
        <v>1030</v>
      </c>
      <c r="BC16" t="s">
        <v>217</v>
      </c>
      <c r="BD16" t="s">
        <v>1544</v>
      </c>
      <c r="BE16" s="243">
        <f t="shared" si="8"/>
        <v>16631403.359549802</v>
      </c>
    </row>
    <row r="17" spans="1:57">
      <c r="A17">
        <v>1040</v>
      </c>
      <c r="B17" t="s">
        <v>218</v>
      </c>
      <c r="C17" t="s">
        <v>909</v>
      </c>
      <c r="D17" s="176">
        <v>144508490.82886401</v>
      </c>
      <c r="E17">
        <v>0</v>
      </c>
      <c r="G17">
        <v>1040</v>
      </c>
      <c r="H17" t="s">
        <v>218</v>
      </c>
      <c r="I17" t="s">
        <v>909</v>
      </c>
      <c r="J17" s="176">
        <v>110555837.62999301</v>
      </c>
      <c r="K17">
        <v>0</v>
      </c>
      <c r="L17" s="342" t="str">
        <f t="shared" si="5"/>
        <v/>
      </c>
      <c r="M17">
        <v>1040</v>
      </c>
      <c r="N17" t="s">
        <v>218</v>
      </c>
      <c r="O17" t="s">
        <v>909</v>
      </c>
      <c r="P17" s="243">
        <f t="shared" si="6"/>
        <v>232953160.93285841</v>
      </c>
      <c r="S17">
        <v>1040</v>
      </c>
      <c r="T17" t="s">
        <v>218</v>
      </c>
      <c r="U17" t="s">
        <v>909</v>
      </c>
      <c r="V17" s="176">
        <v>37463849.163332</v>
      </c>
      <c r="W17" s="176">
        <v>120120973.243322</v>
      </c>
      <c r="X17">
        <v>0</v>
      </c>
      <c r="Y17" s="176">
        <v>9443434.4822199997</v>
      </c>
      <c r="Z17" s="176"/>
      <c r="AA17">
        <v>1040</v>
      </c>
      <c r="AB17" s="176" t="s">
        <v>218</v>
      </c>
      <c r="AC17" s="176" t="s">
        <v>909</v>
      </c>
      <c r="AD17" s="176">
        <v>37463849.163332</v>
      </c>
      <c r="AE17" s="176">
        <v>120120973.243322</v>
      </c>
      <c r="AF17">
        <v>0</v>
      </c>
      <c r="AG17" s="176">
        <v>9443434.4822199997</v>
      </c>
      <c r="AH17" s="342" t="str">
        <f t="shared" si="0"/>
        <v/>
      </c>
      <c r="AI17">
        <v>1040</v>
      </c>
      <c r="AJ17" t="s">
        <v>218</v>
      </c>
      <c r="AK17" t="s">
        <v>909</v>
      </c>
      <c r="AL17" s="245">
        <f t="shared" si="1"/>
        <v>67434928.493997604</v>
      </c>
      <c r="AM17" s="245">
        <f t="shared" si="2"/>
        <v>216217751.83797961</v>
      </c>
      <c r="AN17" s="245">
        <f t="shared" si="3"/>
        <v>0</v>
      </c>
      <c r="AO17" s="245">
        <f t="shared" si="4"/>
        <v>16998182.067995999</v>
      </c>
      <c r="AP17" s="176"/>
      <c r="AQ17" s="176"/>
      <c r="AR17">
        <v>1040</v>
      </c>
      <c r="AS17" t="s">
        <v>218</v>
      </c>
      <c r="AT17" t="s">
        <v>909</v>
      </c>
      <c r="AU17" s="176">
        <v>95881780.226659</v>
      </c>
      <c r="AW17">
        <v>1040</v>
      </c>
      <c r="AX17" t="s">
        <v>218</v>
      </c>
      <c r="AY17" t="s">
        <v>909</v>
      </c>
      <c r="AZ17" s="176">
        <v>51077712.221110001</v>
      </c>
      <c r="BA17" s="342" t="str">
        <f t="shared" si="7"/>
        <v/>
      </c>
      <c r="BB17">
        <v>1040</v>
      </c>
      <c r="BC17" t="s">
        <v>218</v>
      </c>
      <c r="BD17" t="s">
        <v>909</v>
      </c>
      <c r="BE17" s="243">
        <f t="shared" si="8"/>
        <v>136743950.00354701</v>
      </c>
    </row>
    <row r="18" spans="1:57">
      <c r="A18">
        <v>1040</v>
      </c>
      <c r="B18" t="s">
        <v>218</v>
      </c>
      <c r="C18" t="s">
        <v>908</v>
      </c>
      <c r="D18" s="176">
        <v>382823394.74433899</v>
      </c>
      <c r="E18">
        <v>0</v>
      </c>
      <c r="G18">
        <v>1040</v>
      </c>
      <c r="H18" t="s">
        <v>218</v>
      </c>
      <c r="I18" t="s">
        <v>908</v>
      </c>
      <c r="J18" s="176">
        <v>285527960.24997801</v>
      </c>
      <c r="K18">
        <v>0</v>
      </c>
      <c r="L18" s="342" t="str">
        <f t="shared" si="5"/>
        <v/>
      </c>
      <c r="M18">
        <v>1040</v>
      </c>
      <c r="N18" t="s">
        <v>218</v>
      </c>
      <c r="O18" t="s">
        <v>908</v>
      </c>
      <c r="P18" s="243">
        <f t="shared" si="6"/>
        <v>611245762.94432139</v>
      </c>
      <c r="S18">
        <v>1040</v>
      </c>
      <c r="T18" t="s">
        <v>218</v>
      </c>
      <c r="U18" t="s">
        <v>908</v>
      </c>
      <c r="V18" s="176">
        <v>61898077.208885998</v>
      </c>
      <c r="W18" s="176">
        <v>116635569.908871</v>
      </c>
      <c r="X18" s="176">
        <v>0</v>
      </c>
      <c r="Y18" s="176">
        <v>16589459.333333001</v>
      </c>
      <c r="Z18" s="176"/>
      <c r="AA18">
        <v>1040</v>
      </c>
      <c r="AB18" s="176" t="s">
        <v>218</v>
      </c>
      <c r="AC18" s="176" t="s">
        <v>908</v>
      </c>
      <c r="AD18" s="176">
        <v>61898077.208885998</v>
      </c>
      <c r="AE18" s="176">
        <v>116635569.908871</v>
      </c>
      <c r="AF18" s="176">
        <v>0</v>
      </c>
      <c r="AG18" s="176">
        <v>16589459.333333001</v>
      </c>
      <c r="AH18" s="342" t="str">
        <f t="shared" si="0"/>
        <v/>
      </c>
      <c r="AI18">
        <v>1040</v>
      </c>
      <c r="AJ18" t="s">
        <v>218</v>
      </c>
      <c r="AK18" t="s">
        <v>908</v>
      </c>
      <c r="AL18" s="245">
        <f t="shared" si="1"/>
        <v>111416538.9759948</v>
      </c>
      <c r="AM18" s="245">
        <f t="shared" si="2"/>
        <v>209944025.83596778</v>
      </c>
      <c r="AN18" s="245">
        <f t="shared" si="3"/>
        <v>0</v>
      </c>
      <c r="AO18" s="245">
        <f t="shared" si="4"/>
        <v>29861026.799999401</v>
      </c>
      <c r="AP18" s="176"/>
      <c r="AQ18" s="176"/>
      <c r="AR18">
        <v>1040</v>
      </c>
      <c r="AS18" t="s">
        <v>218</v>
      </c>
      <c r="AT18" t="s">
        <v>908</v>
      </c>
      <c r="AU18" s="176">
        <v>43024197.194429003</v>
      </c>
      <c r="AW18">
        <v>1040</v>
      </c>
      <c r="AX18" t="s">
        <v>218</v>
      </c>
      <c r="AY18" t="s">
        <v>908</v>
      </c>
      <c r="AZ18" s="176">
        <v>18673760.594438002</v>
      </c>
      <c r="BA18" s="342" t="str">
        <f t="shared" si="7"/>
        <v/>
      </c>
      <c r="BB18">
        <v>1040</v>
      </c>
      <c r="BC18" t="s">
        <v>218</v>
      </c>
      <c r="BD18" t="s">
        <v>908</v>
      </c>
      <c r="BE18" s="243">
        <f t="shared" si="8"/>
        <v>57963205.669979408</v>
      </c>
    </row>
    <row r="19" spans="1:57">
      <c r="A19">
        <v>1040</v>
      </c>
      <c r="B19" t="s">
        <v>218</v>
      </c>
      <c r="C19" t="s">
        <v>1669</v>
      </c>
      <c r="D19" s="176">
        <v>80858526.963312998</v>
      </c>
      <c r="E19">
        <v>0</v>
      </c>
      <c r="G19">
        <v>1040</v>
      </c>
      <c r="H19" t="s">
        <v>218</v>
      </c>
      <c r="I19" t="s">
        <v>1669</v>
      </c>
      <c r="J19" s="176">
        <v>57940593.814437002</v>
      </c>
      <c r="K19">
        <v>0</v>
      </c>
      <c r="L19" s="342" t="str">
        <f t="shared" si="5"/>
        <v/>
      </c>
      <c r="M19">
        <v>1040</v>
      </c>
      <c r="N19" t="s">
        <v>218</v>
      </c>
      <c r="O19" t="s">
        <v>1669</v>
      </c>
      <c r="P19" s="243">
        <f t="shared" si="6"/>
        <v>127211002.0148626</v>
      </c>
      <c r="S19">
        <v>1040</v>
      </c>
      <c r="T19" t="s">
        <v>218</v>
      </c>
      <c r="U19" t="s">
        <v>1669</v>
      </c>
      <c r="V19" s="176">
        <v>18737130.203331999</v>
      </c>
      <c r="W19" s="176">
        <v>58521832.272215001</v>
      </c>
      <c r="X19">
        <v>0</v>
      </c>
      <c r="Y19" s="176">
        <v>920552.22222200001</v>
      </c>
      <c r="Z19" s="176"/>
      <c r="AA19">
        <v>1040</v>
      </c>
      <c r="AB19" s="176" t="s">
        <v>218</v>
      </c>
      <c r="AC19" s="176" t="s">
        <v>1669</v>
      </c>
      <c r="AD19" s="176">
        <v>18737130.203331999</v>
      </c>
      <c r="AE19" s="176">
        <v>58521832.272215001</v>
      </c>
      <c r="AF19">
        <v>0</v>
      </c>
      <c r="AG19" s="176">
        <v>920552.22222200001</v>
      </c>
      <c r="AH19" s="342" t="str">
        <f t="shared" si="0"/>
        <v/>
      </c>
      <c r="AI19">
        <v>1040</v>
      </c>
      <c r="AJ19" t="s">
        <v>218</v>
      </c>
      <c r="AK19" t="s">
        <v>1669</v>
      </c>
      <c r="AL19" s="245">
        <f t="shared" si="1"/>
        <v>33726834.365997598</v>
      </c>
      <c r="AM19" s="245">
        <f t="shared" si="2"/>
        <v>105339298.08998701</v>
      </c>
      <c r="AN19" s="245">
        <f t="shared" si="3"/>
        <v>0</v>
      </c>
      <c r="AO19" s="245">
        <f t="shared" si="4"/>
        <v>1656993.9999996</v>
      </c>
      <c r="AP19" s="176"/>
      <c r="AQ19" s="176"/>
      <c r="AR19">
        <v>1040</v>
      </c>
      <c r="AS19" t="s">
        <v>218</v>
      </c>
      <c r="AT19" t="s">
        <v>1669</v>
      </c>
      <c r="AU19" s="176">
        <v>1557821.8666650001</v>
      </c>
      <c r="AW19">
        <v>1040</v>
      </c>
      <c r="AX19" t="s">
        <v>218</v>
      </c>
      <c r="AY19" t="s">
        <v>1669</v>
      </c>
      <c r="AZ19" s="176">
        <v>3425770.6433319999</v>
      </c>
      <c r="BA19" s="342" t="str">
        <f t="shared" si="7"/>
        <v/>
      </c>
      <c r="BB19">
        <v>1040</v>
      </c>
      <c r="BC19" t="s">
        <v>218</v>
      </c>
      <c r="BD19" t="s">
        <v>1669</v>
      </c>
      <c r="BE19" s="243">
        <f t="shared" si="8"/>
        <v>4298438.3813306</v>
      </c>
    </row>
    <row r="20" spans="1:57">
      <c r="A20">
        <v>1040</v>
      </c>
      <c r="B20" t="s">
        <v>218</v>
      </c>
      <c r="C20" t="s">
        <v>907</v>
      </c>
      <c r="D20" s="176">
        <v>282866395.718822</v>
      </c>
      <c r="E20">
        <v>0</v>
      </c>
      <c r="G20">
        <v>1040</v>
      </c>
      <c r="H20" t="s">
        <v>218</v>
      </c>
      <c r="I20" t="s">
        <v>907</v>
      </c>
      <c r="J20" s="176">
        <v>393073290.23218</v>
      </c>
      <c r="K20">
        <v>0</v>
      </c>
      <c r="L20" s="342" t="str">
        <f t="shared" si="5"/>
        <v/>
      </c>
      <c r="M20">
        <v>1040</v>
      </c>
      <c r="N20" t="s">
        <v>218</v>
      </c>
      <c r="O20" t="s">
        <v>907</v>
      </c>
      <c r="P20" s="243">
        <f t="shared" si="6"/>
        <v>597325027.90456605</v>
      </c>
      <c r="S20">
        <v>1040</v>
      </c>
      <c r="T20" t="s">
        <v>218</v>
      </c>
      <c r="U20" t="s">
        <v>907</v>
      </c>
      <c r="V20" s="176">
        <v>104380672.236664</v>
      </c>
      <c r="W20" s="176">
        <v>180030963.698879</v>
      </c>
      <c r="X20" s="176">
        <v>0</v>
      </c>
      <c r="Y20" s="176">
        <v>66582495.315554999</v>
      </c>
      <c r="Z20" s="176"/>
      <c r="AA20">
        <v>1040</v>
      </c>
      <c r="AB20" s="176" t="s">
        <v>218</v>
      </c>
      <c r="AC20" s="176" t="s">
        <v>907</v>
      </c>
      <c r="AD20" s="176">
        <v>104380672.236664</v>
      </c>
      <c r="AE20" s="176">
        <v>180030963.698879</v>
      </c>
      <c r="AF20" s="176">
        <v>0</v>
      </c>
      <c r="AG20" s="176">
        <v>66582495.315554999</v>
      </c>
      <c r="AH20" s="342" t="str">
        <f t="shared" si="0"/>
        <v/>
      </c>
      <c r="AI20">
        <v>1040</v>
      </c>
      <c r="AJ20" t="s">
        <v>218</v>
      </c>
      <c r="AK20" t="s">
        <v>907</v>
      </c>
      <c r="AL20" s="245">
        <f t="shared" si="1"/>
        <v>187885210.02599519</v>
      </c>
      <c r="AM20" s="245">
        <f t="shared" si="2"/>
        <v>324055734.65798223</v>
      </c>
      <c r="AN20" s="245">
        <f t="shared" si="3"/>
        <v>0</v>
      </c>
      <c r="AO20" s="245">
        <f t="shared" si="4"/>
        <v>119848491.56799901</v>
      </c>
      <c r="AP20" s="176"/>
      <c r="AQ20" s="176"/>
      <c r="AR20">
        <v>1040</v>
      </c>
      <c r="AS20" t="s">
        <v>218</v>
      </c>
      <c r="AT20" t="s">
        <v>907</v>
      </c>
      <c r="AU20" s="176">
        <v>39979448.692213997</v>
      </c>
      <c r="AW20">
        <v>1040</v>
      </c>
      <c r="AX20" t="s">
        <v>218</v>
      </c>
      <c r="AY20" t="s">
        <v>907</v>
      </c>
      <c r="AZ20" s="176">
        <v>48712347.927768998</v>
      </c>
      <c r="BA20" s="342" t="str">
        <f t="shared" si="7"/>
        <v/>
      </c>
      <c r="BB20">
        <v>1040</v>
      </c>
      <c r="BC20" t="s">
        <v>218</v>
      </c>
      <c r="BD20" t="s">
        <v>907</v>
      </c>
      <c r="BE20" s="243">
        <f t="shared" si="8"/>
        <v>78949327.034429193</v>
      </c>
    </row>
    <row r="21" spans="1:57">
      <c r="A21">
        <v>1050</v>
      </c>
      <c r="B21" t="s">
        <v>219</v>
      </c>
      <c r="C21" t="s">
        <v>911</v>
      </c>
      <c r="D21" s="176">
        <v>431622536.71321398</v>
      </c>
      <c r="E21">
        <v>0</v>
      </c>
      <c r="G21">
        <v>1050</v>
      </c>
      <c r="H21" t="s">
        <v>219</v>
      </c>
      <c r="I21" t="s">
        <v>911</v>
      </c>
      <c r="J21" s="176">
        <v>306091298.09995902</v>
      </c>
      <c r="K21">
        <v>0</v>
      </c>
      <c r="L21" s="342" t="str">
        <f t="shared" si="5"/>
        <v/>
      </c>
      <c r="M21">
        <v>1050</v>
      </c>
      <c r="N21" t="s">
        <v>219</v>
      </c>
      <c r="O21" t="s">
        <v>911</v>
      </c>
      <c r="P21" s="243">
        <f t="shared" si="6"/>
        <v>676495575.19318128</v>
      </c>
      <c r="S21">
        <v>1050</v>
      </c>
      <c r="T21" t="s">
        <v>219</v>
      </c>
      <c r="U21" t="s">
        <v>911</v>
      </c>
      <c r="V21" s="176">
        <v>125069719.41999701</v>
      </c>
      <c r="W21" s="176">
        <v>238485170.07774499</v>
      </c>
      <c r="X21">
        <v>559200</v>
      </c>
      <c r="Y21" s="176">
        <v>36513043.333332002</v>
      </c>
      <c r="Z21" s="176"/>
      <c r="AA21">
        <v>1050</v>
      </c>
      <c r="AB21" s="176" t="s">
        <v>219</v>
      </c>
      <c r="AC21" s="176" t="s">
        <v>911</v>
      </c>
      <c r="AD21" s="176">
        <v>125069719.41999701</v>
      </c>
      <c r="AE21" s="176">
        <v>238485170.07774499</v>
      </c>
      <c r="AF21">
        <v>559200</v>
      </c>
      <c r="AG21" s="176">
        <v>36513043.333332002</v>
      </c>
      <c r="AH21" s="342" t="str">
        <f t="shared" si="0"/>
        <v/>
      </c>
      <c r="AI21">
        <v>1050</v>
      </c>
      <c r="AJ21" t="s">
        <v>219</v>
      </c>
      <c r="AK21" t="s">
        <v>911</v>
      </c>
      <c r="AL21" s="245">
        <f t="shared" si="1"/>
        <v>225125494.95599461</v>
      </c>
      <c r="AM21" s="245">
        <f t="shared" si="2"/>
        <v>429273306.13994098</v>
      </c>
      <c r="AN21" s="245">
        <f t="shared" si="3"/>
        <v>1006560</v>
      </c>
      <c r="AO21" s="245">
        <f t="shared" si="4"/>
        <v>65723477.999997601</v>
      </c>
      <c r="AP21" s="176"/>
      <c r="AQ21" s="176"/>
      <c r="AR21">
        <v>1050</v>
      </c>
      <c r="AS21" t="s">
        <v>219</v>
      </c>
      <c r="AT21" t="s">
        <v>911</v>
      </c>
      <c r="AU21" s="176">
        <v>270408269.481089</v>
      </c>
      <c r="AW21">
        <v>1050</v>
      </c>
      <c r="AX21" t="s">
        <v>219</v>
      </c>
      <c r="AY21" t="s">
        <v>911</v>
      </c>
      <c r="AZ21" s="176">
        <v>251162266.341104</v>
      </c>
      <c r="BA21" s="342" t="str">
        <f t="shared" si="7"/>
        <v/>
      </c>
      <c r="BB21">
        <v>1050</v>
      </c>
      <c r="BC21" t="s">
        <v>219</v>
      </c>
      <c r="BD21" t="s">
        <v>911</v>
      </c>
      <c r="BE21" s="243">
        <f t="shared" si="8"/>
        <v>471338082.55397224</v>
      </c>
    </row>
    <row r="22" spans="1:57">
      <c r="A22">
        <v>1050</v>
      </c>
      <c r="B22" t="s">
        <v>219</v>
      </c>
      <c r="C22" t="s">
        <v>1739</v>
      </c>
      <c r="D22" s="176">
        <v>147299173.399921</v>
      </c>
      <c r="E22">
        <v>0</v>
      </c>
      <c r="G22">
        <v>1050</v>
      </c>
      <c r="H22" t="s">
        <v>219</v>
      </c>
      <c r="I22" t="s">
        <v>1739</v>
      </c>
      <c r="J22" s="176">
        <v>63194636.764426999</v>
      </c>
      <c r="K22">
        <v>0</v>
      </c>
      <c r="L22" s="342" t="str">
        <f t="shared" si="5"/>
        <v/>
      </c>
      <c r="M22">
        <v>1050</v>
      </c>
      <c r="N22" t="s">
        <v>219</v>
      </c>
      <c r="O22" t="s">
        <v>1739</v>
      </c>
      <c r="P22" s="243">
        <f t="shared" si="6"/>
        <v>197854882.81146261</v>
      </c>
      <c r="S22">
        <v>1050</v>
      </c>
      <c r="T22" t="s">
        <v>219</v>
      </c>
      <c r="U22" t="s">
        <v>1739</v>
      </c>
      <c r="V22" s="176">
        <v>48606951.913332</v>
      </c>
      <c r="W22" s="176">
        <v>175421140.386639</v>
      </c>
      <c r="X22">
        <v>0</v>
      </c>
      <c r="Y22" s="176">
        <v>28698967.606665999</v>
      </c>
      <c r="Z22" s="176"/>
      <c r="AA22">
        <v>1050</v>
      </c>
      <c r="AB22" s="176" t="s">
        <v>219</v>
      </c>
      <c r="AC22" s="176" t="s">
        <v>1739</v>
      </c>
      <c r="AD22" s="176">
        <v>48606951.913332</v>
      </c>
      <c r="AE22" s="176">
        <v>175421140.386639</v>
      </c>
      <c r="AF22">
        <v>0</v>
      </c>
      <c r="AG22" s="176">
        <v>28698967.606665999</v>
      </c>
      <c r="AH22" s="342" t="str">
        <f t="shared" si="0"/>
        <v/>
      </c>
      <c r="AI22">
        <v>1050</v>
      </c>
      <c r="AJ22" t="s">
        <v>219</v>
      </c>
      <c r="AK22" t="s">
        <v>1739</v>
      </c>
      <c r="AL22" s="245">
        <f t="shared" si="1"/>
        <v>87492513.443997592</v>
      </c>
      <c r="AM22" s="245">
        <f t="shared" si="2"/>
        <v>315758052.69595021</v>
      </c>
      <c r="AN22" s="245">
        <f t="shared" si="3"/>
        <v>0</v>
      </c>
      <c r="AO22" s="245">
        <f t="shared" si="4"/>
        <v>51658141.691998795</v>
      </c>
      <c r="AP22" s="176"/>
      <c r="AQ22" s="176"/>
      <c r="AR22">
        <v>1050</v>
      </c>
      <c r="AS22" t="s">
        <v>219</v>
      </c>
      <c r="AT22" t="s">
        <v>1739</v>
      </c>
      <c r="AU22" s="176">
        <v>8697897.1488809995</v>
      </c>
      <c r="AW22">
        <v>1050</v>
      </c>
      <c r="AX22" t="s">
        <v>219</v>
      </c>
      <c r="AY22" t="s">
        <v>1739</v>
      </c>
      <c r="AZ22" s="176">
        <v>3277771.8544439999</v>
      </c>
      <c r="BA22" s="342" t="str">
        <f t="shared" si="7"/>
        <v/>
      </c>
      <c r="BB22">
        <v>1050</v>
      </c>
      <c r="BC22" t="s">
        <v>219</v>
      </c>
      <c r="BD22" t="s">
        <v>1739</v>
      </c>
      <c r="BE22" s="243">
        <f t="shared" si="8"/>
        <v>11320114.632436199</v>
      </c>
    </row>
    <row r="23" spans="1:57">
      <c r="A23">
        <v>1060</v>
      </c>
      <c r="B23" t="s">
        <v>220</v>
      </c>
      <c r="C23" t="s">
        <v>910</v>
      </c>
      <c r="D23" s="176">
        <v>274509852.843256</v>
      </c>
      <c r="E23">
        <v>0</v>
      </c>
      <c r="G23">
        <v>1060</v>
      </c>
      <c r="H23" t="s">
        <v>220</v>
      </c>
      <c r="I23" t="s">
        <v>910</v>
      </c>
      <c r="J23" s="176">
        <v>252785985.094421</v>
      </c>
      <c r="K23">
        <v>0</v>
      </c>
      <c r="L23" s="342" t="str">
        <f t="shared" si="5"/>
        <v/>
      </c>
      <c r="M23">
        <v>1060</v>
      </c>
      <c r="N23" t="s">
        <v>220</v>
      </c>
      <c r="O23" t="s">
        <v>910</v>
      </c>
      <c r="P23" s="243">
        <f t="shared" si="6"/>
        <v>476738640.91879284</v>
      </c>
      <c r="S23">
        <v>1060</v>
      </c>
      <c r="T23" t="s">
        <v>220</v>
      </c>
      <c r="U23" t="s">
        <v>910</v>
      </c>
      <c r="V23" s="176">
        <v>296755733.62444299</v>
      </c>
      <c r="W23" s="176">
        <v>781565579.85664701</v>
      </c>
      <c r="X23" s="176">
        <v>0</v>
      </c>
      <c r="Y23" s="176">
        <v>74285415.895554006</v>
      </c>
      <c r="Z23" s="176"/>
      <c r="AA23">
        <v>1060</v>
      </c>
      <c r="AB23" s="176" t="s">
        <v>220</v>
      </c>
      <c r="AC23" s="176" t="s">
        <v>910</v>
      </c>
      <c r="AD23" s="176">
        <v>296755733.62444299</v>
      </c>
      <c r="AE23" s="176">
        <v>781565579.85664701</v>
      </c>
      <c r="AF23" s="176">
        <v>0</v>
      </c>
      <c r="AG23" s="176">
        <v>74285415.895554006</v>
      </c>
      <c r="AH23" s="342" t="str">
        <f t="shared" si="0"/>
        <v/>
      </c>
      <c r="AI23">
        <v>1060</v>
      </c>
      <c r="AJ23" t="s">
        <v>220</v>
      </c>
      <c r="AK23" t="s">
        <v>910</v>
      </c>
      <c r="AL23" s="245">
        <f t="shared" si="1"/>
        <v>534160320.52399743</v>
      </c>
      <c r="AM23" s="245">
        <f t="shared" si="2"/>
        <v>1406818043.7419648</v>
      </c>
      <c r="AN23" s="245">
        <f t="shared" si="3"/>
        <v>0</v>
      </c>
      <c r="AO23" s="245">
        <f t="shared" si="4"/>
        <v>133713748.61199722</v>
      </c>
      <c r="AP23" s="176"/>
      <c r="AQ23" s="176"/>
      <c r="AR23">
        <v>1060</v>
      </c>
      <c r="AS23" t="s">
        <v>220</v>
      </c>
      <c r="AT23" t="s">
        <v>910</v>
      </c>
      <c r="AU23" s="176">
        <v>102265534.631102</v>
      </c>
      <c r="AW23">
        <v>1060</v>
      </c>
      <c r="AX23" t="s">
        <v>220</v>
      </c>
      <c r="AY23" t="s">
        <v>910</v>
      </c>
      <c r="AZ23" s="176">
        <v>118636699.334438</v>
      </c>
      <c r="BA23" s="342" t="str">
        <f t="shared" si="7"/>
        <v/>
      </c>
      <c r="BB23">
        <v>1060</v>
      </c>
      <c r="BC23" t="s">
        <v>220</v>
      </c>
      <c r="BD23" t="s">
        <v>910</v>
      </c>
      <c r="BE23" s="243">
        <f t="shared" si="8"/>
        <v>197174894.09865239</v>
      </c>
    </row>
    <row r="24" spans="1:57">
      <c r="A24">
        <v>1060</v>
      </c>
      <c r="B24" t="s">
        <v>220</v>
      </c>
      <c r="C24" t="s">
        <v>1928</v>
      </c>
      <c r="D24" s="176">
        <v>76644674.535502002</v>
      </c>
      <c r="E24">
        <v>0</v>
      </c>
      <c r="G24">
        <v>1060</v>
      </c>
      <c r="H24" t="s">
        <v>220</v>
      </c>
      <c r="I24" t="s">
        <v>1928</v>
      </c>
      <c r="J24" s="176">
        <v>44416958.708878003</v>
      </c>
      <c r="K24">
        <v>0</v>
      </c>
      <c r="L24" s="342" t="str">
        <f t="shared" si="5"/>
        <v/>
      </c>
      <c r="M24">
        <v>1060</v>
      </c>
      <c r="N24" t="s">
        <v>220</v>
      </c>
      <c r="O24" t="s">
        <v>1928</v>
      </c>
      <c r="P24" s="243">
        <f t="shared" si="6"/>
        <v>112178241.5026044</v>
      </c>
      <c r="S24">
        <v>1060</v>
      </c>
      <c r="T24" t="s">
        <v>220</v>
      </c>
      <c r="U24" t="s">
        <v>1928</v>
      </c>
      <c r="V24" s="176">
        <v>24651776.338888001</v>
      </c>
      <c r="W24" s="176">
        <v>141127849.68887401</v>
      </c>
      <c r="X24" s="176">
        <v>0</v>
      </c>
      <c r="Y24" s="176">
        <v>7725247.4444439998</v>
      </c>
      <c r="Z24" s="176"/>
      <c r="AA24">
        <v>1060</v>
      </c>
      <c r="AB24" s="176" t="s">
        <v>220</v>
      </c>
      <c r="AC24" s="176" t="s">
        <v>1928</v>
      </c>
      <c r="AD24" s="176">
        <v>24651776.338888001</v>
      </c>
      <c r="AE24" s="176">
        <v>141127849.68887401</v>
      </c>
      <c r="AF24" s="176">
        <v>0</v>
      </c>
      <c r="AG24" s="176">
        <v>7725247.4444439998</v>
      </c>
      <c r="AH24" s="342" t="str">
        <f t="shared" si="0"/>
        <v/>
      </c>
      <c r="AI24">
        <v>1060</v>
      </c>
      <c r="AJ24" t="s">
        <v>220</v>
      </c>
      <c r="AK24" t="s">
        <v>1928</v>
      </c>
      <c r="AL24" s="245">
        <f t="shared" si="1"/>
        <v>44373197.409998402</v>
      </c>
      <c r="AM24" s="245">
        <f t="shared" si="2"/>
        <v>254030129.43997324</v>
      </c>
      <c r="AN24" s="245">
        <f t="shared" si="3"/>
        <v>0</v>
      </c>
      <c r="AO24" s="245">
        <f t="shared" si="4"/>
        <v>13905445.399999201</v>
      </c>
      <c r="AP24" s="176"/>
      <c r="AQ24" s="176"/>
      <c r="AR24">
        <v>1060</v>
      </c>
      <c r="AS24" t="s">
        <v>220</v>
      </c>
      <c r="AT24" t="s">
        <v>1928</v>
      </c>
      <c r="AU24" s="176">
        <v>6991182.1988840001</v>
      </c>
      <c r="AW24">
        <v>1060</v>
      </c>
      <c r="AX24" t="s">
        <v>220</v>
      </c>
      <c r="AY24" t="s">
        <v>1928</v>
      </c>
      <c r="AZ24" s="176">
        <v>1727670.598887</v>
      </c>
      <c r="BA24" s="342" t="str">
        <f t="shared" si="7"/>
        <v/>
      </c>
      <c r="BB24">
        <v>1060</v>
      </c>
      <c r="BC24" t="s">
        <v>220</v>
      </c>
      <c r="BD24" t="s">
        <v>1928</v>
      </c>
      <c r="BE24" s="243">
        <f t="shared" si="8"/>
        <v>8373318.6779936003</v>
      </c>
    </row>
    <row r="25" spans="1:57">
      <c r="A25">
        <v>1060</v>
      </c>
      <c r="B25" t="s">
        <v>220</v>
      </c>
      <c r="C25" t="s">
        <v>1018</v>
      </c>
      <c r="D25" s="176">
        <v>306740813.28876698</v>
      </c>
      <c r="E25">
        <v>0</v>
      </c>
      <c r="G25">
        <v>1060</v>
      </c>
      <c r="H25" t="s">
        <v>220</v>
      </c>
      <c r="I25" t="s">
        <v>1018</v>
      </c>
      <c r="J25" s="176">
        <v>217760451.46108201</v>
      </c>
      <c r="K25">
        <v>0</v>
      </c>
      <c r="L25" s="342" t="str">
        <f t="shared" si="5"/>
        <v/>
      </c>
      <c r="M25">
        <v>1060</v>
      </c>
      <c r="N25" t="s">
        <v>220</v>
      </c>
      <c r="O25" t="s">
        <v>1018</v>
      </c>
      <c r="P25" s="243">
        <f t="shared" si="6"/>
        <v>480949174.4576326</v>
      </c>
      <c r="S25">
        <v>1060</v>
      </c>
      <c r="T25" t="s">
        <v>220</v>
      </c>
      <c r="U25" t="s">
        <v>1018</v>
      </c>
      <c r="V25" s="176">
        <v>155003072.21333101</v>
      </c>
      <c r="W25" s="176">
        <v>362335366.53775001</v>
      </c>
      <c r="X25" s="176">
        <v>0</v>
      </c>
      <c r="Y25" s="176">
        <v>39800733.241108</v>
      </c>
      <c r="Z25" s="176"/>
      <c r="AA25">
        <v>1060</v>
      </c>
      <c r="AB25" s="176" t="s">
        <v>220</v>
      </c>
      <c r="AC25" s="176" t="s">
        <v>1018</v>
      </c>
      <c r="AD25" s="176">
        <v>155003072.21333101</v>
      </c>
      <c r="AE25" s="176">
        <v>362335366.53775001</v>
      </c>
      <c r="AF25" s="176">
        <v>0</v>
      </c>
      <c r="AG25" s="176">
        <v>39800733.241108</v>
      </c>
      <c r="AH25" s="342" t="str">
        <f t="shared" si="0"/>
        <v/>
      </c>
      <c r="AI25">
        <v>1060</v>
      </c>
      <c r="AJ25" t="s">
        <v>220</v>
      </c>
      <c r="AK25" t="s">
        <v>1018</v>
      </c>
      <c r="AL25" s="245">
        <f t="shared" si="1"/>
        <v>279005529.9839958</v>
      </c>
      <c r="AM25" s="245">
        <f t="shared" si="2"/>
        <v>652203659.76795006</v>
      </c>
      <c r="AN25" s="245">
        <f t="shared" si="3"/>
        <v>0</v>
      </c>
      <c r="AO25" s="245">
        <f t="shared" si="4"/>
        <v>71641319.833994403</v>
      </c>
      <c r="AP25" s="176"/>
      <c r="AQ25" s="176"/>
      <c r="AR25">
        <v>1060</v>
      </c>
      <c r="AS25" t="s">
        <v>220</v>
      </c>
      <c r="AT25" t="s">
        <v>1018</v>
      </c>
      <c r="AU25" s="176">
        <v>53489876.997762002</v>
      </c>
      <c r="AW25">
        <v>1060</v>
      </c>
      <c r="AX25" t="s">
        <v>220</v>
      </c>
      <c r="AY25" t="s">
        <v>1018</v>
      </c>
      <c r="AZ25" s="176">
        <v>66052196.702215001</v>
      </c>
      <c r="BA25" s="342" t="str">
        <f t="shared" si="7"/>
        <v/>
      </c>
      <c r="BB25">
        <v>1060</v>
      </c>
      <c r="BC25" t="s">
        <v>220</v>
      </c>
      <c r="BD25" t="s">
        <v>1018</v>
      </c>
      <c r="BE25" s="243">
        <f t="shared" si="8"/>
        <v>106331634.359534</v>
      </c>
    </row>
    <row r="26" spans="1:57">
      <c r="A26">
        <v>1060</v>
      </c>
      <c r="B26" t="s">
        <v>220</v>
      </c>
      <c r="C26" t="s">
        <v>1670</v>
      </c>
      <c r="D26" s="176">
        <v>69705251.803305</v>
      </c>
      <c r="E26">
        <v>0</v>
      </c>
      <c r="G26">
        <v>1060</v>
      </c>
      <c r="H26" t="s">
        <v>220</v>
      </c>
      <c r="I26" t="s">
        <v>1670</v>
      </c>
      <c r="J26" s="176">
        <v>43118084.868883997</v>
      </c>
      <c r="K26">
        <v>0</v>
      </c>
      <c r="L26" s="342" t="str">
        <f t="shared" si="5"/>
        <v/>
      </c>
      <c r="M26">
        <v>1060</v>
      </c>
      <c r="N26" t="s">
        <v>220</v>
      </c>
      <c r="O26" t="s">
        <v>1670</v>
      </c>
      <c r="P26" s="243">
        <f t="shared" si="6"/>
        <v>104199719.69841221</v>
      </c>
      <c r="S26">
        <v>1060</v>
      </c>
      <c r="T26" t="s">
        <v>220</v>
      </c>
      <c r="U26" t="s">
        <v>1670</v>
      </c>
      <c r="V26" s="176">
        <v>8846739</v>
      </c>
      <c r="W26" s="176">
        <v>66845654.658875003</v>
      </c>
      <c r="X26">
        <v>100000</v>
      </c>
      <c r="Y26" s="176">
        <v>10975155.555554001</v>
      </c>
      <c r="Z26" s="176"/>
      <c r="AA26">
        <v>1060</v>
      </c>
      <c r="AB26" s="176" t="s">
        <v>220</v>
      </c>
      <c r="AC26" s="176" t="s">
        <v>1670</v>
      </c>
      <c r="AD26" s="176">
        <v>8846739</v>
      </c>
      <c r="AE26" s="176">
        <v>66845654.658875003</v>
      </c>
      <c r="AF26">
        <v>100000</v>
      </c>
      <c r="AG26" s="176">
        <v>10975155.555554001</v>
      </c>
      <c r="AH26" s="342" t="str">
        <f t="shared" si="0"/>
        <v/>
      </c>
      <c r="AI26">
        <v>1060</v>
      </c>
      <c r="AJ26" t="s">
        <v>220</v>
      </c>
      <c r="AK26" t="s">
        <v>1670</v>
      </c>
      <c r="AL26" s="245">
        <f t="shared" si="1"/>
        <v>15924130.199999999</v>
      </c>
      <c r="AM26" s="245">
        <f t="shared" si="2"/>
        <v>120322178.385975</v>
      </c>
      <c r="AN26" s="245">
        <f t="shared" si="3"/>
        <v>180000</v>
      </c>
      <c r="AO26" s="245">
        <f t="shared" si="4"/>
        <v>19755279.999997202</v>
      </c>
      <c r="AP26" s="176"/>
      <c r="AQ26" s="176"/>
      <c r="AR26">
        <v>1060</v>
      </c>
      <c r="AS26" t="s">
        <v>220</v>
      </c>
      <c r="AT26" t="s">
        <v>1670</v>
      </c>
      <c r="AU26" s="176">
        <v>21706408.266663</v>
      </c>
      <c r="AW26">
        <v>1060</v>
      </c>
      <c r="AX26" t="s">
        <v>220</v>
      </c>
      <c r="AY26" t="s">
        <v>1670</v>
      </c>
      <c r="AZ26">
        <v>0</v>
      </c>
      <c r="BA26" s="342" t="str">
        <f t="shared" si="7"/>
        <v/>
      </c>
      <c r="BB26">
        <v>1060</v>
      </c>
      <c r="BC26" t="s">
        <v>220</v>
      </c>
      <c r="BD26" t="s">
        <v>1670</v>
      </c>
      <c r="BE26" s="243">
        <f t="shared" si="8"/>
        <v>21706408.266663</v>
      </c>
    </row>
    <row r="27" spans="1:57">
      <c r="A27">
        <v>1070</v>
      </c>
      <c r="B27" t="s">
        <v>221</v>
      </c>
      <c r="C27" t="s">
        <v>1671</v>
      </c>
      <c r="D27" s="176">
        <v>102281225.701049</v>
      </c>
      <c r="E27">
        <v>0</v>
      </c>
      <c r="G27">
        <v>1070</v>
      </c>
      <c r="H27" t="s">
        <v>221</v>
      </c>
      <c r="I27" t="s">
        <v>1671</v>
      </c>
      <c r="J27" s="176">
        <v>72130768.887762994</v>
      </c>
      <c r="K27">
        <v>0</v>
      </c>
      <c r="L27" s="342" t="str">
        <f t="shared" si="5"/>
        <v/>
      </c>
      <c r="M27">
        <v>1070</v>
      </c>
      <c r="N27" t="s">
        <v>221</v>
      </c>
      <c r="O27" t="s">
        <v>1671</v>
      </c>
      <c r="P27" s="243">
        <f t="shared" si="6"/>
        <v>159985840.81125939</v>
      </c>
      <c r="S27">
        <v>1070</v>
      </c>
      <c r="T27" t="s">
        <v>221</v>
      </c>
      <c r="U27" t="s">
        <v>1671</v>
      </c>
      <c r="V27" s="176">
        <v>11660598.122221</v>
      </c>
      <c r="W27" s="176">
        <v>50227940.583318003</v>
      </c>
      <c r="X27">
        <v>0</v>
      </c>
      <c r="Y27" s="176">
        <v>6134649</v>
      </c>
      <c r="Z27" s="176"/>
      <c r="AA27">
        <v>1070</v>
      </c>
      <c r="AB27" s="176" t="s">
        <v>221</v>
      </c>
      <c r="AC27" s="176" t="s">
        <v>1671</v>
      </c>
      <c r="AD27" s="176">
        <v>11660598.122221</v>
      </c>
      <c r="AE27" s="176">
        <v>50227940.583318003</v>
      </c>
      <c r="AF27">
        <v>0</v>
      </c>
      <c r="AG27" s="176">
        <v>6134649</v>
      </c>
      <c r="AH27" s="342" t="str">
        <f t="shared" si="0"/>
        <v/>
      </c>
      <c r="AI27">
        <v>1070</v>
      </c>
      <c r="AJ27" t="s">
        <v>221</v>
      </c>
      <c r="AK27" t="s">
        <v>1671</v>
      </c>
      <c r="AL27" s="245">
        <f t="shared" si="1"/>
        <v>20989076.619997799</v>
      </c>
      <c r="AM27" s="245">
        <f t="shared" si="2"/>
        <v>90410293.049972415</v>
      </c>
      <c r="AN27" s="245">
        <f t="shared" si="3"/>
        <v>0</v>
      </c>
      <c r="AO27" s="245">
        <f t="shared" si="4"/>
        <v>11042368.199999999</v>
      </c>
      <c r="AP27" s="176"/>
      <c r="AQ27" s="176"/>
      <c r="AR27">
        <v>1070</v>
      </c>
      <c r="AS27" t="s">
        <v>221</v>
      </c>
      <c r="AT27" t="s">
        <v>1671</v>
      </c>
      <c r="AU27" s="176">
        <v>20147415.103317</v>
      </c>
      <c r="AW27">
        <v>1070</v>
      </c>
      <c r="AX27" t="s">
        <v>221</v>
      </c>
      <c r="AY27" t="s">
        <v>1671</v>
      </c>
      <c r="AZ27" s="176">
        <v>5762213.9377760002</v>
      </c>
      <c r="BA27" s="342" t="str">
        <f t="shared" si="7"/>
        <v/>
      </c>
      <c r="BB27">
        <v>1070</v>
      </c>
      <c r="BC27" t="s">
        <v>221</v>
      </c>
      <c r="BD27" t="s">
        <v>1671</v>
      </c>
      <c r="BE27" s="243">
        <f t="shared" si="8"/>
        <v>24757186.2535378</v>
      </c>
    </row>
    <row r="28" spans="1:57">
      <c r="A28">
        <v>1070</v>
      </c>
      <c r="B28" t="s">
        <v>221</v>
      </c>
      <c r="C28" t="s">
        <v>914</v>
      </c>
      <c r="D28" s="176">
        <v>451937527.74546599</v>
      </c>
      <c r="E28">
        <v>0</v>
      </c>
      <c r="G28">
        <v>1070</v>
      </c>
      <c r="H28" t="s">
        <v>221</v>
      </c>
      <c r="I28" t="s">
        <v>914</v>
      </c>
      <c r="J28" s="176">
        <v>366443149.17664099</v>
      </c>
      <c r="K28">
        <v>0</v>
      </c>
      <c r="L28" s="342" t="str">
        <f t="shared" si="5"/>
        <v/>
      </c>
      <c r="M28">
        <v>1070</v>
      </c>
      <c r="N28" t="s">
        <v>221</v>
      </c>
      <c r="O28" t="s">
        <v>914</v>
      </c>
      <c r="P28" s="243">
        <f t="shared" si="6"/>
        <v>745092047.08677888</v>
      </c>
      <c r="S28">
        <v>1070</v>
      </c>
      <c r="T28" t="s">
        <v>221</v>
      </c>
      <c r="U28" t="s">
        <v>914</v>
      </c>
      <c r="V28" s="176">
        <v>91216360.068886995</v>
      </c>
      <c r="W28" s="176">
        <v>462626101.34441698</v>
      </c>
      <c r="X28" s="176">
        <v>561900</v>
      </c>
      <c r="Y28" s="176">
        <v>31919637.222220998</v>
      </c>
      <c r="Z28" s="176"/>
      <c r="AA28">
        <v>1070</v>
      </c>
      <c r="AB28" s="176" t="s">
        <v>221</v>
      </c>
      <c r="AC28" s="176" t="s">
        <v>914</v>
      </c>
      <c r="AD28" s="176">
        <v>91216360.068886995</v>
      </c>
      <c r="AE28" s="176">
        <v>462626101.34441698</v>
      </c>
      <c r="AF28">
        <v>561900</v>
      </c>
      <c r="AG28" s="176">
        <v>31919637.222220998</v>
      </c>
      <c r="AH28" s="342" t="str">
        <f t="shared" si="0"/>
        <v/>
      </c>
      <c r="AI28">
        <v>1070</v>
      </c>
      <c r="AJ28" t="s">
        <v>221</v>
      </c>
      <c r="AK28" t="s">
        <v>914</v>
      </c>
      <c r="AL28" s="245">
        <f t="shared" si="1"/>
        <v>164189448.12399662</v>
      </c>
      <c r="AM28" s="245">
        <f t="shared" si="2"/>
        <v>832726982.4199506</v>
      </c>
      <c r="AN28" s="245">
        <f t="shared" si="3"/>
        <v>1011420</v>
      </c>
      <c r="AO28" s="245">
        <f t="shared" si="4"/>
        <v>57455346.999997795</v>
      </c>
      <c r="AP28" s="176"/>
      <c r="AQ28" s="176"/>
      <c r="AR28">
        <v>1070</v>
      </c>
      <c r="AS28" t="s">
        <v>221</v>
      </c>
      <c r="AT28" t="s">
        <v>914</v>
      </c>
      <c r="AU28" s="176">
        <v>236986089.18553901</v>
      </c>
      <c r="AW28">
        <v>1070</v>
      </c>
      <c r="AX28" t="s">
        <v>221</v>
      </c>
      <c r="AY28" t="s">
        <v>914</v>
      </c>
      <c r="AZ28" s="176">
        <v>249496397.514429</v>
      </c>
      <c r="BA28" s="342" t="str">
        <f t="shared" si="7"/>
        <v/>
      </c>
      <c r="BB28">
        <v>1070</v>
      </c>
      <c r="BC28" t="s">
        <v>221</v>
      </c>
      <c r="BD28" t="s">
        <v>914</v>
      </c>
      <c r="BE28" s="243">
        <f t="shared" si="8"/>
        <v>436583207.19708222</v>
      </c>
    </row>
    <row r="29" spans="1:57">
      <c r="A29">
        <v>1070</v>
      </c>
      <c r="B29" t="s">
        <v>221</v>
      </c>
      <c r="C29" t="s">
        <v>1545</v>
      </c>
      <c r="D29" s="176">
        <v>213794735.57883301</v>
      </c>
      <c r="E29">
        <v>0</v>
      </c>
      <c r="G29">
        <v>1070</v>
      </c>
      <c r="H29" t="s">
        <v>221</v>
      </c>
      <c r="I29" t="s">
        <v>1545</v>
      </c>
      <c r="J29" s="176">
        <v>95901275.515535995</v>
      </c>
      <c r="K29">
        <v>0</v>
      </c>
      <c r="L29" s="342" t="str">
        <f t="shared" si="5"/>
        <v/>
      </c>
      <c r="M29">
        <v>1070</v>
      </c>
      <c r="N29" t="s">
        <v>221</v>
      </c>
      <c r="O29" t="s">
        <v>1545</v>
      </c>
      <c r="P29" s="243">
        <f t="shared" si="6"/>
        <v>290515755.99126184</v>
      </c>
      <c r="S29">
        <v>1070</v>
      </c>
      <c r="T29" t="s">
        <v>221</v>
      </c>
      <c r="U29" t="s">
        <v>1545</v>
      </c>
      <c r="V29" s="176">
        <v>17826449.836665999</v>
      </c>
      <c r="W29" s="176">
        <v>143306278.52442399</v>
      </c>
      <c r="X29">
        <v>318166.66666599998</v>
      </c>
      <c r="Y29" s="176">
        <v>12958524.666665999</v>
      </c>
      <c r="Z29" s="176"/>
      <c r="AA29">
        <v>1070</v>
      </c>
      <c r="AB29" s="176" t="s">
        <v>221</v>
      </c>
      <c r="AC29" s="176" t="s">
        <v>1545</v>
      </c>
      <c r="AD29" s="176">
        <v>17826449.836665999</v>
      </c>
      <c r="AE29" s="176">
        <v>143306278.52442399</v>
      </c>
      <c r="AF29">
        <v>318166.66666599998</v>
      </c>
      <c r="AG29" s="176">
        <v>12958524.666665999</v>
      </c>
      <c r="AH29" s="342" t="str">
        <f t="shared" si="0"/>
        <v/>
      </c>
      <c r="AI29">
        <v>1070</v>
      </c>
      <c r="AJ29" t="s">
        <v>221</v>
      </c>
      <c r="AK29" t="s">
        <v>1545</v>
      </c>
      <c r="AL29" s="245">
        <f t="shared" si="1"/>
        <v>32087609.705998801</v>
      </c>
      <c r="AM29" s="245">
        <f t="shared" si="2"/>
        <v>257951301.34396318</v>
      </c>
      <c r="AN29" s="245">
        <f t="shared" si="3"/>
        <v>572699.99999879999</v>
      </c>
      <c r="AO29" s="245">
        <f t="shared" si="4"/>
        <v>23325344.399998799</v>
      </c>
      <c r="AP29" s="176"/>
      <c r="AQ29" s="176"/>
      <c r="AR29">
        <v>1070</v>
      </c>
      <c r="AS29" t="s">
        <v>221</v>
      </c>
      <c r="AT29" t="s">
        <v>1545</v>
      </c>
      <c r="AU29" s="176">
        <v>25908864.018879</v>
      </c>
      <c r="AW29">
        <v>1070</v>
      </c>
      <c r="AX29" t="s">
        <v>221</v>
      </c>
      <c r="AY29" t="s">
        <v>1545</v>
      </c>
      <c r="AZ29" s="176">
        <v>30546470.019995</v>
      </c>
      <c r="BA29" s="342" t="str">
        <f t="shared" si="7"/>
        <v/>
      </c>
      <c r="BB29">
        <v>1070</v>
      </c>
      <c r="BC29" t="s">
        <v>221</v>
      </c>
      <c r="BD29" t="s">
        <v>1545</v>
      </c>
      <c r="BE29" s="243">
        <f t="shared" si="8"/>
        <v>50346040.034875005</v>
      </c>
    </row>
    <row r="30" spans="1:57">
      <c r="A30">
        <v>1070</v>
      </c>
      <c r="B30" t="s">
        <v>221</v>
      </c>
      <c r="C30" t="s">
        <v>915</v>
      </c>
      <c r="D30" s="176">
        <v>257857359.142097</v>
      </c>
      <c r="E30">
        <v>0</v>
      </c>
      <c r="G30">
        <v>1070</v>
      </c>
      <c r="H30" t="s">
        <v>221</v>
      </c>
      <c r="I30" t="s">
        <v>915</v>
      </c>
      <c r="J30" s="176">
        <v>162948731.62886101</v>
      </c>
      <c r="K30">
        <v>0</v>
      </c>
      <c r="L30" s="342" t="str">
        <f t="shared" si="5"/>
        <v/>
      </c>
      <c r="M30">
        <v>1070</v>
      </c>
      <c r="N30" t="s">
        <v>221</v>
      </c>
      <c r="O30" t="s">
        <v>915</v>
      </c>
      <c r="P30" s="243">
        <f t="shared" si="6"/>
        <v>388216344.44518578</v>
      </c>
      <c r="S30">
        <v>1070</v>
      </c>
      <c r="T30" t="s">
        <v>221</v>
      </c>
      <c r="U30" t="s">
        <v>915</v>
      </c>
      <c r="V30" s="176">
        <v>28297131.441109002</v>
      </c>
      <c r="W30" s="176">
        <v>168884895.45552999</v>
      </c>
      <c r="X30" s="176">
        <v>0</v>
      </c>
      <c r="Y30" s="176">
        <v>42274570.019998997</v>
      </c>
      <c r="Z30" s="176"/>
      <c r="AA30">
        <v>1070</v>
      </c>
      <c r="AB30" s="176" t="s">
        <v>221</v>
      </c>
      <c r="AC30" s="176" t="s">
        <v>915</v>
      </c>
      <c r="AD30" s="176">
        <v>28297131.441109002</v>
      </c>
      <c r="AE30" s="176">
        <v>168884895.45552999</v>
      </c>
      <c r="AF30" s="176">
        <v>0</v>
      </c>
      <c r="AG30" s="176">
        <v>42274570.019998997</v>
      </c>
      <c r="AH30" s="342" t="str">
        <f t="shared" si="0"/>
        <v/>
      </c>
      <c r="AI30">
        <v>1070</v>
      </c>
      <c r="AJ30" t="s">
        <v>221</v>
      </c>
      <c r="AK30" t="s">
        <v>915</v>
      </c>
      <c r="AL30" s="245">
        <f t="shared" si="1"/>
        <v>50934836.593996204</v>
      </c>
      <c r="AM30" s="245">
        <f t="shared" si="2"/>
        <v>303992811.81995398</v>
      </c>
      <c r="AN30" s="245">
        <f t="shared" si="3"/>
        <v>0</v>
      </c>
      <c r="AO30" s="245">
        <f t="shared" si="4"/>
        <v>76094226.035998195</v>
      </c>
      <c r="AP30" s="176"/>
      <c r="AQ30" s="176"/>
      <c r="AR30">
        <v>1070</v>
      </c>
      <c r="AS30" t="s">
        <v>221</v>
      </c>
      <c r="AT30" t="s">
        <v>915</v>
      </c>
      <c r="AU30" s="176">
        <v>80434291.398873001</v>
      </c>
      <c r="AW30">
        <v>1070</v>
      </c>
      <c r="AX30" t="s">
        <v>221</v>
      </c>
      <c r="AY30" t="s">
        <v>915</v>
      </c>
      <c r="AZ30" s="176">
        <v>78900701.115549996</v>
      </c>
      <c r="BA30" s="342" t="str">
        <f t="shared" si="7"/>
        <v/>
      </c>
      <c r="BB30">
        <v>1070</v>
      </c>
      <c r="BC30" t="s">
        <v>221</v>
      </c>
      <c r="BD30" t="s">
        <v>915</v>
      </c>
      <c r="BE30" s="243">
        <f t="shared" si="8"/>
        <v>143554852.29131299</v>
      </c>
    </row>
    <row r="31" spans="1:57">
      <c r="A31">
        <v>1070</v>
      </c>
      <c r="B31" t="s">
        <v>221</v>
      </c>
      <c r="C31" t="s">
        <v>1672</v>
      </c>
      <c r="D31" s="176">
        <v>161504775.62552601</v>
      </c>
      <c r="E31">
        <v>0</v>
      </c>
      <c r="G31">
        <v>1070</v>
      </c>
      <c r="H31" t="s">
        <v>221</v>
      </c>
      <c r="I31" t="s">
        <v>1672</v>
      </c>
      <c r="J31" s="176">
        <v>200705768.528873</v>
      </c>
      <c r="K31">
        <v>0</v>
      </c>
      <c r="L31" s="342" t="str">
        <f t="shared" si="5"/>
        <v/>
      </c>
      <c r="M31">
        <v>1070</v>
      </c>
      <c r="N31" t="s">
        <v>221</v>
      </c>
      <c r="O31" t="s">
        <v>1672</v>
      </c>
      <c r="P31" s="243">
        <f t="shared" si="6"/>
        <v>322069390.44862437</v>
      </c>
      <c r="S31">
        <v>1070</v>
      </c>
      <c r="T31" t="s">
        <v>221</v>
      </c>
      <c r="U31" t="s">
        <v>1672</v>
      </c>
      <c r="V31" s="176">
        <v>17160308.831110999</v>
      </c>
      <c r="W31" s="176">
        <v>96192325.397765994</v>
      </c>
      <c r="X31" s="176">
        <v>0</v>
      </c>
      <c r="Y31" s="176">
        <v>2300000</v>
      </c>
      <c r="Z31" s="176"/>
      <c r="AA31">
        <v>1070</v>
      </c>
      <c r="AB31" s="176" t="s">
        <v>221</v>
      </c>
      <c r="AC31" s="176" t="s">
        <v>1672</v>
      </c>
      <c r="AD31" s="176">
        <v>17160308.831110999</v>
      </c>
      <c r="AE31" s="176">
        <v>96192325.397765994</v>
      </c>
      <c r="AF31">
        <v>0</v>
      </c>
      <c r="AG31" s="176">
        <v>2300000</v>
      </c>
      <c r="AH31" s="342" t="str">
        <f t="shared" si="0"/>
        <v/>
      </c>
      <c r="AI31">
        <v>1070</v>
      </c>
      <c r="AJ31" t="s">
        <v>221</v>
      </c>
      <c r="AK31" t="s">
        <v>1672</v>
      </c>
      <c r="AL31" s="245">
        <f t="shared" si="1"/>
        <v>30888555.895999797</v>
      </c>
      <c r="AM31" s="245">
        <f t="shared" si="2"/>
        <v>173146185.7159788</v>
      </c>
      <c r="AN31" s="245">
        <f t="shared" si="3"/>
        <v>0</v>
      </c>
      <c r="AO31" s="245">
        <f t="shared" si="4"/>
        <v>4140000</v>
      </c>
      <c r="AP31" s="176"/>
      <c r="AQ31" s="176"/>
      <c r="AR31">
        <v>1070</v>
      </c>
      <c r="AS31" t="s">
        <v>221</v>
      </c>
      <c r="AT31" t="s">
        <v>1672</v>
      </c>
      <c r="AU31" s="176">
        <v>97421200.114442006</v>
      </c>
      <c r="AW31">
        <v>1070</v>
      </c>
      <c r="AX31" t="s">
        <v>221</v>
      </c>
      <c r="AY31" t="s">
        <v>1672</v>
      </c>
      <c r="AZ31" s="176">
        <v>126181578.98666599</v>
      </c>
      <c r="BA31" s="342" t="str">
        <f t="shared" si="7"/>
        <v/>
      </c>
      <c r="BB31">
        <v>1070</v>
      </c>
      <c r="BC31" t="s">
        <v>221</v>
      </c>
      <c r="BD31" t="s">
        <v>1672</v>
      </c>
      <c r="BE31" s="243">
        <f t="shared" si="8"/>
        <v>198366463.3037748</v>
      </c>
    </row>
    <row r="32" spans="1:57">
      <c r="A32">
        <v>1070</v>
      </c>
      <c r="B32" t="s">
        <v>221</v>
      </c>
      <c r="C32" t="s">
        <v>916</v>
      </c>
      <c r="D32" s="176">
        <v>509587165.66661298</v>
      </c>
      <c r="E32">
        <v>0</v>
      </c>
      <c r="G32">
        <v>1070</v>
      </c>
      <c r="H32" t="s">
        <v>221</v>
      </c>
      <c r="I32" t="s">
        <v>916</v>
      </c>
      <c r="J32" s="176">
        <v>404954684.70664698</v>
      </c>
      <c r="K32">
        <v>0</v>
      </c>
      <c r="L32" s="342" t="str">
        <f t="shared" si="5"/>
        <v/>
      </c>
      <c r="M32">
        <v>1070</v>
      </c>
      <c r="N32" t="s">
        <v>221</v>
      </c>
      <c r="O32" t="s">
        <v>916</v>
      </c>
      <c r="P32" s="243">
        <f t="shared" si="6"/>
        <v>833550913.43193054</v>
      </c>
      <c r="S32">
        <v>1070</v>
      </c>
      <c r="T32" t="s">
        <v>221</v>
      </c>
      <c r="U32" t="s">
        <v>916</v>
      </c>
      <c r="V32" s="176">
        <v>34516778.582221001</v>
      </c>
      <c r="W32" s="176">
        <v>273479764.20441902</v>
      </c>
      <c r="X32" s="176">
        <v>3591600</v>
      </c>
      <c r="Y32" s="176">
        <v>50261649.479999997</v>
      </c>
      <c r="Z32" s="176"/>
      <c r="AA32">
        <v>1070</v>
      </c>
      <c r="AB32" s="176" t="s">
        <v>221</v>
      </c>
      <c r="AC32" s="176" t="s">
        <v>916</v>
      </c>
      <c r="AD32" s="176">
        <v>34516778.582221001</v>
      </c>
      <c r="AE32" s="176">
        <v>273479764.20441902</v>
      </c>
      <c r="AF32" s="176">
        <v>3591600</v>
      </c>
      <c r="AG32" s="176">
        <v>50261649.479999997</v>
      </c>
      <c r="AH32" s="342" t="str">
        <f t="shared" si="0"/>
        <v/>
      </c>
      <c r="AI32">
        <v>1070</v>
      </c>
      <c r="AJ32" t="s">
        <v>221</v>
      </c>
      <c r="AK32" t="s">
        <v>916</v>
      </c>
      <c r="AL32" s="245">
        <f t="shared" si="1"/>
        <v>62130201.447997808</v>
      </c>
      <c r="AM32" s="245">
        <f t="shared" si="2"/>
        <v>492263575.56795424</v>
      </c>
      <c r="AN32" s="245">
        <f t="shared" si="3"/>
        <v>6464880</v>
      </c>
      <c r="AO32" s="245">
        <f t="shared" si="4"/>
        <v>90470969.063999996</v>
      </c>
      <c r="AP32" s="176"/>
      <c r="AQ32" s="176"/>
      <c r="AR32">
        <v>1070</v>
      </c>
      <c r="AS32" t="s">
        <v>221</v>
      </c>
      <c r="AT32" t="s">
        <v>916</v>
      </c>
      <c r="AU32" s="176">
        <v>170136425.147771</v>
      </c>
      <c r="AW32">
        <v>1070</v>
      </c>
      <c r="AX32" t="s">
        <v>221</v>
      </c>
      <c r="AY32" t="s">
        <v>916</v>
      </c>
      <c r="AZ32" s="176">
        <v>133857328.009997</v>
      </c>
      <c r="BA32" s="342" t="str">
        <f t="shared" si="7"/>
        <v/>
      </c>
      <c r="BB32">
        <v>1070</v>
      </c>
      <c r="BC32" t="s">
        <v>221</v>
      </c>
      <c r="BD32" t="s">
        <v>916</v>
      </c>
      <c r="BE32" s="243">
        <f t="shared" si="8"/>
        <v>277222287.55576861</v>
      </c>
    </row>
    <row r="33" spans="1:57">
      <c r="A33">
        <v>1080</v>
      </c>
      <c r="B33" t="s">
        <v>222</v>
      </c>
      <c r="C33" t="s">
        <v>1673</v>
      </c>
      <c r="D33" s="176">
        <v>41212448.219972</v>
      </c>
      <c r="E33">
        <v>0</v>
      </c>
      <c r="G33">
        <v>1080</v>
      </c>
      <c r="H33" t="s">
        <v>222</v>
      </c>
      <c r="I33" t="s">
        <v>1673</v>
      </c>
      <c r="J33" s="176">
        <v>18708233.83444</v>
      </c>
      <c r="K33">
        <v>0</v>
      </c>
      <c r="L33" s="342" t="str">
        <f t="shared" si="5"/>
        <v/>
      </c>
      <c r="M33">
        <v>1080</v>
      </c>
      <c r="N33" t="s">
        <v>222</v>
      </c>
      <c r="O33" t="s">
        <v>1673</v>
      </c>
      <c r="P33" s="243">
        <f t="shared" si="6"/>
        <v>56179035.287524</v>
      </c>
      <c r="S33">
        <v>1080</v>
      </c>
      <c r="T33" t="s">
        <v>222</v>
      </c>
      <c r="U33" t="s">
        <v>1673</v>
      </c>
      <c r="V33" s="176">
        <v>29997050.166666001</v>
      </c>
      <c r="W33" s="176">
        <v>37530583.598872997</v>
      </c>
      <c r="X33" s="176">
        <v>0</v>
      </c>
      <c r="Y33" s="176">
        <v>757397.5</v>
      </c>
      <c r="Z33" s="176"/>
      <c r="AA33">
        <v>1080</v>
      </c>
      <c r="AB33" s="176" t="s">
        <v>222</v>
      </c>
      <c r="AC33" s="176" t="s">
        <v>1673</v>
      </c>
      <c r="AD33" s="176">
        <v>29997050.166666001</v>
      </c>
      <c r="AE33" s="176">
        <v>37530583.598872997</v>
      </c>
      <c r="AF33" s="176">
        <v>0</v>
      </c>
      <c r="AG33" s="176">
        <v>757397.5</v>
      </c>
      <c r="AH33" s="342" t="str">
        <f t="shared" si="0"/>
        <v/>
      </c>
      <c r="AI33">
        <v>1080</v>
      </c>
      <c r="AJ33" t="s">
        <v>222</v>
      </c>
      <c r="AK33" t="s">
        <v>1673</v>
      </c>
      <c r="AL33" s="245">
        <f t="shared" si="1"/>
        <v>53994690.299998805</v>
      </c>
      <c r="AM33" s="245">
        <f t="shared" si="2"/>
        <v>67555050.477971405</v>
      </c>
      <c r="AN33" s="245">
        <f t="shared" si="3"/>
        <v>0</v>
      </c>
      <c r="AO33" s="245">
        <f t="shared" si="4"/>
        <v>1363315.5</v>
      </c>
      <c r="AP33" s="176"/>
      <c r="AQ33" s="176"/>
      <c r="AR33">
        <v>1080</v>
      </c>
      <c r="AS33" t="s">
        <v>222</v>
      </c>
      <c r="AT33" t="s">
        <v>1673</v>
      </c>
      <c r="AU33" s="176">
        <v>1429340.9699909999</v>
      </c>
      <c r="AW33">
        <v>1080</v>
      </c>
      <c r="AX33" t="s">
        <v>222</v>
      </c>
      <c r="AY33" t="s">
        <v>1673</v>
      </c>
      <c r="AZ33" s="176">
        <v>3944615.509999</v>
      </c>
      <c r="BA33" s="342" t="str">
        <f t="shared" si="7"/>
        <v/>
      </c>
      <c r="BB33">
        <v>1080</v>
      </c>
      <c r="BC33" t="s">
        <v>222</v>
      </c>
      <c r="BD33" t="s">
        <v>1673</v>
      </c>
      <c r="BE33" s="243">
        <f t="shared" si="8"/>
        <v>4585033.3779902002</v>
      </c>
    </row>
    <row r="34" spans="1:57">
      <c r="A34">
        <v>1080</v>
      </c>
      <c r="B34" t="s">
        <v>222</v>
      </c>
      <c r="C34" t="s">
        <v>1674</v>
      </c>
      <c r="D34" s="176">
        <v>48867243.283303998</v>
      </c>
      <c r="E34">
        <v>0</v>
      </c>
      <c r="G34">
        <v>1080</v>
      </c>
      <c r="H34" t="s">
        <v>222</v>
      </c>
      <c r="I34" t="s">
        <v>1674</v>
      </c>
      <c r="J34" s="176">
        <v>13960542.304438001</v>
      </c>
      <c r="K34">
        <v>0</v>
      </c>
      <c r="L34" s="342" t="str">
        <f t="shared" si="5"/>
        <v/>
      </c>
      <c r="M34">
        <v>1080</v>
      </c>
      <c r="N34" t="s">
        <v>222</v>
      </c>
      <c r="O34" t="s">
        <v>1674</v>
      </c>
      <c r="P34" s="243">
        <f t="shared" si="6"/>
        <v>60035677.126854397</v>
      </c>
      <c r="S34">
        <v>1080</v>
      </c>
      <c r="T34" t="s">
        <v>222</v>
      </c>
      <c r="U34" t="s">
        <v>1674</v>
      </c>
      <c r="V34" s="176">
        <v>20104682.998886999</v>
      </c>
      <c r="W34" s="176">
        <v>24072500.002211001</v>
      </c>
      <c r="X34" s="176">
        <v>0</v>
      </c>
      <c r="Y34" s="176">
        <v>2315515</v>
      </c>
      <c r="Z34" s="176"/>
      <c r="AA34">
        <v>1080</v>
      </c>
      <c r="AB34" s="176" t="s">
        <v>222</v>
      </c>
      <c r="AC34" s="176" t="s">
        <v>1674</v>
      </c>
      <c r="AD34" s="176">
        <v>20104682.998886999</v>
      </c>
      <c r="AE34" s="176">
        <v>24072500.002211001</v>
      </c>
      <c r="AF34" s="176">
        <v>0</v>
      </c>
      <c r="AG34" s="176">
        <v>2315515</v>
      </c>
      <c r="AH34" s="342" t="str">
        <f t="shared" si="0"/>
        <v/>
      </c>
      <c r="AI34">
        <v>1080</v>
      </c>
      <c r="AJ34" t="s">
        <v>222</v>
      </c>
      <c r="AK34" t="s">
        <v>1674</v>
      </c>
      <c r="AL34" s="245">
        <f t="shared" si="1"/>
        <v>36188429.397996597</v>
      </c>
      <c r="AM34" s="245">
        <f t="shared" si="2"/>
        <v>43330500.003979802</v>
      </c>
      <c r="AN34" s="245">
        <f t="shared" si="3"/>
        <v>0</v>
      </c>
      <c r="AO34" s="245">
        <f t="shared" si="4"/>
        <v>4167927</v>
      </c>
      <c r="AP34" s="176"/>
      <c r="AQ34" s="176"/>
      <c r="AR34">
        <v>1080</v>
      </c>
      <c r="AS34" t="s">
        <v>222</v>
      </c>
      <c r="AT34" t="s">
        <v>1674</v>
      </c>
      <c r="AU34" s="176">
        <v>2550231.8444300001</v>
      </c>
      <c r="AW34">
        <v>1080</v>
      </c>
      <c r="AX34" t="s">
        <v>222</v>
      </c>
      <c r="AY34" t="s">
        <v>1674</v>
      </c>
      <c r="AZ34" s="176">
        <v>7947868.9188879998</v>
      </c>
      <c r="BA34" s="342" t="str">
        <f t="shared" si="7"/>
        <v/>
      </c>
      <c r="BB34">
        <v>1080</v>
      </c>
      <c r="BC34" t="s">
        <v>222</v>
      </c>
      <c r="BD34" t="s">
        <v>1674</v>
      </c>
      <c r="BE34" s="243">
        <f t="shared" si="8"/>
        <v>8908526.9795404002</v>
      </c>
    </row>
    <row r="35" spans="1:57">
      <c r="A35">
        <v>1080</v>
      </c>
      <c r="B35" t="s">
        <v>222</v>
      </c>
      <c r="C35" t="s">
        <v>935</v>
      </c>
      <c r="D35" s="176">
        <v>133127301.412181</v>
      </c>
      <c r="E35">
        <v>0</v>
      </c>
      <c r="G35">
        <v>1080</v>
      </c>
      <c r="H35" t="s">
        <v>222</v>
      </c>
      <c r="I35" t="s">
        <v>935</v>
      </c>
      <c r="J35" s="176">
        <v>120639525.846652</v>
      </c>
      <c r="K35">
        <v>0</v>
      </c>
      <c r="L35" s="342" t="str">
        <f t="shared" si="5"/>
        <v/>
      </c>
      <c r="M35">
        <v>1080</v>
      </c>
      <c r="N35" t="s">
        <v>222</v>
      </c>
      <c r="O35" t="s">
        <v>935</v>
      </c>
      <c r="P35" s="243">
        <f t="shared" si="6"/>
        <v>229638922.08950263</v>
      </c>
      <c r="S35">
        <v>1080</v>
      </c>
      <c r="T35" t="s">
        <v>222</v>
      </c>
      <c r="U35" t="s">
        <v>935</v>
      </c>
      <c r="V35" s="176">
        <v>118835865.745554</v>
      </c>
      <c r="W35" s="176">
        <v>185041181.63776201</v>
      </c>
      <c r="X35" s="176">
        <v>0</v>
      </c>
      <c r="Y35" s="176">
        <v>54846710.159998998</v>
      </c>
      <c r="Z35" s="176"/>
      <c r="AA35">
        <v>1080</v>
      </c>
      <c r="AB35" s="176" t="s">
        <v>222</v>
      </c>
      <c r="AC35" s="176" t="s">
        <v>935</v>
      </c>
      <c r="AD35" s="176">
        <v>118835865.745554</v>
      </c>
      <c r="AE35" s="176">
        <v>185041181.63776201</v>
      </c>
      <c r="AF35" s="176">
        <v>0</v>
      </c>
      <c r="AG35" s="176">
        <v>54846710.159998998</v>
      </c>
      <c r="AH35" s="342" t="str">
        <f t="shared" si="0"/>
        <v/>
      </c>
      <c r="AI35">
        <v>1080</v>
      </c>
      <c r="AJ35" t="s">
        <v>222</v>
      </c>
      <c r="AK35" t="s">
        <v>935</v>
      </c>
      <c r="AL35" s="245">
        <f t="shared" si="1"/>
        <v>213904558.34199721</v>
      </c>
      <c r="AM35" s="245">
        <f t="shared" si="2"/>
        <v>333074126.94797158</v>
      </c>
      <c r="AN35" s="245">
        <f t="shared" si="3"/>
        <v>0</v>
      </c>
      <c r="AO35" s="245">
        <f t="shared" si="4"/>
        <v>98724078.287998199</v>
      </c>
      <c r="AP35" s="176"/>
      <c r="AQ35" s="176"/>
      <c r="AR35">
        <v>1080</v>
      </c>
      <c r="AS35" t="s">
        <v>222</v>
      </c>
      <c r="AT35" t="s">
        <v>935</v>
      </c>
      <c r="AU35" s="176">
        <v>101802066.744435</v>
      </c>
      <c r="AW35">
        <v>1080</v>
      </c>
      <c r="AX35" t="s">
        <v>222</v>
      </c>
      <c r="AY35" t="s">
        <v>935</v>
      </c>
      <c r="AZ35" s="176">
        <v>29597339.373330001</v>
      </c>
      <c r="BA35" s="342" t="str">
        <f t="shared" si="7"/>
        <v/>
      </c>
      <c r="BB35">
        <v>1080</v>
      </c>
      <c r="BC35" t="s">
        <v>222</v>
      </c>
      <c r="BD35" t="s">
        <v>935</v>
      </c>
      <c r="BE35" s="243">
        <f t="shared" si="8"/>
        <v>125479938.243099</v>
      </c>
    </row>
    <row r="36" spans="1:57">
      <c r="A36">
        <v>1080</v>
      </c>
      <c r="B36" t="s">
        <v>222</v>
      </c>
      <c r="C36" t="s">
        <v>918</v>
      </c>
      <c r="D36" s="176">
        <v>265414995.48208001</v>
      </c>
      <c r="E36">
        <v>0</v>
      </c>
      <c r="G36">
        <v>1080</v>
      </c>
      <c r="H36" t="s">
        <v>222</v>
      </c>
      <c r="I36" t="s">
        <v>918</v>
      </c>
      <c r="J36" s="176">
        <v>229055285.78997299</v>
      </c>
      <c r="K36">
        <v>0</v>
      </c>
      <c r="L36" s="342" t="str">
        <f t="shared" si="5"/>
        <v/>
      </c>
      <c r="M36">
        <v>1080</v>
      </c>
      <c r="N36" t="s">
        <v>222</v>
      </c>
      <c r="O36" t="s">
        <v>918</v>
      </c>
      <c r="P36" s="243">
        <f t="shared" si="6"/>
        <v>448659224.11405838</v>
      </c>
      <c r="S36">
        <v>1080</v>
      </c>
      <c r="T36" t="s">
        <v>222</v>
      </c>
      <c r="U36" t="s">
        <v>918</v>
      </c>
      <c r="V36" s="176">
        <v>84906728.582222</v>
      </c>
      <c r="W36" s="176">
        <v>158563246.41774499</v>
      </c>
      <c r="X36" s="176">
        <v>0</v>
      </c>
      <c r="Y36" s="176">
        <v>95310473.522220999</v>
      </c>
      <c r="Z36" s="176"/>
      <c r="AA36">
        <v>1080</v>
      </c>
      <c r="AB36" s="176" t="s">
        <v>222</v>
      </c>
      <c r="AC36" s="176" t="s">
        <v>918</v>
      </c>
      <c r="AD36" s="176">
        <v>84906728.582222</v>
      </c>
      <c r="AE36" s="176">
        <v>158563246.41774499</v>
      </c>
      <c r="AF36">
        <v>0</v>
      </c>
      <c r="AG36" s="176">
        <v>95310473.522220999</v>
      </c>
      <c r="AH36" s="342" t="str">
        <f t="shared" si="0"/>
        <v/>
      </c>
      <c r="AI36">
        <v>1080</v>
      </c>
      <c r="AJ36" t="s">
        <v>222</v>
      </c>
      <c r="AK36" t="s">
        <v>918</v>
      </c>
      <c r="AL36" s="245">
        <f t="shared" si="1"/>
        <v>152832111.4479996</v>
      </c>
      <c r="AM36" s="245">
        <f t="shared" si="2"/>
        <v>285413843.55194098</v>
      </c>
      <c r="AN36" s="245">
        <f t="shared" si="3"/>
        <v>0</v>
      </c>
      <c r="AO36" s="245">
        <f t="shared" si="4"/>
        <v>171558852.3399978</v>
      </c>
      <c r="AP36" s="176"/>
      <c r="AQ36" s="176"/>
      <c r="AR36">
        <v>1080</v>
      </c>
      <c r="AS36" t="s">
        <v>222</v>
      </c>
      <c r="AT36" t="s">
        <v>918</v>
      </c>
      <c r="AU36" s="176">
        <v>7039949.1522019999</v>
      </c>
      <c r="AW36">
        <v>1080</v>
      </c>
      <c r="AX36" t="s">
        <v>222</v>
      </c>
      <c r="AY36" t="s">
        <v>918</v>
      </c>
      <c r="AZ36" s="176">
        <v>331108827.984442</v>
      </c>
      <c r="BA36" s="342" t="str">
        <f t="shared" si="7"/>
        <v/>
      </c>
      <c r="BB36">
        <v>1080</v>
      </c>
      <c r="BC36" t="s">
        <v>222</v>
      </c>
      <c r="BD36" t="s">
        <v>918</v>
      </c>
      <c r="BE36" s="243">
        <f t="shared" si="8"/>
        <v>271927011.53975558</v>
      </c>
    </row>
    <row r="37" spans="1:57">
      <c r="A37">
        <v>1080</v>
      </c>
      <c r="B37" t="s">
        <v>222</v>
      </c>
      <c r="C37" t="s">
        <v>1079</v>
      </c>
      <c r="D37" s="176">
        <v>84556466.168843001</v>
      </c>
      <c r="E37">
        <v>0</v>
      </c>
      <c r="G37">
        <v>1080</v>
      </c>
      <c r="H37" t="s">
        <v>222</v>
      </c>
      <c r="I37" t="s">
        <v>1079</v>
      </c>
      <c r="J37" s="176">
        <v>31781060.878876001</v>
      </c>
      <c r="K37">
        <v>0</v>
      </c>
      <c r="L37" s="342" t="str">
        <f t="shared" si="5"/>
        <v/>
      </c>
      <c r="M37">
        <v>1080</v>
      </c>
      <c r="N37" t="s">
        <v>222</v>
      </c>
      <c r="O37" t="s">
        <v>1079</v>
      </c>
      <c r="P37" s="243">
        <f t="shared" si="6"/>
        <v>109981314.8719438</v>
      </c>
      <c r="S37">
        <v>1080</v>
      </c>
      <c r="T37" t="s">
        <v>222</v>
      </c>
      <c r="U37" t="s">
        <v>1079</v>
      </c>
      <c r="V37" s="176">
        <v>3506317.97</v>
      </c>
      <c r="W37" s="176">
        <v>34619539.738880001</v>
      </c>
      <c r="X37" s="176">
        <v>1000000</v>
      </c>
      <c r="Y37" s="176">
        <v>19419027.777775999</v>
      </c>
      <c r="Z37" s="176"/>
      <c r="AA37">
        <v>1080</v>
      </c>
      <c r="AB37" s="176" t="s">
        <v>222</v>
      </c>
      <c r="AC37" s="176" t="s">
        <v>1079</v>
      </c>
      <c r="AD37" s="176">
        <v>3506317.97</v>
      </c>
      <c r="AE37" s="176">
        <v>34619539.738880001</v>
      </c>
      <c r="AF37">
        <v>1000000</v>
      </c>
      <c r="AG37" s="176">
        <v>19419027.777775999</v>
      </c>
      <c r="AH37" s="342" t="str">
        <f t="shared" si="0"/>
        <v/>
      </c>
      <c r="AI37">
        <v>1080</v>
      </c>
      <c r="AJ37" t="s">
        <v>222</v>
      </c>
      <c r="AK37" t="s">
        <v>1079</v>
      </c>
      <c r="AL37" s="245">
        <f t="shared" si="1"/>
        <v>6311372.3460000008</v>
      </c>
      <c r="AM37" s="245">
        <f t="shared" si="2"/>
        <v>62315171.529984005</v>
      </c>
      <c r="AN37" s="245">
        <f t="shared" si="3"/>
        <v>1800000</v>
      </c>
      <c r="AO37" s="245">
        <f t="shared" si="4"/>
        <v>34954249.999996796</v>
      </c>
      <c r="AP37" s="176"/>
      <c r="AQ37" s="176"/>
      <c r="AR37">
        <v>1080</v>
      </c>
      <c r="AS37" t="s">
        <v>222</v>
      </c>
      <c r="AT37" t="s">
        <v>1079</v>
      </c>
      <c r="AU37" s="176">
        <v>19207481.461096998</v>
      </c>
      <c r="AW37">
        <v>1080</v>
      </c>
      <c r="AX37" t="s">
        <v>222</v>
      </c>
      <c r="AY37" t="s">
        <v>1079</v>
      </c>
      <c r="AZ37" s="176">
        <v>6442297.7544409996</v>
      </c>
      <c r="BA37" s="342" t="str">
        <f t="shared" si="7"/>
        <v/>
      </c>
      <c r="BB37">
        <v>1080</v>
      </c>
      <c r="BC37" t="s">
        <v>222</v>
      </c>
      <c r="BD37" t="s">
        <v>1079</v>
      </c>
      <c r="BE37" s="243">
        <f t="shared" si="8"/>
        <v>24361319.664649799</v>
      </c>
    </row>
    <row r="38" spans="1:57">
      <c r="A38">
        <v>1080</v>
      </c>
      <c r="B38" t="s">
        <v>222</v>
      </c>
      <c r="C38" t="s">
        <v>920</v>
      </c>
      <c r="D38" s="176">
        <v>373989227.41441399</v>
      </c>
      <c r="E38">
        <v>0</v>
      </c>
      <c r="G38">
        <v>1080</v>
      </c>
      <c r="H38" t="s">
        <v>222</v>
      </c>
      <c r="I38" t="s">
        <v>920</v>
      </c>
      <c r="J38" s="176">
        <v>82740392.226651996</v>
      </c>
      <c r="K38">
        <v>0</v>
      </c>
      <c r="L38" s="342" t="str">
        <f t="shared" si="5"/>
        <v/>
      </c>
      <c r="M38">
        <v>1080</v>
      </c>
      <c r="N38" t="s">
        <v>222</v>
      </c>
      <c r="O38" t="s">
        <v>920</v>
      </c>
      <c r="P38" s="243">
        <f t="shared" si="6"/>
        <v>440181541.19573557</v>
      </c>
      <c r="S38">
        <v>1080</v>
      </c>
      <c r="T38" t="s">
        <v>222</v>
      </c>
      <c r="U38" t="s">
        <v>920</v>
      </c>
      <c r="V38" s="176">
        <v>17182551.967776</v>
      </c>
      <c r="W38" s="176">
        <v>180799307.043322</v>
      </c>
      <c r="X38" s="176">
        <v>0</v>
      </c>
      <c r="Y38" s="176">
        <v>50355108.770000003</v>
      </c>
      <c r="Z38" s="176"/>
      <c r="AA38">
        <v>1080</v>
      </c>
      <c r="AB38" s="176" t="s">
        <v>222</v>
      </c>
      <c r="AC38" s="176" t="s">
        <v>920</v>
      </c>
      <c r="AD38" s="176">
        <v>17182551.967776</v>
      </c>
      <c r="AE38" s="176">
        <v>180799307.043322</v>
      </c>
      <c r="AF38" s="176">
        <v>0</v>
      </c>
      <c r="AG38" s="176">
        <v>50355108.770000003</v>
      </c>
      <c r="AH38" s="342" t="str">
        <f t="shared" si="0"/>
        <v/>
      </c>
      <c r="AI38">
        <v>1080</v>
      </c>
      <c r="AJ38" t="s">
        <v>222</v>
      </c>
      <c r="AK38" t="s">
        <v>920</v>
      </c>
      <c r="AL38" s="245">
        <f t="shared" si="1"/>
        <v>30928593.541996799</v>
      </c>
      <c r="AM38" s="245">
        <f t="shared" si="2"/>
        <v>325438752.67797959</v>
      </c>
      <c r="AN38" s="245">
        <f t="shared" si="3"/>
        <v>0</v>
      </c>
      <c r="AO38" s="245">
        <f t="shared" si="4"/>
        <v>90639195.786000013</v>
      </c>
      <c r="AP38" s="176"/>
      <c r="AQ38" s="176"/>
      <c r="AR38">
        <v>1080</v>
      </c>
      <c r="AS38" t="s">
        <v>222</v>
      </c>
      <c r="AT38" t="s">
        <v>920</v>
      </c>
      <c r="AU38" s="176">
        <v>126934966.46888</v>
      </c>
      <c r="AW38">
        <v>1080</v>
      </c>
      <c r="AX38" t="s">
        <v>222</v>
      </c>
      <c r="AY38" t="s">
        <v>920</v>
      </c>
      <c r="AZ38" s="176">
        <v>31615657.816661</v>
      </c>
      <c r="BA38" s="342" t="str">
        <f t="shared" si="7"/>
        <v/>
      </c>
      <c r="BB38">
        <v>1080</v>
      </c>
      <c r="BC38" t="s">
        <v>222</v>
      </c>
      <c r="BD38" t="s">
        <v>920</v>
      </c>
      <c r="BE38" s="243">
        <f t="shared" si="8"/>
        <v>152227492.7222088</v>
      </c>
    </row>
    <row r="39" spans="1:57">
      <c r="A39">
        <v>1080</v>
      </c>
      <c r="B39" t="s">
        <v>222</v>
      </c>
      <c r="C39" t="s">
        <v>905</v>
      </c>
      <c r="D39" s="176">
        <v>79553728.936639994</v>
      </c>
      <c r="E39">
        <v>0</v>
      </c>
      <c r="G39">
        <v>1080</v>
      </c>
      <c r="H39" t="s">
        <v>222</v>
      </c>
      <c r="I39" t="s">
        <v>905</v>
      </c>
      <c r="J39" s="176">
        <v>108020150.381101</v>
      </c>
      <c r="K39">
        <v>0</v>
      </c>
      <c r="L39" s="342" t="str">
        <f t="shared" si="5"/>
        <v/>
      </c>
      <c r="M39">
        <v>1080</v>
      </c>
      <c r="N39" t="s">
        <v>222</v>
      </c>
      <c r="O39" t="s">
        <v>905</v>
      </c>
      <c r="P39" s="243">
        <f t="shared" si="6"/>
        <v>165969849.24152079</v>
      </c>
      <c r="S39">
        <v>1080</v>
      </c>
      <c r="T39" t="s">
        <v>222</v>
      </c>
      <c r="U39" t="s">
        <v>905</v>
      </c>
      <c r="V39" s="176">
        <v>30645437.706665002</v>
      </c>
      <c r="W39" s="176">
        <v>104015420.453327</v>
      </c>
      <c r="X39" s="176">
        <v>0</v>
      </c>
      <c r="Y39" s="176">
        <v>12084307.22222</v>
      </c>
      <c r="Z39" s="176"/>
      <c r="AA39">
        <v>1080</v>
      </c>
      <c r="AB39" s="176" t="s">
        <v>222</v>
      </c>
      <c r="AC39" s="176" t="s">
        <v>905</v>
      </c>
      <c r="AD39" s="176">
        <v>30645437.706665002</v>
      </c>
      <c r="AE39" s="176">
        <v>104015420.453327</v>
      </c>
      <c r="AF39" s="176">
        <v>0</v>
      </c>
      <c r="AG39" s="176">
        <v>12084307.22222</v>
      </c>
      <c r="AH39" s="342" t="str">
        <f t="shared" si="0"/>
        <v/>
      </c>
      <c r="AI39">
        <v>1080</v>
      </c>
      <c r="AJ39" t="s">
        <v>222</v>
      </c>
      <c r="AK39" t="s">
        <v>905</v>
      </c>
      <c r="AL39" s="245">
        <f t="shared" si="1"/>
        <v>55161787.871997006</v>
      </c>
      <c r="AM39" s="245">
        <f t="shared" si="2"/>
        <v>187227756.8159886</v>
      </c>
      <c r="AN39" s="245">
        <f t="shared" si="3"/>
        <v>0</v>
      </c>
      <c r="AO39" s="245">
        <f t="shared" si="4"/>
        <v>21751752.999995999</v>
      </c>
      <c r="AP39" s="176"/>
      <c r="AQ39" s="176"/>
      <c r="AR39">
        <v>1080</v>
      </c>
      <c r="AS39" t="s">
        <v>222</v>
      </c>
      <c r="AT39" t="s">
        <v>905</v>
      </c>
      <c r="AU39" s="176">
        <v>7972820.8377729999</v>
      </c>
      <c r="AW39">
        <v>1080</v>
      </c>
      <c r="AX39" t="s">
        <v>222</v>
      </c>
      <c r="AY39" t="s">
        <v>905</v>
      </c>
      <c r="AZ39" s="176">
        <v>14017861.804439999</v>
      </c>
      <c r="BA39" s="342" t="str">
        <f t="shared" si="7"/>
        <v/>
      </c>
      <c r="BB39">
        <v>1080</v>
      </c>
      <c r="BC39" t="s">
        <v>222</v>
      </c>
      <c r="BD39" t="s">
        <v>905</v>
      </c>
      <c r="BE39" s="243">
        <f t="shared" si="8"/>
        <v>19187110.281325001</v>
      </c>
    </row>
    <row r="40" spans="1:57">
      <c r="A40">
        <v>1090</v>
      </c>
      <c r="B40" t="s">
        <v>223</v>
      </c>
      <c r="C40" t="s">
        <v>929</v>
      </c>
      <c r="D40" s="176">
        <v>106009960.257654</v>
      </c>
      <c r="E40">
        <v>0</v>
      </c>
      <c r="G40">
        <v>1090</v>
      </c>
      <c r="H40" t="s">
        <v>223</v>
      </c>
      <c r="I40" t="s">
        <v>929</v>
      </c>
      <c r="J40" s="176">
        <v>53543344.707759999</v>
      </c>
      <c r="K40">
        <v>0</v>
      </c>
      <c r="L40" s="342" t="str">
        <f t="shared" si="5"/>
        <v/>
      </c>
      <c r="M40">
        <v>1090</v>
      </c>
      <c r="N40" t="s">
        <v>223</v>
      </c>
      <c r="O40" t="s">
        <v>929</v>
      </c>
      <c r="P40" s="243">
        <f t="shared" si="6"/>
        <v>148844636.023862</v>
      </c>
      <c r="S40">
        <v>1090</v>
      </c>
      <c r="T40" t="s">
        <v>223</v>
      </c>
      <c r="U40" t="s">
        <v>929</v>
      </c>
      <c r="V40" s="176">
        <v>60864438.161104999</v>
      </c>
      <c r="W40" s="176">
        <v>83994866.087733001</v>
      </c>
      <c r="X40">
        <v>1105240</v>
      </c>
      <c r="Y40" s="176">
        <v>14043820.823333001</v>
      </c>
      <c r="Z40" s="176"/>
      <c r="AA40">
        <v>1090</v>
      </c>
      <c r="AB40" s="176" t="s">
        <v>223</v>
      </c>
      <c r="AC40" s="176" t="s">
        <v>929</v>
      </c>
      <c r="AD40" s="176">
        <v>60864438.161104999</v>
      </c>
      <c r="AE40" s="176">
        <v>83994866.087733001</v>
      </c>
      <c r="AF40">
        <v>1105240</v>
      </c>
      <c r="AG40" s="176">
        <v>14043820.823333001</v>
      </c>
      <c r="AH40" s="342" t="str">
        <f t="shared" si="0"/>
        <v/>
      </c>
      <c r="AI40">
        <v>1090</v>
      </c>
      <c r="AJ40" t="s">
        <v>223</v>
      </c>
      <c r="AK40" t="s">
        <v>929</v>
      </c>
      <c r="AL40" s="245">
        <f t="shared" si="1"/>
        <v>109555988.689989</v>
      </c>
      <c r="AM40" s="245">
        <f t="shared" si="2"/>
        <v>151190758.95791942</v>
      </c>
      <c r="AN40" s="245">
        <f t="shared" si="3"/>
        <v>1989432</v>
      </c>
      <c r="AO40" s="245">
        <f t="shared" si="4"/>
        <v>25278877.481999405</v>
      </c>
      <c r="AP40" s="176"/>
      <c r="AQ40" s="176"/>
      <c r="AR40">
        <v>1090</v>
      </c>
      <c r="AS40" t="s">
        <v>223</v>
      </c>
      <c r="AT40" t="s">
        <v>929</v>
      </c>
      <c r="AU40" s="176">
        <v>20356757.223324001</v>
      </c>
      <c r="AW40">
        <v>1090</v>
      </c>
      <c r="AX40" t="s">
        <v>223</v>
      </c>
      <c r="AY40" t="s">
        <v>929</v>
      </c>
      <c r="AZ40" s="176">
        <v>1341542.885554</v>
      </c>
      <c r="BA40" s="342" t="str">
        <f t="shared" si="7"/>
        <v/>
      </c>
      <c r="BB40">
        <v>1090</v>
      </c>
      <c r="BC40" t="s">
        <v>223</v>
      </c>
      <c r="BD40" t="s">
        <v>929</v>
      </c>
      <c r="BE40" s="243">
        <f t="shared" si="8"/>
        <v>21429991.531767201</v>
      </c>
    </row>
    <row r="41" spans="1:57">
      <c r="A41">
        <v>1090</v>
      </c>
      <c r="B41" t="s">
        <v>223</v>
      </c>
      <c r="C41" t="s">
        <v>921</v>
      </c>
      <c r="D41" s="176">
        <v>315306693.49769902</v>
      </c>
      <c r="E41">
        <v>0</v>
      </c>
      <c r="G41">
        <v>1090</v>
      </c>
      <c r="H41" t="s">
        <v>223</v>
      </c>
      <c r="I41" t="s">
        <v>921</v>
      </c>
      <c r="J41" s="176">
        <v>151686747.751086</v>
      </c>
      <c r="K41">
        <v>0</v>
      </c>
      <c r="L41" s="342" t="str">
        <f t="shared" si="5"/>
        <v/>
      </c>
      <c r="M41">
        <v>1090</v>
      </c>
      <c r="N41" t="s">
        <v>223</v>
      </c>
      <c r="O41" t="s">
        <v>921</v>
      </c>
      <c r="P41" s="243">
        <f t="shared" si="6"/>
        <v>436656091.69856781</v>
      </c>
      <c r="S41">
        <v>1090</v>
      </c>
      <c r="T41" t="s">
        <v>223</v>
      </c>
      <c r="U41" t="s">
        <v>921</v>
      </c>
      <c r="V41" s="176">
        <v>56785713.458887003</v>
      </c>
      <c r="W41" s="176">
        <v>107911563.975536</v>
      </c>
      <c r="X41">
        <v>0</v>
      </c>
      <c r="Y41" s="176">
        <v>13887581.111109</v>
      </c>
      <c r="Z41" s="176"/>
      <c r="AA41">
        <v>1090</v>
      </c>
      <c r="AB41" s="176" t="s">
        <v>223</v>
      </c>
      <c r="AC41" s="176" t="s">
        <v>921</v>
      </c>
      <c r="AD41" s="176">
        <v>56785713.458887003</v>
      </c>
      <c r="AE41" s="176">
        <v>107911563.975536</v>
      </c>
      <c r="AF41">
        <v>0</v>
      </c>
      <c r="AG41" s="176">
        <v>13887581.111109</v>
      </c>
      <c r="AH41" s="342" t="str">
        <f t="shared" si="0"/>
        <v/>
      </c>
      <c r="AI41">
        <v>1090</v>
      </c>
      <c r="AJ41" t="s">
        <v>223</v>
      </c>
      <c r="AK41" t="s">
        <v>921</v>
      </c>
      <c r="AL41" s="245">
        <f t="shared" si="1"/>
        <v>102214284.22599661</v>
      </c>
      <c r="AM41" s="245">
        <f t="shared" si="2"/>
        <v>194240815.15596479</v>
      </c>
      <c r="AN41" s="245">
        <f t="shared" si="3"/>
        <v>0</v>
      </c>
      <c r="AO41" s="245">
        <f t="shared" si="4"/>
        <v>24997645.9999962</v>
      </c>
      <c r="AP41" s="176"/>
      <c r="AQ41" s="176"/>
      <c r="AR41">
        <v>1090</v>
      </c>
      <c r="AS41" t="s">
        <v>223</v>
      </c>
      <c r="AT41" t="s">
        <v>921</v>
      </c>
      <c r="AU41" s="176">
        <v>93211429.676659003</v>
      </c>
      <c r="AW41">
        <v>1090</v>
      </c>
      <c r="AX41" t="s">
        <v>223</v>
      </c>
      <c r="AY41" t="s">
        <v>921</v>
      </c>
      <c r="AZ41" s="176">
        <v>59398127.577771001</v>
      </c>
      <c r="BA41" s="342" t="str">
        <f t="shared" si="7"/>
        <v/>
      </c>
      <c r="BB41">
        <v>1090</v>
      </c>
      <c r="BC41" t="s">
        <v>223</v>
      </c>
      <c r="BD41" t="s">
        <v>921</v>
      </c>
      <c r="BE41" s="243">
        <f t="shared" si="8"/>
        <v>140729931.73887581</v>
      </c>
    </row>
    <row r="42" spans="1:57">
      <c r="A42">
        <v>1100</v>
      </c>
      <c r="B42" t="s">
        <v>224</v>
      </c>
      <c r="C42" t="s">
        <v>923</v>
      </c>
      <c r="D42" s="176">
        <v>132968451.00885899</v>
      </c>
      <c r="E42">
        <v>0</v>
      </c>
      <c r="G42">
        <v>1100</v>
      </c>
      <c r="H42" t="s">
        <v>224</v>
      </c>
      <c r="I42" t="s">
        <v>923</v>
      </c>
      <c r="J42" s="176">
        <v>175396848.899977</v>
      </c>
      <c r="K42">
        <v>0</v>
      </c>
      <c r="L42" s="342" t="str">
        <f t="shared" si="5"/>
        <v/>
      </c>
      <c r="M42">
        <v>1100</v>
      </c>
      <c r="N42" t="s">
        <v>224</v>
      </c>
      <c r="O42" t="s">
        <v>923</v>
      </c>
      <c r="P42" s="243">
        <f t="shared" si="6"/>
        <v>273285930.12884063</v>
      </c>
      <c r="S42">
        <v>1100</v>
      </c>
      <c r="T42" t="s">
        <v>224</v>
      </c>
      <c r="U42" t="s">
        <v>923</v>
      </c>
      <c r="V42" s="176">
        <v>24595058.776666</v>
      </c>
      <c r="W42" s="176">
        <v>165001740.967767</v>
      </c>
      <c r="X42">
        <v>0</v>
      </c>
      <c r="Y42" s="176">
        <v>14864156.800000001</v>
      </c>
      <c r="Z42" s="176"/>
      <c r="AA42">
        <v>1100</v>
      </c>
      <c r="AB42" s="176" t="s">
        <v>224</v>
      </c>
      <c r="AC42" s="176" t="s">
        <v>923</v>
      </c>
      <c r="AD42" s="176">
        <v>24595058.776666</v>
      </c>
      <c r="AE42" s="176">
        <v>165001740.967767</v>
      </c>
      <c r="AF42">
        <v>0</v>
      </c>
      <c r="AG42" s="176">
        <v>14864156.800000001</v>
      </c>
      <c r="AH42" s="342" t="str">
        <f t="shared" si="0"/>
        <v/>
      </c>
      <c r="AI42">
        <v>1100</v>
      </c>
      <c r="AJ42" t="s">
        <v>224</v>
      </c>
      <c r="AK42" t="s">
        <v>923</v>
      </c>
      <c r="AL42" s="245">
        <f t="shared" si="1"/>
        <v>44271105.797998801</v>
      </c>
      <c r="AM42" s="245">
        <f t="shared" si="2"/>
        <v>297003133.74198061</v>
      </c>
      <c r="AN42" s="245">
        <f t="shared" si="3"/>
        <v>0</v>
      </c>
      <c r="AO42" s="245">
        <f t="shared" si="4"/>
        <v>26755482.240000002</v>
      </c>
      <c r="AP42" s="176"/>
      <c r="AQ42" s="176"/>
      <c r="AR42">
        <v>1100</v>
      </c>
      <c r="AS42" t="s">
        <v>224</v>
      </c>
      <c r="AT42" t="s">
        <v>923</v>
      </c>
      <c r="AU42" s="176">
        <v>106365562.574433</v>
      </c>
      <c r="AW42">
        <v>1100</v>
      </c>
      <c r="AX42" t="s">
        <v>224</v>
      </c>
      <c r="AY42" t="s">
        <v>923</v>
      </c>
      <c r="AZ42" s="176">
        <v>146960802.72887999</v>
      </c>
      <c r="BA42" s="342" t="str">
        <f t="shared" si="7"/>
        <v/>
      </c>
      <c r="BB42">
        <v>1100</v>
      </c>
      <c r="BC42" t="s">
        <v>224</v>
      </c>
      <c r="BD42" t="s">
        <v>923</v>
      </c>
      <c r="BE42" s="243">
        <f t="shared" si="8"/>
        <v>223934204.75753701</v>
      </c>
    </row>
    <row r="43" spans="1:57">
      <c r="A43">
        <v>1100</v>
      </c>
      <c r="B43" t="s">
        <v>224</v>
      </c>
      <c r="C43" t="s">
        <v>924</v>
      </c>
      <c r="D43" s="176">
        <v>144579821.29991499</v>
      </c>
      <c r="E43">
        <v>0</v>
      </c>
      <c r="G43">
        <v>1100</v>
      </c>
      <c r="H43" t="s">
        <v>224</v>
      </c>
      <c r="I43" t="s">
        <v>924</v>
      </c>
      <c r="J43" s="176">
        <v>54467246.114426002</v>
      </c>
      <c r="K43">
        <v>0</v>
      </c>
      <c r="L43" s="342" t="str">
        <f t="shared" si="5"/>
        <v/>
      </c>
      <c r="M43">
        <v>1100</v>
      </c>
      <c r="N43" t="s">
        <v>224</v>
      </c>
      <c r="O43" t="s">
        <v>924</v>
      </c>
      <c r="P43" s="243">
        <f t="shared" si="6"/>
        <v>188153618.19145578</v>
      </c>
      <c r="S43">
        <v>1100</v>
      </c>
      <c r="T43" t="s">
        <v>224</v>
      </c>
      <c r="U43" t="s">
        <v>924</v>
      </c>
      <c r="V43" s="176">
        <v>43899648.358888</v>
      </c>
      <c r="W43" s="176">
        <v>300353485.67219901</v>
      </c>
      <c r="X43">
        <v>0</v>
      </c>
      <c r="Y43" s="176">
        <v>15872116.666665999</v>
      </c>
      <c r="Z43" s="176"/>
      <c r="AA43">
        <v>1100</v>
      </c>
      <c r="AB43" s="176" t="s">
        <v>224</v>
      </c>
      <c r="AC43" s="176" t="s">
        <v>924</v>
      </c>
      <c r="AD43" s="176">
        <v>43899648.358888</v>
      </c>
      <c r="AE43" s="176">
        <v>300353485.67219901</v>
      </c>
      <c r="AF43">
        <v>0</v>
      </c>
      <c r="AG43" s="176">
        <v>15872116.666665999</v>
      </c>
      <c r="AH43" s="342" t="str">
        <f t="shared" si="0"/>
        <v/>
      </c>
      <c r="AI43">
        <v>1100</v>
      </c>
      <c r="AJ43" t="s">
        <v>224</v>
      </c>
      <c r="AK43" t="s">
        <v>924</v>
      </c>
      <c r="AL43" s="245">
        <f t="shared" si="1"/>
        <v>79019367.045998394</v>
      </c>
      <c r="AM43" s="245">
        <f t="shared" si="2"/>
        <v>540636274.2099582</v>
      </c>
      <c r="AN43" s="245">
        <f t="shared" si="3"/>
        <v>0</v>
      </c>
      <c r="AO43" s="245">
        <f t="shared" si="4"/>
        <v>28569809.9999988</v>
      </c>
      <c r="AP43" s="176"/>
      <c r="AQ43" s="176"/>
      <c r="AR43">
        <v>1100</v>
      </c>
      <c r="AS43" t="s">
        <v>224</v>
      </c>
      <c r="AT43" t="s">
        <v>924</v>
      </c>
      <c r="AU43" s="176">
        <v>51653796.675543003</v>
      </c>
      <c r="AW43">
        <v>1100</v>
      </c>
      <c r="AX43" t="s">
        <v>224</v>
      </c>
      <c r="AY43" t="s">
        <v>924</v>
      </c>
      <c r="AZ43" s="176">
        <v>30707738.581105001</v>
      </c>
      <c r="BA43" s="342" t="str">
        <f t="shared" si="7"/>
        <v/>
      </c>
      <c r="BB43">
        <v>1100</v>
      </c>
      <c r="BC43" t="s">
        <v>224</v>
      </c>
      <c r="BD43" t="s">
        <v>924</v>
      </c>
      <c r="BE43" s="243">
        <f t="shared" si="8"/>
        <v>76219987.540426999</v>
      </c>
    </row>
    <row r="44" spans="1:57">
      <c r="A44">
        <v>1100</v>
      </c>
      <c r="B44" t="s">
        <v>224</v>
      </c>
      <c r="C44" t="s">
        <v>1675</v>
      </c>
      <c r="D44" s="176">
        <v>82861355.484415993</v>
      </c>
      <c r="E44">
        <v>0</v>
      </c>
      <c r="G44">
        <v>1100</v>
      </c>
      <c r="H44" t="s">
        <v>224</v>
      </c>
      <c r="I44" t="s">
        <v>1675</v>
      </c>
      <c r="J44" s="176">
        <v>67564291.004430994</v>
      </c>
      <c r="K44">
        <v>0</v>
      </c>
      <c r="L44" s="342" t="str">
        <f t="shared" si="5"/>
        <v/>
      </c>
      <c r="M44">
        <v>1100</v>
      </c>
      <c r="N44" t="s">
        <v>224</v>
      </c>
      <c r="O44" t="s">
        <v>1675</v>
      </c>
      <c r="P44" s="243">
        <f t="shared" si="6"/>
        <v>136912788.2879608</v>
      </c>
      <c r="S44">
        <v>1100</v>
      </c>
      <c r="T44" t="s">
        <v>224</v>
      </c>
      <c r="U44" t="s">
        <v>1675</v>
      </c>
      <c r="V44" s="176">
        <v>39061866.514444001</v>
      </c>
      <c r="W44" s="176">
        <v>80399465.888880998</v>
      </c>
      <c r="X44" s="176">
        <v>0</v>
      </c>
      <c r="Y44" s="176">
        <v>11936044.444443</v>
      </c>
      <c r="Z44" s="176"/>
      <c r="AA44">
        <v>1100</v>
      </c>
      <c r="AB44" s="176" t="s">
        <v>224</v>
      </c>
      <c r="AC44" s="176" t="s">
        <v>1675</v>
      </c>
      <c r="AD44" s="176">
        <v>39061866.514444001</v>
      </c>
      <c r="AE44" s="176">
        <v>80399465.888880998</v>
      </c>
      <c r="AF44">
        <v>0</v>
      </c>
      <c r="AG44" s="176">
        <v>11936044.444443</v>
      </c>
      <c r="AH44" s="342" t="str">
        <f t="shared" si="0"/>
        <v/>
      </c>
      <c r="AI44">
        <v>1100</v>
      </c>
      <c r="AJ44" t="s">
        <v>224</v>
      </c>
      <c r="AK44" t="s">
        <v>1675</v>
      </c>
      <c r="AL44" s="245">
        <f t="shared" si="1"/>
        <v>70311359.725999206</v>
      </c>
      <c r="AM44" s="245">
        <f t="shared" si="2"/>
        <v>144719038.59998581</v>
      </c>
      <c r="AN44" s="245">
        <f t="shared" si="3"/>
        <v>0</v>
      </c>
      <c r="AO44" s="245">
        <f t="shared" si="4"/>
        <v>21484879.9999974</v>
      </c>
      <c r="AP44" s="176"/>
      <c r="AQ44" s="176"/>
      <c r="AR44">
        <v>1100</v>
      </c>
      <c r="AS44" t="s">
        <v>224</v>
      </c>
      <c r="AT44" t="s">
        <v>1675</v>
      </c>
      <c r="AU44" s="176">
        <v>7082457.5555480001</v>
      </c>
      <c r="AW44">
        <v>1100</v>
      </c>
      <c r="AX44" t="s">
        <v>224</v>
      </c>
      <c r="AY44" t="s">
        <v>1675</v>
      </c>
      <c r="AZ44" s="176">
        <v>8492333.1766650006</v>
      </c>
      <c r="BA44" s="342" t="str">
        <f t="shared" si="7"/>
        <v/>
      </c>
      <c r="BB44">
        <v>1100</v>
      </c>
      <c r="BC44" t="s">
        <v>224</v>
      </c>
      <c r="BD44" t="s">
        <v>1675</v>
      </c>
      <c r="BE44" s="243">
        <f t="shared" si="8"/>
        <v>13876324.09688</v>
      </c>
    </row>
    <row r="45" spans="1:57">
      <c r="A45">
        <v>1100</v>
      </c>
      <c r="B45" t="s">
        <v>224</v>
      </c>
      <c r="C45" t="s">
        <v>1676</v>
      </c>
      <c r="D45" s="176">
        <v>40207655.399967998</v>
      </c>
      <c r="E45">
        <v>0</v>
      </c>
      <c r="G45">
        <v>1100</v>
      </c>
      <c r="H45" t="s">
        <v>224</v>
      </c>
      <c r="I45" t="s">
        <v>1676</v>
      </c>
      <c r="J45" s="176">
        <v>24006097.671103999</v>
      </c>
      <c r="K45">
        <v>0</v>
      </c>
      <c r="L45" s="342" t="str">
        <f t="shared" si="5"/>
        <v/>
      </c>
      <c r="M45">
        <v>1100</v>
      </c>
      <c r="N45" t="s">
        <v>224</v>
      </c>
      <c r="O45" t="s">
        <v>1676</v>
      </c>
      <c r="P45" s="243">
        <f t="shared" si="6"/>
        <v>59412533.536851197</v>
      </c>
      <c r="S45">
        <v>1100</v>
      </c>
      <c r="T45" t="s">
        <v>224</v>
      </c>
      <c r="U45" t="s">
        <v>1676</v>
      </c>
      <c r="V45" s="176">
        <v>9976617.5555550009</v>
      </c>
      <c r="W45" s="176">
        <v>54017275.723314002</v>
      </c>
      <c r="X45" s="176">
        <v>0</v>
      </c>
      <c r="Y45" s="176">
        <v>2871137.3333330001</v>
      </c>
      <c r="Z45" s="176"/>
      <c r="AA45">
        <v>1100</v>
      </c>
      <c r="AB45" s="176" t="s">
        <v>224</v>
      </c>
      <c r="AC45" s="176" t="s">
        <v>1676</v>
      </c>
      <c r="AD45" s="176">
        <v>9976617.5555550009</v>
      </c>
      <c r="AE45" s="176">
        <v>54017275.723314002</v>
      </c>
      <c r="AF45" s="176">
        <v>0</v>
      </c>
      <c r="AG45" s="176">
        <v>2871137.3333330001</v>
      </c>
      <c r="AH45" s="342" t="str">
        <f t="shared" si="0"/>
        <v/>
      </c>
      <c r="AI45">
        <v>1100</v>
      </c>
      <c r="AJ45" t="s">
        <v>224</v>
      </c>
      <c r="AK45" t="s">
        <v>1676</v>
      </c>
      <c r="AL45" s="245">
        <f t="shared" si="1"/>
        <v>17957911.599999003</v>
      </c>
      <c r="AM45" s="245">
        <f t="shared" si="2"/>
        <v>97231096.301965207</v>
      </c>
      <c r="AN45" s="245">
        <f t="shared" si="3"/>
        <v>0</v>
      </c>
      <c r="AO45" s="245">
        <f t="shared" si="4"/>
        <v>5168047.1999994004</v>
      </c>
      <c r="AP45" s="176"/>
      <c r="AQ45" s="176"/>
      <c r="AR45">
        <v>1100</v>
      </c>
      <c r="AS45" t="s">
        <v>224</v>
      </c>
      <c r="AT45" t="s">
        <v>1676</v>
      </c>
      <c r="AU45" s="176">
        <v>5214837.2455489999</v>
      </c>
      <c r="AW45">
        <v>1100</v>
      </c>
      <c r="AX45" t="s">
        <v>224</v>
      </c>
      <c r="AY45" t="s">
        <v>1676</v>
      </c>
      <c r="AZ45" s="176">
        <v>31274939.497775</v>
      </c>
      <c r="BA45" s="342" t="str">
        <f t="shared" si="7"/>
        <v/>
      </c>
      <c r="BB45">
        <v>1100</v>
      </c>
      <c r="BC45" t="s">
        <v>224</v>
      </c>
      <c r="BD45" t="s">
        <v>1676</v>
      </c>
      <c r="BE45" s="243">
        <f t="shared" si="8"/>
        <v>30234788.843769003</v>
      </c>
    </row>
    <row r="46" spans="1:57">
      <c r="A46">
        <v>1110</v>
      </c>
      <c r="B46" t="s">
        <v>225</v>
      </c>
      <c r="C46" t="s">
        <v>952</v>
      </c>
      <c r="D46" s="176">
        <v>1063763578.5677</v>
      </c>
      <c r="E46">
        <v>0</v>
      </c>
      <c r="G46">
        <v>1110</v>
      </c>
      <c r="H46" t="s">
        <v>225</v>
      </c>
      <c r="I46" t="s">
        <v>952</v>
      </c>
      <c r="J46" s="176">
        <v>872297690.35330701</v>
      </c>
      <c r="K46">
        <v>0</v>
      </c>
      <c r="L46" s="342" t="str">
        <f t="shared" si="5"/>
        <v/>
      </c>
      <c r="M46">
        <v>1110</v>
      </c>
      <c r="N46" t="s">
        <v>225</v>
      </c>
      <c r="O46" t="s">
        <v>952</v>
      </c>
      <c r="P46" s="243">
        <f t="shared" si="6"/>
        <v>1761601730.8503456</v>
      </c>
      <c r="S46">
        <v>1110</v>
      </c>
      <c r="T46" t="s">
        <v>225</v>
      </c>
      <c r="U46" t="s">
        <v>952</v>
      </c>
      <c r="V46" s="176">
        <v>36046174.582221001</v>
      </c>
      <c r="W46" s="176">
        <v>266421681.16776401</v>
      </c>
      <c r="X46">
        <v>1000000</v>
      </c>
      <c r="Y46" s="176">
        <v>79852853.591110006</v>
      </c>
      <c r="Z46" s="176"/>
      <c r="AA46">
        <v>1110</v>
      </c>
      <c r="AB46" s="176" t="s">
        <v>225</v>
      </c>
      <c r="AC46" s="176" t="s">
        <v>952</v>
      </c>
      <c r="AD46" s="176">
        <v>36046174.582221001</v>
      </c>
      <c r="AE46" s="176">
        <v>266421681.16776401</v>
      </c>
      <c r="AF46">
        <v>1000000</v>
      </c>
      <c r="AG46" s="176">
        <v>79852853.591110006</v>
      </c>
      <c r="AH46" s="342" t="str">
        <f t="shared" si="0"/>
        <v/>
      </c>
      <c r="AI46">
        <v>1110</v>
      </c>
      <c r="AJ46" t="s">
        <v>225</v>
      </c>
      <c r="AK46" t="s">
        <v>952</v>
      </c>
      <c r="AL46" s="245">
        <f t="shared" si="1"/>
        <v>64883114.247997805</v>
      </c>
      <c r="AM46" s="245">
        <f t="shared" si="2"/>
        <v>479559026.1019752</v>
      </c>
      <c r="AN46" s="245">
        <f t="shared" si="3"/>
        <v>1800000</v>
      </c>
      <c r="AO46" s="245">
        <f t="shared" si="4"/>
        <v>143735136.46399802</v>
      </c>
      <c r="AP46" s="176"/>
      <c r="AQ46" s="176"/>
      <c r="AR46">
        <v>1110</v>
      </c>
      <c r="AS46" t="s">
        <v>225</v>
      </c>
      <c r="AT46" t="s">
        <v>952</v>
      </c>
      <c r="AU46" s="176">
        <v>178936083.00998199</v>
      </c>
      <c r="AW46">
        <v>1110</v>
      </c>
      <c r="AX46" t="s">
        <v>225</v>
      </c>
      <c r="AY46" t="s">
        <v>952</v>
      </c>
      <c r="AZ46" s="176">
        <v>185332594.413324</v>
      </c>
      <c r="BA46" s="342" t="str">
        <f t="shared" si="7"/>
        <v/>
      </c>
      <c r="BB46">
        <v>1110</v>
      </c>
      <c r="BC46" t="s">
        <v>225</v>
      </c>
      <c r="BD46" t="s">
        <v>952</v>
      </c>
      <c r="BE46" s="243">
        <f t="shared" si="8"/>
        <v>327202158.54064119</v>
      </c>
    </row>
    <row r="47" spans="1:57">
      <c r="A47">
        <v>1110</v>
      </c>
      <c r="B47" t="s">
        <v>225</v>
      </c>
      <c r="C47" t="s">
        <v>1677</v>
      </c>
      <c r="D47" s="176">
        <v>133306972.005519</v>
      </c>
      <c r="E47">
        <v>0</v>
      </c>
      <c r="G47">
        <v>1110</v>
      </c>
      <c r="H47" t="s">
        <v>225</v>
      </c>
      <c r="I47" t="s">
        <v>1677</v>
      </c>
      <c r="J47" s="176">
        <v>133398621.335541</v>
      </c>
      <c r="K47">
        <v>0</v>
      </c>
      <c r="L47" s="342" t="str">
        <f t="shared" si="5"/>
        <v/>
      </c>
      <c r="M47">
        <v>1110</v>
      </c>
      <c r="N47" t="s">
        <v>225</v>
      </c>
      <c r="O47" t="s">
        <v>1677</v>
      </c>
      <c r="P47" s="243">
        <f t="shared" si="6"/>
        <v>240025869.07395181</v>
      </c>
      <c r="S47">
        <v>1110</v>
      </c>
      <c r="T47" t="s">
        <v>225</v>
      </c>
      <c r="U47" t="s">
        <v>1677</v>
      </c>
      <c r="V47" s="176">
        <v>9148118.5488879997</v>
      </c>
      <c r="W47" s="176">
        <v>60166528.324428998</v>
      </c>
      <c r="X47">
        <v>0</v>
      </c>
      <c r="Y47" s="176">
        <v>14718920</v>
      </c>
      <c r="Z47" s="176"/>
      <c r="AA47">
        <v>1110</v>
      </c>
      <c r="AB47" s="176" t="s">
        <v>225</v>
      </c>
      <c r="AC47" s="176" t="s">
        <v>1677</v>
      </c>
      <c r="AD47" s="176">
        <v>9148118.5488879997</v>
      </c>
      <c r="AE47" s="176">
        <v>60166528.324428998</v>
      </c>
      <c r="AF47">
        <v>0</v>
      </c>
      <c r="AG47" s="176">
        <v>14718920</v>
      </c>
      <c r="AH47" s="342" t="str">
        <f t="shared" si="0"/>
        <v/>
      </c>
      <c r="AI47">
        <v>1110</v>
      </c>
      <c r="AJ47" t="s">
        <v>225</v>
      </c>
      <c r="AK47" t="s">
        <v>1677</v>
      </c>
      <c r="AL47" s="245">
        <f t="shared" si="1"/>
        <v>16466613.3879984</v>
      </c>
      <c r="AM47" s="245">
        <f t="shared" si="2"/>
        <v>108299750.98397219</v>
      </c>
      <c r="AN47" s="245">
        <f t="shared" si="3"/>
        <v>0</v>
      </c>
      <c r="AO47" s="245">
        <f t="shared" si="4"/>
        <v>26494056</v>
      </c>
      <c r="AP47" s="176"/>
      <c r="AQ47" s="176"/>
      <c r="AR47">
        <v>1110</v>
      </c>
      <c r="AS47" t="s">
        <v>225</v>
      </c>
      <c r="AT47" t="s">
        <v>1677</v>
      </c>
      <c r="AU47" s="176">
        <v>5305717.5255500004</v>
      </c>
      <c r="AW47">
        <v>1110</v>
      </c>
      <c r="AX47" t="s">
        <v>225</v>
      </c>
      <c r="AY47" t="s">
        <v>1677</v>
      </c>
      <c r="AZ47" s="176">
        <v>5531419.2666649995</v>
      </c>
      <c r="BA47" s="342" t="str">
        <f t="shared" si="7"/>
        <v/>
      </c>
      <c r="BB47">
        <v>1110</v>
      </c>
      <c r="BC47" t="s">
        <v>225</v>
      </c>
      <c r="BD47" t="s">
        <v>1677</v>
      </c>
      <c r="BE47" s="243">
        <f t="shared" si="8"/>
        <v>9730852.9388820007</v>
      </c>
    </row>
    <row r="48" spans="1:57">
      <c r="A48">
        <v>1110</v>
      </c>
      <c r="B48" t="s">
        <v>225</v>
      </c>
      <c r="C48" t="s">
        <v>927</v>
      </c>
      <c r="D48" s="176">
        <v>255658357.50772399</v>
      </c>
      <c r="E48">
        <v>0</v>
      </c>
      <c r="G48">
        <v>1110</v>
      </c>
      <c r="H48" t="s">
        <v>225</v>
      </c>
      <c r="I48" t="s">
        <v>927</v>
      </c>
      <c r="J48" s="176">
        <v>174249859.03442299</v>
      </c>
      <c r="K48">
        <v>0</v>
      </c>
      <c r="L48" s="342" t="str">
        <f t="shared" si="5"/>
        <v/>
      </c>
      <c r="M48">
        <v>1110</v>
      </c>
      <c r="N48" t="s">
        <v>225</v>
      </c>
      <c r="O48" t="s">
        <v>927</v>
      </c>
      <c r="P48" s="243">
        <f t="shared" si="6"/>
        <v>395058244.73526239</v>
      </c>
      <c r="S48">
        <v>1110</v>
      </c>
      <c r="T48" t="s">
        <v>225</v>
      </c>
      <c r="U48" t="s">
        <v>927</v>
      </c>
      <c r="V48" s="176">
        <v>66374791.851111002</v>
      </c>
      <c r="W48" s="176">
        <v>97403828.032205001</v>
      </c>
      <c r="X48">
        <v>0</v>
      </c>
      <c r="Y48" s="176">
        <v>22334293.579999998</v>
      </c>
      <c r="Z48" s="176"/>
      <c r="AA48">
        <v>1110</v>
      </c>
      <c r="AB48" s="176" t="s">
        <v>225</v>
      </c>
      <c r="AC48" s="176" t="s">
        <v>927</v>
      </c>
      <c r="AD48" s="176">
        <v>66374791.851111002</v>
      </c>
      <c r="AE48" s="176">
        <v>97403828.032205001</v>
      </c>
      <c r="AF48">
        <v>0</v>
      </c>
      <c r="AG48" s="176">
        <v>22334293.579999998</v>
      </c>
      <c r="AH48" s="342" t="str">
        <f t="shared" si="0"/>
        <v/>
      </c>
      <c r="AI48">
        <v>1110</v>
      </c>
      <c r="AJ48" t="s">
        <v>225</v>
      </c>
      <c r="AK48" t="s">
        <v>927</v>
      </c>
      <c r="AL48" s="245">
        <f t="shared" si="1"/>
        <v>119474625.33199981</v>
      </c>
      <c r="AM48" s="245">
        <f t="shared" si="2"/>
        <v>175326890.45796901</v>
      </c>
      <c r="AN48" s="245">
        <f t="shared" si="3"/>
        <v>0</v>
      </c>
      <c r="AO48" s="245">
        <f t="shared" si="4"/>
        <v>40201728.443999998</v>
      </c>
      <c r="AP48" s="176"/>
      <c r="AQ48" s="176"/>
      <c r="AR48">
        <v>1110</v>
      </c>
      <c r="AS48" t="s">
        <v>225</v>
      </c>
      <c r="AT48" t="s">
        <v>927</v>
      </c>
      <c r="AU48" s="176">
        <v>41843171.33777</v>
      </c>
      <c r="AW48">
        <v>1110</v>
      </c>
      <c r="AX48" t="s">
        <v>225</v>
      </c>
      <c r="AY48" t="s">
        <v>927</v>
      </c>
      <c r="AZ48" s="176">
        <v>41787927.195550002</v>
      </c>
      <c r="BA48" s="342" t="str">
        <f t="shared" si="7"/>
        <v/>
      </c>
      <c r="BB48">
        <v>1110</v>
      </c>
      <c r="BC48" t="s">
        <v>225</v>
      </c>
      <c r="BD48" t="s">
        <v>927</v>
      </c>
      <c r="BE48" s="243">
        <f t="shared" si="8"/>
        <v>75273513.094209999</v>
      </c>
    </row>
    <row r="49" spans="1:57">
      <c r="A49">
        <v>1110</v>
      </c>
      <c r="B49" t="s">
        <v>225</v>
      </c>
      <c r="C49" t="s">
        <v>925</v>
      </c>
      <c r="D49" s="176">
        <v>264173653.75429901</v>
      </c>
      <c r="E49">
        <v>0</v>
      </c>
      <c r="G49">
        <v>1110</v>
      </c>
      <c r="H49" t="s">
        <v>225</v>
      </c>
      <c r="I49" t="s">
        <v>925</v>
      </c>
      <c r="J49" s="176">
        <v>247687516.428857</v>
      </c>
      <c r="K49">
        <v>0</v>
      </c>
      <c r="L49" s="342" t="str">
        <f t="shared" si="5"/>
        <v/>
      </c>
      <c r="M49">
        <v>1110</v>
      </c>
      <c r="N49" t="s">
        <v>225</v>
      </c>
      <c r="O49" t="s">
        <v>925</v>
      </c>
      <c r="P49" s="243">
        <f t="shared" si="6"/>
        <v>462323666.89738464</v>
      </c>
      <c r="S49">
        <v>1110</v>
      </c>
      <c r="T49" t="s">
        <v>225</v>
      </c>
      <c r="U49" t="s">
        <v>925</v>
      </c>
      <c r="V49" s="176">
        <v>80980724.290000007</v>
      </c>
      <c r="W49" s="176">
        <v>115399002.02885801</v>
      </c>
      <c r="X49" s="176">
        <v>0</v>
      </c>
      <c r="Y49" s="176">
        <v>14492205.442221999</v>
      </c>
      <c r="Z49" s="176"/>
      <c r="AA49">
        <v>1110</v>
      </c>
      <c r="AB49" s="176" t="s">
        <v>225</v>
      </c>
      <c r="AC49" s="176" t="s">
        <v>925</v>
      </c>
      <c r="AD49" s="176">
        <v>80980724.290000007</v>
      </c>
      <c r="AE49" s="176">
        <v>115399002.02885801</v>
      </c>
      <c r="AF49" s="176">
        <v>0</v>
      </c>
      <c r="AG49" s="176">
        <v>14492205.442221999</v>
      </c>
      <c r="AH49" s="342" t="str">
        <f t="shared" si="0"/>
        <v/>
      </c>
      <c r="AI49">
        <v>1110</v>
      </c>
      <c r="AJ49" t="s">
        <v>225</v>
      </c>
      <c r="AK49" t="s">
        <v>925</v>
      </c>
      <c r="AL49" s="245">
        <f t="shared" si="1"/>
        <v>145765303.722</v>
      </c>
      <c r="AM49" s="245">
        <f t="shared" si="2"/>
        <v>207718203.6519444</v>
      </c>
      <c r="AN49" s="245">
        <f t="shared" si="3"/>
        <v>0</v>
      </c>
      <c r="AO49" s="245">
        <f t="shared" si="4"/>
        <v>26085969.795999601</v>
      </c>
      <c r="AP49" s="176"/>
      <c r="AQ49" s="176"/>
      <c r="AR49">
        <v>1110</v>
      </c>
      <c r="AS49" t="s">
        <v>225</v>
      </c>
      <c r="AT49" t="s">
        <v>925</v>
      </c>
      <c r="AU49" s="176">
        <v>7565034.3433229998</v>
      </c>
      <c r="AW49">
        <v>1110</v>
      </c>
      <c r="AX49" t="s">
        <v>225</v>
      </c>
      <c r="AY49" t="s">
        <v>925</v>
      </c>
      <c r="AZ49" s="176">
        <v>4164205.0811089999</v>
      </c>
      <c r="BA49" s="342" t="str">
        <f t="shared" si="7"/>
        <v/>
      </c>
      <c r="BB49">
        <v>1110</v>
      </c>
      <c r="BC49" t="s">
        <v>225</v>
      </c>
      <c r="BD49" t="s">
        <v>925</v>
      </c>
      <c r="BE49" s="243">
        <f t="shared" si="8"/>
        <v>10896398.408210199</v>
      </c>
    </row>
    <row r="50" spans="1:57">
      <c r="A50">
        <v>1120</v>
      </c>
      <c r="B50" t="s">
        <v>226</v>
      </c>
      <c r="C50" t="s">
        <v>928</v>
      </c>
      <c r="D50" s="176">
        <v>312828129.12213302</v>
      </c>
      <c r="E50">
        <v>0</v>
      </c>
      <c r="G50">
        <v>1120</v>
      </c>
      <c r="H50" t="s">
        <v>226</v>
      </c>
      <c r="I50" t="s">
        <v>928</v>
      </c>
      <c r="J50" s="176">
        <v>491196951.463314</v>
      </c>
      <c r="K50">
        <v>0</v>
      </c>
      <c r="L50" s="342" t="str">
        <f t="shared" si="5"/>
        <v/>
      </c>
      <c r="M50">
        <v>1120</v>
      </c>
      <c r="N50" t="s">
        <v>226</v>
      </c>
      <c r="O50" t="s">
        <v>928</v>
      </c>
      <c r="P50" s="243">
        <f t="shared" si="6"/>
        <v>705785690.29278421</v>
      </c>
      <c r="S50">
        <v>1120</v>
      </c>
      <c r="T50" t="s">
        <v>226</v>
      </c>
      <c r="U50" t="s">
        <v>928</v>
      </c>
      <c r="V50" s="176">
        <v>29868292.963332999</v>
      </c>
      <c r="W50" s="176">
        <v>118435864.52442899</v>
      </c>
      <c r="X50" s="176">
        <v>500000</v>
      </c>
      <c r="Y50" s="176">
        <v>13071622.444444001</v>
      </c>
      <c r="Z50" s="176"/>
      <c r="AA50">
        <v>1120</v>
      </c>
      <c r="AB50" s="176" t="s">
        <v>226</v>
      </c>
      <c r="AC50" s="176" t="s">
        <v>928</v>
      </c>
      <c r="AD50" s="176">
        <v>29868292.963332999</v>
      </c>
      <c r="AE50" s="176">
        <v>118435864.52442899</v>
      </c>
      <c r="AF50" s="176">
        <v>500000</v>
      </c>
      <c r="AG50" s="176">
        <v>13071622.444444001</v>
      </c>
      <c r="AH50" s="342" t="str">
        <f t="shared" si="0"/>
        <v/>
      </c>
      <c r="AI50">
        <v>1120</v>
      </c>
      <c r="AJ50" t="s">
        <v>226</v>
      </c>
      <c r="AK50" t="s">
        <v>928</v>
      </c>
      <c r="AL50" s="245">
        <f t="shared" si="1"/>
        <v>53762927.333999395</v>
      </c>
      <c r="AM50" s="245">
        <f t="shared" si="2"/>
        <v>213184556.14397219</v>
      </c>
      <c r="AN50" s="245">
        <f t="shared" si="3"/>
        <v>900000</v>
      </c>
      <c r="AO50" s="245">
        <f t="shared" si="4"/>
        <v>23528920.399999201</v>
      </c>
      <c r="AP50" s="176"/>
      <c r="AQ50" s="176"/>
      <c r="AR50">
        <v>1120</v>
      </c>
      <c r="AS50" t="s">
        <v>226</v>
      </c>
      <c r="AT50" t="s">
        <v>928</v>
      </c>
      <c r="AU50" s="176">
        <v>86070721.834428996</v>
      </c>
      <c r="AW50">
        <v>1120</v>
      </c>
      <c r="AX50" t="s">
        <v>226</v>
      </c>
      <c r="AY50" t="s">
        <v>928</v>
      </c>
      <c r="AZ50" s="176">
        <v>149215100.967769</v>
      </c>
      <c r="BA50" s="342" t="str">
        <f t="shared" si="7"/>
        <v/>
      </c>
      <c r="BB50">
        <v>1120</v>
      </c>
      <c r="BC50" t="s">
        <v>226</v>
      </c>
      <c r="BD50" t="s">
        <v>928</v>
      </c>
      <c r="BE50" s="243">
        <f t="shared" si="8"/>
        <v>205442802.60864419</v>
      </c>
    </row>
    <row r="51" spans="1:57">
      <c r="A51">
        <v>1120</v>
      </c>
      <c r="B51" t="s">
        <v>226</v>
      </c>
      <c r="C51" t="s">
        <v>922</v>
      </c>
      <c r="D51" s="176">
        <v>228290825.841034</v>
      </c>
      <c r="E51">
        <v>0</v>
      </c>
      <c r="G51">
        <v>1120</v>
      </c>
      <c r="H51" t="s">
        <v>226</v>
      </c>
      <c r="I51" t="s">
        <v>922</v>
      </c>
      <c r="J51" s="176">
        <v>190820237.35442999</v>
      </c>
      <c r="K51">
        <v>0</v>
      </c>
      <c r="L51" s="342" t="str">
        <f t="shared" si="5"/>
        <v/>
      </c>
      <c r="M51">
        <v>1120</v>
      </c>
      <c r="N51" t="s">
        <v>226</v>
      </c>
      <c r="O51" t="s">
        <v>922</v>
      </c>
      <c r="P51" s="243">
        <f t="shared" si="6"/>
        <v>380947015.72457802</v>
      </c>
      <c r="S51">
        <v>1120</v>
      </c>
      <c r="T51" t="s">
        <v>226</v>
      </c>
      <c r="U51" t="s">
        <v>922</v>
      </c>
      <c r="V51" s="176">
        <v>46477862.622221</v>
      </c>
      <c r="W51" s="176">
        <v>157267980.385544</v>
      </c>
      <c r="X51" s="176">
        <v>0</v>
      </c>
      <c r="Y51" s="176">
        <v>5859977.7777770003</v>
      </c>
      <c r="Z51" s="176"/>
      <c r="AA51">
        <v>1120</v>
      </c>
      <c r="AB51" s="176" t="s">
        <v>226</v>
      </c>
      <c r="AC51" s="176" t="s">
        <v>922</v>
      </c>
      <c r="AD51" s="176">
        <v>46477862.622221</v>
      </c>
      <c r="AE51" s="176">
        <v>157267980.385544</v>
      </c>
      <c r="AF51" s="176">
        <v>0</v>
      </c>
      <c r="AG51" s="176">
        <v>5859977.7777770003</v>
      </c>
      <c r="AH51" s="342" t="str">
        <f t="shared" si="0"/>
        <v/>
      </c>
      <c r="AI51">
        <v>1120</v>
      </c>
      <c r="AJ51" t="s">
        <v>226</v>
      </c>
      <c r="AK51" t="s">
        <v>922</v>
      </c>
      <c r="AL51" s="245">
        <f t="shared" si="1"/>
        <v>83660152.719997793</v>
      </c>
      <c r="AM51" s="245">
        <f t="shared" si="2"/>
        <v>283082364.6939792</v>
      </c>
      <c r="AN51" s="245">
        <f t="shared" si="3"/>
        <v>0</v>
      </c>
      <c r="AO51" s="245">
        <f t="shared" si="4"/>
        <v>10547959.999998601</v>
      </c>
      <c r="AP51" s="176"/>
      <c r="AQ51" s="176"/>
      <c r="AR51">
        <v>1120</v>
      </c>
      <c r="AS51" t="s">
        <v>226</v>
      </c>
      <c r="AT51" t="s">
        <v>922</v>
      </c>
      <c r="AU51" s="176">
        <v>48292733.086661004</v>
      </c>
      <c r="AW51">
        <v>1120</v>
      </c>
      <c r="AX51" t="s">
        <v>226</v>
      </c>
      <c r="AY51" t="s">
        <v>922</v>
      </c>
      <c r="AZ51" s="176">
        <v>46749253.661108002</v>
      </c>
      <c r="BA51" s="342" t="str">
        <f t="shared" si="7"/>
        <v/>
      </c>
      <c r="BB51">
        <v>1120</v>
      </c>
      <c r="BC51" t="s">
        <v>226</v>
      </c>
      <c r="BD51" t="s">
        <v>922</v>
      </c>
      <c r="BE51" s="243">
        <f t="shared" si="8"/>
        <v>85692136.01554741</v>
      </c>
    </row>
    <row r="52" spans="1:57">
      <c r="A52">
        <v>1120</v>
      </c>
      <c r="B52" t="s">
        <v>226</v>
      </c>
      <c r="C52" t="s">
        <v>1678</v>
      </c>
      <c r="D52" s="176">
        <v>234446246.51209399</v>
      </c>
      <c r="E52">
        <v>0</v>
      </c>
      <c r="G52">
        <v>1120</v>
      </c>
      <c r="H52" t="s">
        <v>226</v>
      </c>
      <c r="I52" t="s">
        <v>1678</v>
      </c>
      <c r="J52" s="176">
        <v>30478215.267763</v>
      </c>
      <c r="K52">
        <v>0</v>
      </c>
      <c r="L52" s="342" t="str">
        <f t="shared" si="5"/>
        <v/>
      </c>
      <c r="M52">
        <v>1120</v>
      </c>
      <c r="N52" t="s">
        <v>226</v>
      </c>
      <c r="O52" t="s">
        <v>1678</v>
      </c>
      <c r="P52" s="243">
        <f t="shared" si="6"/>
        <v>258828818.72630438</v>
      </c>
      <c r="S52">
        <v>1120</v>
      </c>
      <c r="T52" t="s">
        <v>226</v>
      </c>
      <c r="U52" t="s">
        <v>1678</v>
      </c>
      <c r="V52" s="176">
        <v>40534752.557777002</v>
      </c>
      <c r="W52" s="176">
        <v>177305003.631082</v>
      </c>
      <c r="X52" s="176">
        <v>0</v>
      </c>
      <c r="Y52" s="176">
        <v>24759611.888888001</v>
      </c>
      <c r="Z52" s="176"/>
      <c r="AA52">
        <v>1120</v>
      </c>
      <c r="AB52" s="176" t="s">
        <v>226</v>
      </c>
      <c r="AC52" s="176" t="s">
        <v>1678</v>
      </c>
      <c r="AD52" s="176">
        <v>40534752.557777002</v>
      </c>
      <c r="AE52" s="176">
        <v>177305003.631082</v>
      </c>
      <c r="AF52" s="176">
        <v>0</v>
      </c>
      <c r="AG52" s="176">
        <v>24759611.888888001</v>
      </c>
      <c r="AH52" s="342" t="str">
        <f t="shared" si="0"/>
        <v/>
      </c>
      <c r="AI52">
        <v>1120</v>
      </c>
      <c r="AJ52" t="s">
        <v>226</v>
      </c>
      <c r="AK52" t="s">
        <v>1678</v>
      </c>
      <c r="AL52" s="245">
        <f t="shared" si="1"/>
        <v>72962554.603998601</v>
      </c>
      <c r="AM52" s="245">
        <f t="shared" si="2"/>
        <v>319149006.53594756</v>
      </c>
      <c r="AN52" s="245">
        <f t="shared" si="3"/>
        <v>0</v>
      </c>
      <c r="AO52" s="245">
        <f t="shared" si="4"/>
        <v>44567301.399998404</v>
      </c>
      <c r="AP52" s="176"/>
      <c r="AQ52" s="176"/>
      <c r="AR52">
        <v>1120</v>
      </c>
      <c r="AS52" t="s">
        <v>226</v>
      </c>
      <c r="AT52" t="s">
        <v>1678</v>
      </c>
      <c r="AU52" s="176">
        <v>14169138.917762</v>
      </c>
      <c r="AW52">
        <v>1120</v>
      </c>
      <c r="AX52" t="s">
        <v>226</v>
      </c>
      <c r="AY52" t="s">
        <v>1678</v>
      </c>
      <c r="AZ52" s="176">
        <v>5171292.8633310003</v>
      </c>
      <c r="BA52" s="342" t="str">
        <f t="shared" si="7"/>
        <v/>
      </c>
      <c r="BB52">
        <v>1120</v>
      </c>
      <c r="BC52" t="s">
        <v>226</v>
      </c>
      <c r="BD52" t="s">
        <v>1678</v>
      </c>
      <c r="BE52" s="243">
        <f t="shared" si="8"/>
        <v>18306173.2084268</v>
      </c>
    </row>
    <row r="53" spans="1:57">
      <c r="A53">
        <v>1120</v>
      </c>
      <c r="B53" t="s">
        <v>226</v>
      </c>
      <c r="C53" t="s">
        <v>956</v>
      </c>
      <c r="D53" s="176">
        <v>92478211.219975993</v>
      </c>
      <c r="E53">
        <v>0</v>
      </c>
      <c r="G53">
        <v>1120</v>
      </c>
      <c r="H53" t="s">
        <v>226</v>
      </c>
      <c r="I53" t="s">
        <v>956</v>
      </c>
      <c r="J53" s="176">
        <v>86990877.728880003</v>
      </c>
      <c r="K53">
        <v>0</v>
      </c>
      <c r="L53" s="342" t="str">
        <f t="shared" si="5"/>
        <v/>
      </c>
      <c r="M53">
        <v>1120</v>
      </c>
      <c r="N53" t="s">
        <v>226</v>
      </c>
      <c r="O53" t="s">
        <v>956</v>
      </c>
      <c r="P53" s="243">
        <f t="shared" si="6"/>
        <v>162070913.40307999</v>
      </c>
      <c r="S53">
        <v>1120</v>
      </c>
      <c r="T53" t="s">
        <v>226</v>
      </c>
      <c r="U53" t="s">
        <v>956</v>
      </c>
      <c r="V53" s="176">
        <v>29218092.607776999</v>
      </c>
      <c r="W53" s="176">
        <v>32560117.365549002</v>
      </c>
      <c r="X53" s="176">
        <v>0</v>
      </c>
      <c r="Y53" s="176">
        <v>3128651.1111110002</v>
      </c>
      <c r="Z53" s="176"/>
      <c r="AA53">
        <v>1120</v>
      </c>
      <c r="AB53" s="176" t="s">
        <v>226</v>
      </c>
      <c r="AC53" s="176" t="s">
        <v>956</v>
      </c>
      <c r="AD53" s="176">
        <v>29218092.607776999</v>
      </c>
      <c r="AE53" s="176">
        <v>32560117.365549002</v>
      </c>
      <c r="AF53">
        <v>0</v>
      </c>
      <c r="AG53" s="176">
        <v>3128651.1111110002</v>
      </c>
      <c r="AH53" s="342" t="str">
        <f t="shared" si="0"/>
        <v/>
      </c>
      <c r="AI53">
        <v>1120</v>
      </c>
      <c r="AJ53" t="s">
        <v>226</v>
      </c>
      <c r="AK53" t="s">
        <v>956</v>
      </c>
      <c r="AL53" s="245">
        <f t="shared" si="1"/>
        <v>52592566.693998605</v>
      </c>
      <c r="AM53" s="245">
        <f t="shared" si="2"/>
        <v>58608211.2579882</v>
      </c>
      <c r="AN53" s="245">
        <f t="shared" si="3"/>
        <v>0</v>
      </c>
      <c r="AO53" s="245">
        <f t="shared" si="4"/>
        <v>5631571.9999998007</v>
      </c>
      <c r="AP53" s="176"/>
      <c r="AQ53" s="176"/>
      <c r="AR53">
        <v>1120</v>
      </c>
      <c r="AS53" t="s">
        <v>226</v>
      </c>
      <c r="AT53" t="s">
        <v>956</v>
      </c>
      <c r="AU53" s="176">
        <v>5233710.8477729997</v>
      </c>
      <c r="AW53">
        <v>1120</v>
      </c>
      <c r="AX53" t="s">
        <v>226</v>
      </c>
      <c r="AY53" t="s">
        <v>956</v>
      </c>
      <c r="AZ53" s="176">
        <v>7787614.5044409996</v>
      </c>
      <c r="BA53" s="342" t="str">
        <f t="shared" si="7"/>
        <v/>
      </c>
      <c r="BB53">
        <v>1120</v>
      </c>
      <c r="BC53" t="s">
        <v>226</v>
      </c>
      <c r="BD53" t="s">
        <v>956</v>
      </c>
      <c r="BE53" s="243">
        <f t="shared" si="8"/>
        <v>11463802.4513258</v>
      </c>
    </row>
    <row r="54" spans="1:57">
      <c r="A54">
        <v>1120</v>
      </c>
      <c r="B54" t="s">
        <v>226</v>
      </c>
      <c r="C54" t="s">
        <v>1929</v>
      </c>
      <c r="D54" s="176">
        <v>34997698.457759</v>
      </c>
      <c r="E54">
        <v>0</v>
      </c>
      <c r="G54">
        <v>1120</v>
      </c>
      <c r="H54" t="s">
        <v>226</v>
      </c>
      <c r="I54" t="s">
        <v>1929</v>
      </c>
      <c r="J54" s="176">
        <v>10842806.587773999</v>
      </c>
      <c r="K54">
        <v>0</v>
      </c>
      <c r="L54" s="342" t="str">
        <f t="shared" si="5"/>
        <v/>
      </c>
      <c r="M54">
        <v>1120</v>
      </c>
      <c r="N54" t="s">
        <v>226</v>
      </c>
      <c r="O54" t="s">
        <v>1929</v>
      </c>
      <c r="P54" s="243">
        <f t="shared" si="6"/>
        <v>43671943.7279782</v>
      </c>
      <c r="S54">
        <v>1120</v>
      </c>
      <c r="T54" t="s">
        <v>226</v>
      </c>
      <c r="U54" t="s">
        <v>1929</v>
      </c>
      <c r="V54" s="176">
        <v>9392060.0199989993</v>
      </c>
      <c r="W54" s="176">
        <v>23708939.542213</v>
      </c>
      <c r="X54" s="176">
        <v>0</v>
      </c>
      <c r="Y54" s="176">
        <v>2045099.444444</v>
      </c>
      <c r="Z54" s="176"/>
      <c r="AA54">
        <v>1120</v>
      </c>
      <c r="AB54" s="176" t="s">
        <v>226</v>
      </c>
      <c r="AC54" s="176" t="s">
        <v>1929</v>
      </c>
      <c r="AD54" s="176">
        <v>9392060.0199989993</v>
      </c>
      <c r="AE54" s="176">
        <v>23708939.542213</v>
      </c>
      <c r="AF54" s="176">
        <v>0</v>
      </c>
      <c r="AG54" s="176">
        <v>2045099.444444</v>
      </c>
      <c r="AH54" s="342" t="str">
        <f t="shared" si="0"/>
        <v/>
      </c>
      <c r="AI54">
        <v>1120</v>
      </c>
      <c r="AJ54" t="s">
        <v>226</v>
      </c>
      <c r="AK54" t="s">
        <v>1929</v>
      </c>
      <c r="AL54" s="245">
        <f t="shared" si="1"/>
        <v>16905708.035998199</v>
      </c>
      <c r="AM54" s="245">
        <f t="shared" si="2"/>
        <v>42676091.175983399</v>
      </c>
      <c r="AN54" s="245">
        <f t="shared" si="3"/>
        <v>0</v>
      </c>
      <c r="AO54" s="245">
        <f t="shared" si="4"/>
        <v>3681178.9999992</v>
      </c>
      <c r="AP54" s="176"/>
      <c r="AQ54" s="176"/>
      <c r="AR54">
        <v>1120</v>
      </c>
      <c r="AS54" t="s">
        <v>226</v>
      </c>
      <c r="AT54" t="s">
        <v>1929</v>
      </c>
      <c r="AU54" s="176">
        <v>2755904.0977739999</v>
      </c>
      <c r="AW54">
        <v>1120</v>
      </c>
      <c r="AX54" t="s">
        <v>226</v>
      </c>
      <c r="AY54" t="s">
        <v>1929</v>
      </c>
      <c r="AZ54" s="176">
        <v>1625866.0811099999</v>
      </c>
      <c r="BA54" s="342" t="str">
        <f t="shared" si="7"/>
        <v/>
      </c>
      <c r="BB54">
        <v>1120</v>
      </c>
      <c r="BC54" t="s">
        <v>226</v>
      </c>
      <c r="BD54" t="s">
        <v>1929</v>
      </c>
      <c r="BE54" s="243">
        <f t="shared" si="8"/>
        <v>4056596.9626620002</v>
      </c>
    </row>
    <row r="55" spans="1:57">
      <c r="A55">
        <v>1130</v>
      </c>
      <c r="B55" t="s">
        <v>227</v>
      </c>
      <c r="C55" t="s">
        <v>1930</v>
      </c>
      <c r="D55" s="176">
        <v>172645756.953293</v>
      </c>
      <c r="E55">
        <v>0</v>
      </c>
      <c r="G55">
        <v>1130</v>
      </c>
      <c r="H55" t="s">
        <v>227</v>
      </c>
      <c r="I55" t="s">
        <v>1930</v>
      </c>
      <c r="J55" s="176">
        <v>104099104.97998901</v>
      </c>
      <c r="K55">
        <v>0</v>
      </c>
      <c r="L55" s="342" t="str">
        <f t="shared" si="5"/>
        <v/>
      </c>
      <c r="M55">
        <v>1130</v>
      </c>
      <c r="N55" t="s">
        <v>227</v>
      </c>
      <c r="O55" t="s">
        <v>1930</v>
      </c>
      <c r="P55" s="243">
        <f t="shared" si="6"/>
        <v>255925040.9372842</v>
      </c>
      <c r="S55">
        <v>1130</v>
      </c>
      <c r="T55" t="s">
        <v>227</v>
      </c>
      <c r="U55" t="s">
        <v>1930</v>
      </c>
      <c r="V55" s="176">
        <v>12627937.444444001</v>
      </c>
      <c r="W55" s="176">
        <v>103891979.579992</v>
      </c>
      <c r="X55" s="176">
        <v>0</v>
      </c>
      <c r="Y55" s="176">
        <v>13796939.712222001</v>
      </c>
      <c r="Z55" s="176"/>
      <c r="AA55">
        <v>1130</v>
      </c>
      <c r="AB55" s="176" t="s">
        <v>227</v>
      </c>
      <c r="AC55" s="176" t="s">
        <v>1930</v>
      </c>
      <c r="AD55" s="176">
        <v>12627937.444444001</v>
      </c>
      <c r="AE55" s="176">
        <v>103891979.579992</v>
      </c>
      <c r="AF55">
        <v>0</v>
      </c>
      <c r="AG55" s="176">
        <v>13796939.712222001</v>
      </c>
      <c r="AH55" s="342" t="str">
        <f t="shared" si="0"/>
        <v/>
      </c>
      <c r="AI55">
        <v>1130</v>
      </c>
      <c r="AJ55" t="s">
        <v>227</v>
      </c>
      <c r="AK55" t="s">
        <v>1930</v>
      </c>
      <c r="AL55" s="245">
        <f t="shared" si="1"/>
        <v>22730287.399999201</v>
      </c>
      <c r="AM55" s="245">
        <f t="shared" si="2"/>
        <v>187005563.24398559</v>
      </c>
      <c r="AN55" s="245">
        <f t="shared" si="3"/>
        <v>0</v>
      </c>
      <c r="AO55" s="245">
        <f t="shared" si="4"/>
        <v>24834491.481999602</v>
      </c>
      <c r="AP55" s="176"/>
      <c r="AQ55" s="176"/>
      <c r="AR55">
        <v>1130</v>
      </c>
      <c r="AS55" t="s">
        <v>227</v>
      </c>
      <c r="AT55" t="s">
        <v>1930</v>
      </c>
      <c r="AU55" s="176">
        <v>16047112.562217001</v>
      </c>
      <c r="AW55">
        <v>1130</v>
      </c>
      <c r="AX55" t="s">
        <v>227</v>
      </c>
      <c r="AY55" t="s">
        <v>1930</v>
      </c>
      <c r="AZ55" s="176">
        <v>12291684.442221001</v>
      </c>
      <c r="BA55" s="342" t="str">
        <f t="shared" si="7"/>
        <v/>
      </c>
      <c r="BB55">
        <v>1130</v>
      </c>
      <c r="BC55" t="s">
        <v>227</v>
      </c>
      <c r="BD55" t="s">
        <v>1930</v>
      </c>
      <c r="BE55" s="243">
        <f t="shared" si="8"/>
        <v>25880460.115993802</v>
      </c>
    </row>
    <row r="56" spans="1:57">
      <c r="A56">
        <v>1130</v>
      </c>
      <c r="B56" t="s">
        <v>227</v>
      </c>
      <c r="C56" t="s">
        <v>930</v>
      </c>
      <c r="D56" s="176">
        <v>224684482.953282</v>
      </c>
      <c r="E56">
        <v>0</v>
      </c>
      <c r="G56">
        <v>1130</v>
      </c>
      <c r="H56" t="s">
        <v>227</v>
      </c>
      <c r="I56" t="s">
        <v>930</v>
      </c>
      <c r="J56" s="176">
        <v>547029694.52664196</v>
      </c>
      <c r="K56">
        <v>0</v>
      </c>
      <c r="L56" s="342" t="str">
        <f t="shared" si="5"/>
        <v/>
      </c>
      <c r="M56">
        <v>1130</v>
      </c>
      <c r="N56" t="s">
        <v>227</v>
      </c>
      <c r="O56" t="s">
        <v>930</v>
      </c>
      <c r="P56" s="243">
        <f t="shared" si="6"/>
        <v>662308238.57459557</v>
      </c>
      <c r="S56">
        <v>1130</v>
      </c>
      <c r="T56" t="s">
        <v>227</v>
      </c>
      <c r="U56" t="s">
        <v>930</v>
      </c>
      <c r="V56" s="176">
        <v>19574977.91</v>
      </c>
      <c r="W56" s="176">
        <v>95269531.995545998</v>
      </c>
      <c r="X56" s="176">
        <v>0</v>
      </c>
      <c r="Y56" s="176">
        <v>17096271.072220001</v>
      </c>
      <c r="Z56" s="176"/>
      <c r="AA56">
        <v>1130</v>
      </c>
      <c r="AB56" s="176" t="s">
        <v>227</v>
      </c>
      <c r="AC56" s="176" t="s">
        <v>930</v>
      </c>
      <c r="AD56" s="176">
        <v>19574977.91</v>
      </c>
      <c r="AE56" s="176">
        <v>95269531.995545998</v>
      </c>
      <c r="AF56" s="176">
        <v>0</v>
      </c>
      <c r="AG56" s="176">
        <v>17096271.072220001</v>
      </c>
      <c r="AH56" s="342" t="str">
        <f t="shared" si="0"/>
        <v/>
      </c>
      <c r="AI56">
        <v>1130</v>
      </c>
      <c r="AJ56" t="s">
        <v>227</v>
      </c>
      <c r="AK56" t="s">
        <v>930</v>
      </c>
      <c r="AL56" s="245">
        <f t="shared" si="1"/>
        <v>35234960.238000005</v>
      </c>
      <c r="AM56" s="245">
        <f t="shared" si="2"/>
        <v>171485157.59198278</v>
      </c>
      <c r="AN56" s="245">
        <f t="shared" si="3"/>
        <v>0</v>
      </c>
      <c r="AO56" s="245">
        <f t="shared" si="4"/>
        <v>30773287.929996002</v>
      </c>
      <c r="AP56" s="176"/>
      <c r="AQ56" s="176"/>
      <c r="AR56">
        <v>1130</v>
      </c>
      <c r="AS56" t="s">
        <v>227</v>
      </c>
      <c r="AT56" t="s">
        <v>930</v>
      </c>
      <c r="AU56" s="176">
        <v>6808883.3222190002</v>
      </c>
      <c r="AW56">
        <v>1130</v>
      </c>
      <c r="AX56" t="s">
        <v>227</v>
      </c>
      <c r="AY56" t="s">
        <v>930</v>
      </c>
      <c r="AZ56" s="176">
        <v>6113841.3144420004</v>
      </c>
      <c r="BA56" s="342" t="str">
        <f t="shared" si="7"/>
        <v/>
      </c>
      <c r="BB56">
        <v>1130</v>
      </c>
      <c r="BC56" t="s">
        <v>227</v>
      </c>
      <c r="BD56" t="s">
        <v>930</v>
      </c>
      <c r="BE56" s="243">
        <f t="shared" si="8"/>
        <v>11699956.373772601</v>
      </c>
    </row>
    <row r="57" spans="1:57">
      <c r="A57">
        <v>1130</v>
      </c>
      <c r="B57" t="s">
        <v>227</v>
      </c>
      <c r="C57" t="s">
        <v>1931</v>
      </c>
      <c r="D57" s="176">
        <v>53750074.964427002</v>
      </c>
      <c r="E57">
        <v>0</v>
      </c>
      <c r="G57">
        <v>1130</v>
      </c>
      <c r="H57" t="s">
        <v>227</v>
      </c>
      <c r="I57" t="s">
        <v>1931</v>
      </c>
      <c r="J57" s="176">
        <v>19914567.979995001</v>
      </c>
      <c r="K57">
        <v>0</v>
      </c>
      <c r="L57" s="342" t="str">
        <f t="shared" si="5"/>
        <v/>
      </c>
      <c r="M57">
        <v>1130</v>
      </c>
      <c r="N57" t="s">
        <v>227</v>
      </c>
      <c r="O57" t="s">
        <v>1931</v>
      </c>
      <c r="P57" s="243">
        <f t="shared" si="6"/>
        <v>69681729.348423004</v>
      </c>
      <c r="S57">
        <v>1130</v>
      </c>
      <c r="T57" t="s">
        <v>227</v>
      </c>
      <c r="U57" t="s">
        <v>1931</v>
      </c>
      <c r="V57" s="176">
        <v>6833610.6533329999</v>
      </c>
      <c r="W57" s="176">
        <v>52921056.895551004</v>
      </c>
      <c r="X57">
        <v>0</v>
      </c>
      <c r="Y57" s="176">
        <v>334180</v>
      </c>
      <c r="Z57" s="176"/>
      <c r="AA57">
        <v>1130</v>
      </c>
      <c r="AB57" s="176" t="s">
        <v>227</v>
      </c>
      <c r="AC57" s="176" t="s">
        <v>1931</v>
      </c>
      <c r="AD57" s="176">
        <v>6833610.6533329999</v>
      </c>
      <c r="AE57" s="176">
        <v>52921056.895551004</v>
      </c>
      <c r="AF57">
        <v>0</v>
      </c>
      <c r="AG57" s="176">
        <v>334180</v>
      </c>
      <c r="AH57" s="342" t="str">
        <f t="shared" si="0"/>
        <v/>
      </c>
      <c r="AI57">
        <v>1130</v>
      </c>
      <c r="AJ57" t="s">
        <v>227</v>
      </c>
      <c r="AK57" t="s">
        <v>1931</v>
      </c>
      <c r="AL57" s="245">
        <f t="shared" si="1"/>
        <v>12300499.175999399</v>
      </c>
      <c r="AM57" s="245">
        <f t="shared" si="2"/>
        <v>95257902.411991805</v>
      </c>
      <c r="AN57" s="245">
        <f t="shared" si="3"/>
        <v>0</v>
      </c>
      <c r="AO57" s="245">
        <f t="shared" si="4"/>
        <v>601524</v>
      </c>
      <c r="AP57" s="176"/>
      <c r="AQ57" s="176"/>
      <c r="AR57">
        <v>1130</v>
      </c>
      <c r="AS57" t="s">
        <v>227</v>
      </c>
      <c r="AT57" t="s">
        <v>1931</v>
      </c>
      <c r="AU57" s="176">
        <v>4131684.655551</v>
      </c>
      <c r="AW57">
        <v>1130</v>
      </c>
      <c r="AX57" t="s">
        <v>227</v>
      </c>
      <c r="AY57" t="s">
        <v>1931</v>
      </c>
      <c r="AZ57" s="176">
        <v>927854.45222099999</v>
      </c>
      <c r="BA57" s="342" t="str">
        <f t="shared" si="7"/>
        <v/>
      </c>
      <c r="BB57">
        <v>1130</v>
      </c>
      <c r="BC57" t="s">
        <v>227</v>
      </c>
      <c r="BD57" t="s">
        <v>1931</v>
      </c>
      <c r="BE57" s="243">
        <f t="shared" si="8"/>
        <v>4873968.2173277996</v>
      </c>
    </row>
    <row r="58" spans="1:57">
      <c r="A58">
        <v>1130</v>
      </c>
      <c r="B58" t="s">
        <v>227</v>
      </c>
      <c r="C58" t="s">
        <v>1679</v>
      </c>
      <c r="D58" s="176">
        <v>168616223.67547899</v>
      </c>
      <c r="E58">
        <v>0</v>
      </c>
      <c r="G58">
        <v>1130</v>
      </c>
      <c r="H58" t="s">
        <v>227</v>
      </c>
      <c r="I58" t="s">
        <v>1679</v>
      </c>
      <c r="J58" s="176">
        <v>50011843.125537999</v>
      </c>
      <c r="K58">
        <v>0</v>
      </c>
      <c r="L58" s="342" t="str">
        <f t="shared" si="5"/>
        <v/>
      </c>
      <c r="M58">
        <v>1130</v>
      </c>
      <c r="N58" t="s">
        <v>227</v>
      </c>
      <c r="O58" t="s">
        <v>1679</v>
      </c>
      <c r="P58" s="243">
        <f t="shared" si="6"/>
        <v>208625698.1759094</v>
      </c>
      <c r="S58">
        <v>1130</v>
      </c>
      <c r="T58" t="s">
        <v>227</v>
      </c>
      <c r="U58" t="s">
        <v>1679</v>
      </c>
      <c r="V58" s="176">
        <v>25120641.311110999</v>
      </c>
      <c r="W58" s="176">
        <v>74186648.311086997</v>
      </c>
      <c r="X58" s="176">
        <v>500000</v>
      </c>
      <c r="Y58" s="176">
        <v>5446304.1111099999</v>
      </c>
      <c r="Z58" s="176"/>
      <c r="AA58">
        <v>1130</v>
      </c>
      <c r="AB58" s="176" t="s">
        <v>227</v>
      </c>
      <c r="AC58" s="176" t="s">
        <v>1679</v>
      </c>
      <c r="AD58" s="176">
        <v>25120641.311110999</v>
      </c>
      <c r="AE58" s="176">
        <v>74186648.311086997</v>
      </c>
      <c r="AF58" s="176">
        <v>500000</v>
      </c>
      <c r="AG58" s="176">
        <v>5446304.1111099999</v>
      </c>
      <c r="AH58" s="342" t="str">
        <f t="shared" si="0"/>
        <v/>
      </c>
      <c r="AI58">
        <v>1130</v>
      </c>
      <c r="AJ58" t="s">
        <v>227</v>
      </c>
      <c r="AK58" t="s">
        <v>1679</v>
      </c>
      <c r="AL58" s="245">
        <f t="shared" si="1"/>
        <v>45217154.359999798</v>
      </c>
      <c r="AM58" s="245">
        <f t="shared" si="2"/>
        <v>133535966.9599566</v>
      </c>
      <c r="AN58" s="245">
        <f t="shared" si="3"/>
        <v>900000</v>
      </c>
      <c r="AO58" s="245">
        <f t="shared" si="4"/>
        <v>9803347.3999979999</v>
      </c>
      <c r="AP58" s="176"/>
      <c r="AQ58" s="176"/>
      <c r="AR58">
        <v>1130</v>
      </c>
      <c r="AS58" t="s">
        <v>227</v>
      </c>
      <c r="AT58" t="s">
        <v>1679</v>
      </c>
      <c r="AU58" s="176">
        <v>1433920.313327</v>
      </c>
      <c r="AW58">
        <v>1130</v>
      </c>
      <c r="AX58" t="s">
        <v>227</v>
      </c>
      <c r="AY58" t="s">
        <v>1679</v>
      </c>
      <c r="AZ58" s="176">
        <v>937996.20555499999</v>
      </c>
      <c r="BA58" s="342" t="str">
        <f t="shared" si="7"/>
        <v/>
      </c>
      <c r="BB58">
        <v>1130</v>
      </c>
      <c r="BC58" t="s">
        <v>227</v>
      </c>
      <c r="BD58" t="s">
        <v>1679</v>
      </c>
      <c r="BE58" s="243">
        <f t="shared" si="8"/>
        <v>2184317.2777709998</v>
      </c>
    </row>
    <row r="59" spans="1:57">
      <c r="A59">
        <v>1130</v>
      </c>
      <c r="B59" t="s">
        <v>227</v>
      </c>
      <c r="C59" t="s">
        <v>932</v>
      </c>
      <c r="D59" s="176">
        <v>136049570.55882299</v>
      </c>
      <c r="E59">
        <v>0</v>
      </c>
      <c r="G59">
        <v>1130</v>
      </c>
      <c r="H59" t="s">
        <v>227</v>
      </c>
      <c r="I59" t="s">
        <v>932</v>
      </c>
      <c r="J59" s="176">
        <v>106536691.883311</v>
      </c>
      <c r="K59">
        <v>0</v>
      </c>
      <c r="L59" s="342" t="str">
        <f t="shared" si="5"/>
        <v/>
      </c>
      <c r="M59">
        <v>1130</v>
      </c>
      <c r="N59" t="s">
        <v>227</v>
      </c>
      <c r="O59" t="s">
        <v>932</v>
      </c>
      <c r="P59" s="243">
        <f t="shared" si="6"/>
        <v>221278924.0654718</v>
      </c>
      <c r="S59">
        <v>1130</v>
      </c>
      <c r="T59" t="s">
        <v>227</v>
      </c>
      <c r="U59" t="s">
        <v>932</v>
      </c>
      <c r="V59" s="176">
        <v>53723299.896665998</v>
      </c>
      <c r="W59" s="176">
        <v>88276572.661091</v>
      </c>
      <c r="X59" s="176">
        <v>0</v>
      </c>
      <c r="Y59" s="176">
        <v>58267291.728887998</v>
      </c>
      <c r="Z59" s="176"/>
      <c r="AA59">
        <v>1130</v>
      </c>
      <c r="AB59" s="176" t="s">
        <v>227</v>
      </c>
      <c r="AC59" s="176" t="s">
        <v>932</v>
      </c>
      <c r="AD59" s="176">
        <v>53723299.896665998</v>
      </c>
      <c r="AE59" s="176">
        <v>88276572.661091</v>
      </c>
      <c r="AF59" s="176">
        <v>0</v>
      </c>
      <c r="AG59" s="176">
        <v>58267291.728887998</v>
      </c>
      <c r="AH59" s="342" t="str">
        <f t="shared" si="0"/>
        <v/>
      </c>
      <c r="AI59">
        <v>1130</v>
      </c>
      <c r="AJ59" t="s">
        <v>227</v>
      </c>
      <c r="AK59" t="s">
        <v>932</v>
      </c>
      <c r="AL59" s="245">
        <f t="shared" si="1"/>
        <v>96701939.813998789</v>
      </c>
      <c r="AM59" s="245">
        <f t="shared" si="2"/>
        <v>158897830.78996378</v>
      </c>
      <c r="AN59" s="245">
        <f t="shared" si="3"/>
        <v>0</v>
      </c>
      <c r="AO59" s="245">
        <f t="shared" si="4"/>
        <v>104881125.11199841</v>
      </c>
      <c r="AP59" s="176"/>
      <c r="AQ59" s="176"/>
      <c r="AR59">
        <v>1130</v>
      </c>
      <c r="AS59" t="s">
        <v>227</v>
      </c>
      <c r="AT59" t="s">
        <v>932</v>
      </c>
      <c r="AU59" s="176">
        <v>1694488.736663</v>
      </c>
      <c r="AW59">
        <v>1130</v>
      </c>
      <c r="AX59" t="s">
        <v>227</v>
      </c>
      <c r="AY59" t="s">
        <v>932</v>
      </c>
      <c r="AZ59" s="176">
        <v>332009.20888799999</v>
      </c>
      <c r="BA59" s="342" t="str">
        <f t="shared" si="7"/>
        <v/>
      </c>
      <c r="BB59">
        <v>1130</v>
      </c>
      <c r="BC59" t="s">
        <v>227</v>
      </c>
      <c r="BD59" t="s">
        <v>932</v>
      </c>
      <c r="BE59" s="243">
        <f t="shared" si="8"/>
        <v>1960096.1037734</v>
      </c>
    </row>
    <row r="60" spans="1:57">
      <c r="A60">
        <v>1130</v>
      </c>
      <c r="B60" t="s">
        <v>227</v>
      </c>
      <c r="C60" t="s">
        <v>931</v>
      </c>
      <c r="D60" s="176">
        <v>236078219.59551099</v>
      </c>
      <c r="E60">
        <v>0</v>
      </c>
      <c r="G60">
        <v>1130</v>
      </c>
      <c r="H60" t="s">
        <v>227</v>
      </c>
      <c r="I60" t="s">
        <v>931</v>
      </c>
      <c r="J60" s="176">
        <v>237566421.76775399</v>
      </c>
      <c r="K60">
        <v>0</v>
      </c>
      <c r="L60" s="342" t="str">
        <f t="shared" si="5"/>
        <v/>
      </c>
      <c r="M60">
        <v>1130</v>
      </c>
      <c r="N60" t="s">
        <v>227</v>
      </c>
      <c r="O60" t="s">
        <v>931</v>
      </c>
      <c r="P60" s="243">
        <f t="shared" si="6"/>
        <v>426131357.00971419</v>
      </c>
      <c r="S60">
        <v>1130</v>
      </c>
      <c r="T60" t="s">
        <v>227</v>
      </c>
      <c r="U60" t="s">
        <v>931</v>
      </c>
      <c r="V60" s="176">
        <v>43986361.657776996</v>
      </c>
      <c r="W60" s="176">
        <v>116009743.773316</v>
      </c>
      <c r="X60" s="176">
        <v>0</v>
      </c>
      <c r="Y60" s="176">
        <v>69274218.515551001</v>
      </c>
      <c r="Z60" s="176"/>
      <c r="AA60">
        <v>1130</v>
      </c>
      <c r="AB60" s="176" t="s">
        <v>227</v>
      </c>
      <c r="AC60" s="176" t="s">
        <v>931</v>
      </c>
      <c r="AD60" s="176">
        <v>43986361.657776996</v>
      </c>
      <c r="AE60" s="176">
        <v>116009743.773316</v>
      </c>
      <c r="AF60" s="176">
        <v>0</v>
      </c>
      <c r="AG60" s="176">
        <v>69274218.515551001</v>
      </c>
      <c r="AH60" s="342" t="str">
        <f t="shared" si="0"/>
        <v/>
      </c>
      <c r="AI60">
        <v>1130</v>
      </c>
      <c r="AJ60" t="s">
        <v>227</v>
      </c>
      <c r="AK60" t="s">
        <v>931</v>
      </c>
      <c r="AL60" s="245">
        <f t="shared" si="1"/>
        <v>79175450.983998597</v>
      </c>
      <c r="AM60" s="245">
        <f t="shared" si="2"/>
        <v>208817538.79196879</v>
      </c>
      <c r="AN60" s="245">
        <f t="shared" si="3"/>
        <v>0</v>
      </c>
      <c r="AO60" s="245">
        <f t="shared" si="4"/>
        <v>124693593.32799181</v>
      </c>
      <c r="AP60" s="176"/>
      <c r="AQ60" s="176"/>
      <c r="AR60">
        <v>1130</v>
      </c>
      <c r="AS60" t="s">
        <v>227</v>
      </c>
      <c r="AT60" t="s">
        <v>931</v>
      </c>
      <c r="AU60" s="176">
        <v>21484564.754434999</v>
      </c>
      <c r="AW60">
        <v>1130</v>
      </c>
      <c r="AX60" t="s">
        <v>227</v>
      </c>
      <c r="AY60" t="s">
        <v>931</v>
      </c>
      <c r="AZ60" s="176">
        <v>3603329.4266650002</v>
      </c>
      <c r="BA60" s="342" t="str">
        <f t="shared" si="7"/>
        <v/>
      </c>
      <c r="BB60">
        <v>1130</v>
      </c>
      <c r="BC60" t="s">
        <v>227</v>
      </c>
      <c r="BD60" t="s">
        <v>931</v>
      </c>
      <c r="BE60" s="243">
        <f t="shared" si="8"/>
        <v>24367228.295766998</v>
      </c>
    </row>
    <row r="61" spans="1:57">
      <c r="A61">
        <v>1140</v>
      </c>
      <c r="B61" t="s">
        <v>228</v>
      </c>
      <c r="C61" t="s">
        <v>933</v>
      </c>
      <c r="D61" s="176">
        <v>431756157.299918</v>
      </c>
      <c r="E61">
        <v>0</v>
      </c>
      <c r="G61">
        <v>1140</v>
      </c>
      <c r="H61" t="s">
        <v>228</v>
      </c>
      <c r="I61" t="s">
        <v>933</v>
      </c>
      <c r="J61" s="176">
        <v>360504748.98552698</v>
      </c>
      <c r="K61">
        <v>0</v>
      </c>
      <c r="L61" s="342" t="str">
        <f t="shared" si="5"/>
        <v/>
      </c>
      <c r="M61">
        <v>1140</v>
      </c>
      <c r="N61" t="s">
        <v>228</v>
      </c>
      <c r="O61" t="s">
        <v>933</v>
      </c>
      <c r="P61" s="243">
        <f t="shared" si="6"/>
        <v>720159956.48833966</v>
      </c>
      <c r="S61">
        <v>1140</v>
      </c>
      <c r="T61" t="s">
        <v>228</v>
      </c>
      <c r="U61" t="s">
        <v>933</v>
      </c>
      <c r="V61" s="176">
        <v>68209949.394444004</v>
      </c>
      <c r="W61" s="176">
        <v>275276141.12441599</v>
      </c>
      <c r="X61" s="176">
        <v>0</v>
      </c>
      <c r="Y61" s="176">
        <v>14945803.888886999</v>
      </c>
      <c r="Z61" s="176"/>
      <c r="AA61">
        <v>1140</v>
      </c>
      <c r="AB61" s="176" t="s">
        <v>228</v>
      </c>
      <c r="AC61" s="176" t="s">
        <v>933</v>
      </c>
      <c r="AD61" s="176">
        <v>68209949.394444004</v>
      </c>
      <c r="AE61" s="176">
        <v>275276141.12441599</v>
      </c>
      <c r="AF61" s="176">
        <v>0</v>
      </c>
      <c r="AG61" s="176">
        <v>14945803.888886999</v>
      </c>
      <c r="AH61" s="342" t="str">
        <f t="shared" si="0"/>
        <v/>
      </c>
      <c r="AI61">
        <v>1140</v>
      </c>
      <c r="AJ61" t="s">
        <v>228</v>
      </c>
      <c r="AK61" t="s">
        <v>933</v>
      </c>
      <c r="AL61" s="245">
        <f t="shared" si="1"/>
        <v>122777908.90999921</v>
      </c>
      <c r="AM61" s="245">
        <f t="shared" si="2"/>
        <v>495497054.02394879</v>
      </c>
      <c r="AN61" s="245">
        <f t="shared" si="3"/>
        <v>0</v>
      </c>
      <c r="AO61" s="245">
        <f t="shared" si="4"/>
        <v>26902446.999996599</v>
      </c>
      <c r="AP61" s="176"/>
      <c r="AQ61" s="176"/>
      <c r="AR61">
        <v>1140</v>
      </c>
      <c r="AS61" t="s">
        <v>228</v>
      </c>
      <c r="AT61" t="s">
        <v>933</v>
      </c>
      <c r="AU61" s="176">
        <v>208340713.53665999</v>
      </c>
      <c r="AW61">
        <v>1140</v>
      </c>
      <c r="AX61" t="s">
        <v>228</v>
      </c>
      <c r="AY61" t="s">
        <v>933</v>
      </c>
      <c r="AZ61" s="176">
        <v>511024190.64110702</v>
      </c>
      <c r="BA61" s="342" t="str">
        <f t="shared" si="7"/>
        <v/>
      </c>
      <c r="BB61">
        <v>1140</v>
      </c>
      <c r="BC61" t="s">
        <v>228</v>
      </c>
      <c r="BD61" t="s">
        <v>933</v>
      </c>
      <c r="BE61" s="243">
        <f t="shared" si="8"/>
        <v>617160066.04954565</v>
      </c>
    </row>
    <row r="62" spans="1:57">
      <c r="A62">
        <v>1140</v>
      </c>
      <c r="B62" t="s">
        <v>228</v>
      </c>
      <c r="C62" t="s">
        <v>934</v>
      </c>
      <c r="D62" s="176">
        <v>392125775.32543701</v>
      </c>
      <c r="E62">
        <v>0</v>
      </c>
      <c r="G62">
        <v>1140</v>
      </c>
      <c r="H62" t="s">
        <v>228</v>
      </c>
      <c r="I62" t="s">
        <v>934</v>
      </c>
      <c r="J62" s="176">
        <v>244788820.84996399</v>
      </c>
      <c r="K62">
        <v>0</v>
      </c>
      <c r="L62" s="342" t="str">
        <f t="shared" si="5"/>
        <v/>
      </c>
      <c r="M62">
        <v>1140</v>
      </c>
      <c r="N62" t="s">
        <v>228</v>
      </c>
      <c r="O62" t="s">
        <v>934</v>
      </c>
      <c r="P62" s="243">
        <f t="shared" si="6"/>
        <v>587956832.00540829</v>
      </c>
      <c r="S62">
        <v>1140</v>
      </c>
      <c r="T62" t="s">
        <v>228</v>
      </c>
      <c r="U62" t="s">
        <v>934</v>
      </c>
      <c r="V62" s="176">
        <v>112476471.294442</v>
      </c>
      <c r="W62" s="176">
        <v>493794392.91551697</v>
      </c>
      <c r="X62" s="176">
        <v>0</v>
      </c>
      <c r="Y62" s="176">
        <v>44066610.624440998</v>
      </c>
      <c r="Z62" s="176"/>
      <c r="AA62">
        <v>1140</v>
      </c>
      <c r="AB62" s="176" t="s">
        <v>228</v>
      </c>
      <c r="AC62" s="176" t="s">
        <v>934</v>
      </c>
      <c r="AD62" s="176">
        <v>112476471.294442</v>
      </c>
      <c r="AE62" s="176">
        <v>493794392.91551697</v>
      </c>
      <c r="AF62" s="176">
        <v>0</v>
      </c>
      <c r="AG62" s="176">
        <v>44066610.624440998</v>
      </c>
      <c r="AH62" s="342" t="str">
        <f t="shared" si="0"/>
        <v/>
      </c>
      <c r="AI62">
        <v>1140</v>
      </c>
      <c r="AJ62" t="s">
        <v>228</v>
      </c>
      <c r="AK62" t="s">
        <v>934</v>
      </c>
      <c r="AL62" s="245">
        <f t="shared" si="1"/>
        <v>202457648.3299956</v>
      </c>
      <c r="AM62" s="245">
        <f t="shared" si="2"/>
        <v>888829907.24793053</v>
      </c>
      <c r="AN62" s="245">
        <f t="shared" si="3"/>
        <v>0</v>
      </c>
      <c r="AO62" s="245">
        <f t="shared" si="4"/>
        <v>79319899.123993799</v>
      </c>
      <c r="AP62" s="176"/>
      <c r="AQ62" s="176"/>
      <c r="AR62">
        <v>1140</v>
      </c>
      <c r="AS62" t="s">
        <v>228</v>
      </c>
      <c r="AT62" t="s">
        <v>934</v>
      </c>
      <c r="AU62" s="176">
        <v>207449736.70554101</v>
      </c>
      <c r="AW62">
        <v>1140</v>
      </c>
      <c r="AX62" t="s">
        <v>228</v>
      </c>
      <c r="AY62" t="s">
        <v>934</v>
      </c>
      <c r="AZ62" s="176">
        <v>82858399.442217007</v>
      </c>
      <c r="BA62" s="342" t="str">
        <f t="shared" si="7"/>
        <v/>
      </c>
      <c r="BB62">
        <v>1140</v>
      </c>
      <c r="BC62" t="s">
        <v>228</v>
      </c>
      <c r="BD62" t="s">
        <v>934</v>
      </c>
      <c r="BE62" s="243">
        <f t="shared" si="8"/>
        <v>273736456.25931466</v>
      </c>
    </row>
    <row r="63" spans="1:57">
      <c r="A63">
        <v>1140</v>
      </c>
      <c r="B63" t="s">
        <v>228</v>
      </c>
      <c r="C63" t="s">
        <v>1932</v>
      </c>
      <c r="D63" s="176">
        <v>79952818.586640999</v>
      </c>
      <c r="E63">
        <v>0</v>
      </c>
      <c r="G63">
        <v>1140</v>
      </c>
      <c r="H63" t="s">
        <v>228</v>
      </c>
      <c r="I63" t="s">
        <v>1932</v>
      </c>
      <c r="J63" s="176">
        <v>17981712.052216999</v>
      </c>
      <c r="K63">
        <v>0</v>
      </c>
      <c r="L63" s="342" t="str">
        <f t="shared" si="5"/>
        <v/>
      </c>
      <c r="M63">
        <v>1140</v>
      </c>
      <c r="N63" t="s">
        <v>228</v>
      </c>
      <c r="O63" t="s">
        <v>1932</v>
      </c>
      <c r="P63" s="243">
        <f t="shared" si="6"/>
        <v>94338188.228414595</v>
      </c>
      <c r="S63">
        <v>1140</v>
      </c>
      <c r="T63" t="s">
        <v>228</v>
      </c>
      <c r="U63" t="s">
        <v>1932</v>
      </c>
      <c r="V63" s="176">
        <v>22623153.280000001</v>
      </c>
      <c r="W63" s="176">
        <v>71768395.198877007</v>
      </c>
      <c r="X63" s="176">
        <v>0</v>
      </c>
      <c r="Y63" s="176">
        <v>6984862.2622220004</v>
      </c>
      <c r="Z63" s="176"/>
      <c r="AA63">
        <v>1140</v>
      </c>
      <c r="AB63" s="176" t="s">
        <v>228</v>
      </c>
      <c r="AC63" s="176" t="s">
        <v>1932</v>
      </c>
      <c r="AD63" s="176">
        <v>22623153.280000001</v>
      </c>
      <c r="AE63" s="176">
        <v>71768395.198877007</v>
      </c>
      <c r="AF63" s="176">
        <v>0</v>
      </c>
      <c r="AG63" s="176">
        <v>6984862.2622220004</v>
      </c>
      <c r="AH63" s="342" t="str">
        <f t="shared" si="0"/>
        <v/>
      </c>
      <c r="AI63">
        <v>1140</v>
      </c>
      <c r="AJ63" t="s">
        <v>228</v>
      </c>
      <c r="AK63" t="s">
        <v>1932</v>
      </c>
      <c r="AL63" s="245">
        <f t="shared" si="1"/>
        <v>40721675.903999999</v>
      </c>
      <c r="AM63" s="245">
        <f t="shared" si="2"/>
        <v>129183111.35797861</v>
      </c>
      <c r="AN63" s="245">
        <f t="shared" si="3"/>
        <v>0</v>
      </c>
      <c r="AO63" s="245">
        <f t="shared" si="4"/>
        <v>12572752.071999602</v>
      </c>
      <c r="AP63" s="176"/>
      <c r="AQ63" s="176"/>
      <c r="AR63">
        <v>1140</v>
      </c>
      <c r="AS63" t="s">
        <v>228</v>
      </c>
      <c r="AT63" t="s">
        <v>1932</v>
      </c>
      <c r="AU63" s="176">
        <v>3396908.38222</v>
      </c>
      <c r="AW63">
        <v>1140</v>
      </c>
      <c r="AX63" t="s">
        <v>228</v>
      </c>
      <c r="AY63" t="s">
        <v>1932</v>
      </c>
      <c r="AZ63" s="176">
        <v>4012038.3011110001</v>
      </c>
      <c r="BA63" s="342" t="str">
        <f t="shared" si="7"/>
        <v/>
      </c>
      <c r="BB63">
        <v>1140</v>
      </c>
      <c r="BC63" t="s">
        <v>228</v>
      </c>
      <c r="BD63" t="s">
        <v>1932</v>
      </c>
      <c r="BE63" s="243">
        <f t="shared" si="8"/>
        <v>6606539.0231088009</v>
      </c>
    </row>
    <row r="64" spans="1:57">
      <c r="A64">
        <v>1150</v>
      </c>
      <c r="B64" t="s">
        <v>229</v>
      </c>
      <c r="C64" t="s">
        <v>906</v>
      </c>
      <c r="D64" s="176">
        <v>200903982.25430301</v>
      </c>
      <c r="E64">
        <v>0</v>
      </c>
      <c r="G64">
        <v>1150</v>
      </c>
      <c r="H64" t="s">
        <v>229</v>
      </c>
      <c r="I64" t="s">
        <v>906</v>
      </c>
      <c r="J64" s="176">
        <v>105910981.043313</v>
      </c>
      <c r="K64">
        <v>0</v>
      </c>
      <c r="L64" s="342" t="str">
        <f t="shared" si="5"/>
        <v/>
      </c>
      <c r="M64">
        <v>1150</v>
      </c>
      <c r="N64" t="s">
        <v>229</v>
      </c>
      <c r="O64" t="s">
        <v>906</v>
      </c>
      <c r="P64" s="243">
        <f t="shared" si="6"/>
        <v>285632767.08895338</v>
      </c>
      <c r="S64">
        <v>1150</v>
      </c>
      <c r="T64" t="s">
        <v>229</v>
      </c>
      <c r="U64" t="s">
        <v>906</v>
      </c>
      <c r="V64" s="176">
        <v>115363488.296665</v>
      </c>
      <c r="W64" s="176">
        <v>265204734.87550399</v>
      </c>
      <c r="X64" s="176">
        <v>0</v>
      </c>
      <c r="Y64" s="176">
        <v>23635130</v>
      </c>
      <c r="Z64" s="176"/>
      <c r="AA64">
        <v>1150</v>
      </c>
      <c r="AB64" s="176" t="s">
        <v>229</v>
      </c>
      <c r="AC64" s="176" t="s">
        <v>906</v>
      </c>
      <c r="AD64" s="176">
        <v>115363488.296665</v>
      </c>
      <c r="AE64" s="176">
        <v>265204734.87550399</v>
      </c>
      <c r="AF64">
        <v>0</v>
      </c>
      <c r="AG64" s="176">
        <v>23635130</v>
      </c>
      <c r="AH64" s="342" t="str">
        <f t="shared" si="0"/>
        <v/>
      </c>
      <c r="AI64">
        <v>1150</v>
      </c>
      <c r="AJ64" t="s">
        <v>229</v>
      </c>
      <c r="AK64" t="s">
        <v>906</v>
      </c>
      <c r="AL64" s="245">
        <f t="shared" si="1"/>
        <v>207654278.93399701</v>
      </c>
      <c r="AM64" s="245">
        <f t="shared" si="2"/>
        <v>477368522.77590716</v>
      </c>
      <c r="AN64" s="245">
        <f t="shared" si="3"/>
        <v>0</v>
      </c>
      <c r="AO64" s="245">
        <f t="shared" si="4"/>
        <v>42543234</v>
      </c>
      <c r="AP64" s="176"/>
      <c r="AQ64" s="176"/>
      <c r="AR64">
        <v>1150</v>
      </c>
      <c r="AS64" t="s">
        <v>229</v>
      </c>
      <c r="AT64" t="s">
        <v>906</v>
      </c>
      <c r="AU64" s="176">
        <v>113803939.132204</v>
      </c>
      <c r="AW64">
        <v>1150</v>
      </c>
      <c r="AX64" t="s">
        <v>229</v>
      </c>
      <c r="AY64" t="s">
        <v>906</v>
      </c>
      <c r="AZ64" s="176">
        <v>87004901.123328</v>
      </c>
      <c r="BA64" s="342" t="str">
        <f t="shared" si="7"/>
        <v/>
      </c>
      <c r="BB64">
        <v>1150</v>
      </c>
      <c r="BC64" t="s">
        <v>229</v>
      </c>
      <c r="BD64" t="s">
        <v>906</v>
      </c>
      <c r="BE64" s="243">
        <f t="shared" si="8"/>
        <v>183407860.03086638</v>
      </c>
    </row>
    <row r="65" spans="1:57">
      <c r="A65">
        <v>1150</v>
      </c>
      <c r="B65" t="s">
        <v>229</v>
      </c>
      <c r="C65" t="s">
        <v>1933</v>
      </c>
      <c r="D65" s="176">
        <v>137067555.773305</v>
      </c>
      <c r="E65">
        <v>0</v>
      </c>
      <c r="G65">
        <v>1150</v>
      </c>
      <c r="H65" t="s">
        <v>229</v>
      </c>
      <c r="I65" t="s">
        <v>1933</v>
      </c>
      <c r="J65" s="176">
        <v>88818069.875549003</v>
      </c>
      <c r="K65">
        <v>0</v>
      </c>
      <c r="L65" s="342" t="str">
        <f t="shared" si="5"/>
        <v/>
      </c>
      <c r="M65">
        <v>1150</v>
      </c>
      <c r="N65" t="s">
        <v>229</v>
      </c>
      <c r="O65" t="s">
        <v>1933</v>
      </c>
      <c r="P65" s="243">
        <f t="shared" si="6"/>
        <v>208122011.6737442</v>
      </c>
      <c r="S65">
        <v>1150</v>
      </c>
      <c r="T65" t="s">
        <v>229</v>
      </c>
      <c r="U65" t="s">
        <v>1933</v>
      </c>
      <c r="V65" s="176">
        <v>45520611.717776</v>
      </c>
      <c r="W65" s="176">
        <v>146961248.69997799</v>
      </c>
      <c r="X65">
        <v>0</v>
      </c>
      <c r="Y65" s="176">
        <v>33012634.432220999</v>
      </c>
      <c r="Z65" s="176"/>
      <c r="AA65">
        <v>1150</v>
      </c>
      <c r="AB65" s="176" t="s">
        <v>229</v>
      </c>
      <c r="AC65" s="176" t="s">
        <v>1933</v>
      </c>
      <c r="AD65" s="176">
        <v>45520611.717776</v>
      </c>
      <c r="AE65" s="176">
        <v>146961248.69997799</v>
      </c>
      <c r="AF65">
        <v>0</v>
      </c>
      <c r="AG65" s="176">
        <v>33012634.432220999</v>
      </c>
      <c r="AH65" s="342" t="str">
        <f t="shared" si="0"/>
        <v/>
      </c>
      <c r="AI65">
        <v>1150</v>
      </c>
      <c r="AJ65" t="s">
        <v>229</v>
      </c>
      <c r="AK65" t="s">
        <v>1933</v>
      </c>
      <c r="AL65" s="245">
        <f t="shared" si="1"/>
        <v>81937101.091996804</v>
      </c>
      <c r="AM65" s="245">
        <f t="shared" si="2"/>
        <v>264530247.65996039</v>
      </c>
      <c r="AN65" s="245">
        <f t="shared" si="3"/>
        <v>0</v>
      </c>
      <c r="AO65" s="245">
        <f t="shared" si="4"/>
        <v>59422741.977997795</v>
      </c>
      <c r="AP65" s="176"/>
      <c r="AQ65" s="176"/>
      <c r="AR65">
        <v>1150</v>
      </c>
      <c r="AS65" t="s">
        <v>229</v>
      </c>
      <c r="AT65" t="s">
        <v>1933</v>
      </c>
      <c r="AU65" s="176">
        <v>58400647.793324001</v>
      </c>
      <c r="AW65">
        <v>1150</v>
      </c>
      <c r="AX65" t="s">
        <v>229</v>
      </c>
      <c r="AY65" t="s">
        <v>1933</v>
      </c>
      <c r="AZ65" s="176">
        <v>51036523.071105003</v>
      </c>
      <c r="BA65" s="342" t="str">
        <f t="shared" si="7"/>
        <v/>
      </c>
      <c r="BB65">
        <v>1150</v>
      </c>
      <c r="BC65" t="s">
        <v>229</v>
      </c>
      <c r="BD65" t="s">
        <v>1933</v>
      </c>
      <c r="BE65" s="243">
        <f t="shared" si="8"/>
        <v>99229866.250208005</v>
      </c>
    </row>
    <row r="66" spans="1:57">
      <c r="A66">
        <v>1160</v>
      </c>
      <c r="B66" t="s">
        <v>230</v>
      </c>
      <c r="C66" t="s">
        <v>937</v>
      </c>
      <c r="D66" s="176">
        <v>235327097.23215199</v>
      </c>
      <c r="E66">
        <v>0</v>
      </c>
      <c r="G66">
        <v>1160</v>
      </c>
      <c r="H66" t="s">
        <v>230</v>
      </c>
      <c r="I66" t="s">
        <v>937</v>
      </c>
      <c r="J66" s="176">
        <v>198927816.39330599</v>
      </c>
      <c r="K66">
        <v>0</v>
      </c>
      <c r="L66" s="342" t="str">
        <f t="shared" si="5"/>
        <v/>
      </c>
      <c r="M66">
        <v>1160</v>
      </c>
      <c r="N66" t="s">
        <v>230</v>
      </c>
      <c r="O66" t="s">
        <v>937</v>
      </c>
      <c r="P66" s="243">
        <f t="shared" si="6"/>
        <v>394469350.34679675</v>
      </c>
      <c r="S66">
        <v>1160</v>
      </c>
      <c r="T66" t="s">
        <v>230</v>
      </c>
      <c r="U66" t="s">
        <v>937</v>
      </c>
      <c r="V66" s="176">
        <v>57906497.274443001</v>
      </c>
      <c r="W66" s="176">
        <v>224531616.659973</v>
      </c>
      <c r="X66">
        <v>0</v>
      </c>
      <c r="Y66" s="176">
        <v>19228056.159999002</v>
      </c>
      <c r="Z66" s="176"/>
      <c r="AA66">
        <v>1160</v>
      </c>
      <c r="AB66" s="176" t="s">
        <v>230</v>
      </c>
      <c r="AC66" s="176" t="s">
        <v>937</v>
      </c>
      <c r="AD66" s="176">
        <v>57906497.274443001</v>
      </c>
      <c r="AE66" s="176">
        <v>224531616.659973</v>
      </c>
      <c r="AF66">
        <v>0</v>
      </c>
      <c r="AG66" s="176">
        <v>19228056.159999002</v>
      </c>
      <c r="AH66" s="342" t="str">
        <f t="shared" si="0"/>
        <v/>
      </c>
      <c r="AI66">
        <v>1160</v>
      </c>
      <c r="AJ66" t="s">
        <v>230</v>
      </c>
      <c r="AK66" t="s">
        <v>937</v>
      </c>
      <c r="AL66" s="245">
        <f t="shared" si="1"/>
        <v>104231695.0939974</v>
      </c>
      <c r="AM66" s="245">
        <f t="shared" si="2"/>
        <v>404156909.9879514</v>
      </c>
      <c r="AN66" s="245">
        <f t="shared" si="3"/>
        <v>0</v>
      </c>
      <c r="AO66" s="245">
        <f t="shared" si="4"/>
        <v>34610501.087998204</v>
      </c>
      <c r="AP66" s="176"/>
      <c r="AQ66" s="176"/>
      <c r="AR66">
        <v>1160</v>
      </c>
      <c r="AS66" t="s">
        <v>230</v>
      </c>
      <c r="AT66" t="s">
        <v>937</v>
      </c>
      <c r="AU66" s="176">
        <v>52545638.665544003</v>
      </c>
      <c r="AW66">
        <v>1160</v>
      </c>
      <c r="AX66" t="s">
        <v>230</v>
      </c>
      <c r="AY66" t="s">
        <v>937</v>
      </c>
      <c r="AZ66" s="176">
        <v>19937714.027773</v>
      </c>
      <c r="BA66" s="342" t="str">
        <f t="shared" si="7"/>
        <v/>
      </c>
      <c r="BB66">
        <v>1160</v>
      </c>
      <c r="BC66" t="s">
        <v>230</v>
      </c>
      <c r="BD66" t="s">
        <v>937</v>
      </c>
      <c r="BE66" s="243">
        <f t="shared" si="8"/>
        <v>68495809.887762398</v>
      </c>
    </row>
    <row r="67" spans="1:57">
      <c r="A67">
        <v>1160</v>
      </c>
      <c r="B67" t="s">
        <v>230</v>
      </c>
      <c r="C67" t="s">
        <v>1680</v>
      </c>
      <c r="D67" s="176">
        <v>141168062.62331</v>
      </c>
      <c r="E67">
        <v>0</v>
      </c>
      <c r="G67">
        <v>1160</v>
      </c>
      <c r="H67" t="s">
        <v>230</v>
      </c>
      <c r="I67" t="s">
        <v>1680</v>
      </c>
      <c r="J67" s="176">
        <v>67494469.809982002</v>
      </c>
      <c r="K67">
        <v>0</v>
      </c>
      <c r="L67" s="342" t="str">
        <f t="shared" si="5"/>
        <v/>
      </c>
      <c r="M67">
        <v>1160</v>
      </c>
      <c r="N67" t="s">
        <v>230</v>
      </c>
      <c r="O67" t="s">
        <v>1680</v>
      </c>
      <c r="P67" s="243">
        <f t="shared" si="6"/>
        <v>195163638.4712956</v>
      </c>
      <c r="S67">
        <v>1160</v>
      </c>
      <c r="T67" t="s">
        <v>230</v>
      </c>
      <c r="U67" t="s">
        <v>1680</v>
      </c>
      <c r="V67" s="176">
        <v>54590826.716664001</v>
      </c>
      <c r="W67" s="176">
        <v>232316409.392207</v>
      </c>
      <c r="X67" s="176">
        <v>2000000</v>
      </c>
      <c r="Y67" s="176">
        <v>4450144.4444439998</v>
      </c>
      <c r="Z67" s="176"/>
      <c r="AA67">
        <v>1160</v>
      </c>
      <c r="AB67" s="176" t="s">
        <v>230</v>
      </c>
      <c r="AC67" s="176" t="s">
        <v>1680</v>
      </c>
      <c r="AD67" s="176">
        <v>54590826.716664001</v>
      </c>
      <c r="AE67" s="176">
        <v>232316409.392207</v>
      </c>
      <c r="AF67" s="176">
        <v>2000000</v>
      </c>
      <c r="AG67" s="176">
        <v>4450144.4444439998</v>
      </c>
      <c r="AH67" s="342" t="str">
        <f t="shared" si="0"/>
        <v/>
      </c>
      <c r="AI67">
        <v>1160</v>
      </c>
      <c r="AJ67" t="s">
        <v>230</v>
      </c>
      <c r="AK67" t="s">
        <v>1680</v>
      </c>
      <c r="AL67" s="245">
        <f t="shared" si="1"/>
        <v>98263488.089995205</v>
      </c>
      <c r="AM67" s="245">
        <f t="shared" si="2"/>
        <v>418169536.9059726</v>
      </c>
      <c r="AN67" s="245">
        <f t="shared" si="3"/>
        <v>3600000</v>
      </c>
      <c r="AO67" s="245">
        <f t="shared" si="4"/>
        <v>8010259.9999992</v>
      </c>
      <c r="AP67" s="176"/>
      <c r="AQ67" s="176"/>
      <c r="AR67">
        <v>1160</v>
      </c>
      <c r="AS67" t="s">
        <v>230</v>
      </c>
      <c r="AT67" t="s">
        <v>1680</v>
      </c>
      <c r="AU67" s="176">
        <v>3408471.2622190001</v>
      </c>
      <c r="AW67">
        <v>1160</v>
      </c>
      <c r="AX67" t="s">
        <v>230</v>
      </c>
      <c r="AY67" t="s">
        <v>1680</v>
      </c>
      <c r="AZ67" s="176">
        <v>5017689.1711100005</v>
      </c>
      <c r="BA67" s="342" t="str">
        <f t="shared" si="7"/>
        <v/>
      </c>
      <c r="BB67">
        <v>1160</v>
      </c>
      <c r="BC67" t="s">
        <v>230</v>
      </c>
      <c r="BD67" t="s">
        <v>1680</v>
      </c>
      <c r="BE67" s="243">
        <f t="shared" si="8"/>
        <v>7422622.599107001</v>
      </c>
    </row>
    <row r="68" spans="1:57">
      <c r="A68">
        <v>1160</v>
      </c>
      <c r="B68" t="s">
        <v>230</v>
      </c>
      <c r="C68" t="s">
        <v>1681</v>
      </c>
      <c r="D68" s="176">
        <v>79692379.779924005</v>
      </c>
      <c r="E68">
        <v>0</v>
      </c>
      <c r="G68">
        <v>1160</v>
      </c>
      <c r="H68" t="s">
        <v>230</v>
      </c>
      <c r="I68" t="s">
        <v>1681</v>
      </c>
      <c r="J68" s="176">
        <v>51503415.218874</v>
      </c>
      <c r="K68">
        <v>0</v>
      </c>
      <c r="L68" s="342" t="str">
        <f t="shared" si="5"/>
        <v/>
      </c>
      <c r="M68">
        <v>1160</v>
      </c>
      <c r="N68" t="s">
        <v>230</v>
      </c>
      <c r="O68" t="s">
        <v>1681</v>
      </c>
      <c r="P68" s="243">
        <f t="shared" si="6"/>
        <v>120895111.9550232</v>
      </c>
      <c r="S68">
        <v>1160</v>
      </c>
      <c r="T68" t="s">
        <v>230</v>
      </c>
      <c r="U68" t="s">
        <v>1681</v>
      </c>
      <c r="V68" s="176">
        <v>19731298.05333</v>
      </c>
      <c r="W68" s="176">
        <v>118475588.364415</v>
      </c>
      <c r="X68" s="176">
        <v>0</v>
      </c>
      <c r="Y68" s="176">
        <v>8024489.7888869997</v>
      </c>
      <c r="Z68" s="176"/>
      <c r="AA68">
        <v>1160</v>
      </c>
      <c r="AB68" s="176" t="s">
        <v>230</v>
      </c>
      <c r="AC68" s="176" t="s">
        <v>1681</v>
      </c>
      <c r="AD68" s="176">
        <v>19731298.05333</v>
      </c>
      <c r="AE68" s="176">
        <v>118475588.364415</v>
      </c>
      <c r="AF68">
        <v>0</v>
      </c>
      <c r="AG68" s="176">
        <v>8024489.7888869997</v>
      </c>
      <c r="AH68" s="342" t="str">
        <f t="shared" ref="AH68:AH131" si="9">IF(AND(M68 = S68, O68 = U68), "", "ATT")</f>
        <v/>
      </c>
      <c r="AI68">
        <v>1160</v>
      </c>
      <c r="AJ68" t="s">
        <v>230</v>
      </c>
      <c r="AK68" t="s">
        <v>1681</v>
      </c>
      <c r="AL68" s="245">
        <f t="shared" ref="AL68:AL131" si="10">V68+(AD68*0.8)</f>
        <v>35516336.495994002</v>
      </c>
      <c r="AM68" s="245">
        <f t="shared" ref="AM68:AM131" si="11">W68+(AE68*0.8)</f>
        <v>213256059.05594701</v>
      </c>
      <c r="AN68" s="245">
        <f t="shared" ref="AN68:AN131" si="12">X68+(AF68*0.8)</f>
        <v>0</v>
      </c>
      <c r="AO68" s="245">
        <f t="shared" ref="AO68:AO131" si="13">Y68+(AG68*0.8)</f>
        <v>14444081.6199966</v>
      </c>
      <c r="AP68" s="176"/>
      <c r="AQ68" s="176"/>
      <c r="AR68">
        <v>1160</v>
      </c>
      <c r="AS68" t="s">
        <v>230</v>
      </c>
      <c r="AT68" t="s">
        <v>1681</v>
      </c>
      <c r="AU68" s="176">
        <v>6247259.474436</v>
      </c>
      <c r="AW68">
        <v>1160</v>
      </c>
      <c r="AX68" t="s">
        <v>230</v>
      </c>
      <c r="AY68" t="s">
        <v>1681</v>
      </c>
      <c r="AZ68" s="176">
        <v>0</v>
      </c>
      <c r="BA68" s="342" t="str">
        <f t="shared" si="7"/>
        <v/>
      </c>
      <c r="BB68">
        <v>1160</v>
      </c>
      <c r="BC68" t="s">
        <v>230</v>
      </c>
      <c r="BD68" t="s">
        <v>1681</v>
      </c>
      <c r="BE68" s="243">
        <f t="shared" si="8"/>
        <v>6247259.474436</v>
      </c>
    </row>
    <row r="69" spans="1:57">
      <c r="A69">
        <v>1170</v>
      </c>
      <c r="B69" t="s">
        <v>231</v>
      </c>
      <c r="C69" t="s">
        <v>1682</v>
      </c>
      <c r="D69" s="176">
        <v>77718523.618852004</v>
      </c>
      <c r="E69">
        <v>0</v>
      </c>
      <c r="G69">
        <v>1170</v>
      </c>
      <c r="H69" t="s">
        <v>231</v>
      </c>
      <c r="I69" t="s">
        <v>1682</v>
      </c>
      <c r="J69" s="176">
        <v>34731198.548881002</v>
      </c>
      <c r="K69">
        <v>0</v>
      </c>
      <c r="L69" s="342" t="str">
        <f t="shared" ref="L69:L132" si="14">IF(AND(A69 = G69, C69 = I69), "", "ATT")</f>
        <v/>
      </c>
      <c r="M69">
        <v>1170</v>
      </c>
      <c r="N69" t="s">
        <v>231</v>
      </c>
      <c r="O69" t="s">
        <v>1682</v>
      </c>
      <c r="P69" s="243">
        <f t="shared" ref="P69:P132" si="15">D69+(J69*0.8)</f>
        <v>105503482.45795681</v>
      </c>
      <c r="S69">
        <v>1170</v>
      </c>
      <c r="T69" t="s">
        <v>231</v>
      </c>
      <c r="U69" t="s">
        <v>1682</v>
      </c>
      <c r="V69" s="176">
        <v>17733230.129999999</v>
      </c>
      <c r="W69" s="176">
        <v>52084723.783320002</v>
      </c>
      <c r="X69" s="176">
        <v>1000000</v>
      </c>
      <c r="Y69" s="176">
        <v>16723230</v>
      </c>
      <c r="Z69" s="176"/>
      <c r="AA69">
        <v>1170</v>
      </c>
      <c r="AB69" s="176" t="s">
        <v>231</v>
      </c>
      <c r="AC69" s="176" t="s">
        <v>1682</v>
      </c>
      <c r="AD69" s="176">
        <v>17733230.129999999</v>
      </c>
      <c r="AE69" s="176">
        <v>52084723.783320002</v>
      </c>
      <c r="AF69" s="176">
        <v>1000000</v>
      </c>
      <c r="AG69" s="176">
        <v>16723230</v>
      </c>
      <c r="AH69" s="342" t="str">
        <f t="shared" si="9"/>
        <v/>
      </c>
      <c r="AI69">
        <v>1170</v>
      </c>
      <c r="AJ69" t="s">
        <v>231</v>
      </c>
      <c r="AK69" t="s">
        <v>1682</v>
      </c>
      <c r="AL69" s="245">
        <f t="shared" si="10"/>
        <v>31919814.233999997</v>
      </c>
      <c r="AM69" s="245">
        <f t="shared" si="11"/>
        <v>93752502.809976012</v>
      </c>
      <c r="AN69" s="245">
        <f t="shared" si="12"/>
        <v>1800000</v>
      </c>
      <c r="AO69" s="245">
        <f t="shared" si="13"/>
        <v>30101814</v>
      </c>
      <c r="AP69" s="176"/>
      <c r="AQ69" s="176"/>
      <c r="AR69">
        <v>1170</v>
      </c>
      <c r="AS69" t="s">
        <v>231</v>
      </c>
      <c r="AT69" t="s">
        <v>1682</v>
      </c>
      <c r="AU69" s="176">
        <v>35610069.012213998</v>
      </c>
      <c r="AW69">
        <v>1170</v>
      </c>
      <c r="AX69" t="s">
        <v>231</v>
      </c>
      <c r="AY69" t="s">
        <v>1682</v>
      </c>
      <c r="AZ69" s="176">
        <v>30487991.585553002</v>
      </c>
      <c r="BA69" s="342" t="str">
        <f t="shared" ref="BA69:BA132" si="16">IF(AND(AR69 = AW69, AT69 = AY69), "", "ATT")</f>
        <v/>
      </c>
      <c r="BB69">
        <v>1170</v>
      </c>
      <c r="BC69" t="s">
        <v>231</v>
      </c>
      <c r="BD69" t="s">
        <v>1682</v>
      </c>
      <c r="BE69" s="243">
        <f t="shared" ref="BE69:BE132" si="17">AU69+(0.8*AZ69)</f>
        <v>60000462.280656397</v>
      </c>
    </row>
    <row r="70" spans="1:57">
      <c r="A70">
        <v>1170</v>
      </c>
      <c r="B70" t="s">
        <v>231</v>
      </c>
      <c r="C70" t="s">
        <v>903</v>
      </c>
      <c r="D70" s="176">
        <v>265012425.88440701</v>
      </c>
      <c r="E70">
        <v>0</v>
      </c>
      <c r="G70">
        <v>1170</v>
      </c>
      <c r="H70" t="s">
        <v>231</v>
      </c>
      <c r="I70" t="s">
        <v>903</v>
      </c>
      <c r="J70" s="176">
        <v>280633495.01440901</v>
      </c>
      <c r="K70">
        <v>0</v>
      </c>
      <c r="L70" s="342" t="str">
        <f t="shared" si="14"/>
        <v/>
      </c>
      <c r="M70">
        <v>1170</v>
      </c>
      <c r="N70" t="s">
        <v>231</v>
      </c>
      <c r="O70" t="s">
        <v>903</v>
      </c>
      <c r="P70" s="243">
        <f t="shared" si="15"/>
        <v>489519221.89593422</v>
      </c>
      <c r="S70">
        <v>1170</v>
      </c>
      <c r="T70" t="s">
        <v>231</v>
      </c>
      <c r="U70" t="s">
        <v>903</v>
      </c>
      <c r="V70" s="176">
        <v>50526688.154441997</v>
      </c>
      <c r="W70" s="176">
        <v>233445582.20443201</v>
      </c>
      <c r="X70" s="176">
        <v>0</v>
      </c>
      <c r="Y70" s="176">
        <v>31567283.888888001</v>
      </c>
      <c r="Z70" s="176"/>
      <c r="AA70">
        <v>1170</v>
      </c>
      <c r="AB70" s="176" t="s">
        <v>231</v>
      </c>
      <c r="AC70" s="176" t="s">
        <v>903</v>
      </c>
      <c r="AD70" s="176">
        <v>50526688.154441997</v>
      </c>
      <c r="AE70" s="176">
        <v>233445582.20443201</v>
      </c>
      <c r="AF70">
        <v>0</v>
      </c>
      <c r="AG70" s="176">
        <v>31567283.888888001</v>
      </c>
      <c r="AH70" s="342" t="str">
        <f t="shared" si="9"/>
        <v/>
      </c>
      <c r="AI70">
        <v>1170</v>
      </c>
      <c r="AJ70" t="s">
        <v>231</v>
      </c>
      <c r="AK70" t="s">
        <v>903</v>
      </c>
      <c r="AL70" s="245">
        <f t="shared" si="10"/>
        <v>90948038.677995592</v>
      </c>
      <c r="AM70" s="245">
        <f t="shared" si="11"/>
        <v>420202047.96797764</v>
      </c>
      <c r="AN70" s="245">
        <f t="shared" si="12"/>
        <v>0</v>
      </c>
      <c r="AO70" s="245">
        <f t="shared" si="13"/>
        <v>56821110.999998406</v>
      </c>
      <c r="AP70" s="176"/>
      <c r="AQ70" s="176"/>
      <c r="AR70">
        <v>1170</v>
      </c>
      <c r="AS70" t="s">
        <v>231</v>
      </c>
      <c r="AT70" t="s">
        <v>903</v>
      </c>
      <c r="AU70" s="176">
        <v>105991438.12998199</v>
      </c>
      <c r="AW70">
        <v>1170</v>
      </c>
      <c r="AX70" t="s">
        <v>231</v>
      </c>
      <c r="AY70" t="s">
        <v>903</v>
      </c>
      <c r="AZ70" s="176">
        <v>82817181.057767004</v>
      </c>
      <c r="BA70" s="342" t="str">
        <f t="shared" si="16"/>
        <v/>
      </c>
      <c r="BB70">
        <v>1170</v>
      </c>
      <c r="BC70" t="s">
        <v>231</v>
      </c>
      <c r="BD70" t="s">
        <v>903</v>
      </c>
      <c r="BE70" s="243">
        <f t="shared" si="17"/>
        <v>172245182.9761956</v>
      </c>
    </row>
    <row r="71" spans="1:57">
      <c r="A71">
        <v>1170</v>
      </c>
      <c r="B71" t="s">
        <v>231</v>
      </c>
      <c r="C71" t="s">
        <v>1547</v>
      </c>
      <c r="D71" s="176">
        <v>127971692.212137</v>
      </c>
      <c r="E71">
        <v>0</v>
      </c>
      <c r="G71">
        <v>1170</v>
      </c>
      <c r="H71" t="s">
        <v>231</v>
      </c>
      <c r="I71" t="s">
        <v>1547</v>
      </c>
      <c r="J71" s="176">
        <v>121262859.712192</v>
      </c>
      <c r="K71">
        <v>0</v>
      </c>
      <c r="L71" s="342" t="str">
        <f t="shared" si="14"/>
        <v/>
      </c>
      <c r="M71">
        <v>1170</v>
      </c>
      <c r="N71" t="s">
        <v>231</v>
      </c>
      <c r="O71" t="s">
        <v>1547</v>
      </c>
      <c r="P71" s="243">
        <f t="shared" si="15"/>
        <v>224981979.98189062</v>
      </c>
      <c r="S71">
        <v>1170</v>
      </c>
      <c r="T71" t="s">
        <v>231</v>
      </c>
      <c r="U71" t="s">
        <v>1547</v>
      </c>
      <c r="V71" s="176">
        <v>39626450.409998</v>
      </c>
      <c r="W71" s="176">
        <v>141068031.35330901</v>
      </c>
      <c r="X71">
        <v>1843600</v>
      </c>
      <c r="Y71" s="176">
        <v>30514679</v>
      </c>
      <c r="Z71" s="176"/>
      <c r="AA71">
        <v>1170</v>
      </c>
      <c r="AB71" s="176" t="s">
        <v>231</v>
      </c>
      <c r="AC71" s="176" t="s">
        <v>1547</v>
      </c>
      <c r="AD71" s="176">
        <v>39626450.409998</v>
      </c>
      <c r="AE71" s="176">
        <v>141068031.35330901</v>
      </c>
      <c r="AF71">
        <v>1843600</v>
      </c>
      <c r="AG71" s="176">
        <v>30514679</v>
      </c>
      <c r="AH71" s="342" t="str">
        <f t="shared" si="9"/>
        <v/>
      </c>
      <c r="AI71">
        <v>1170</v>
      </c>
      <c r="AJ71" t="s">
        <v>231</v>
      </c>
      <c r="AK71" t="s">
        <v>1547</v>
      </c>
      <c r="AL71" s="245">
        <f t="shared" si="10"/>
        <v>71327610.737996399</v>
      </c>
      <c r="AM71" s="245">
        <f t="shared" si="11"/>
        <v>253922456.43595621</v>
      </c>
      <c r="AN71" s="245">
        <f t="shared" si="12"/>
        <v>3318480</v>
      </c>
      <c r="AO71" s="245">
        <f t="shared" si="13"/>
        <v>54926422.200000003</v>
      </c>
      <c r="AP71" s="176"/>
      <c r="AQ71" s="176"/>
      <c r="AR71">
        <v>1170</v>
      </c>
      <c r="AS71" t="s">
        <v>231</v>
      </c>
      <c r="AT71" t="s">
        <v>1547</v>
      </c>
      <c r="AU71" s="176">
        <v>19588799.345539</v>
      </c>
      <c r="AW71">
        <v>1170</v>
      </c>
      <c r="AX71" t="s">
        <v>231</v>
      </c>
      <c r="AY71" t="s">
        <v>1547</v>
      </c>
      <c r="AZ71" s="176">
        <v>29276193.472215001</v>
      </c>
      <c r="BA71" s="342" t="str">
        <f t="shared" si="16"/>
        <v/>
      </c>
      <c r="BB71">
        <v>1170</v>
      </c>
      <c r="BC71" t="s">
        <v>231</v>
      </c>
      <c r="BD71" t="s">
        <v>1547</v>
      </c>
      <c r="BE71" s="243">
        <f t="shared" si="17"/>
        <v>43009754.123310998</v>
      </c>
    </row>
    <row r="72" spans="1:57">
      <c r="A72">
        <v>1170</v>
      </c>
      <c r="B72" t="s">
        <v>231</v>
      </c>
      <c r="C72" t="s">
        <v>939</v>
      </c>
      <c r="D72" s="176">
        <v>217392997.88325199</v>
      </c>
      <c r="E72">
        <v>0</v>
      </c>
      <c r="G72">
        <v>1170</v>
      </c>
      <c r="H72" t="s">
        <v>231</v>
      </c>
      <c r="I72" t="s">
        <v>939</v>
      </c>
      <c r="J72" s="176">
        <v>283279127.14331698</v>
      </c>
      <c r="K72">
        <v>0</v>
      </c>
      <c r="L72" s="342" t="str">
        <f t="shared" si="14"/>
        <v/>
      </c>
      <c r="M72">
        <v>1170</v>
      </c>
      <c r="N72" t="s">
        <v>231</v>
      </c>
      <c r="O72" t="s">
        <v>939</v>
      </c>
      <c r="P72" s="243">
        <f t="shared" si="15"/>
        <v>444016299.59790564</v>
      </c>
      <c r="S72">
        <v>1170</v>
      </c>
      <c r="T72" t="s">
        <v>231</v>
      </c>
      <c r="U72" t="s">
        <v>939</v>
      </c>
      <c r="V72" s="176">
        <v>41195994.399999999</v>
      </c>
      <c r="W72" s="176">
        <v>77842584.754425004</v>
      </c>
      <c r="X72" s="176">
        <v>0</v>
      </c>
      <c r="Y72" s="176">
        <v>49308241.555555001</v>
      </c>
      <c r="Z72" s="176"/>
      <c r="AA72">
        <v>1170</v>
      </c>
      <c r="AB72" s="176" t="s">
        <v>231</v>
      </c>
      <c r="AC72" s="176" t="s">
        <v>939</v>
      </c>
      <c r="AD72" s="176">
        <v>41195994.399999999</v>
      </c>
      <c r="AE72" s="176">
        <v>77842584.754425004</v>
      </c>
      <c r="AF72">
        <v>0</v>
      </c>
      <c r="AG72" s="176">
        <v>49308241.555555001</v>
      </c>
      <c r="AH72" s="342" t="str">
        <f t="shared" si="9"/>
        <v/>
      </c>
      <c r="AI72">
        <v>1170</v>
      </c>
      <c r="AJ72" t="s">
        <v>231</v>
      </c>
      <c r="AK72" t="s">
        <v>939</v>
      </c>
      <c r="AL72" s="245">
        <f t="shared" si="10"/>
        <v>74152789.920000002</v>
      </c>
      <c r="AM72" s="245">
        <f t="shared" si="11"/>
        <v>140116652.55796501</v>
      </c>
      <c r="AN72" s="245">
        <f t="shared" si="12"/>
        <v>0</v>
      </c>
      <c r="AO72" s="245">
        <f t="shared" si="13"/>
        <v>88754834.799998999</v>
      </c>
      <c r="AP72" s="176"/>
      <c r="AQ72" s="176"/>
      <c r="AR72">
        <v>1170</v>
      </c>
      <c r="AS72" t="s">
        <v>231</v>
      </c>
      <c r="AT72" t="s">
        <v>939</v>
      </c>
      <c r="AU72" s="176">
        <v>57783097.246642999</v>
      </c>
      <c r="AW72">
        <v>1170</v>
      </c>
      <c r="AX72" t="s">
        <v>231</v>
      </c>
      <c r="AY72" t="s">
        <v>939</v>
      </c>
      <c r="AZ72" s="176">
        <v>57697049.272214003</v>
      </c>
      <c r="BA72" s="342" t="str">
        <f t="shared" si="16"/>
        <v/>
      </c>
      <c r="BB72">
        <v>1170</v>
      </c>
      <c r="BC72" t="s">
        <v>231</v>
      </c>
      <c r="BD72" t="s">
        <v>939</v>
      </c>
      <c r="BE72" s="243">
        <f t="shared" si="17"/>
        <v>103940736.6644142</v>
      </c>
    </row>
    <row r="73" spans="1:57">
      <c r="A73">
        <v>1170</v>
      </c>
      <c r="B73" t="s">
        <v>231</v>
      </c>
      <c r="C73" t="s">
        <v>1683</v>
      </c>
      <c r="D73" s="176">
        <v>62017932.529964998</v>
      </c>
      <c r="E73">
        <v>0</v>
      </c>
      <c r="G73">
        <v>1170</v>
      </c>
      <c r="H73" t="s">
        <v>231</v>
      </c>
      <c r="I73" t="s">
        <v>1683</v>
      </c>
      <c r="J73" s="176">
        <v>33585971.635543004</v>
      </c>
      <c r="K73">
        <v>0</v>
      </c>
      <c r="L73" s="342" t="str">
        <f t="shared" si="14"/>
        <v/>
      </c>
      <c r="M73">
        <v>1170</v>
      </c>
      <c r="N73" t="s">
        <v>231</v>
      </c>
      <c r="O73" t="s">
        <v>1683</v>
      </c>
      <c r="P73" s="243">
        <f t="shared" si="15"/>
        <v>88886709.83839941</v>
      </c>
      <c r="S73">
        <v>1170</v>
      </c>
      <c r="T73" t="s">
        <v>231</v>
      </c>
      <c r="U73" t="s">
        <v>1683</v>
      </c>
      <c r="V73" s="176">
        <v>6160518.4444439998</v>
      </c>
      <c r="W73" s="176">
        <v>43468695.446657002</v>
      </c>
      <c r="X73" s="176">
        <v>0</v>
      </c>
      <c r="Y73" s="176">
        <v>2177900</v>
      </c>
      <c r="Z73" s="176"/>
      <c r="AA73">
        <v>1170</v>
      </c>
      <c r="AB73" s="176" t="s">
        <v>231</v>
      </c>
      <c r="AC73" s="176" t="s">
        <v>1683</v>
      </c>
      <c r="AD73" s="176">
        <v>6160518.4444439998</v>
      </c>
      <c r="AE73" s="176">
        <v>43468695.446657002</v>
      </c>
      <c r="AF73" s="176">
        <v>0</v>
      </c>
      <c r="AG73" s="176">
        <v>2177900</v>
      </c>
      <c r="AH73" s="342" t="str">
        <f t="shared" si="9"/>
        <v/>
      </c>
      <c r="AI73">
        <v>1170</v>
      </c>
      <c r="AJ73" t="s">
        <v>231</v>
      </c>
      <c r="AK73" t="s">
        <v>1683</v>
      </c>
      <c r="AL73" s="245">
        <f t="shared" si="10"/>
        <v>11088933.1999992</v>
      </c>
      <c r="AM73" s="245">
        <f t="shared" si="11"/>
        <v>78243651.803982615</v>
      </c>
      <c r="AN73" s="245">
        <f t="shared" si="12"/>
        <v>0</v>
      </c>
      <c r="AO73" s="245">
        <f t="shared" si="13"/>
        <v>3920220</v>
      </c>
      <c r="AP73" s="176"/>
      <c r="AQ73" s="176"/>
      <c r="AR73">
        <v>1170</v>
      </c>
      <c r="AS73" t="s">
        <v>231</v>
      </c>
      <c r="AT73" t="s">
        <v>1683</v>
      </c>
      <c r="AU73" s="176">
        <v>6520413.4855500003</v>
      </c>
      <c r="AW73">
        <v>1170</v>
      </c>
      <c r="AX73" t="s">
        <v>231</v>
      </c>
      <c r="AY73" t="s">
        <v>1683</v>
      </c>
      <c r="AZ73" s="176">
        <v>8075447.897775</v>
      </c>
      <c r="BA73" s="342" t="str">
        <f t="shared" si="16"/>
        <v/>
      </c>
      <c r="BB73">
        <v>1170</v>
      </c>
      <c r="BC73" t="s">
        <v>231</v>
      </c>
      <c r="BD73" t="s">
        <v>1683</v>
      </c>
      <c r="BE73" s="243">
        <f t="shared" si="17"/>
        <v>12980771.803770002</v>
      </c>
    </row>
    <row r="74" spans="1:57">
      <c r="A74">
        <v>1180</v>
      </c>
      <c r="B74" t="s">
        <v>232</v>
      </c>
      <c r="C74" t="s">
        <v>1684</v>
      </c>
      <c r="D74" s="176">
        <v>132027030.094421</v>
      </c>
      <c r="E74">
        <v>0</v>
      </c>
      <c r="G74">
        <v>1180</v>
      </c>
      <c r="H74" t="s">
        <v>232</v>
      </c>
      <c r="I74" t="s">
        <v>1684</v>
      </c>
      <c r="J74" s="176">
        <v>96097218.006653994</v>
      </c>
      <c r="K74">
        <v>0</v>
      </c>
      <c r="L74" s="342" t="str">
        <f t="shared" si="14"/>
        <v/>
      </c>
      <c r="M74">
        <v>1180</v>
      </c>
      <c r="N74" t="s">
        <v>232</v>
      </c>
      <c r="O74" t="s">
        <v>1684</v>
      </c>
      <c r="P74" s="243">
        <f t="shared" si="15"/>
        <v>208904804.49974418</v>
      </c>
      <c r="S74">
        <v>1180</v>
      </c>
      <c r="T74" t="s">
        <v>232</v>
      </c>
      <c r="U74" t="s">
        <v>1684</v>
      </c>
      <c r="V74" s="176">
        <v>29636963.304443002</v>
      </c>
      <c r="W74" s="176">
        <v>99261789.981098995</v>
      </c>
      <c r="X74" s="176">
        <v>2000000</v>
      </c>
      <c r="Y74" s="176">
        <v>51381159.444443002</v>
      </c>
      <c r="Z74" s="176"/>
      <c r="AA74">
        <v>1180</v>
      </c>
      <c r="AB74" s="176" t="s">
        <v>232</v>
      </c>
      <c r="AC74" s="176" t="s">
        <v>1684</v>
      </c>
      <c r="AD74" s="176">
        <v>29636963.304443002</v>
      </c>
      <c r="AE74" s="176">
        <v>99261789.981098995</v>
      </c>
      <c r="AF74" s="176">
        <v>2000000</v>
      </c>
      <c r="AG74" s="176">
        <v>51381159.444443002</v>
      </c>
      <c r="AH74" s="342" t="str">
        <f t="shared" si="9"/>
        <v/>
      </c>
      <c r="AI74">
        <v>1180</v>
      </c>
      <c r="AJ74" t="s">
        <v>232</v>
      </c>
      <c r="AK74" t="s">
        <v>1684</v>
      </c>
      <c r="AL74" s="245">
        <f t="shared" si="10"/>
        <v>53346533.947997406</v>
      </c>
      <c r="AM74" s="245">
        <f t="shared" si="11"/>
        <v>178671221.96597821</v>
      </c>
      <c r="AN74" s="245">
        <f t="shared" si="12"/>
        <v>3600000</v>
      </c>
      <c r="AO74" s="245">
        <f t="shared" si="13"/>
        <v>92486086.999997407</v>
      </c>
      <c r="AP74" s="176"/>
      <c r="AQ74" s="176"/>
      <c r="AR74">
        <v>1180</v>
      </c>
      <c r="AS74" t="s">
        <v>232</v>
      </c>
      <c r="AT74" t="s">
        <v>1684</v>
      </c>
      <c r="AU74" s="176">
        <v>13729549.789994</v>
      </c>
      <c r="AW74">
        <v>1180</v>
      </c>
      <c r="AX74" t="s">
        <v>232</v>
      </c>
      <c r="AY74" t="s">
        <v>1684</v>
      </c>
      <c r="AZ74" s="176">
        <v>273693.79888800002</v>
      </c>
      <c r="BA74" s="342" t="str">
        <f t="shared" si="16"/>
        <v/>
      </c>
      <c r="BB74">
        <v>1180</v>
      </c>
      <c r="BC74" t="s">
        <v>232</v>
      </c>
      <c r="BD74" t="s">
        <v>1684</v>
      </c>
      <c r="BE74" s="243">
        <f t="shared" si="17"/>
        <v>13948504.829104399</v>
      </c>
    </row>
    <row r="75" spans="1:57">
      <c r="A75">
        <v>1180</v>
      </c>
      <c r="B75" t="s">
        <v>232</v>
      </c>
      <c r="C75" t="s">
        <v>942</v>
      </c>
      <c r="D75" s="176">
        <v>220319740.57774201</v>
      </c>
      <c r="E75">
        <v>0</v>
      </c>
      <c r="G75">
        <v>1180</v>
      </c>
      <c r="H75" t="s">
        <v>232</v>
      </c>
      <c r="I75" t="s">
        <v>942</v>
      </c>
      <c r="J75" s="176">
        <v>251174460.459977</v>
      </c>
      <c r="K75">
        <v>0</v>
      </c>
      <c r="L75" s="342" t="str">
        <f t="shared" si="14"/>
        <v/>
      </c>
      <c r="M75">
        <v>1180</v>
      </c>
      <c r="N75" t="s">
        <v>232</v>
      </c>
      <c r="O75" t="s">
        <v>942</v>
      </c>
      <c r="P75" s="243">
        <f t="shared" si="15"/>
        <v>421259308.94572365</v>
      </c>
      <c r="S75">
        <v>1180</v>
      </c>
      <c r="T75" t="s">
        <v>232</v>
      </c>
      <c r="U75" t="s">
        <v>942</v>
      </c>
      <c r="V75" s="176">
        <v>77032290.539998993</v>
      </c>
      <c r="W75" s="176">
        <v>120134092.68110199</v>
      </c>
      <c r="X75" s="176">
        <v>500000</v>
      </c>
      <c r="Y75" s="176">
        <v>39905839.228886999</v>
      </c>
      <c r="Z75" s="176"/>
      <c r="AA75">
        <v>1180</v>
      </c>
      <c r="AB75" s="176" t="s">
        <v>232</v>
      </c>
      <c r="AC75" s="176" t="s">
        <v>942</v>
      </c>
      <c r="AD75" s="176">
        <v>77032290.539998993</v>
      </c>
      <c r="AE75" s="176">
        <v>120134092.68110199</v>
      </c>
      <c r="AF75" s="176">
        <v>500000</v>
      </c>
      <c r="AG75" s="176">
        <v>39905839.228886999</v>
      </c>
      <c r="AH75" s="342" t="str">
        <f t="shared" si="9"/>
        <v/>
      </c>
      <c r="AI75">
        <v>1180</v>
      </c>
      <c r="AJ75" t="s">
        <v>232</v>
      </c>
      <c r="AK75" t="s">
        <v>942</v>
      </c>
      <c r="AL75" s="245">
        <f t="shared" si="10"/>
        <v>138658122.97199818</v>
      </c>
      <c r="AM75" s="245">
        <f t="shared" si="11"/>
        <v>216241366.82598358</v>
      </c>
      <c r="AN75" s="245">
        <f t="shared" si="12"/>
        <v>900000</v>
      </c>
      <c r="AO75" s="245">
        <f t="shared" si="13"/>
        <v>71830510.611996591</v>
      </c>
      <c r="AP75" s="176"/>
      <c r="AQ75" s="176"/>
      <c r="AR75">
        <v>1180</v>
      </c>
      <c r="AS75" t="s">
        <v>232</v>
      </c>
      <c r="AT75" t="s">
        <v>942</v>
      </c>
      <c r="AU75" s="176">
        <v>30358437.113324001</v>
      </c>
      <c r="AW75">
        <v>1180</v>
      </c>
      <c r="AX75" t="s">
        <v>232</v>
      </c>
      <c r="AY75" t="s">
        <v>942</v>
      </c>
      <c r="AZ75" s="176">
        <v>19192254.805551</v>
      </c>
      <c r="BA75" s="342" t="str">
        <f t="shared" si="16"/>
        <v/>
      </c>
      <c r="BB75">
        <v>1180</v>
      </c>
      <c r="BC75" t="s">
        <v>232</v>
      </c>
      <c r="BD75" t="s">
        <v>942</v>
      </c>
      <c r="BE75" s="243">
        <f t="shared" si="17"/>
        <v>45712240.957764804</v>
      </c>
    </row>
    <row r="76" spans="1:57">
      <c r="A76">
        <v>1180</v>
      </c>
      <c r="B76" t="s">
        <v>232</v>
      </c>
      <c r="C76" t="s">
        <v>941</v>
      </c>
      <c r="D76" s="176">
        <v>265275101.01432401</v>
      </c>
      <c r="E76">
        <v>0</v>
      </c>
      <c r="G76">
        <v>1180</v>
      </c>
      <c r="H76" t="s">
        <v>232</v>
      </c>
      <c r="I76" t="s">
        <v>941</v>
      </c>
      <c r="J76" s="176">
        <v>202135808.07329601</v>
      </c>
      <c r="K76">
        <v>0</v>
      </c>
      <c r="L76" s="342" t="str">
        <f t="shared" si="14"/>
        <v/>
      </c>
      <c r="M76">
        <v>1180</v>
      </c>
      <c r="N76" t="s">
        <v>232</v>
      </c>
      <c r="O76" t="s">
        <v>941</v>
      </c>
      <c r="P76" s="243">
        <f t="shared" si="15"/>
        <v>426983747.47296083</v>
      </c>
      <c r="S76">
        <v>1180</v>
      </c>
      <c r="T76" t="s">
        <v>232</v>
      </c>
      <c r="U76" t="s">
        <v>941</v>
      </c>
      <c r="V76" s="176">
        <v>54851710.331109002</v>
      </c>
      <c r="W76" s="176">
        <v>81711080.985533997</v>
      </c>
      <c r="X76" s="176">
        <v>0</v>
      </c>
      <c r="Y76" s="176">
        <v>4904216.1466629999</v>
      </c>
      <c r="Z76" s="176"/>
      <c r="AA76">
        <v>1180</v>
      </c>
      <c r="AB76" s="176" t="s">
        <v>232</v>
      </c>
      <c r="AC76" s="176" t="s">
        <v>941</v>
      </c>
      <c r="AD76" s="176">
        <v>54851710.331109002</v>
      </c>
      <c r="AE76" s="176">
        <v>81711080.985533997</v>
      </c>
      <c r="AF76">
        <v>0</v>
      </c>
      <c r="AG76" s="176">
        <v>4904216.1466629999</v>
      </c>
      <c r="AH76" s="342" t="str">
        <f t="shared" si="9"/>
        <v/>
      </c>
      <c r="AI76">
        <v>1180</v>
      </c>
      <c r="AJ76" t="s">
        <v>232</v>
      </c>
      <c r="AK76" t="s">
        <v>941</v>
      </c>
      <c r="AL76" s="245">
        <f t="shared" si="10"/>
        <v>98733078.595996201</v>
      </c>
      <c r="AM76" s="245">
        <f t="shared" si="11"/>
        <v>147079945.77396119</v>
      </c>
      <c r="AN76" s="245">
        <f t="shared" si="12"/>
        <v>0</v>
      </c>
      <c r="AO76" s="245">
        <f t="shared" si="13"/>
        <v>8827589.0639934</v>
      </c>
      <c r="AP76" s="176"/>
      <c r="AQ76" s="176"/>
      <c r="AR76">
        <v>1180</v>
      </c>
      <c r="AS76" t="s">
        <v>232</v>
      </c>
      <c r="AT76" t="s">
        <v>941</v>
      </c>
      <c r="AU76" s="176">
        <v>5603668.1810940001</v>
      </c>
      <c r="AW76">
        <v>1180</v>
      </c>
      <c r="AX76" t="s">
        <v>232</v>
      </c>
      <c r="AY76" t="s">
        <v>941</v>
      </c>
      <c r="AZ76" s="176">
        <v>25546793.284437999</v>
      </c>
      <c r="BA76" s="342" t="str">
        <f t="shared" si="16"/>
        <v/>
      </c>
      <c r="BB76">
        <v>1180</v>
      </c>
      <c r="BC76" t="s">
        <v>232</v>
      </c>
      <c r="BD76" t="s">
        <v>941</v>
      </c>
      <c r="BE76" s="243">
        <f t="shared" si="17"/>
        <v>26041102.808644399</v>
      </c>
    </row>
    <row r="77" spans="1:57">
      <c r="A77">
        <v>1180</v>
      </c>
      <c r="B77" t="s">
        <v>232</v>
      </c>
      <c r="C77" t="s">
        <v>940</v>
      </c>
      <c r="D77" s="176">
        <v>145979382.59773099</v>
      </c>
      <c r="E77">
        <v>0</v>
      </c>
      <c r="G77">
        <v>1180</v>
      </c>
      <c r="H77" t="s">
        <v>232</v>
      </c>
      <c r="I77" t="s">
        <v>940</v>
      </c>
      <c r="J77" s="176">
        <v>99059051.874427006</v>
      </c>
      <c r="K77">
        <v>0</v>
      </c>
      <c r="L77" s="342" t="str">
        <f t="shared" si="14"/>
        <v/>
      </c>
      <c r="M77">
        <v>1180</v>
      </c>
      <c r="N77" t="s">
        <v>232</v>
      </c>
      <c r="O77" t="s">
        <v>940</v>
      </c>
      <c r="P77" s="243">
        <f t="shared" si="15"/>
        <v>225226624.0972726</v>
      </c>
      <c r="S77">
        <v>1180</v>
      </c>
      <c r="T77" t="s">
        <v>232</v>
      </c>
      <c r="U77" t="s">
        <v>940</v>
      </c>
      <c r="V77" s="176">
        <v>21042736.543333001</v>
      </c>
      <c r="W77" s="176">
        <v>48089250.882211998</v>
      </c>
      <c r="X77" s="176">
        <v>0</v>
      </c>
      <c r="Y77" s="176">
        <v>5120460.3333329996</v>
      </c>
      <c r="Z77" s="176"/>
      <c r="AA77">
        <v>1180</v>
      </c>
      <c r="AB77" s="176" t="s">
        <v>232</v>
      </c>
      <c r="AC77" s="176" t="s">
        <v>940</v>
      </c>
      <c r="AD77" s="176">
        <v>21042736.543333001</v>
      </c>
      <c r="AE77" s="176">
        <v>48089250.882211998</v>
      </c>
      <c r="AF77" s="176">
        <v>0</v>
      </c>
      <c r="AG77" s="176">
        <v>5120460.3333329996</v>
      </c>
      <c r="AH77" s="342" t="str">
        <f t="shared" si="9"/>
        <v/>
      </c>
      <c r="AI77">
        <v>1180</v>
      </c>
      <c r="AJ77" t="s">
        <v>232</v>
      </c>
      <c r="AK77" t="s">
        <v>940</v>
      </c>
      <c r="AL77" s="245">
        <f t="shared" si="10"/>
        <v>37876925.777999401</v>
      </c>
      <c r="AM77" s="245">
        <f t="shared" si="11"/>
        <v>86560651.587981597</v>
      </c>
      <c r="AN77" s="245">
        <f t="shared" si="12"/>
        <v>0</v>
      </c>
      <c r="AO77" s="245">
        <f t="shared" si="13"/>
        <v>9216828.5999993999</v>
      </c>
      <c r="AP77" s="176"/>
      <c r="AQ77" s="176"/>
      <c r="AR77">
        <v>1180</v>
      </c>
      <c r="AS77" t="s">
        <v>232</v>
      </c>
      <c r="AT77" t="s">
        <v>940</v>
      </c>
      <c r="AU77" s="176">
        <v>36635413.061100997</v>
      </c>
      <c r="AW77">
        <v>1180</v>
      </c>
      <c r="AX77" t="s">
        <v>232</v>
      </c>
      <c r="AY77" t="s">
        <v>940</v>
      </c>
      <c r="AZ77" s="176">
        <v>21394674.203329001</v>
      </c>
      <c r="BA77" s="342" t="str">
        <f t="shared" si="16"/>
        <v/>
      </c>
      <c r="BB77">
        <v>1180</v>
      </c>
      <c r="BC77" t="s">
        <v>232</v>
      </c>
      <c r="BD77" t="s">
        <v>940</v>
      </c>
      <c r="BE77" s="243">
        <f t="shared" si="17"/>
        <v>53751152.423764199</v>
      </c>
    </row>
    <row r="78" spans="1:57">
      <c r="A78">
        <v>1180</v>
      </c>
      <c r="B78" t="s">
        <v>232</v>
      </c>
      <c r="C78" t="s">
        <v>1934</v>
      </c>
      <c r="D78" s="176">
        <v>101840289.799969</v>
      </c>
      <c r="E78">
        <v>0</v>
      </c>
      <c r="G78">
        <v>1180</v>
      </c>
      <c r="H78" t="s">
        <v>232</v>
      </c>
      <c r="I78" t="s">
        <v>1934</v>
      </c>
      <c r="J78" s="176">
        <v>50132941.791100003</v>
      </c>
      <c r="K78">
        <v>0</v>
      </c>
      <c r="L78" s="342" t="str">
        <f t="shared" si="14"/>
        <v/>
      </c>
      <c r="M78">
        <v>1180</v>
      </c>
      <c r="N78" t="s">
        <v>232</v>
      </c>
      <c r="O78" t="s">
        <v>1934</v>
      </c>
      <c r="P78" s="243">
        <f t="shared" si="15"/>
        <v>141946643.232849</v>
      </c>
      <c r="S78">
        <v>1180</v>
      </c>
      <c r="T78" t="s">
        <v>232</v>
      </c>
      <c r="U78" t="s">
        <v>1934</v>
      </c>
      <c r="V78" s="176">
        <v>28599749.556666002</v>
      </c>
      <c r="W78" s="176">
        <v>67904986.556656003</v>
      </c>
      <c r="X78" s="176">
        <v>0</v>
      </c>
      <c r="Y78" s="176">
        <v>5219611.1111110002</v>
      </c>
      <c r="Z78" s="176"/>
      <c r="AA78">
        <v>1180</v>
      </c>
      <c r="AB78" s="176" t="s">
        <v>232</v>
      </c>
      <c r="AC78" s="176" t="s">
        <v>1934</v>
      </c>
      <c r="AD78" s="176">
        <v>28599749.556666002</v>
      </c>
      <c r="AE78" s="176">
        <v>67904986.556656003</v>
      </c>
      <c r="AF78">
        <v>0</v>
      </c>
      <c r="AG78" s="176">
        <v>5219611.1111110002</v>
      </c>
      <c r="AH78" s="342" t="str">
        <f t="shared" si="9"/>
        <v/>
      </c>
      <c r="AI78">
        <v>1180</v>
      </c>
      <c r="AJ78" t="s">
        <v>232</v>
      </c>
      <c r="AK78" t="s">
        <v>1934</v>
      </c>
      <c r="AL78" s="245">
        <f t="shared" si="10"/>
        <v>51479549.2019988</v>
      </c>
      <c r="AM78" s="245">
        <f t="shared" si="11"/>
        <v>122228975.80198081</v>
      </c>
      <c r="AN78" s="245">
        <f t="shared" si="12"/>
        <v>0</v>
      </c>
      <c r="AO78" s="245">
        <f t="shared" si="13"/>
        <v>9395299.9999998007</v>
      </c>
      <c r="AP78" s="176"/>
      <c r="AQ78" s="176"/>
      <c r="AR78">
        <v>1180</v>
      </c>
      <c r="AS78" t="s">
        <v>232</v>
      </c>
      <c r="AT78" t="s">
        <v>1934</v>
      </c>
      <c r="AU78" s="176">
        <v>7894116.4911049996</v>
      </c>
      <c r="AW78">
        <v>1180</v>
      </c>
      <c r="AX78" t="s">
        <v>232</v>
      </c>
      <c r="AY78" t="s">
        <v>1934</v>
      </c>
      <c r="AZ78" s="176">
        <v>3395221.1533320001</v>
      </c>
      <c r="BA78" s="342" t="str">
        <f t="shared" si="16"/>
        <v/>
      </c>
      <c r="BB78">
        <v>1180</v>
      </c>
      <c r="BC78" t="s">
        <v>232</v>
      </c>
      <c r="BD78" t="s">
        <v>1934</v>
      </c>
      <c r="BE78" s="243">
        <f t="shared" si="17"/>
        <v>10610293.413770599</v>
      </c>
    </row>
    <row r="79" spans="1:57">
      <c r="A79">
        <v>1190</v>
      </c>
      <c r="B79" t="s">
        <v>233</v>
      </c>
      <c r="C79" t="s">
        <v>943</v>
      </c>
      <c r="D79" s="176">
        <v>314054008.20104599</v>
      </c>
      <c r="E79">
        <v>0</v>
      </c>
      <c r="G79">
        <v>1190</v>
      </c>
      <c r="H79" t="s">
        <v>233</v>
      </c>
      <c r="I79" t="s">
        <v>943</v>
      </c>
      <c r="J79" s="176">
        <v>238126583.02885601</v>
      </c>
      <c r="K79">
        <v>0</v>
      </c>
      <c r="L79" s="342" t="str">
        <f t="shared" si="14"/>
        <v/>
      </c>
      <c r="M79">
        <v>1190</v>
      </c>
      <c r="N79" t="s">
        <v>233</v>
      </c>
      <c r="O79" t="s">
        <v>943</v>
      </c>
      <c r="P79" s="243">
        <f t="shared" si="15"/>
        <v>504555274.62413085</v>
      </c>
      <c r="S79">
        <v>1190</v>
      </c>
      <c r="T79" t="s">
        <v>233</v>
      </c>
      <c r="U79" t="s">
        <v>943</v>
      </c>
      <c r="V79" s="176">
        <v>41417864.966665998</v>
      </c>
      <c r="W79" s="176">
        <v>152759535.86553299</v>
      </c>
      <c r="X79">
        <v>2000000</v>
      </c>
      <c r="Y79" s="176">
        <v>119816068.959999</v>
      </c>
      <c r="Z79" s="176"/>
      <c r="AA79">
        <v>1190</v>
      </c>
      <c r="AB79" s="176" t="s">
        <v>233</v>
      </c>
      <c r="AC79" s="176" t="s">
        <v>943</v>
      </c>
      <c r="AD79" s="176">
        <v>41417864.966665998</v>
      </c>
      <c r="AE79" s="176">
        <v>152759535.86553299</v>
      </c>
      <c r="AF79">
        <v>2000000</v>
      </c>
      <c r="AG79" s="176">
        <v>119816068.959999</v>
      </c>
      <c r="AH79" s="342" t="str">
        <f t="shared" si="9"/>
        <v/>
      </c>
      <c r="AI79">
        <v>1190</v>
      </c>
      <c r="AJ79" t="s">
        <v>233</v>
      </c>
      <c r="AK79" t="s">
        <v>943</v>
      </c>
      <c r="AL79" s="245">
        <f t="shared" si="10"/>
        <v>74552156.939998806</v>
      </c>
      <c r="AM79" s="245">
        <f t="shared" si="11"/>
        <v>274967164.55795938</v>
      </c>
      <c r="AN79" s="245">
        <f t="shared" si="12"/>
        <v>3600000</v>
      </c>
      <c r="AO79" s="245">
        <f t="shared" si="13"/>
        <v>215668924.1279982</v>
      </c>
      <c r="AP79" s="176"/>
      <c r="AQ79" s="176"/>
      <c r="AR79">
        <v>1190</v>
      </c>
      <c r="AS79" t="s">
        <v>233</v>
      </c>
      <c r="AT79" t="s">
        <v>943</v>
      </c>
      <c r="AU79" s="176">
        <v>93197094.142212003</v>
      </c>
      <c r="AW79">
        <v>1190</v>
      </c>
      <c r="AX79" t="s">
        <v>233</v>
      </c>
      <c r="AY79" t="s">
        <v>943</v>
      </c>
      <c r="AZ79" s="176">
        <v>42894200.237774</v>
      </c>
      <c r="BA79" s="342" t="str">
        <f t="shared" si="16"/>
        <v/>
      </c>
      <c r="BB79">
        <v>1190</v>
      </c>
      <c r="BC79" t="s">
        <v>233</v>
      </c>
      <c r="BD79" t="s">
        <v>943</v>
      </c>
      <c r="BE79" s="243">
        <f t="shared" si="17"/>
        <v>127512454.3324312</v>
      </c>
    </row>
    <row r="80" spans="1:57">
      <c r="A80">
        <v>1190</v>
      </c>
      <c r="B80" t="s">
        <v>233</v>
      </c>
      <c r="C80" t="s">
        <v>1935</v>
      </c>
      <c r="D80" s="176">
        <v>79713829.131056994</v>
      </c>
      <c r="E80">
        <v>0</v>
      </c>
      <c r="G80">
        <v>1190</v>
      </c>
      <c r="H80" t="s">
        <v>233</v>
      </c>
      <c r="I80" t="s">
        <v>1935</v>
      </c>
      <c r="J80" s="176">
        <v>25186126.891104002</v>
      </c>
      <c r="K80">
        <v>0</v>
      </c>
      <c r="L80" s="342" t="str">
        <f t="shared" si="14"/>
        <v/>
      </c>
      <c r="M80">
        <v>1190</v>
      </c>
      <c r="N80" t="s">
        <v>233</v>
      </c>
      <c r="O80" t="s">
        <v>1935</v>
      </c>
      <c r="P80" s="243">
        <f t="shared" si="15"/>
        <v>99862730.643940195</v>
      </c>
      <c r="S80">
        <v>1190</v>
      </c>
      <c r="T80" t="s">
        <v>233</v>
      </c>
      <c r="U80" t="s">
        <v>1935</v>
      </c>
      <c r="V80" s="176">
        <v>14384931.135554999</v>
      </c>
      <c r="W80" s="176">
        <v>42141010.802203</v>
      </c>
      <c r="X80" s="176">
        <v>0</v>
      </c>
      <c r="Y80" s="176">
        <v>7834451.5499999998</v>
      </c>
      <c r="Z80" s="176"/>
      <c r="AA80">
        <v>1190</v>
      </c>
      <c r="AB80" s="176" t="s">
        <v>233</v>
      </c>
      <c r="AC80" s="176" t="s">
        <v>1935</v>
      </c>
      <c r="AD80" s="176">
        <v>14384931.135554999</v>
      </c>
      <c r="AE80" s="176">
        <v>42141010.802203</v>
      </c>
      <c r="AF80">
        <v>0</v>
      </c>
      <c r="AG80" s="176">
        <v>7834451.5499999998</v>
      </c>
      <c r="AH80" s="342" t="str">
        <f t="shared" si="9"/>
        <v/>
      </c>
      <c r="AI80">
        <v>1190</v>
      </c>
      <c r="AJ80" t="s">
        <v>233</v>
      </c>
      <c r="AK80" t="s">
        <v>1935</v>
      </c>
      <c r="AL80" s="245">
        <f t="shared" si="10"/>
        <v>25892876.043999001</v>
      </c>
      <c r="AM80" s="245">
        <f t="shared" si="11"/>
        <v>75853819.443965405</v>
      </c>
      <c r="AN80" s="245">
        <f t="shared" si="12"/>
        <v>0</v>
      </c>
      <c r="AO80" s="245">
        <f t="shared" si="13"/>
        <v>14102012.789999999</v>
      </c>
      <c r="AP80" s="176"/>
      <c r="AQ80" s="176"/>
      <c r="AR80">
        <v>1190</v>
      </c>
      <c r="AS80" t="s">
        <v>233</v>
      </c>
      <c r="AT80" t="s">
        <v>1935</v>
      </c>
      <c r="AU80" s="176">
        <v>6145716.3133279998</v>
      </c>
      <c r="AW80">
        <v>1190</v>
      </c>
      <c r="AX80" t="s">
        <v>233</v>
      </c>
      <c r="AY80" t="s">
        <v>1935</v>
      </c>
      <c r="AZ80" s="176">
        <v>4735802.8855520003</v>
      </c>
      <c r="BA80" s="342" t="str">
        <f t="shared" si="16"/>
        <v/>
      </c>
      <c r="BB80">
        <v>1190</v>
      </c>
      <c r="BC80" t="s">
        <v>233</v>
      </c>
      <c r="BD80" t="s">
        <v>1935</v>
      </c>
      <c r="BE80" s="243">
        <f t="shared" si="17"/>
        <v>9934358.6217695996</v>
      </c>
    </row>
    <row r="81" spans="1:57">
      <c r="A81">
        <v>1190</v>
      </c>
      <c r="B81" t="s">
        <v>233</v>
      </c>
      <c r="C81" t="s">
        <v>1548</v>
      </c>
      <c r="D81" s="176">
        <v>149867873.47218099</v>
      </c>
      <c r="E81">
        <v>0</v>
      </c>
      <c r="G81">
        <v>1190</v>
      </c>
      <c r="H81" t="s">
        <v>233</v>
      </c>
      <c r="I81" t="s">
        <v>1548</v>
      </c>
      <c r="J81" s="176">
        <v>74031535.557761997</v>
      </c>
      <c r="K81">
        <v>0</v>
      </c>
      <c r="L81" s="342" t="str">
        <f t="shared" si="14"/>
        <v/>
      </c>
      <c r="M81">
        <v>1190</v>
      </c>
      <c r="N81" t="s">
        <v>233</v>
      </c>
      <c r="O81" t="s">
        <v>1548</v>
      </c>
      <c r="P81" s="243">
        <f t="shared" si="15"/>
        <v>209093101.9183906</v>
      </c>
      <c r="S81">
        <v>1190</v>
      </c>
      <c r="T81" t="s">
        <v>233</v>
      </c>
      <c r="U81" t="s">
        <v>1548</v>
      </c>
      <c r="V81" s="176">
        <v>27246980.329999998</v>
      </c>
      <c r="W81" s="176">
        <v>143769366.11331001</v>
      </c>
      <c r="X81">
        <v>0</v>
      </c>
      <c r="Y81" s="176">
        <v>18829744.444442999</v>
      </c>
      <c r="Z81" s="176"/>
      <c r="AA81">
        <v>1190</v>
      </c>
      <c r="AB81" s="176" t="s">
        <v>233</v>
      </c>
      <c r="AC81" s="176" t="s">
        <v>1548</v>
      </c>
      <c r="AD81" s="176">
        <v>27246980.329999998</v>
      </c>
      <c r="AE81" s="176">
        <v>143769366.11331001</v>
      </c>
      <c r="AF81">
        <v>0</v>
      </c>
      <c r="AG81" s="176">
        <v>18829744.444442999</v>
      </c>
      <c r="AH81" s="342" t="str">
        <f t="shared" si="9"/>
        <v/>
      </c>
      <c r="AI81">
        <v>1190</v>
      </c>
      <c r="AJ81" t="s">
        <v>233</v>
      </c>
      <c r="AK81" t="s">
        <v>1548</v>
      </c>
      <c r="AL81" s="245">
        <f t="shared" si="10"/>
        <v>49044564.593999997</v>
      </c>
      <c r="AM81" s="245">
        <f t="shared" si="11"/>
        <v>258784859.00395802</v>
      </c>
      <c r="AN81" s="245">
        <f t="shared" si="12"/>
        <v>0</v>
      </c>
      <c r="AO81" s="245">
        <f t="shared" si="13"/>
        <v>33893539.9999974</v>
      </c>
      <c r="AP81" s="176"/>
      <c r="AQ81" s="176"/>
      <c r="AR81">
        <v>1190</v>
      </c>
      <c r="AS81" t="s">
        <v>233</v>
      </c>
      <c r="AT81" t="s">
        <v>1548</v>
      </c>
      <c r="AU81" s="176">
        <v>21213874.378880002</v>
      </c>
      <c r="AW81">
        <v>1190</v>
      </c>
      <c r="AX81" t="s">
        <v>233</v>
      </c>
      <c r="AY81" t="s">
        <v>1548</v>
      </c>
      <c r="AZ81" s="176">
        <v>11937704.71222</v>
      </c>
      <c r="BA81" s="342" t="str">
        <f t="shared" si="16"/>
        <v/>
      </c>
      <c r="BB81">
        <v>1190</v>
      </c>
      <c r="BC81" t="s">
        <v>233</v>
      </c>
      <c r="BD81" t="s">
        <v>1548</v>
      </c>
      <c r="BE81" s="243">
        <f t="shared" si="17"/>
        <v>30764038.148656003</v>
      </c>
    </row>
    <row r="82" spans="1:57">
      <c r="A82">
        <v>1200</v>
      </c>
      <c r="B82" t="s">
        <v>234</v>
      </c>
      <c r="C82" t="s">
        <v>1936</v>
      </c>
      <c r="D82" s="176">
        <v>169862220.07216701</v>
      </c>
      <c r="E82">
        <v>0</v>
      </c>
      <c r="G82">
        <v>1200</v>
      </c>
      <c r="H82" t="s">
        <v>234</v>
      </c>
      <c r="I82" t="s">
        <v>1936</v>
      </c>
      <c r="J82" s="176">
        <v>85095920.904430002</v>
      </c>
      <c r="K82">
        <v>0</v>
      </c>
      <c r="L82" s="342" t="str">
        <f t="shared" si="14"/>
        <v/>
      </c>
      <c r="M82">
        <v>1200</v>
      </c>
      <c r="N82" t="s">
        <v>234</v>
      </c>
      <c r="O82" t="s">
        <v>1936</v>
      </c>
      <c r="P82" s="243">
        <f t="shared" si="15"/>
        <v>237938956.79571101</v>
      </c>
      <c r="S82">
        <v>1200</v>
      </c>
      <c r="T82" t="s">
        <v>234</v>
      </c>
      <c r="U82" t="s">
        <v>1936</v>
      </c>
      <c r="V82" s="176">
        <v>18311640.028887</v>
      </c>
      <c r="W82" s="176">
        <v>105948777.716647</v>
      </c>
      <c r="X82" s="176">
        <v>0</v>
      </c>
      <c r="Y82" s="176">
        <v>23128174.055555001</v>
      </c>
      <c r="Z82" s="176"/>
      <c r="AA82">
        <v>1200</v>
      </c>
      <c r="AB82" s="176" t="s">
        <v>234</v>
      </c>
      <c r="AC82" s="176" t="s">
        <v>1936</v>
      </c>
      <c r="AD82" s="176">
        <v>18311640.028887</v>
      </c>
      <c r="AE82" s="176">
        <v>105948777.716647</v>
      </c>
      <c r="AF82" s="176">
        <v>0</v>
      </c>
      <c r="AG82" s="176">
        <v>23128174.055555001</v>
      </c>
      <c r="AH82" s="342" t="str">
        <f t="shared" si="9"/>
        <v/>
      </c>
      <c r="AI82">
        <v>1200</v>
      </c>
      <c r="AJ82" t="s">
        <v>234</v>
      </c>
      <c r="AK82" t="s">
        <v>1936</v>
      </c>
      <c r="AL82" s="245">
        <f t="shared" si="10"/>
        <v>32960952.0519966</v>
      </c>
      <c r="AM82" s="245">
        <f t="shared" si="11"/>
        <v>190707799.88996461</v>
      </c>
      <c r="AN82" s="245">
        <f t="shared" si="12"/>
        <v>0</v>
      </c>
      <c r="AO82" s="245">
        <f t="shared" si="13"/>
        <v>41630713.299998999</v>
      </c>
      <c r="AP82" s="176"/>
      <c r="AQ82" s="176"/>
      <c r="AR82">
        <v>1200</v>
      </c>
      <c r="AS82" t="s">
        <v>234</v>
      </c>
      <c r="AT82" t="s">
        <v>1936</v>
      </c>
      <c r="AU82" s="176">
        <v>10529815.746657999</v>
      </c>
      <c r="AW82">
        <v>1200</v>
      </c>
      <c r="AX82" t="s">
        <v>234</v>
      </c>
      <c r="AY82" t="s">
        <v>1936</v>
      </c>
      <c r="AZ82" s="176">
        <v>21757492.065552998</v>
      </c>
      <c r="BA82" s="342" t="str">
        <f t="shared" si="16"/>
        <v/>
      </c>
      <c r="BB82">
        <v>1200</v>
      </c>
      <c r="BC82" t="s">
        <v>234</v>
      </c>
      <c r="BD82" t="s">
        <v>1936</v>
      </c>
      <c r="BE82" s="243">
        <f t="shared" si="17"/>
        <v>27935809.399100401</v>
      </c>
    </row>
    <row r="83" spans="1:57">
      <c r="A83">
        <v>1200</v>
      </c>
      <c r="B83" t="s">
        <v>234</v>
      </c>
      <c r="C83" t="s">
        <v>1549</v>
      </c>
      <c r="D83" s="176">
        <v>100166786.66774499</v>
      </c>
      <c r="E83">
        <v>0</v>
      </c>
      <c r="G83">
        <v>1200</v>
      </c>
      <c r="H83" t="s">
        <v>234</v>
      </c>
      <c r="I83" t="s">
        <v>1549</v>
      </c>
      <c r="J83" s="176">
        <v>164895627.92888001</v>
      </c>
      <c r="K83">
        <v>0</v>
      </c>
      <c r="L83" s="342" t="str">
        <f t="shared" si="14"/>
        <v/>
      </c>
      <c r="M83">
        <v>1200</v>
      </c>
      <c r="N83" t="s">
        <v>234</v>
      </c>
      <c r="O83" t="s">
        <v>1549</v>
      </c>
      <c r="P83" s="243">
        <f t="shared" si="15"/>
        <v>232083289.010849</v>
      </c>
      <c r="S83">
        <v>1200</v>
      </c>
      <c r="T83" t="s">
        <v>234</v>
      </c>
      <c r="U83" t="s">
        <v>1549</v>
      </c>
      <c r="V83" s="176">
        <v>200904795.65999901</v>
      </c>
      <c r="W83" s="176">
        <v>91717554.365545005</v>
      </c>
      <c r="X83">
        <v>0</v>
      </c>
      <c r="Y83" s="176">
        <v>18645859.999999002</v>
      </c>
      <c r="Z83" s="176"/>
      <c r="AA83">
        <v>1200</v>
      </c>
      <c r="AB83" s="176" t="s">
        <v>234</v>
      </c>
      <c r="AC83" s="176" t="s">
        <v>1549</v>
      </c>
      <c r="AD83" s="176">
        <v>200904795.65999901</v>
      </c>
      <c r="AE83" s="176">
        <v>91717554.365545005</v>
      </c>
      <c r="AF83">
        <v>0</v>
      </c>
      <c r="AG83" s="176">
        <v>18645859.999999002</v>
      </c>
      <c r="AH83" s="342" t="str">
        <f t="shared" si="9"/>
        <v/>
      </c>
      <c r="AI83">
        <v>1200</v>
      </c>
      <c r="AJ83" t="s">
        <v>234</v>
      </c>
      <c r="AK83" t="s">
        <v>1549</v>
      </c>
      <c r="AL83" s="245">
        <f t="shared" si="10"/>
        <v>361628632.18799824</v>
      </c>
      <c r="AM83" s="245">
        <f t="shared" si="11"/>
        <v>165091597.85798103</v>
      </c>
      <c r="AN83" s="245">
        <f t="shared" si="12"/>
        <v>0</v>
      </c>
      <c r="AO83" s="245">
        <f t="shared" si="13"/>
        <v>33562547.999998204</v>
      </c>
      <c r="AP83" s="176"/>
      <c r="AQ83" s="176"/>
      <c r="AR83">
        <v>1200</v>
      </c>
      <c r="AS83" t="s">
        <v>234</v>
      </c>
      <c r="AT83" t="s">
        <v>1549</v>
      </c>
      <c r="AU83" s="176">
        <v>7379064.6144390004</v>
      </c>
      <c r="AW83">
        <v>1200</v>
      </c>
      <c r="AX83" t="s">
        <v>234</v>
      </c>
      <c r="AY83" t="s">
        <v>1549</v>
      </c>
      <c r="AZ83" s="176">
        <v>11201415.128885999</v>
      </c>
      <c r="BA83" s="342" t="str">
        <f t="shared" si="16"/>
        <v/>
      </c>
      <c r="BB83">
        <v>1200</v>
      </c>
      <c r="BC83" t="s">
        <v>234</v>
      </c>
      <c r="BD83" t="s">
        <v>1549</v>
      </c>
      <c r="BE83" s="243">
        <f t="shared" si="17"/>
        <v>16340196.7175478</v>
      </c>
    </row>
    <row r="84" spans="1:57">
      <c r="A84">
        <v>1200</v>
      </c>
      <c r="B84" t="s">
        <v>234</v>
      </c>
      <c r="C84" t="s">
        <v>946</v>
      </c>
      <c r="D84" s="176">
        <v>209893005.83886001</v>
      </c>
      <c r="E84">
        <v>0</v>
      </c>
      <c r="G84">
        <v>1200</v>
      </c>
      <c r="H84" t="s">
        <v>234</v>
      </c>
      <c r="I84" t="s">
        <v>946</v>
      </c>
      <c r="J84" s="176">
        <v>85588701.777766004</v>
      </c>
      <c r="K84">
        <v>0</v>
      </c>
      <c r="L84" s="342" t="str">
        <f t="shared" si="14"/>
        <v/>
      </c>
      <c r="M84">
        <v>1200</v>
      </c>
      <c r="N84" t="s">
        <v>234</v>
      </c>
      <c r="O84" t="s">
        <v>946</v>
      </c>
      <c r="P84" s="243">
        <f t="shared" si="15"/>
        <v>278363967.26107281</v>
      </c>
      <c r="S84">
        <v>1200</v>
      </c>
      <c r="T84" t="s">
        <v>234</v>
      </c>
      <c r="U84" t="s">
        <v>946</v>
      </c>
      <c r="V84" s="176">
        <v>18773163.951110002</v>
      </c>
      <c r="W84" s="176">
        <v>45859613.877774999</v>
      </c>
      <c r="X84" s="176">
        <v>0</v>
      </c>
      <c r="Y84" s="176">
        <v>24907889.388888001</v>
      </c>
      <c r="Z84" s="176"/>
      <c r="AA84">
        <v>1200</v>
      </c>
      <c r="AB84" s="176" t="s">
        <v>234</v>
      </c>
      <c r="AC84" s="176" t="s">
        <v>946</v>
      </c>
      <c r="AD84" s="176">
        <v>18773163.951110002</v>
      </c>
      <c r="AE84" s="176">
        <v>45859613.877774999</v>
      </c>
      <c r="AF84" s="176">
        <v>0</v>
      </c>
      <c r="AG84" s="176">
        <v>24907889.388888001</v>
      </c>
      <c r="AH84" s="342" t="str">
        <f t="shared" si="9"/>
        <v/>
      </c>
      <c r="AI84">
        <v>1200</v>
      </c>
      <c r="AJ84" t="s">
        <v>234</v>
      </c>
      <c r="AK84" t="s">
        <v>946</v>
      </c>
      <c r="AL84" s="245">
        <f t="shared" si="10"/>
        <v>33791695.111998007</v>
      </c>
      <c r="AM84" s="245">
        <f t="shared" si="11"/>
        <v>82547304.979994997</v>
      </c>
      <c r="AN84" s="245">
        <f t="shared" si="12"/>
        <v>0</v>
      </c>
      <c r="AO84" s="245">
        <f t="shared" si="13"/>
        <v>44834200.899998404</v>
      </c>
      <c r="AP84" s="176"/>
      <c r="AQ84" s="176"/>
      <c r="AR84">
        <v>1200</v>
      </c>
      <c r="AS84" t="s">
        <v>234</v>
      </c>
      <c r="AT84" t="s">
        <v>946</v>
      </c>
      <c r="AU84" s="176">
        <v>10381918.639994999</v>
      </c>
      <c r="AW84">
        <v>1200</v>
      </c>
      <c r="AX84" t="s">
        <v>234</v>
      </c>
      <c r="AY84" t="s">
        <v>946</v>
      </c>
      <c r="AZ84" s="176">
        <v>22453924.686662</v>
      </c>
      <c r="BA84" s="342" t="str">
        <f t="shared" si="16"/>
        <v/>
      </c>
      <c r="BB84">
        <v>1200</v>
      </c>
      <c r="BC84" t="s">
        <v>234</v>
      </c>
      <c r="BD84" t="s">
        <v>946</v>
      </c>
      <c r="BE84" s="243">
        <f t="shared" si="17"/>
        <v>28345058.389324598</v>
      </c>
    </row>
    <row r="85" spans="1:57">
      <c r="A85">
        <v>1200</v>
      </c>
      <c r="B85" t="s">
        <v>234</v>
      </c>
      <c r="C85" t="s">
        <v>945</v>
      </c>
      <c r="D85" s="176">
        <v>161564170.26106101</v>
      </c>
      <c r="E85">
        <v>0</v>
      </c>
      <c r="G85">
        <v>1200</v>
      </c>
      <c r="H85" t="s">
        <v>234</v>
      </c>
      <c r="I85" t="s">
        <v>945</v>
      </c>
      <c r="J85" s="176">
        <v>295733845.21220601</v>
      </c>
      <c r="K85">
        <v>0</v>
      </c>
      <c r="L85" s="342" t="str">
        <f t="shared" si="14"/>
        <v/>
      </c>
      <c r="M85">
        <v>1200</v>
      </c>
      <c r="N85" t="s">
        <v>234</v>
      </c>
      <c r="O85" t="s">
        <v>945</v>
      </c>
      <c r="P85" s="243">
        <f t="shared" si="15"/>
        <v>398151246.43082583</v>
      </c>
      <c r="S85">
        <v>1200</v>
      </c>
      <c r="T85" t="s">
        <v>234</v>
      </c>
      <c r="U85" t="s">
        <v>945</v>
      </c>
      <c r="V85" s="176">
        <v>135604853.24666399</v>
      </c>
      <c r="W85" s="176">
        <v>159013618.62331599</v>
      </c>
      <c r="X85">
        <v>0</v>
      </c>
      <c r="Y85" s="176">
        <v>27209253.258887999</v>
      </c>
      <c r="Z85" s="176"/>
      <c r="AA85">
        <v>1200</v>
      </c>
      <c r="AB85" s="176" t="s">
        <v>234</v>
      </c>
      <c r="AC85" s="176" t="s">
        <v>945</v>
      </c>
      <c r="AD85" s="176">
        <v>135604853.24666399</v>
      </c>
      <c r="AE85" s="176">
        <v>159013618.62331599</v>
      </c>
      <c r="AF85">
        <v>0</v>
      </c>
      <c r="AG85" s="176">
        <v>27209253.258887999</v>
      </c>
      <c r="AH85" s="342" t="str">
        <f t="shared" si="9"/>
        <v/>
      </c>
      <c r="AI85">
        <v>1200</v>
      </c>
      <c r="AJ85" t="s">
        <v>234</v>
      </c>
      <c r="AK85" t="s">
        <v>945</v>
      </c>
      <c r="AL85" s="245">
        <f t="shared" si="10"/>
        <v>244088735.84399518</v>
      </c>
      <c r="AM85" s="245">
        <f t="shared" si="11"/>
        <v>286224513.52196878</v>
      </c>
      <c r="AN85" s="245">
        <f t="shared" si="12"/>
        <v>0</v>
      </c>
      <c r="AO85" s="245">
        <f t="shared" si="13"/>
        <v>48976655.865998402</v>
      </c>
      <c r="AP85" s="176"/>
      <c r="AQ85" s="176"/>
      <c r="AR85">
        <v>1200</v>
      </c>
      <c r="AS85" t="s">
        <v>234</v>
      </c>
      <c r="AT85" t="s">
        <v>945</v>
      </c>
      <c r="AU85" s="176">
        <v>2415278.336662</v>
      </c>
      <c r="AW85">
        <v>1200</v>
      </c>
      <c r="AX85" t="s">
        <v>234</v>
      </c>
      <c r="AY85" t="s">
        <v>945</v>
      </c>
      <c r="AZ85" s="176">
        <v>112877322.011107</v>
      </c>
      <c r="BA85" s="342" t="str">
        <f t="shared" si="16"/>
        <v/>
      </c>
      <c r="BB85">
        <v>1200</v>
      </c>
      <c r="BC85" t="s">
        <v>234</v>
      </c>
      <c r="BD85" t="s">
        <v>945</v>
      </c>
      <c r="BE85" s="243">
        <f t="shared" si="17"/>
        <v>92717135.945547596</v>
      </c>
    </row>
    <row r="86" spans="1:57">
      <c r="A86">
        <v>1200</v>
      </c>
      <c r="B86" t="s">
        <v>234</v>
      </c>
      <c r="C86" t="s">
        <v>947</v>
      </c>
      <c r="D86" s="176">
        <v>198348872.873245</v>
      </c>
      <c r="E86">
        <v>0</v>
      </c>
      <c r="G86">
        <v>1200</v>
      </c>
      <c r="H86" t="s">
        <v>234</v>
      </c>
      <c r="I86" t="s">
        <v>947</v>
      </c>
      <c r="J86" s="176">
        <v>126953731.059976</v>
      </c>
      <c r="K86">
        <v>0</v>
      </c>
      <c r="L86" s="342" t="str">
        <f t="shared" si="14"/>
        <v/>
      </c>
      <c r="M86">
        <v>1200</v>
      </c>
      <c r="N86" t="s">
        <v>234</v>
      </c>
      <c r="O86" t="s">
        <v>947</v>
      </c>
      <c r="P86" s="243">
        <f t="shared" si="15"/>
        <v>299911857.7212258</v>
      </c>
      <c r="S86">
        <v>1200</v>
      </c>
      <c r="T86" t="s">
        <v>234</v>
      </c>
      <c r="U86" t="s">
        <v>947</v>
      </c>
      <c r="V86" s="176">
        <v>26211869.964442</v>
      </c>
      <c r="W86" s="176">
        <v>121280740.96998601</v>
      </c>
      <c r="X86" s="176">
        <v>0</v>
      </c>
      <c r="Y86" s="176">
        <v>24545699.222222</v>
      </c>
      <c r="Z86" s="176"/>
      <c r="AA86">
        <v>1200</v>
      </c>
      <c r="AB86" s="176" t="s">
        <v>234</v>
      </c>
      <c r="AC86" s="176" t="s">
        <v>947</v>
      </c>
      <c r="AD86" s="176">
        <v>26211869.964442</v>
      </c>
      <c r="AE86" s="176">
        <v>121280740.96998601</v>
      </c>
      <c r="AF86">
        <v>0</v>
      </c>
      <c r="AG86" s="176">
        <v>24545699.222222</v>
      </c>
      <c r="AH86" s="342" t="str">
        <f t="shared" si="9"/>
        <v/>
      </c>
      <c r="AI86">
        <v>1200</v>
      </c>
      <c r="AJ86" t="s">
        <v>234</v>
      </c>
      <c r="AK86" t="s">
        <v>947</v>
      </c>
      <c r="AL86" s="245">
        <f t="shared" si="10"/>
        <v>47181365.935995601</v>
      </c>
      <c r="AM86" s="245">
        <f t="shared" si="11"/>
        <v>218305333.74597484</v>
      </c>
      <c r="AN86" s="245">
        <f t="shared" si="12"/>
        <v>0</v>
      </c>
      <c r="AO86" s="245">
        <f t="shared" si="13"/>
        <v>44182258.599999607</v>
      </c>
      <c r="AP86" s="176"/>
      <c r="AQ86" s="176"/>
      <c r="AR86">
        <v>1200</v>
      </c>
      <c r="AS86" t="s">
        <v>234</v>
      </c>
      <c r="AT86" t="s">
        <v>947</v>
      </c>
      <c r="AU86" s="176">
        <v>13912316.723324001</v>
      </c>
      <c r="AW86">
        <v>1200</v>
      </c>
      <c r="AX86" t="s">
        <v>234</v>
      </c>
      <c r="AY86" t="s">
        <v>947</v>
      </c>
      <c r="AZ86" s="176">
        <v>8213726.234441</v>
      </c>
      <c r="BA86" s="342" t="str">
        <f t="shared" si="16"/>
        <v/>
      </c>
      <c r="BB86">
        <v>1200</v>
      </c>
      <c r="BC86" t="s">
        <v>234</v>
      </c>
      <c r="BD86" t="s">
        <v>947</v>
      </c>
      <c r="BE86" s="243">
        <f t="shared" si="17"/>
        <v>20483297.7108768</v>
      </c>
    </row>
    <row r="87" spans="1:57">
      <c r="A87">
        <v>1210</v>
      </c>
      <c r="B87" t="s">
        <v>235</v>
      </c>
      <c r="C87" t="s">
        <v>949</v>
      </c>
      <c r="D87" s="176">
        <v>194690915.607701</v>
      </c>
      <c r="E87">
        <v>0</v>
      </c>
      <c r="G87">
        <v>1210</v>
      </c>
      <c r="H87" t="s">
        <v>235</v>
      </c>
      <c r="I87" t="s">
        <v>949</v>
      </c>
      <c r="J87" s="176">
        <v>88545777.685537994</v>
      </c>
      <c r="K87">
        <v>0</v>
      </c>
      <c r="L87" s="342" t="str">
        <f t="shared" si="14"/>
        <v/>
      </c>
      <c r="M87">
        <v>1210</v>
      </c>
      <c r="N87" t="s">
        <v>235</v>
      </c>
      <c r="O87" t="s">
        <v>949</v>
      </c>
      <c r="P87" s="243">
        <f t="shared" si="15"/>
        <v>265527537.75613141</v>
      </c>
      <c r="S87">
        <v>1210</v>
      </c>
      <c r="T87" t="s">
        <v>235</v>
      </c>
      <c r="U87" t="s">
        <v>949</v>
      </c>
      <c r="V87" s="176">
        <v>38679948.452219002</v>
      </c>
      <c r="W87" s="176">
        <v>99710823.355536997</v>
      </c>
      <c r="X87" s="176">
        <v>0</v>
      </c>
      <c r="Y87" s="176">
        <v>33500124.166664001</v>
      </c>
      <c r="Z87" s="176"/>
      <c r="AA87">
        <v>1210</v>
      </c>
      <c r="AB87" s="176" t="s">
        <v>235</v>
      </c>
      <c r="AC87" s="176" t="s">
        <v>949</v>
      </c>
      <c r="AD87" s="176">
        <v>38679948.452219002</v>
      </c>
      <c r="AE87" s="176">
        <v>99710823.355536997</v>
      </c>
      <c r="AF87" s="176">
        <v>0</v>
      </c>
      <c r="AG87" s="176">
        <v>33500124.166664001</v>
      </c>
      <c r="AH87" s="342" t="str">
        <f t="shared" si="9"/>
        <v/>
      </c>
      <c r="AI87">
        <v>1210</v>
      </c>
      <c r="AJ87" t="s">
        <v>235</v>
      </c>
      <c r="AK87" t="s">
        <v>949</v>
      </c>
      <c r="AL87" s="245">
        <f t="shared" si="10"/>
        <v>69623907.213994205</v>
      </c>
      <c r="AM87" s="245">
        <f t="shared" si="11"/>
        <v>179479482.03996658</v>
      </c>
      <c r="AN87" s="245">
        <f t="shared" si="12"/>
        <v>0</v>
      </c>
      <c r="AO87" s="245">
        <f t="shared" si="13"/>
        <v>60300223.499995202</v>
      </c>
      <c r="AP87" s="176"/>
      <c r="AQ87" s="176"/>
      <c r="AR87">
        <v>1210</v>
      </c>
      <c r="AS87" t="s">
        <v>235</v>
      </c>
      <c r="AT87" t="s">
        <v>949</v>
      </c>
      <c r="AU87" s="176">
        <v>165015715.393327</v>
      </c>
      <c r="AW87">
        <v>1210</v>
      </c>
      <c r="AX87" t="s">
        <v>235</v>
      </c>
      <c r="AY87" t="s">
        <v>949</v>
      </c>
      <c r="AZ87" s="176">
        <v>138461934.376665</v>
      </c>
      <c r="BA87" s="342" t="str">
        <f t="shared" si="16"/>
        <v/>
      </c>
      <c r="BB87">
        <v>1210</v>
      </c>
      <c r="BC87" t="s">
        <v>235</v>
      </c>
      <c r="BD87" t="s">
        <v>949</v>
      </c>
      <c r="BE87" s="243">
        <f t="shared" si="17"/>
        <v>275785262.89465898</v>
      </c>
    </row>
    <row r="88" spans="1:57">
      <c r="A88">
        <v>1210</v>
      </c>
      <c r="B88" t="s">
        <v>235</v>
      </c>
      <c r="C88" t="s">
        <v>948</v>
      </c>
      <c r="D88" s="176">
        <v>213792243.10438499</v>
      </c>
      <c r="E88">
        <v>0</v>
      </c>
      <c r="G88">
        <v>1210</v>
      </c>
      <c r="H88" t="s">
        <v>235</v>
      </c>
      <c r="I88" t="s">
        <v>948</v>
      </c>
      <c r="J88" s="176">
        <v>108676313.26109301</v>
      </c>
      <c r="K88">
        <v>0</v>
      </c>
      <c r="L88" s="342" t="str">
        <f t="shared" si="14"/>
        <v/>
      </c>
      <c r="M88">
        <v>1210</v>
      </c>
      <c r="N88" t="s">
        <v>235</v>
      </c>
      <c r="O88" t="s">
        <v>948</v>
      </c>
      <c r="P88" s="243">
        <f t="shared" si="15"/>
        <v>300733293.7132594</v>
      </c>
      <c r="S88">
        <v>1210</v>
      </c>
      <c r="T88" t="s">
        <v>235</v>
      </c>
      <c r="U88" t="s">
        <v>948</v>
      </c>
      <c r="V88" s="176">
        <v>25878784.181109998</v>
      </c>
      <c r="W88" s="176">
        <v>116415205.525544</v>
      </c>
      <c r="X88">
        <v>0</v>
      </c>
      <c r="Y88" s="176">
        <v>22425666.449999999</v>
      </c>
      <c r="Z88" s="176"/>
      <c r="AA88">
        <v>1210</v>
      </c>
      <c r="AB88" s="176" t="s">
        <v>235</v>
      </c>
      <c r="AC88" s="176" t="s">
        <v>948</v>
      </c>
      <c r="AD88" s="176">
        <v>25878784.181109998</v>
      </c>
      <c r="AE88" s="176">
        <v>116415205.525544</v>
      </c>
      <c r="AF88">
        <v>0</v>
      </c>
      <c r="AG88" s="176">
        <v>22425666.449999999</v>
      </c>
      <c r="AH88" s="342" t="str">
        <f t="shared" si="9"/>
        <v/>
      </c>
      <c r="AI88">
        <v>1210</v>
      </c>
      <c r="AJ88" t="s">
        <v>235</v>
      </c>
      <c r="AK88" t="s">
        <v>948</v>
      </c>
      <c r="AL88" s="245">
        <f t="shared" si="10"/>
        <v>46581811.525997996</v>
      </c>
      <c r="AM88" s="245">
        <f t="shared" si="11"/>
        <v>209547369.94597921</v>
      </c>
      <c r="AN88" s="245">
        <f t="shared" si="12"/>
        <v>0</v>
      </c>
      <c r="AO88" s="245">
        <f t="shared" si="13"/>
        <v>40366199.609999999</v>
      </c>
      <c r="AP88" s="176"/>
      <c r="AQ88" s="176"/>
      <c r="AR88">
        <v>1210</v>
      </c>
      <c r="AS88" t="s">
        <v>235</v>
      </c>
      <c r="AT88" t="s">
        <v>948</v>
      </c>
      <c r="AU88" s="176">
        <v>76941737.063326001</v>
      </c>
      <c r="AW88">
        <v>1210</v>
      </c>
      <c r="AX88" t="s">
        <v>235</v>
      </c>
      <c r="AY88" t="s">
        <v>948</v>
      </c>
      <c r="AZ88" s="176">
        <v>66770527.633328997</v>
      </c>
      <c r="BA88" s="342" t="str">
        <f t="shared" si="16"/>
        <v/>
      </c>
      <c r="BB88">
        <v>1210</v>
      </c>
      <c r="BC88" t="s">
        <v>235</v>
      </c>
      <c r="BD88" t="s">
        <v>948</v>
      </c>
      <c r="BE88" s="243">
        <f t="shared" si="17"/>
        <v>130358159.1699892</v>
      </c>
    </row>
    <row r="89" spans="1:57">
      <c r="A89">
        <v>1210</v>
      </c>
      <c r="B89" t="s">
        <v>235</v>
      </c>
      <c r="C89" t="s">
        <v>1685</v>
      </c>
      <c r="D89" s="176">
        <v>94833167.795500994</v>
      </c>
      <c r="E89">
        <v>0</v>
      </c>
      <c r="G89">
        <v>1210</v>
      </c>
      <c r="H89" t="s">
        <v>235</v>
      </c>
      <c r="I89" t="s">
        <v>1685</v>
      </c>
      <c r="J89" s="176">
        <v>136754618.227768</v>
      </c>
      <c r="K89">
        <v>0</v>
      </c>
      <c r="L89" s="342" t="str">
        <f t="shared" si="14"/>
        <v/>
      </c>
      <c r="M89">
        <v>1210</v>
      </c>
      <c r="N89" t="s">
        <v>235</v>
      </c>
      <c r="O89" t="s">
        <v>1685</v>
      </c>
      <c r="P89" s="243">
        <f t="shared" si="15"/>
        <v>204236862.37771541</v>
      </c>
      <c r="S89">
        <v>1210</v>
      </c>
      <c r="T89" t="s">
        <v>235</v>
      </c>
      <c r="U89" t="s">
        <v>1685</v>
      </c>
      <c r="V89" s="176">
        <v>17003208.064443</v>
      </c>
      <c r="W89" s="176">
        <v>59808839.985523</v>
      </c>
      <c r="X89" s="176">
        <v>0</v>
      </c>
      <c r="Y89" s="176">
        <v>560200</v>
      </c>
      <c r="Z89" s="176"/>
      <c r="AA89">
        <v>1210</v>
      </c>
      <c r="AB89" s="176" t="s">
        <v>235</v>
      </c>
      <c r="AC89" s="176" t="s">
        <v>1685</v>
      </c>
      <c r="AD89" s="176">
        <v>17003208.064443</v>
      </c>
      <c r="AE89" s="176">
        <v>59808839.985523</v>
      </c>
      <c r="AF89">
        <v>0</v>
      </c>
      <c r="AG89" s="176">
        <v>560200</v>
      </c>
      <c r="AH89" s="342" t="str">
        <f t="shared" si="9"/>
        <v/>
      </c>
      <c r="AI89">
        <v>1210</v>
      </c>
      <c r="AJ89" t="s">
        <v>235</v>
      </c>
      <c r="AK89" t="s">
        <v>1685</v>
      </c>
      <c r="AL89" s="245">
        <f t="shared" si="10"/>
        <v>30605774.515997402</v>
      </c>
      <c r="AM89" s="245">
        <f t="shared" si="11"/>
        <v>107655911.9739414</v>
      </c>
      <c r="AN89" s="245">
        <f t="shared" si="12"/>
        <v>0</v>
      </c>
      <c r="AO89" s="245">
        <f t="shared" si="13"/>
        <v>1008360</v>
      </c>
      <c r="AP89" s="176"/>
      <c r="AQ89" s="176"/>
      <c r="AR89">
        <v>1210</v>
      </c>
      <c r="AS89" t="s">
        <v>235</v>
      </c>
      <c r="AT89" t="s">
        <v>1685</v>
      </c>
      <c r="AU89" s="176">
        <v>57969907.408882</v>
      </c>
      <c r="AW89">
        <v>1210</v>
      </c>
      <c r="AX89" t="s">
        <v>235</v>
      </c>
      <c r="AY89" t="s">
        <v>1685</v>
      </c>
      <c r="AZ89">
        <v>71194273.073330998</v>
      </c>
      <c r="BA89" s="342" t="str">
        <f t="shared" si="16"/>
        <v/>
      </c>
      <c r="BB89">
        <v>1210</v>
      </c>
      <c r="BC89" t="s">
        <v>235</v>
      </c>
      <c r="BD89" t="s">
        <v>1685</v>
      </c>
      <c r="BE89" s="243">
        <f t="shared" si="17"/>
        <v>114925325.8675468</v>
      </c>
    </row>
    <row r="90" spans="1:57">
      <c r="A90">
        <v>1210</v>
      </c>
      <c r="B90" t="s">
        <v>235</v>
      </c>
      <c r="C90" t="s">
        <v>1686</v>
      </c>
      <c r="D90" s="176">
        <v>67396787.645532995</v>
      </c>
      <c r="E90">
        <v>0</v>
      </c>
      <c r="G90">
        <v>1210</v>
      </c>
      <c r="H90" t="s">
        <v>235</v>
      </c>
      <c r="I90" t="s">
        <v>1686</v>
      </c>
      <c r="J90" s="176">
        <v>71398354.471098006</v>
      </c>
      <c r="K90">
        <v>0</v>
      </c>
      <c r="L90" s="342" t="str">
        <f t="shared" si="14"/>
        <v/>
      </c>
      <c r="M90">
        <v>1210</v>
      </c>
      <c r="N90" t="s">
        <v>235</v>
      </c>
      <c r="O90" t="s">
        <v>1686</v>
      </c>
      <c r="P90" s="243">
        <f t="shared" si="15"/>
        <v>124515471.22241139</v>
      </c>
      <c r="S90">
        <v>1210</v>
      </c>
      <c r="T90" t="s">
        <v>235</v>
      </c>
      <c r="U90" t="s">
        <v>1686</v>
      </c>
      <c r="V90" s="176">
        <v>21552349.973333001</v>
      </c>
      <c r="W90" s="176">
        <v>285939791.30776697</v>
      </c>
      <c r="X90" s="176">
        <v>0</v>
      </c>
      <c r="Y90" s="176">
        <v>9323383.1799999997</v>
      </c>
      <c r="Z90" s="176"/>
      <c r="AA90">
        <v>1210</v>
      </c>
      <c r="AB90" s="176" t="s">
        <v>235</v>
      </c>
      <c r="AC90" s="176" t="s">
        <v>1686</v>
      </c>
      <c r="AD90" s="176">
        <v>21552349.973333001</v>
      </c>
      <c r="AE90" s="176">
        <v>285939791.30776697</v>
      </c>
      <c r="AF90" s="176">
        <v>0</v>
      </c>
      <c r="AG90" s="176">
        <v>9323383.1799999997</v>
      </c>
      <c r="AH90" s="342" t="str">
        <f t="shared" si="9"/>
        <v/>
      </c>
      <c r="AI90">
        <v>1210</v>
      </c>
      <c r="AJ90" t="s">
        <v>235</v>
      </c>
      <c r="AK90" t="s">
        <v>1686</v>
      </c>
      <c r="AL90" s="245">
        <f t="shared" si="10"/>
        <v>38794229.951999404</v>
      </c>
      <c r="AM90" s="245">
        <f t="shared" si="11"/>
        <v>514691624.35398054</v>
      </c>
      <c r="AN90" s="245">
        <f t="shared" si="12"/>
        <v>0</v>
      </c>
      <c r="AO90" s="245">
        <f t="shared" si="13"/>
        <v>16782089.723999999</v>
      </c>
      <c r="AP90" s="176"/>
      <c r="AQ90" s="176"/>
      <c r="AR90">
        <v>1210</v>
      </c>
      <c r="AS90" t="s">
        <v>235</v>
      </c>
      <c r="AT90" t="s">
        <v>1686</v>
      </c>
      <c r="AU90" s="176">
        <v>49767489.199997</v>
      </c>
      <c r="AW90">
        <v>1210</v>
      </c>
      <c r="AX90" t="s">
        <v>235</v>
      </c>
      <c r="AY90" t="s">
        <v>1686</v>
      </c>
      <c r="AZ90" s="176">
        <v>43139982.271107003</v>
      </c>
      <c r="BA90" s="342" t="str">
        <f t="shared" si="16"/>
        <v/>
      </c>
      <c r="BB90">
        <v>1210</v>
      </c>
      <c r="BC90" t="s">
        <v>235</v>
      </c>
      <c r="BD90" t="s">
        <v>1686</v>
      </c>
      <c r="BE90" s="243">
        <f t="shared" si="17"/>
        <v>84279475.016882598</v>
      </c>
    </row>
    <row r="91" spans="1:57">
      <c r="A91">
        <v>1220</v>
      </c>
      <c r="B91" t="s">
        <v>236</v>
      </c>
      <c r="C91" t="s">
        <v>926</v>
      </c>
      <c r="D91" s="176">
        <v>166343801.33883199</v>
      </c>
      <c r="E91">
        <v>0</v>
      </c>
      <c r="G91">
        <v>1220</v>
      </c>
      <c r="H91" t="s">
        <v>236</v>
      </c>
      <c r="I91" t="s">
        <v>926</v>
      </c>
      <c r="J91" s="176">
        <v>372784374.096641</v>
      </c>
      <c r="K91">
        <v>0</v>
      </c>
      <c r="L91" s="342" t="str">
        <f t="shared" si="14"/>
        <v/>
      </c>
      <c r="M91">
        <v>1220</v>
      </c>
      <c r="N91" t="s">
        <v>236</v>
      </c>
      <c r="O91" t="s">
        <v>926</v>
      </c>
      <c r="P91" s="243">
        <f t="shared" si="15"/>
        <v>464571300.61614478</v>
      </c>
      <c r="S91">
        <v>1220</v>
      </c>
      <c r="T91" t="s">
        <v>236</v>
      </c>
      <c r="U91" t="s">
        <v>926</v>
      </c>
      <c r="V91" s="176">
        <v>60964458.335554004</v>
      </c>
      <c r="W91" s="176">
        <v>199494793.19664299</v>
      </c>
      <c r="X91" s="176">
        <v>5500000</v>
      </c>
      <c r="Y91" s="176">
        <v>32758025.055555001</v>
      </c>
      <c r="Z91" s="176"/>
      <c r="AA91">
        <v>1220</v>
      </c>
      <c r="AB91" s="176" t="s">
        <v>236</v>
      </c>
      <c r="AC91" s="176" t="s">
        <v>926</v>
      </c>
      <c r="AD91" s="176">
        <v>60964458.335554004</v>
      </c>
      <c r="AE91" s="176">
        <v>199494793.19664299</v>
      </c>
      <c r="AF91">
        <v>5500000</v>
      </c>
      <c r="AG91" s="176">
        <v>32758025.055555001</v>
      </c>
      <c r="AH91" s="342" t="str">
        <f t="shared" si="9"/>
        <v/>
      </c>
      <c r="AI91">
        <v>1220</v>
      </c>
      <c r="AJ91" t="s">
        <v>236</v>
      </c>
      <c r="AK91" t="s">
        <v>926</v>
      </c>
      <c r="AL91" s="245">
        <f t="shared" si="10"/>
        <v>109736025.00399721</v>
      </c>
      <c r="AM91" s="245">
        <f t="shared" si="11"/>
        <v>359090627.75395739</v>
      </c>
      <c r="AN91" s="245">
        <f t="shared" si="12"/>
        <v>9900000</v>
      </c>
      <c r="AO91" s="245">
        <f t="shared" si="13"/>
        <v>58964445.099999003</v>
      </c>
      <c r="AP91" s="176"/>
      <c r="AQ91" s="176"/>
      <c r="AR91">
        <v>1220</v>
      </c>
      <c r="AS91" t="s">
        <v>236</v>
      </c>
      <c r="AT91" t="s">
        <v>926</v>
      </c>
      <c r="AU91" s="176">
        <v>18513580.756659001</v>
      </c>
      <c r="AW91">
        <v>1220</v>
      </c>
      <c r="AX91" t="s">
        <v>236</v>
      </c>
      <c r="AY91" t="s">
        <v>926</v>
      </c>
      <c r="AZ91" s="176">
        <v>36219388.247771002</v>
      </c>
      <c r="BA91" s="342" t="str">
        <f t="shared" si="16"/>
        <v/>
      </c>
      <c r="BB91">
        <v>1220</v>
      </c>
      <c r="BC91" t="s">
        <v>236</v>
      </c>
      <c r="BD91" t="s">
        <v>926</v>
      </c>
      <c r="BE91" s="243">
        <f t="shared" si="17"/>
        <v>47489091.354875803</v>
      </c>
    </row>
    <row r="92" spans="1:57">
      <c r="A92">
        <v>1220</v>
      </c>
      <c r="B92" t="s">
        <v>236</v>
      </c>
      <c r="C92" t="s">
        <v>951</v>
      </c>
      <c r="D92" s="176">
        <v>220637342.90764201</v>
      </c>
      <c r="E92">
        <v>0</v>
      </c>
      <c r="G92">
        <v>1220</v>
      </c>
      <c r="H92" t="s">
        <v>236</v>
      </c>
      <c r="I92" t="s">
        <v>951</v>
      </c>
      <c r="J92" s="176">
        <v>172150490.07995301</v>
      </c>
      <c r="K92">
        <v>0</v>
      </c>
      <c r="L92" s="342" t="str">
        <f t="shared" si="14"/>
        <v/>
      </c>
      <c r="M92">
        <v>1220</v>
      </c>
      <c r="N92" t="s">
        <v>236</v>
      </c>
      <c r="O92" t="s">
        <v>951</v>
      </c>
      <c r="P92" s="243">
        <f t="shared" si="15"/>
        <v>358357734.97160447</v>
      </c>
      <c r="S92">
        <v>1220</v>
      </c>
      <c r="T92" t="s">
        <v>236</v>
      </c>
      <c r="U92" t="s">
        <v>951</v>
      </c>
      <c r="V92" s="176">
        <v>235208529.56332901</v>
      </c>
      <c r="W92" s="176">
        <v>285950207.186607</v>
      </c>
      <c r="X92" s="176">
        <v>0</v>
      </c>
      <c r="Y92" s="176">
        <v>3427337.444443</v>
      </c>
      <c r="Z92" s="176"/>
      <c r="AA92">
        <v>1220</v>
      </c>
      <c r="AB92" s="176" t="s">
        <v>236</v>
      </c>
      <c r="AC92" s="176" t="s">
        <v>951</v>
      </c>
      <c r="AD92" s="176">
        <v>235208529.56332901</v>
      </c>
      <c r="AE92" s="176">
        <v>285950207.186607</v>
      </c>
      <c r="AF92" s="176">
        <v>0</v>
      </c>
      <c r="AG92" s="176">
        <v>3427337.444443</v>
      </c>
      <c r="AH92" s="342" t="str">
        <f t="shared" si="9"/>
        <v/>
      </c>
      <c r="AI92">
        <v>1220</v>
      </c>
      <c r="AJ92" t="s">
        <v>236</v>
      </c>
      <c r="AK92" t="s">
        <v>951</v>
      </c>
      <c r="AL92" s="245">
        <f t="shared" si="10"/>
        <v>423375353.21399224</v>
      </c>
      <c r="AM92" s="245">
        <f t="shared" si="11"/>
        <v>514710372.93589258</v>
      </c>
      <c r="AN92" s="245">
        <f t="shared" si="12"/>
        <v>0</v>
      </c>
      <c r="AO92" s="245">
        <f t="shared" si="13"/>
        <v>6169207.3999974001</v>
      </c>
      <c r="AP92" s="176"/>
      <c r="AQ92" s="176"/>
      <c r="AR92">
        <v>1220</v>
      </c>
      <c r="AS92" t="s">
        <v>236</v>
      </c>
      <c r="AT92" t="s">
        <v>951</v>
      </c>
      <c r="AU92" s="176">
        <v>21606361.637765002</v>
      </c>
      <c r="AW92">
        <v>1220</v>
      </c>
      <c r="AX92" t="s">
        <v>236</v>
      </c>
      <c r="AY92" t="s">
        <v>951</v>
      </c>
      <c r="AZ92">
        <v>12073596.379992001</v>
      </c>
      <c r="BA92" s="342" t="str">
        <f t="shared" si="16"/>
        <v/>
      </c>
      <c r="BB92">
        <v>1220</v>
      </c>
      <c r="BC92" t="s">
        <v>236</v>
      </c>
      <c r="BD92" t="s">
        <v>951</v>
      </c>
      <c r="BE92" s="243">
        <f t="shared" si="17"/>
        <v>31265238.7417586</v>
      </c>
    </row>
    <row r="93" spans="1:57">
      <c r="A93">
        <v>1220</v>
      </c>
      <c r="B93" t="s">
        <v>236</v>
      </c>
      <c r="C93" t="s">
        <v>950</v>
      </c>
      <c r="D93" s="176">
        <v>276049410.22884703</v>
      </c>
      <c r="E93">
        <v>0</v>
      </c>
      <c r="G93">
        <v>1220</v>
      </c>
      <c r="H93" t="s">
        <v>236</v>
      </c>
      <c r="I93" t="s">
        <v>950</v>
      </c>
      <c r="J93" s="176">
        <v>112899910.26553699</v>
      </c>
      <c r="K93">
        <v>0</v>
      </c>
      <c r="L93" s="342" t="str">
        <f t="shared" si="14"/>
        <v/>
      </c>
      <c r="M93">
        <v>1220</v>
      </c>
      <c r="N93" t="s">
        <v>236</v>
      </c>
      <c r="O93" t="s">
        <v>950</v>
      </c>
      <c r="P93" s="243">
        <f t="shared" si="15"/>
        <v>366369338.44127661</v>
      </c>
      <c r="S93">
        <v>1220</v>
      </c>
      <c r="T93" t="s">
        <v>236</v>
      </c>
      <c r="U93" t="s">
        <v>950</v>
      </c>
      <c r="V93" s="176">
        <v>491982075.17555201</v>
      </c>
      <c r="W93" s="176">
        <v>231348797.47330999</v>
      </c>
      <c r="X93" s="176">
        <v>0</v>
      </c>
      <c r="Y93" s="176">
        <v>14211800</v>
      </c>
      <c r="Z93" s="176"/>
      <c r="AA93">
        <v>1220</v>
      </c>
      <c r="AB93" s="176" t="s">
        <v>236</v>
      </c>
      <c r="AC93" s="176" t="s">
        <v>950</v>
      </c>
      <c r="AD93" s="176">
        <v>491982075.17555201</v>
      </c>
      <c r="AE93" s="176">
        <v>231348797.47330999</v>
      </c>
      <c r="AF93" s="176">
        <v>0</v>
      </c>
      <c r="AG93" s="176">
        <v>14211800</v>
      </c>
      <c r="AH93" s="342" t="str">
        <f t="shared" si="9"/>
        <v/>
      </c>
      <c r="AI93">
        <v>1220</v>
      </c>
      <c r="AJ93" t="s">
        <v>236</v>
      </c>
      <c r="AK93" t="s">
        <v>950</v>
      </c>
      <c r="AL93" s="245">
        <f t="shared" si="10"/>
        <v>885567735.31599367</v>
      </c>
      <c r="AM93" s="245">
        <f t="shared" si="11"/>
        <v>416427835.451958</v>
      </c>
      <c r="AN93" s="245">
        <f t="shared" si="12"/>
        <v>0</v>
      </c>
      <c r="AO93" s="245">
        <f t="shared" si="13"/>
        <v>25581240</v>
      </c>
      <c r="AP93" s="176"/>
      <c r="AQ93" s="176"/>
      <c r="AR93">
        <v>1220</v>
      </c>
      <c r="AS93" t="s">
        <v>236</v>
      </c>
      <c r="AT93" t="s">
        <v>950</v>
      </c>
      <c r="AU93" s="176">
        <v>45881939.055547997</v>
      </c>
      <c r="AW93">
        <v>1220</v>
      </c>
      <c r="AX93" t="s">
        <v>236</v>
      </c>
      <c r="AY93" t="s">
        <v>950</v>
      </c>
      <c r="AZ93" s="176">
        <v>19356476.834438</v>
      </c>
      <c r="BA93" s="342" t="str">
        <f t="shared" si="16"/>
        <v/>
      </c>
      <c r="BB93">
        <v>1220</v>
      </c>
      <c r="BC93" t="s">
        <v>236</v>
      </c>
      <c r="BD93" t="s">
        <v>950</v>
      </c>
      <c r="BE93" s="243">
        <f t="shared" si="17"/>
        <v>61367120.523098394</v>
      </c>
    </row>
    <row r="94" spans="1:57">
      <c r="A94">
        <v>1230</v>
      </c>
      <c r="B94" t="s">
        <v>237</v>
      </c>
      <c r="C94" t="s">
        <v>936</v>
      </c>
      <c r="D94" s="176">
        <v>211102799.262144</v>
      </c>
      <c r="E94">
        <v>0</v>
      </c>
      <c r="G94">
        <v>1230</v>
      </c>
      <c r="H94" t="s">
        <v>237</v>
      </c>
      <c r="I94" t="s">
        <v>936</v>
      </c>
      <c r="J94" s="176">
        <v>106781042.326647</v>
      </c>
      <c r="K94">
        <v>0</v>
      </c>
      <c r="L94" s="342" t="str">
        <f t="shared" si="14"/>
        <v/>
      </c>
      <c r="M94">
        <v>1230</v>
      </c>
      <c r="N94" t="s">
        <v>237</v>
      </c>
      <c r="O94" t="s">
        <v>936</v>
      </c>
      <c r="P94" s="243">
        <f t="shared" si="15"/>
        <v>296527633.1234616</v>
      </c>
      <c r="S94">
        <v>1230</v>
      </c>
      <c r="T94" t="s">
        <v>237</v>
      </c>
      <c r="U94" t="s">
        <v>936</v>
      </c>
      <c r="V94" s="176">
        <v>60729560.675553001</v>
      </c>
      <c r="W94" s="176">
        <v>203750663.247756</v>
      </c>
      <c r="X94">
        <v>2000000</v>
      </c>
      <c r="Y94" s="176">
        <v>12928898.111107999</v>
      </c>
      <c r="Z94" s="176"/>
      <c r="AA94">
        <v>1230</v>
      </c>
      <c r="AB94" s="176" t="s">
        <v>237</v>
      </c>
      <c r="AC94" s="176" t="s">
        <v>936</v>
      </c>
      <c r="AD94" s="176">
        <v>60729560.675553001</v>
      </c>
      <c r="AE94" s="176">
        <v>203750663.247756</v>
      </c>
      <c r="AF94">
        <v>2000000</v>
      </c>
      <c r="AG94" s="176">
        <v>12928898.111107999</v>
      </c>
      <c r="AH94" s="342" t="str">
        <f t="shared" si="9"/>
        <v/>
      </c>
      <c r="AI94">
        <v>1230</v>
      </c>
      <c r="AJ94" t="s">
        <v>237</v>
      </c>
      <c r="AK94" t="s">
        <v>936</v>
      </c>
      <c r="AL94" s="245">
        <f t="shared" si="10"/>
        <v>109313209.2159954</v>
      </c>
      <c r="AM94" s="245">
        <f t="shared" si="11"/>
        <v>366751193.84596086</v>
      </c>
      <c r="AN94" s="245">
        <f t="shared" si="12"/>
        <v>3600000</v>
      </c>
      <c r="AO94" s="245">
        <f t="shared" si="13"/>
        <v>23272016.599994399</v>
      </c>
      <c r="AP94" s="176"/>
      <c r="AQ94" s="176"/>
      <c r="AR94">
        <v>1230</v>
      </c>
      <c r="AS94" t="s">
        <v>237</v>
      </c>
      <c r="AT94" t="s">
        <v>936</v>
      </c>
      <c r="AU94" s="176">
        <v>58175027.406658001</v>
      </c>
      <c r="AW94">
        <v>1230</v>
      </c>
      <c r="AX94" t="s">
        <v>237</v>
      </c>
      <c r="AY94" t="s">
        <v>936</v>
      </c>
      <c r="AZ94">
        <v>53448655.762218997</v>
      </c>
      <c r="BA94" s="342" t="str">
        <f t="shared" si="16"/>
        <v/>
      </c>
      <c r="BB94">
        <v>1230</v>
      </c>
      <c r="BC94" t="s">
        <v>237</v>
      </c>
      <c r="BD94" t="s">
        <v>936</v>
      </c>
      <c r="BE94" s="243">
        <f t="shared" si="17"/>
        <v>100933952.01643321</v>
      </c>
    </row>
    <row r="95" spans="1:57">
      <c r="A95">
        <v>1230</v>
      </c>
      <c r="B95" t="s">
        <v>237</v>
      </c>
      <c r="C95" t="s">
        <v>953</v>
      </c>
      <c r="D95" s="176">
        <v>270408611.46769702</v>
      </c>
      <c r="E95">
        <v>0</v>
      </c>
      <c r="G95">
        <v>1230</v>
      </c>
      <c r="H95" t="s">
        <v>237</v>
      </c>
      <c r="I95" t="s">
        <v>953</v>
      </c>
      <c r="J95" s="176">
        <v>177283687.036639</v>
      </c>
      <c r="K95">
        <v>0</v>
      </c>
      <c r="L95" s="342" t="str">
        <f t="shared" si="14"/>
        <v/>
      </c>
      <c r="M95">
        <v>1230</v>
      </c>
      <c r="N95" t="s">
        <v>237</v>
      </c>
      <c r="O95" t="s">
        <v>953</v>
      </c>
      <c r="P95" s="243">
        <f t="shared" si="15"/>
        <v>412235561.09700823</v>
      </c>
      <c r="S95">
        <v>1230</v>
      </c>
      <c r="T95" t="s">
        <v>237</v>
      </c>
      <c r="U95" t="s">
        <v>953</v>
      </c>
      <c r="V95" s="176">
        <v>107008498.651109</v>
      </c>
      <c r="W95" s="176">
        <v>449293189.425524</v>
      </c>
      <c r="X95" s="176">
        <v>5707600</v>
      </c>
      <c r="Y95" s="176">
        <v>98496788.944443002</v>
      </c>
      <c r="Z95" s="176"/>
      <c r="AA95">
        <v>1230</v>
      </c>
      <c r="AB95" s="176" t="s">
        <v>237</v>
      </c>
      <c r="AC95" s="176" t="s">
        <v>953</v>
      </c>
      <c r="AD95" s="176">
        <v>107008498.651109</v>
      </c>
      <c r="AE95" s="176">
        <v>449293189.425524</v>
      </c>
      <c r="AF95" s="176">
        <v>5707600</v>
      </c>
      <c r="AG95" s="176">
        <v>98496788.944443002</v>
      </c>
      <c r="AH95" s="342" t="str">
        <f t="shared" si="9"/>
        <v/>
      </c>
      <c r="AI95">
        <v>1230</v>
      </c>
      <c r="AJ95" t="s">
        <v>237</v>
      </c>
      <c r="AK95" t="s">
        <v>953</v>
      </c>
      <c r="AL95" s="245">
        <f t="shared" si="10"/>
        <v>192615297.57199621</v>
      </c>
      <c r="AM95" s="245">
        <f t="shared" si="11"/>
        <v>808727740.96594322</v>
      </c>
      <c r="AN95" s="245">
        <f t="shared" si="12"/>
        <v>10273680</v>
      </c>
      <c r="AO95" s="245">
        <f t="shared" si="13"/>
        <v>177294220.0999974</v>
      </c>
      <c r="AP95" s="176"/>
      <c r="AQ95" s="176"/>
      <c r="AR95">
        <v>1230</v>
      </c>
      <c r="AS95" t="s">
        <v>237</v>
      </c>
      <c r="AT95" t="s">
        <v>953</v>
      </c>
      <c r="AU95" s="176">
        <v>74624143.801099002</v>
      </c>
      <c r="AW95">
        <v>1230</v>
      </c>
      <c r="AX95" t="s">
        <v>237</v>
      </c>
      <c r="AY95" t="s">
        <v>953</v>
      </c>
      <c r="AZ95" s="176">
        <v>76095632.352218002</v>
      </c>
      <c r="BA95" s="342" t="str">
        <f t="shared" si="16"/>
        <v/>
      </c>
      <c r="BB95">
        <v>1230</v>
      </c>
      <c r="BC95" t="s">
        <v>237</v>
      </c>
      <c r="BD95" t="s">
        <v>953</v>
      </c>
      <c r="BE95" s="243">
        <f t="shared" si="17"/>
        <v>135500649.6828734</v>
      </c>
    </row>
    <row r="96" spans="1:57">
      <c r="A96">
        <v>1230</v>
      </c>
      <c r="B96" t="s">
        <v>237</v>
      </c>
      <c r="C96" t="s">
        <v>1687</v>
      </c>
      <c r="D96" s="176">
        <v>211664762.75658801</v>
      </c>
      <c r="E96">
        <v>0</v>
      </c>
      <c r="G96">
        <v>1230</v>
      </c>
      <c r="H96" t="s">
        <v>237</v>
      </c>
      <c r="I96" t="s">
        <v>1687</v>
      </c>
      <c r="J96" s="176">
        <v>155251053.088871</v>
      </c>
      <c r="K96">
        <v>0</v>
      </c>
      <c r="L96" s="342" t="str">
        <f t="shared" si="14"/>
        <v/>
      </c>
      <c r="M96">
        <v>1230</v>
      </c>
      <c r="N96" t="s">
        <v>237</v>
      </c>
      <c r="O96" t="s">
        <v>1687</v>
      </c>
      <c r="P96" s="243">
        <f t="shared" si="15"/>
        <v>335865605.22768486</v>
      </c>
      <c r="S96">
        <v>1230</v>
      </c>
      <c r="T96" t="s">
        <v>237</v>
      </c>
      <c r="U96" t="s">
        <v>1687</v>
      </c>
      <c r="V96" s="176">
        <v>35692254.967776</v>
      </c>
      <c r="W96" s="176">
        <v>143671013.405527</v>
      </c>
      <c r="X96" s="176">
        <v>0</v>
      </c>
      <c r="Y96" s="176">
        <v>111210044.42222001</v>
      </c>
      <c r="Z96" s="176"/>
      <c r="AA96">
        <v>1230</v>
      </c>
      <c r="AB96" s="176" t="s">
        <v>237</v>
      </c>
      <c r="AC96" s="176" t="s">
        <v>1687</v>
      </c>
      <c r="AD96" s="176">
        <v>35692254.967776</v>
      </c>
      <c r="AE96" s="176">
        <v>143671013.405527</v>
      </c>
      <c r="AF96" s="176">
        <v>0</v>
      </c>
      <c r="AG96" s="176">
        <v>111210044.42222001</v>
      </c>
      <c r="AH96" s="342" t="str">
        <f t="shared" si="9"/>
        <v/>
      </c>
      <c r="AI96">
        <v>1230</v>
      </c>
      <c r="AJ96" t="s">
        <v>237</v>
      </c>
      <c r="AK96" t="s">
        <v>1687</v>
      </c>
      <c r="AL96" s="245">
        <f t="shared" si="10"/>
        <v>64246058.941996798</v>
      </c>
      <c r="AM96" s="245">
        <f t="shared" si="11"/>
        <v>258607824.12994862</v>
      </c>
      <c r="AN96" s="245">
        <f t="shared" si="12"/>
        <v>0</v>
      </c>
      <c r="AO96" s="245">
        <f t="shared" si="13"/>
        <v>200178079.95999601</v>
      </c>
      <c r="AP96" s="176"/>
      <c r="AQ96" s="176"/>
      <c r="AR96">
        <v>1230</v>
      </c>
      <c r="AS96" t="s">
        <v>237</v>
      </c>
      <c r="AT96" t="s">
        <v>1687</v>
      </c>
      <c r="AU96" s="176">
        <v>14477833.046664</v>
      </c>
      <c r="AW96">
        <v>1230</v>
      </c>
      <c r="AX96" t="s">
        <v>237</v>
      </c>
      <c r="AY96" t="s">
        <v>1687</v>
      </c>
      <c r="AZ96" s="176">
        <v>18348034.825552002</v>
      </c>
      <c r="BA96" s="342" t="str">
        <f t="shared" si="16"/>
        <v/>
      </c>
      <c r="BB96">
        <v>1230</v>
      </c>
      <c r="BC96" t="s">
        <v>237</v>
      </c>
      <c r="BD96" t="s">
        <v>1687</v>
      </c>
      <c r="BE96" s="243">
        <f t="shared" si="17"/>
        <v>29156260.907105602</v>
      </c>
    </row>
    <row r="97" spans="1:57">
      <c r="A97">
        <v>1230</v>
      </c>
      <c r="B97" t="s">
        <v>237</v>
      </c>
      <c r="C97" t="s">
        <v>1937</v>
      </c>
      <c r="D97" s="176">
        <v>67335822.272196993</v>
      </c>
      <c r="E97">
        <v>0</v>
      </c>
      <c r="G97">
        <v>1230</v>
      </c>
      <c r="H97" t="s">
        <v>237</v>
      </c>
      <c r="I97" t="s">
        <v>1937</v>
      </c>
      <c r="J97" s="176">
        <v>2938836.7166630002</v>
      </c>
      <c r="K97">
        <v>0</v>
      </c>
      <c r="L97" s="342" t="str">
        <f t="shared" si="14"/>
        <v/>
      </c>
      <c r="M97">
        <v>1230</v>
      </c>
      <c r="N97" t="s">
        <v>237</v>
      </c>
      <c r="O97" t="s">
        <v>1937</v>
      </c>
      <c r="P97" s="243">
        <f t="shared" si="15"/>
        <v>69686891.645527393</v>
      </c>
      <c r="S97">
        <v>1230</v>
      </c>
      <c r="T97" t="s">
        <v>237</v>
      </c>
      <c r="U97" t="s">
        <v>1937</v>
      </c>
      <c r="V97" s="176">
        <v>11743088.185554</v>
      </c>
      <c r="W97" s="176">
        <v>59557276.771105997</v>
      </c>
      <c r="X97">
        <v>0</v>
      </c>
      <c r="Y97" s="176">
        <v>6710500</v>
      </c>
      <c r="Z97" s="176"/>
      <c r="AA97">
        <v>1230</v>
      </c>
      <c r="AB97" s="176" t="s">
        <v>237</v>
      </c>
      <c r="AC97" s="176" t="s">
        <v>1937</v>
      </c>
      <c r="AD97" s="176">
        <v>11743088.185554</v>
      </c>
      <c r="AE97" s="176">
        <v>59557276.771105997</v>
      </c>
      <c r="AF97">
        <v>0</v>
      </c>
      <c r="AG97" s="176">
        <v>6710500</v>
      </c>
      <c r="AH97" s="342" t="str">
        <f t="shared" si="9"/>
        <v/>
      </c>
      <c r="AI97">
        <v>1230</v>
      </c>
      <c r="AJ97" t="s">
        <v>237</v>
      </c>
      <c r="AK97" t="s">
        <v>1937</v>
      </c>
      <c r="AL97" s="245">
        <f t="shared" si="10"/>
        <v>21137558.7339972</v>
      </c>
      <c r="AM97" s="245">
        <f t="shared" si="11"/>
        <v>107203098.1879908</v>
      </c>
      <c r="AN97" s="245">
        <f t="shared" si="12"/>
        <v>0</v>
      </c>
      <c r="AO97" s="245">
        <f t="shared" si="13"/>
        <v>12078900</v>
      </c>
      <c r="AP97" s="176"/>
      <c r="AQ97" s="176"/>
      <c r="AR97">
        <v>1230</v>
      </c>
      <c r="AS97" t="s">
        <v>237</v>
      </c>
      <c r="AT97" t="s">
        <v>1937</v>
      </c>
      <c r="AU97" s="176">
        <v>1210438.6988860001</v>
      </c>
      <c r="AW97">
        <v>1230</v>
      </c>
      <c r="AX97" t="s">
        <v>237</v>
      </c>
      <c r="AY97" t="s">
        <v>1937</v>
      </c>
      <c r="AZ97" s="176">
        <v>0</v>
      </c>
      <c r="BA97" s="342" t="str">
        <f t="shared" si="16"/>
        <v/>
      </c>
      <c r="BB97">
        <v>1230</v>
      </c>
      <c r="BC97" t="s">
        <v>237</v>
      </c>
      <c r="BD97" t="s">
        <v>1937</v>
      </c>
      <c r="BE97" s="243">
        <f t="shared" si="17"/>
        <v>1210438.6988860001</v>
      </c>
    </row>
    <row r="98" spans="1:57">
      <c r="A98">
        <v>1240</v>
      </c>
      <c r="B98" t="s">
        <v>238</v>
      </c>
      <c r="C98" t="s">
        <v>955</v>
      </c>
      <c r="D98" s="176">
        <v>284756734.529948</v>
      </c>
      <c r="E98">
        <v>0</v>
      </c>
      <c r="G98">
        <v>1240</v>
      </c>
      <c r="H98" t="s">
        <v>238</v>
      </c>
      <c r="I98" t="s">
        <v>955</v>
      </c>
      <c r="J98" s="176">
        <v>213563064.73775399</v>
      </c>
      <c r="K98">
        <v>0</v>
      </c>
      <c r="L98" s="342" t="str">
        <f t="shared" si="14"/>
        <v/>
      </c>
      <c r="M98">
        <v>1240</v>
      </c>
      <c r="N98" t="s">
        <v>238</v>
      </c>
      <c r="O98" t="s">
        <v>955</v>
      </c>
      <c r="P98" s="243">
        <f t="shared" si="15"/>
        <v>455607186.32015121</v>
      </c>
      <c r="S98">
        <v>1240</v>
      </c>
      <c r="T98" t="s">
        <v>238</v>
      </c>
      <c r="U98" t="s">
        <v>955</v>
      </c>
      <c r="V98" s="176">
        <v>41517463.098886997</v>
      </c>
      <c r="W98" s="176">
        <v>263090735.395538</v>
      </c>
      <c r="X98">
        <v>0</v>
      </c>
      <c r="Y98" s="176">
        <v>32290998.009999</v>
      </c>
      <c r="Z98" s="176"/>
      <c r="AA98">
        <v>1240</v>
      </c>
      <c r="AB98" s="176" t="s">
        <v>238</v>
      </c>
      <c r="AC98" s="176" t="s">
        <v>955</v>
      </c>
      <c r="AD98" s="176">
        <v>41517463.098886997</v>
      </c>
      <c r="AE98" s="176">
        <v>263090735.395538</v>
      </c>
      <c r="AF98">
        <v>0</v>
      </c>
      <c r="AG98" s="176">
        <v>32290998.009999</v>
      </c>
      <c r="AH98" s="342" t="str">
        <f t="shared" si="9"/>
        <v/>
      </c>
      <c r="AI98">
        <v>1240</v>
      </c>
      <c r="AJ98" t="s">
        <v>238</v>
      </c>
      <c r="AK98" t="s">
        <v>955</v>
      </c>
      <c r="AL98" s="245">
        <f t="shared" si="10"/>
        <v>74731433.577996597</v>
      </c>
      <c r="AM98" s="245">
        <f t="shared" si="11"/>
        <v>473563323.71196842</v>
      </c>
      <c r="AN98" s="245">
        <f t="shared" si="12"/>
        <v>0</v>
      </c>
      <c r="AO98" s="245">
        <f t="shared" si="13"/>
        <v>58123796.417998202</v>
      </c>
      <c r="AP98" s="176"/>
      <c r="AQ98" s="176"/>
      <c r="AR98">
        <v>1240</v>
      </c>
      <c r="AS98" t="s">
        <v>238</v>
      </c>
      <c r="AT98" t="s">
        <v>955</v>
      </c>
      <c r="AU98" s="176">
        <v>77197225.283322006</v>
      </c>
      <c r="AW98">
        <v>1240</v>
      </c>
      <c r="AX98" t="s">
        <v>238</v>
      </c>
      <c r="AY98" t="s">
        <v>955</v>
      </c>
      <c r="AZ98" s="176">
        <v>61323286.658880003</v>
      </c>
      <c r="BA98" s="342" t="str">
        <f t="shared" si="16"/>
        <v/>
      </c>
      <c r="BB98">
        <v>1240</v>
      </c>
      <c r="BC98" t="s">
        <v>238</v>
      </c>
      <c r="BD98" t="s">
        <v>955</v>
      </c>
      <c r="BE98" s="243">
        <f t="shared" si="17"/>
        <v>126255854.61042601</v>
      </c>
    </row>
    <row r="99" spans="1:57">
      <c r="A99">
        <v>1240</v>
      </c>
      <c r="B99" t="s">
        <v>238</v>
      </c>
      <c r="C99" t="s">
        <v>954</v>
      </c>
      <c r="D99" s="176">
        <v>129777058.269898</v>
      </c>
      <c r="E99">
        <v>0</v>
      </c>
      <c r="G99">
        <v>1240</v>
      </c>
      <c r="H99" t="s">
        <v>238</v>
      </c>
      <c r="I99" t="s">
        <v>954</v>
      </c>
      <c r="J99" s="176">
        <v>93961429.104418993</v>
      </c>
      <c r="K99">
        <v>0</v>
      </c>
      <c r="L99" s="342" t="str">
        <f t="shared" si="14"/>
        <v/>
      </c>
      <c r="M99">
        <v>1240</v>
      </c>
      <c r="N99" t="s">
        <v>238</v>
      </c>
      <c r="O99" t="s">
        <v>954</v>
      </c>
      <c r="P99" s="243">
        <f t="shared" si="15"/>
        <v>204946201.55343318</v>
      </c>
      <c r="S99">
        <v>1240</v>
      </c>
      <c r="T99" t="s">
        <v>238</v>
      </c>
      <c r="U99" t="s">
        <v>954</v>
      </c>
      <c r="V99" s="176">
        <v>47182804.688887</v>
      </c>
      <c r="W99" s="176">
        <v>109225682.442194</v>
      </c>
      <c r="X99" s="176">
        <v>155000</v>
      </c>
      <c r="Y99" s="176">
        <v>9491633.3333310001</v>
      </c>
      <c r="Z99" s="176"/>
      <c r="AA99">
        <v>1240</v>
      </c>
      <c r="AB99" s="176" t="s">
        <v>238</v>
      </c>
      <c r="AC99" s="176" t="s">
        <v>954</v>
      </c>
      <c r="AD99" s="176">
        <v>47182804.688887</v>
      </c>
      <c r="AE99" s="176">
        <v>109225682.442194</v>
      </c>
      <c r="AF99" s="176">
        <v>155000</v>
      </c>
      <c r="AG99" s="176">
        <v>9491633.3333310001</v>
      </c>
      <c r="AH99" s="342" t="str">
        <f t="shared" si="9"/>
        <v/>
      </c>
      <c r="AI99">
        <v>1240</v>
      </c>
      <c r="AJ99" t="s">
        <v>238</v>
      </c>
      <c r="AK99" t="s">
        <v>954</v>
      </c>
      <c r="AL99" s="245">
        <f t="shared" si="10"/>
        <v>84929048.4399966</v>
      </c>
      <c r="AM99" s="245">
        <f t="shared" si="11"/>
        <v>196606228.39594918</v>
      </c>
      <c r="AN99" s="245">
        <f t="shared" si="12"/>
        <v>279000</v>
      </c>
      <c r="AO99" s="245">
        <f t="shared" si="13"/>
        <v>17084939.999995802</v>
      </c>
      <c r="AP99" s="176"/>
      <c r="AQ99" s="176"/>
      <c r="AR99">
        <v>1240</v>
      </c>
      <c r="AS99" t="s">
        <v>238</v>
      </c>
      <c r="AT99" t="s">
        <v>954</v>
      </c>
      <c r="AU99" s="176">
        <v>48938262.908881001</v>
      </c>
      <c r="AW99">
        <v>1240</v>
      </c>
      <c r="AX99" t="s">
        <v>238</v>
      </c>
      <c r="AY99" t="s">
        <v>954</v>
      </c>
      <c r="AZ99" s="176">
        <v>45590336.054440998</v>
      </c>
      <c r="BA99" s="342" t="str">
        <f t="shared" si="16"/>
        <v/>
      </c>
      <c r="BB99">
        <v>1240</v>
      </c>
      <c r="BC99" t="s">
        <v>238</v>
      </c>
      <c r="BD99" t="s">
        <v>954</v>
      </c>
      <c r="BE99" s="243">
        <f t="shared" si="17"/>
        <v>85410531.752433807</v>
      </c>
    </row>
    <row r="100" spans="1:57">
      <c r="A100">
        <v>1240</v>
      </c>
      <c r="B100" t="s">
        <v>238</v>
      </c>
      <c r="C100" t="s">
        <v>1689</v>
      </c>
      <c r="D100" s="176">
        <v>107664038.083287</v>
      </c>
      <c r="E100">
        <v>0</v>
      </c>
      <c r="G100">
        <v>1240</v>
      </c>
      <c r="H100" t="s">
        <v>238</v>
      </c>
      <c r="I100" t="s">
        <v>1689</v>
      </c>
      <c r="J100" s="176">
        <v>55992269.959990002</v>
      </c>
      <c r="K100">
        <v>0</v>
      </c>
      <c r="L100" s="342" t="str">
        <f t="shared" si="14"/>
        <v/>
      </c>
      <c r="M100">
        <v>1240</v>
      </c>
      <c r="N100" t="s">
        <v>238</v>
      </c>
      <c r="O100" t="s">
        <v>1689</v>
      </c>
      <c r="P100" s="243">
        <f t="shared" si="15"/>
        <v>152457854.05127901</v>
      </c>
      <c r="S100">
        <v>1240</v>
      </c>
      <c r="T100" t="s">
        <v>238</v>
      </c>
      <c r="U100" t="s">
        <v>1689</v>
      </c>
      <c r="V100" s="176">
        <v>31804629.63222</v>
      </c>
      <c r="W100" s="176">
        <v>44333125.507765003</v>
      </c>
      <c r="X100" s="176">
        <v>0</v>
      </c>
      <c r="Y100" s="176">
        <v>3529038.3333319998</v>
      </c>
      <c r="Z100" s="176"/>
      <c r="AA100">
        <v>1240</v>
      </c>
      <c r="AB100" s="176" t="s">
        <v>238</v>
      </c>
      <c r="AC100" s="176" t="s">
        <v>1689</v>
      </c>
      <c r="AD100" s="176">
        <v>31804629.63222</v>
      </c>
      <c r="AE100" s="176">
        <v>44333125.507765003</v>
      </c>
      <c r="AF100">
        <v>0</v>
      </c>
      <c r="AG100" s="176">
        <v>3529038.3333319998</v>
      </c>
      <c r="AH100" s="342" t="str">
        <f t="shared" si="9"/>
        <v/>
      </c>
      <c r="AI100">
        <v>1240</v>
      </c>
      <c r="AJ100" t="s">
        <v>238</v>
      </c>
      <c r="AK100" t="s">
        <v>1689</v>
      </c>
      <c r="AL100" s="245">
        <f t="shared" si="10"/>
        <v>57248333.337996006</v>
      </c>
      <c r="AM100" s="245">
        <f t="shared" si="11"/>
        <v>79799625.913976997</v>
      </c>
      <c r="AN100" s="245">
        <f t="shared" si="12"/>
        <v>0</v>
      </c>
      <c r="AO100" s="245">
        <f t="shared" si="13"/>
        <v>6352268.9999976</v>
      </c>
      <c r="AP100" s="176"/>
      <c r="AQ100" s="176"/>
      <c r="AR100">
        <v>1240</v>
      </c>
      <c r="AS100" t="s">
        <v>238</v>
      </c>
      <c r="AT100" t="s">
        <v>1689</v>
      </c>
      <c r="AU100" s="176">
        <v>39164248.291109003</v>
      </c>
      <c r="AW100">
        <v>1240</v>
      </c>
      <c r="AX100" t="s">
        <v>238</v>
      </c>
      <c r="AY100" t="s">
        <v>1689</v>
      </c>
      <c r="AZ100" s="176">
        <v>37627547.532219999</v>
      </c>
      <c r="BA100" s="342" t="str">
        <f t="shared" si="16"/>
        <v/>
      </c>
      <c r="BB100">
        <v>1240</v>
      </c>
      <c r="BC100" t="s">
        <v>238</v>
      </c>
      <c r="BD100" t="s">
        <v>1689</v>
      </c>
      <c r="BE100" s="243">
        <f t="shared" si="17"/>
        <v>69266286.316884995</v>
      </c>
    </row>
    <row r="101" spans="1:57">
      <c r="A101">
        <v>1250</v>
      </c>
      <c r="B101" t="s">
        <v>239</v>
      </c>
      <c r="C101" t="s">
        <v>957</v>
      </c>
      <c r="D101" s="176">
        <v>402946854.84210497</v>
      </c>
      <c r="E101">
        <v>0</v>
      </c>
      <c r="G101">
        <v>1250</v>
      </c>
      <c r="H101" t="s">
        <v>239</v>
      </c>
      <c r="I101" t="s">
        <v>957</v>
      </c>
      <c r="J101" s="176">
        <v>184209709.29663599</v>
      </c>
      <c r="K101">
        <v>0</v>
      </c>
      <c r="L101" s="342" t="str">
        <f t="shared" si="14"/>
        <v/>
      </c>
      <c r="M101">
        <v>1250</v>
      </c>
      <c r="N101" t="s">
        <v>239</v>
      </c>
      <c r="O101" t="s">
        <v>957</v>
      </c>
      <c r="P101" s="243">
        <f t="shared" si="15"/>
        <v>550314622.2794137</v>
      </c>
      <c r="S101">
        <v>1250</v>
      </c>
      <c r="T101" t="s">
        <v>239</v>
      </c>
      <c r="U101" t="s">
        <v>957</v>
      </c>
      <c r="V101" s="176">
        <v>64624612.783331998</v>
      </c>
      <c r="W101" s="176">
        <v>139726357.93775001</v>
      </c>
      <c r="X101" s="176">
        <v>0</v>
      </c>
      <c r="Y101" s="176">
        <v>11878739</v>
      </c>
      <c r="Z101" s="176"/>
      <c r="AA101">
        <v>1250</v>
      </c>
      <c r="AB101" s="176" t="s">
        <v>239</v>
      </c>
      <c r="AC101" s="176" t="s">
        <v>957</v>
      </c>
      <c r="AD101" s="176">
        <v>64624612.783331998</v>
      </c>
      <c r="AE101" s="176">
        <v>139726357.93775001</v>
      </c>
      <c r="AF101">
        <v>0</v>
      </c>
      <c r="AG101" s="176">
        <v>11878739</v>
      </c>
      <c r="AH101" s="342" t="str">
        <f t="shared" si="9"/>
        <v/>
      </c>
      <c r="AI101">
        <v>1250</v>
      </c>
      <c r="AJ101" t="s">
        <v>239</v>
      </c>
      <c r="AK101" t="s">
        <v>957</v>
      </c>
      <c r="AL101" s="245">
        <f t="shared" si="10"/>
        <v>116324303.00999761</v>
      </c>
      <c r="AM101" s="245">
        <f t="shared" si="11"/>
        <v>251507444.28795004</v>
      </c>
      <c r="AN101" s="245">
        <f t="shared" si="12"/>
        <v>0</v>
      </c>
      <c r="AO101" s="245">
        <f t="shared" si="13"/>
        <v>21381730.200000003</v>
      </c>
      <c r="AP101" s="176"/>
      <c r="AQ101" s="176"/>
      <c r="AR101">
        <v>1250</v>
      </c>
      <c r="AS101" t="s">
        <v>239</v>
      </c>
      <c r="AT101" t="s">
        <v>957</v>
      </c>
      <c r="AU101" s="176">
        <v>14468576.529988</v>
      </c>
      <c r="AW101">
        <v>1250</v>
      </c>
      <c r="AX101" t="s">
        <v>239</v>
      </c>
      <c r="AY101" t="s">
        <v>957</v>
      </c>
      <c r="AZ101" s="176">
        <v>41322005.349997997</v>
      </c>
      <c r="BA101" s="342" t="str">
        <f t="shared" si="16"/>
        <v/>
      </c>
      <c r="BB101">
        <v>1250</v>
      </c>
      <c r="BC101" t="s">
        <v>239</v>
      </c>
      <c r="BD101" t="s">
        <v>957</v>
      </c>
      <c r="BE101" s="243">
        <f t="shared" si="17"/>
        <v>47526180.809986398</v>
      </c>
    </row>
    <row r="102" spans="1:57">
      <c r="A102">
        <v>1250</v>
      </c>
      <c r="B102" t="s">
        <v>239</v>
      </c>
      <c r="C102" t="s">
        <v>958</v>
      </c>
      <c r="D102" s="176">
        <v>615273913.06882405</v>
      </c>
      <c r="E102">
        <v>0</v>
      </c>
      <c r="G102">
        <v>1250</v>
      </c>
      <c r="H102" t="s">
        <v>239</v>
      </c>
      <c r="I102" t="s">
        <v>958</v>
      </c>
      <c r="J102" s="176">
        <v>381546352.21108699</v>
      </c>
      <c r="K102">
        <v>0</v>
      </c>
      <c r="L102" s="342" t="str">
        <f t="shared" si="14"/>
        <v/>
      </c>
      <c r="M102">
        <v>1250</v>
      </c>
      <c r="N102" t="s">
        <v>239</v>
      </c>
      <c r="O102" t="s">
        <v>958</v>
      </c>
      <c r="P102" s="243">
        <f t="shared" si="15"/>
        <v>920510994.83769369</v>
      </c>
      <c r="S102">
        <v>1250</v>
      </c>
      <c r="T102" t="s">
        <v>239</v>
      </c>
      <c r="U102" t="s">
        <v>958</v>
      </c>
      <c r="V102" s="176">
        <v>55729358.633332998</v>
      </c>
      <c r="W102" s="176">
        <v>257573913.18553501</v>
      </c>
      <c r="X102" s="176">
        <v>0</v>
      </c>
      <c r="Y102" s="176">
        <v>25441849.344441999</v>
      </c>
      <c r="Z102" s="176"/>
      <c r="AA102">
        <v>1250</v>
      </c>
      <c r="AB102" s="176" t="s">
        <v>239</v>
      </c>
      <c r="AC102" s="176" t="s">
        <v>958</v>
      </c>
      <c r="AD102" s="176">
        <v>55729358.633332998</v>
      </c>
      <c r="AE102" s="176">
        <v>257573913.18553501</v>
      </c>
      <c r="AF102" s="176">
        <v>0</v>
      </c>
      <c r="AG102" s="176">
        <v>25441849.344441999</v>
      </c>
      <c r="AH102" s="342" t="str">
        <f t="shared" si="9"/>
        <v/>
      </c>
      <c r="AI102">
        <v>1250</v>
      </c>
      <c r="AJ102" t="s">
        <v>239</v>
      </c>
      <c r="AK102" t="s">
        <v>958</v>
      </c>
      <c r="AL102" s="245">
        <f t="shared" si="10"/>
        <v>100312845.5399994</v>
      </c>
      <c r="AM102" s="245">
        <f t="shared" si="11"/>
        <v>463633043.73396301</v>
      </c>
      <c r="AN102" s="245">
        <f t="shared" si="12"/>
        <v>0</v>
      </c>
      <c r="AO102" s="245">
        <f t="shared" si="13"/>
        <v>45795328.819995597</v>
      </c>
      <c r="AP102" s="176"/>
      <c r="AQ102" s="176"/>
      <c r="AR102">
        <v>1250</v>
      </c>
      <c r="AS102" t="s">
        <v>239</v>
      </c>
      <c r="AT102" t="s">
        <v>958</v>
      </c>
      <c r="AU102" s="176">
        <v>47591538.196649998</v>
      </c>
      <c r="AW102">
        <v>1250</v>
      </c>
      <c r="AX102" t="s">
        <v>239</v>
      </c>
      <c r="AY102" t="s">
        <v>958</v>
      </c>
      <c r="AZ102" s="176">
        <v>56372751.637772001</v>
      </c>
      <c r="BA102" s="342" t="str">
        <f t="shared" si="16"/>
        <v/>
      </c>
      <c r="BB102">
        <v>1250</v>
      </c>
      <c r="BC102" t="s">
        <v>239</v>
      </c>
      <c r="BD102" t="s">
        <v>958</v>
      </c>
      <c r="BE102" s="243">
        <f t="shared" si="17"/>
        <v>92689739.506867602</v>
      </c>
    </row>
    <row r="103" spans="1:57">
      <c r="A103">
        <v>1250</v>
      </c>
      <c r="B103" t="s">
        <v>239</v>
      </c>
      <c r="C103" t="s">
        <v>1546</v>
      </c>
      <c r="D103" s="176">
        <v>76598903.662193999</v>
      </c>
      <c r="E103">
        <v>0</v>
      </c>
      <c r="G103">
        <v>1250</v>
      </c>
      <c r="H103" t="s">
        <v>239</v>
      </c>
      <c r="I103" t="s">
        <v>1546</v>
      </c>
      <c r="J103" s="176">
        <v>82024024.908884004</v>
      </c>
      <c r="K103">
        <v>0</v>
      </c>
      <c r="L103" s="342" t="str">
        <f t="shared" si="14"/>
        <v/>
      </c>
      <c r="M103">
        <v>1250</v>
      </c>
      <c r="N103" t="s">
        <v>239</v>
      </c>
      <c r="O103" t="s">
        <v>1546</v>
      </c>
      <c r="P103" s="243">
        <f t="shared" si="15"/>
        <v>142218123.5893012</v>
      </c>
      <c r="S103">
        <v>1250</v>
      </c>
      <c r="T103" t="s">
        <v>239</v>
      </c>
      <c r="U103" t="s">
        <v>1546</v>
      </c>
      <c r="V103" s="176">
        <v>62248948.974441998</v>
      </c>
      <c r="W103" s="176">
        <v>119510833.43221299</v>
      </c>
      <c r="X103">
        <v>0</v>
      </c>
      <c r="Y103" s="176">
        <v>3369166.6666660002</v>
      </c>
      <c r="Z103" s="176"/>
      <c r="AA103">
        <v>1250</v>
      </c>
      <c r="AB103" s="176" t="s">
        <v>239</v>
      </c>
      <c r="AC103" s="176" t="s">
        <v>1546</v>
      </c>
      <c r="AD103" s="176">
        <v>62248948.974441998</v>
      </c>
      <c r="AE103" s="176">
        <v>119510833.43221299</v>
      </c>
      <c r="AF103">
        <v>0</v>
      </c>
      <c r="AG103" s="176">
        <v>3369166.6666660002</v>
      </c>
      <c r="AH103" s="342" t="str">
        <f t="shared" si="9"/>
        <v/>
      </c>
      <c r="AI103">
        <v>1250</v>
      </c>
      <c r="AJ103" t="s">
        <v>239</v>
      </c>
      <c r="AK103" t="s">
        <v>1546</v>
      </c>
      <c r="AL103" s="245">
        <f t="shared" si="10"/>
        <v>112048108.1539956</v>
      </c>
      <c r="AM103" s="245">
        <f t="shared" si="11"/>
        <v>215119500.1779834</v>
      </c>
      <c r="AN103" s="245">
        <f t="shared" si="12"/>
        <v>0</v>
      </c>
      <c r="AO103" s="245">
        <f t="shared" si="13"/>
        <v>6064499.9999988005</v>
      </c>
      <c r="AP103" s="176"/>
      <c r="AQ103" s="176"/>
      <c r="AR103">
        <v>1250</v>
      </c>
      <c r="AS103" t="s">
        <v>239</v>
      </c>
      <c r="AT103" t="s">
        <v>1546</v>
      </c>
      <c r="AU103" s="176">
        <v>7815675.5877759997</v>
      </c>
      <c r="AW103">
        <v>1250</v>
      </c>
      <c r="AX103" t="s">
        <v>239</v>
      </c>
      <c r="AY103" t="s">
        <v>1546</v>
      </c>
      <c r="AZ103" s="176">
        <v>1579218.4688879999</v>
      </c>
      <c r="BA103" s="342" t="str">
        <f t="shared" si="16"/>
        <v/>
      </c>
      <c r="BB103">
        <v>1250</v>
      </c>
      <c r="BC103" t="s">
        <v>239</v>
      </c>
      <c r="BD103" t="s">
        <v>1546</v>
      </c>
      <c r="BE103" s="243">
        <f t="shared" si="17"/>
        <v>9079050.362886399</v>
      </c>
    </row>
    <row r="104" spans="1:57">
      <c r="A104">
        <v>1250</v>
      </c>
      <c r="B104" t="s">
        <v>239</v>
      </c>
      <c r="C104" t="s">
        <v>1690</v>
      </c>
      <c r="D104" s="176">
        <v>46395108.004418999</v>
      </c>
      <c r="E104">
        <v>0</v>
      </c>
      <c r="G104">
        <v>1250</v>
      </c>
      <c r="H104" t="s">
        <v>239</v>
      </c>
      <c r="I104" t="s">
        <v>1690</v>
      </c>
      <c r="J104" s="176">
        <v>48345773.349993996</v>
      </c>
      <c r="K104">
        <v>0</v>
      </c>
      <c r="L104" s="342" t="str">
        <f t="shared" si="14"/>
        <v/>
      </c>
      <c r="M104">
        <v>1250</v>
      </c>
      <c r="N104" t="s">
        <v>239</v>
      </c>
      <c r="O104" t="s">
        <v>1690</v>
      </c>
      <c r="P104" s="243">
        <f t="shared" si="15"/>
        <v>85071726.684414208</v>
      </c>
      <c r="S104">
        <v>1250</v>
      </c>
      <c r="T104" t="s">
        <v>239</v>
      </c>
      <c r="U104" t="s">
        <v>1690</v>
      </c>
      <c r="V104" s="176">
        <v>26767566.374442998</v>
      </c>
      <c r="W104" s="176">
        <v>85768972.852207005</v>
      </c>
      <c r="X104" s="176">
        <v>0</v>
      </c>
      <c r="Y104" s="176">
        <v>2118132.4444439998</v>
      </c>
      <c r="Z104" s="176"/>
      <c r="AA104">
        <v>1250</v>
      </c>
      <c r="AB104" s="176" t="s">
        <v>239</v>
      </c>
      <c r="AC104" s="176" t="s">
        <v>1690</v>
      </c>
      <c r="AD104" s="176">
        <v>26767566.374442998</v>
      </c>
      <c r="AE104" s="176">
        <v>85768972.852207005</v>
      </c>
      <c r="AF104" s="176">
        <v>0</v>
      </c>
      <c r="AG104" s="176">
        <v>2118132.4444439998</v>
      </c>
      <c r="AH104" s="342" t="str">
        <f t="shared" si="9"/>
        <v/>
      </c>
      <c r="AI104">
        <v>1250</v>
      </c>
      <c r="AJ104" t="s">
        <v>239</v>
      </c>
      <c r="AK104" t="s">
        <v>1690</v>
      </c>
      <c r="AL104" s="245">
        <f t="shared" si="10"/>
        <v>48181619.473997399</v>
      </c>
      <c r="AM104" s="245">
        <f t="shared" si="11"/>
        <v>154384151.13397262</v>
      </c>
      <c r="AN104" s="245">
        <f t="shared" si="12"/>
        <v>0</v>
      </c>
      <c r="AO104" s="245">
        <f t="shared" si="13"/>
        <v>3812638.3999991994</v>
      </c>
      <c r="AP104" s="176"/>
      <c r="AQ104" s="176"/>
      <c r="AR104">
        <v>1250</v>
      </c>
      <c r="AS104" t="s">
        <v>239</v>
      </c>
      <c r="AT104" t="s">
        <v>1690</v>
      </c>
      <c r="AU104" s="176">
        <v>3237082.8199979998</v>
      </c>
      <c r="AW104">
        <v>1250</v>
      </c>
      <c r="AX104" t="s">
        <v>239</v>
      </c>
      <c r="AY104" t="s">
        <v>1690</v>
      </c>
      <c r="AZ104" s="176">
        <v>702273.86555500003</v>
      </c>
      <c r="BA104" s="342" t="str">
        <f t="shared" si="16"/>
        <v/>
      </c>
      <c r="BB104">
        <v>1250</v>
      </c>
      <c r="BC104" t="s">
        <v>239</v>
      </c>
      <c r="BD104" t="s">
        <v>1690</v>
      </c>
      <c r="BE104" s="243">
        <f t="shared" si="17"/>
        <v>3798901.9124419997</v>
      </c>
    </row>
    <row r="105" spans="1:57">
      <c r="A105">
        <v>1260</v>
      </c>
      <c r="B105" t="s">
        <v>240</v>
      </c>
      <c r="C105" t="s">
        <v>960</v>
      </c>
      <c r="D105" s="176">
        <v>254691992.57212901</v>
      </c>
      <c r="E105">
        <v>0</v>
      </c>
      <c r="G105">
        <v>1260</v>
      </c>
      <c r="H105" t="s">
        <v>240</v>
      </c>
      <c r="I105" t="s">
        <v>960</v>
      </c>
      <c r="J105" s="176">
        <v>202069614.47108299</v>
      </c>
      <c r="K105">
        <v>0</v>
      </c>
      <c r="L105" s="342" t="str">
        <f t="shared" si="14"/>
        <v/>
      </c>
      <c r="M105">
        <v>1260</v>
      </c>
      <c r="N105" t="s">
        <v>240</v>
      </c>
      <c r="O105" t="s">
        <v>960</v>
      </c>
      <c r="P105" s="243">
        <f t="shared" si="15"/>
        <v>416347684.1489954</v>
      </c>
      <c r="S105">
        <v>1260</v>
      </c>
      <c r="T105" t="s">
        <v>240</v>
      </c>
      <c r="U105" t="s">
        <v>960</v>
      </c>
      <c r="V105" s="176">
        <v>86158428.063332006</v>
      </c>
      <c r="W105" s="176">
        <v>214907762.43220001</v>
      </c>
      <c r="X105" s="176">
        <v>0</v>
      </c>
      <c r="Y105" s="176">
        <v>14047622.499999</v>
      </c>
      <c r="Z105" s="176"/>
      <c r="AA105">
        <v>1260</v>
      </c>
      <c r="AB105" s="176" t="s">
        <v>240</v>
      </c>
      <c r="AC105" s="176" t="s">
        <v>960</v>
      </c>
      <c r="AD105" s="176">
        <v>86158428.063332006</v>
      </c>
      <c r="AE105" s="176">
        <v>214907762.43220001</v>
      </c>
      <c r="AF105" s="176">
        <v>0</v>
      </c>
      <c r="AG105" s="176">
        <v>14047622.499999</v>
      </c>
      <c r="AH105" s="342" t="str">
        <f t="shared" si="9"/>
        <v/>
      </c>
      <c r="AI105">
        <v>1260</v>
      </c>
      <c r="AJ105" t="s">
        <v>240</v>
      </c>
      <c r="AK105" t="s">
        <v>960</v>
      </c>
      <c r="AL105" s="245">
        <f t="shared" si="10"/>
        <v>155085170.51399761</v>
      </c>
      <c r="AM105" s="245">
        <f t="shared" si="11"/>
        <v>386833972.37796003</v>
      </c>
      <c r="AN105" s="245">
        <f t="shared" si="12"/>
        <v>0</v>
      </c>
      <c r="AO105" s="245">
        <f t="shared" si="13"/>
        <v>25285720.499998201</v>
      </c>
      <c r="AP105" s="176"/>
      <c r="AQ105" s="176"/>
      <c r="AR105">
        <v>1260</v>
      </c>
      <c r="AS105" t="s">
        <v>240</v>
      </c>
      <c r="AT105" t="s">
        <v>960</v>
      </c>
      <c r="AU105" s="176">
        <v>30927784.329980999</v>
      </c>
      <c r="AW105">
        <v>1260</v>
      </c>
      <c r="AX105" t="s">
        <v>240</v>
      </c>
      <c r="AY105" t="s">
        <v>960</v>
      </c>
      <c r="AZ105" s="176">
        <v>42254901.732212</v>
      </c>
      <c r="BA105" s="342" t="str">
        <f t="shared" si="16"/>
        <v/>
      </c>
      <c r="BB105">
        <v>1260</v>
      </c>
      <c r="BC105" t="s">
        <v>240</v>
      </c>
      <c r="BD105" t="s">
        <v>960</v>
      </c>
      <c r="BE105" s="243">
        <f t="shared" si="17"/>
        <v>64731705.715750597</v>
      </c>
    </row>
    <row r="106" spans="1:57">
      <c r="A106">
        <v>1260</v>
      </c>
      <c r="B106" t="s">
        <v>240</v>
      </c>
      <c r="C106" t="s">
        <v>1550</v>
      </c>
      <c r="D106" s="176">
        <v>152962460.566594</v>
      </c>
      <c r="E106">
        <v>0</v>
      </c>
      <c r="G106">
        <v>1260</v>
      </c>
      <c r="H106" t="s">
        <v>240</v>
      </c>
      <c r="I106" t="s">
        <v>1550</v>
      </c>
      <c r="J106" s="176">
        <v>92171659.827761993</v>
      </c>
      <c r="K106">
        <v>0</v>
      </c>
      <c r="L106" s="342" t="str">
        <f t="shared" si="14"/>
        <v/>
      </c>
      <c r="M106">
        <v>1260</v>
      </c>
      <c r="N106" t="s">
        <v>240</v>
      </c>
      <c r="O106" t="s">
        <v>1550</v>
      </c>
      <c r="P106" s="243">
        <f t="shared" si="15"/>
        <v>226699788.42880362</v>
      </c>
      <c r="S106">
        <v>1260</v>
      </c>
      <c r="T106" t="s">
        <v>240</v>
      </c>
      <c r="U106" t="s">
        <v>1550</v>
      </c>
      <c r="V106" s="176">
        <v>22805375.724443</v>
      </c>
      <c r="W106" s="176">
        <v>63875496.028871</v>
      </c>
      <c r="X106" s="176">
        <v>0</v>
      </c>
      <c r="Y106" s="176">
        <v>47179633.888887003</v>
      </c>
      <c r="Z106" s="176"/>
      <c r="AA106">
        <v>1260</v>
      </c>
      <c r="AB106" s="176" t="s">
        <v>240</v>
      </c>
      <c r="AC106" s="176" t="s">
        <v>1550</v>
      </c>
      <c r="AD106" s="176">
        <v>22805375.724443</v>
      </c>
      <c r="AE106" s="176">
        <v>63875496.028871</v>
      </c>
      <c r="AF106" s="176">
        <v>0</v>
      </c>
      <c r="AG106" s="176">
        <v>47179633.888887003</v>
      </c>
      <c r="AH106" s="342" t="str">
        <f t="shared" si="9"/>
        <v/>
      </c>
      <c r="AI106">
        <v>1260</v>
      </c>
      <c r="AJ106" t="s">
        <v>240</v>
      </c>
      <c r="AK106" t="s">
        <v>1550</v>
      </c>
      <c r="AL106" s="245">
        <f t="shared" si="10"/>
        <v>41049676.303997397</v>
      </c>
      <c r="AM106" s="245">
        <f t="shared" si="11"/>
        <v>114975892.85196781</v>
      </c>
      <c r="AN106" s="245">
        <f t="shared" si="12"/>
        <v>0</v>
      </c>
      <c r="AO106" s="245">
        <f t="shared" si="13"/>
        <v>84923340.999996603</v>
      </c>
      <c r="AP106" s="176"/>
      <c r="AQ106" s="176"/>
      <c r="AR106">
        <v>1260</v>
      </c>
      <c r="AS106" t="s">
        <v>240</v>
      </c>
      <c r="AT106" t="s">
        <v>1550</v>
      </c>
      <c r="AU106" s="176">
        <v>9489616.3355470002</v>
      </c>
      <c r="AW106">
        <v>1260</v>
      </c>
      <c r="AX106" t="s">
        <v>240</v>
      </c>
      <c r="AY106" t="s">
        <v>1550</v>
      </c>
      <c r="AZ106" s="176">
        <v>13807339.485554</v>
      </c>
      <c r="BA106" s="342" t="str">
        <f t="shared" si="16"/>
        <v/>
      </c>
      <c r="BB106">
        <v>1260</v>
      </c>
      <c r="BC106" t="s">
        <v>240</v>
      </c>
      <c r="BD106" t="s">
        <v>1550</v>
      </c>
      <c r="BE106" s="243">
        <f t="shared" si="17"/>
        <v>20535487.923990201</v>
      </c>
    </row>
    <row r="107" spans="1:57">
      <c r="A107">
        <v>1260</v>
      </c>
      <c r="B107" t="s">
        <v>240</v>
      </c>
      <c r="C107" t="s">
        <v>1691</v>
      </c>
      <c r="D107" s="176">
        <v>59125904.786642</v>
      </c>
      <c r="E107">
        <v>0</v>
      </c>
      <c r="G107">
        <v>1260</v>
      </c>
      <c r="H107" t="s">
        <v>240</v>
      </c>
      <c r="I107" t="s">
        <v>1691</v>
      </c>
      <c r="J107" s="176">
        <v>39576959.126653999</v>
      </c>
      <c r="K107">
        <v>0</v>
      </c>
      <c r="L107" s="342" t="str">
        <f t="shared" si="14"/>
        <v/>
      </c>
      <c r="M107">
        <v>1260</v>
      </c>
      <c r="N107" t="s">
        <v>240</v>
      </c>
      <c r="O107" t="s">
        <v>1691</v>
      </c>
      <c r="P107" s="243">
        <f t="shared" si="15"/>
        <v>90787472.087965205</v>
      </c>
      <c r="S107">
        <v>1260</v>
      </c>
      <c r="T107" t="s">
        <v>240</v>
      </c>
      <c r="U107" t="s">
        <v>1691</v>
      </c>
      <c r="V107" s="176">
        <v>9924223.4866659995</v>
      </c>
      <c r="W107" s="176">
        <v>33241740.607772</v>
      </c>
      <c r="X107" s="176">
        <v>0</v>
      </c>
      <c r="Y107" s="176">
        <v>1666666.6666659999</v>
      </c>
      <c r="Z107" s="176"/>
      <c r="AA107">
        <v>1260</v>
      </c>
      <c r="AB107" s="176" t="s">
        <v>240</v>
      </c>
      <c r="AC107" s="176" t="s">
        <v>1691</v>
      </c>
      <c r="AD107" s="176">
        <v>9924223.4866659995</v>
      </c>
      <c r="AE107" s="176">
        <v>33241740.607772</v>
      </c>
      <c r="AF107" s="176">
        <v>0</v>
      </c>
      <c r="AG107" s="176">
        <v>1666666.6666659999</v>
      </c>
      <c r="AH107" s="342" t="str">
        <f t="shared" si="9"/>
        <v/>
      </c>
      <c r="AI107">
        <v>1260</v>
      </c>
      <c r="AJ107" t="s">
        <v>240</v>
      </c>
      <c r="AK107" t="s">
        <v>1691</v>
      </c>
      <c r="AL107" s="245">
        <f t="shared" si="10"/>
        <v>17863602.275998801</v>
      </c>
      <c r="AM107" s="245">
        <f t="shared" si="11"/>
        <v>59835133.093989603</v>
      </c>
      <c r="AN107" s="245">
        <f t="shared" si="12"/>
        <v>0</v>
      </c>
      <c r="AO107" s="245">
        <f t="shared" si="13"/>
        <v>2999999.9999988</v>
      </c>
      <c r="AP107" s="176"/>
      <c r="AQ107" s="176"/>
      <c r="AR107">
        <v>1260</v>
      </c>
      <c r="AS107" t="s">
        <v>240</v>
      </c>
      <c r="AT107" t="s">
        <v>1691</v>
      </c>
      <c r="AU107" s="176">
        <v>4222955.3455539998</v>
      </c>
      <c r="AW107">
        <v>1260</v>
      </c>
      <c r="AX107" t="s">
        <v>240</v>
      </c>
      <c r="AY107" t="s">
        <v>1691</v>
      </c>
      <c r="AZ107" s="176">
        <v>0</v>
      </c>
      <c r="BA107" s="342" t="str">
        <f t="shared" si="16"/>
        <v/>
      </c>
      <c r="BB107">
        <v>1260</v>
      </c>
      <c r="BC107" t="s">
        <v>240</v>
      </c>
      <c r="BD107" t="s">
        <v>1691</v>
      </c>
      <c r="BE107" s="243">
        <f t="shared" si="17"/>
        <v>4222955.3455539998</v>
      </c>
    </row>
    <row r="108" spans="1:57">
      <c r="A108">
        <v>1260</v>
      </c>
      <c r="B108" t="s">
        <v>240</v>
      </c>
      <c r="C108" t="s">
        <v>959</v>
      </c>
      <c r="D108" s="176">
        <v>321211643.10773897</v>
      </c>
      <c r="E108">
        <v>0</v>
      </c>
      <c r="G108">
        <v>1260</v>
      </c>
      <c r="H108" t="s">
        <v>240</v>
      </c>
      <c r="I108" t="s">
        <v>959</v>
      </c>
      <c r="J108" s="176">
        <v>122393200.60109501</v>
      </c>
      <c r="K108">
        <v>0</v>
      </c>
      <c r="L108" s="342" t="str">
        <f t="shared" si="14"/>
        <v/>
      </c>
      <c r="M108">
        <v>1260</v>
      </c>
      <c r="N108" t="s">
        <v>240</v>
      </c>
      <c r="O108" t="s">
        <v>959</v>
      </c>
      <c r="P108" s="243">
        <f t="shared" si="15"/>
        <v>419126203.588615</v>
      </c>
      <c r="S108">
        <v>1260</v>
      </c>
      <c r="T108" t="s">
        <v>240</v>
      </c>
      <c r="U108" t="s">
        <v>959</v>
      </c>
      <c r="V108" s="176">
        <v>38971088.417777002</v>
      </c>
      <c r="W108" s="176">
        <v>176742622.241101</v>
      </c>
      <c r="X108" s="176">
        <v>0</v>
      </c>
      <c r="Y108" s="176">
        <v>9966640</v>
      </c>
      <c r="Z108" s="176"/>
      <c r="AA108">
        <v>1260</v>
      </c>
      <c r="AB108" s="176" t="s">
        <v>240</v>
      </c>
      <c r="AC108" s="176" t="s">
        <v>959</v>
      </c>
      <c r="AD108" s="176">
        <v>38971088.417777002</v>
      </c>
      <c r="AE108" s="176">
        <v>176742622.241101</v>
      </c>
      <c r="AF108" s="176">
        <v>0</v>
      </c>
      <c r="AG108" s="176">
        <v>9966640</v>
      </c>
      <c r="AH108" s="342" t="str">
        <f t="shared" si="9"/>
        <v/>
      </c>
      <c r="AI108">
        <v>1260</v>
      </c>
      <c r="AJ108" t="s">
        <v>240</v>
      </c>
      <c r="AK108" t="s">
        <v>959</v>
      </c>
      <c r="AL108" s="245">
        <f t="shared" si="10"/>
        <v>70147959.151998609</v>
      </c>
      <c r="AM108" s="245">
        <f t="shared" si="11"/>
        <v>318136720.0339818</v>
      </c>
      <c r="AN108" s="245">
        <f t="shared" si="12"/>
        <v>0</v>
      </c>
      <c r="AO108" s="245">
        <f t="shared" si="13"/>
        <v>17939952</v>
      </c>
      <c r="AP108" s="176"/>
      <c r="AQ108" s="176"/>
      <c r="AR108">
        <v>1260</v>
      </c>
      <c r="AS108" t="s">
        <v>240</v>
      </c>
      <c r="AT108" t="s">
        <v>959</v>
      </c>
      <c r="AU108" s="176">
        <v>46344473.827771999</v>
      </c>
      <c r="AW108">
        <v>1260</v>
      </c>
      <c r="AX108" t="s">
        <v>240</v>
      </c>
      <c r="AY108" t="s">
        <v>959</v>
      </c>
      <c r="AZ108" s="176">
        <v>19606383.833331</v>
      </c>
      <c r="BA108" s="342" t="str">
        <f t="shared" si="16"/>
        <v/>
      </c>
      <c r="BB108">
        <v>1260</v>
      </c>
      <c r="BC108" t="s">
        <v>240</v>
      </c>
      <c r="BD108" t="s">
        <v>959</v>
      </c>
      <c r="BE108" s="243">
        <f t="shared" si="17"/>
        <v>62029580.894436799</v>
      </c>
    </row>
    <row r="109" spans="1:57">
      <c r="A109">
        <v>1270</v>
      </c>
      <c r="B109" t="s">
        <v>241</v>
      </c>
      <c r="C109" t="s">
        <v>961</v>
      </c>
      <c r="D109" s="176">
        <v>428511899.68094599</v>
      </c>
      <c r="E109">
        <v>0</v>
      </c>
      <c r="G109">
        <v>1270</v>
      </c>
      <c r="H109" t="s">
        <v>241</v>
      </c>
      <c r="I109" t="s">
        <v>961</v>
      </c>
      <c r="J109" s="176">
        <v>298261632.322191</v>
      </c>
      <c r="K109">
        <v>0</v>
      </c>
      <c r="L109" s="342" t="str">
        <f t="shared" si="14"/>
        <v/>
      </c>
      <c r="M109">
        <v>1270</v>
      </c>
      <c r="N109" t="s">
        <v>241</v>
      </c>
      <c r="O109" t="s">
        <v>961</v>
      </c>
      <c r="P109" s="243">
        <f t="shared" si="15"/>
        <v>667121205.53869879</v>
      </c>
      <c r="S109">
        <v>1270</v>
      </c>
      <c r="T109" t="s">
        <v>241</v>
      </c>
      <c r="U109" t="s">
        <v>961</v>
      </c>
      <c r="V109" s="176">
        <v>140775777.832219</v>
      </c>
      <c r="W109" s="176">
        <v>362065530.446621</v>
      </c>
      <c r="X109" s="176">
        <v>0</v>
      </c>
      <c r="Y109" s="176">
        <v>57980549.499996997</v>
      </c>
      <c r="Z109" s="176"/>
      <c r="AA109">
        <v>1270</v>
      </c>
      <c r="AB109" s="176" t="s">
        <v>241</v>
      </c>
      <c r="AC109" s="176" t="s">
        <v>961</v>
      </c>
      <c r="AD109" s="176">
        <v>140775777.832219</v>
      </c>
      <c r="AE109" s="176">
        <v>362065530.446621</v>
      </c>
      <c r="AF109" s="176">
        <v>0</v>
      </c>
      <c r="AG109" s="176">
        <v>57980549.499996997</v>
      </c>
      <c r="AH109" s="342" t="str">
        <f t="shared" si="9"/>
        <v/>
      </c>
      <c r="AI109">
        <v>1270</v>
      </c>
      <c r="AJ109" t="s">
        <v>241</v>
      </c>
      <c r="AK109" t="s">
        <v>961</v>
      </c>
      <c r="AL109" s="245">
        <f t="shared" si="10"/>
        <v>253396400.09799421</v>
      </c>
      <c r="AM109" s="245">
        <f t="shared" si="11"/>
        <v>651717954.80391788</v>
      </c>
      <c r="AN109" s="245">
        <f t="shared" si="12"/>
        <v>0</v>
      </c>
      <c r="AO109" s="245">
        <f t="shared" si="13"/>
        <v>104364989.0999946</v>
      </c>
      <c r="AP109" s="176"/>
      <c r="AQ109" s="176"/>
      <c r="AR109">
        <v>1270</v>
      </c>
      <c r="AS109" t="s">
        <v>241</v>
      </c>
      <c r="AT109" t="s">
        <v>961</v>
      </c>
      <c r="AU109" s="176">
        <v>68622098.677753001</v>
      </c>
      <c r="AW109">
        <v>1270</v>
      </c>
      <c r="AX109" t="s">
        <v>241</v>
      </c>
      <c r="AY109" t="s">
        <v>961</v>
      </c>
      <c r="AZ109" s="176">
        <v>96644374.283322006</v>
      </c>
      <c r="BA109" s="342" t="str">
        <f t="shared" si="16"/>
        <v/>
      </c>
      <c r="BB109">
        <v>1270</v>
      </c>
      <c r="BC109" t="s">
        <v>241</v>
      </c>
      <c r="BD109" t="s">
        <v>961</v>
      </c>
      <c r="BE109" s="243">
        <f t="shared" si="17"/>
        <v>145937598.10441059</v>
      </c>
    </row>
    <row r="110" spans="1:57">
      <c r="A110">
        <v>1270</v>
      </c>
      <c r="B110" t="s">
        <v>241</v>
      </c>
      <c r="C110" t="s">
        <v>962</v>
      </c>
      <c r="D110" s="176">
        <v>246474908.605499</v>
      </c>
      <c r="E110">
        <v>0</v>
      </c>
      <c r="G110">
        <v>1270</v>
      </c>
      <c r="H110" t="s">
        <v>241</v>
      </c>
      <c r="I110" t="s">
        <v>962</v>
      </c>
      <c r="J110" s="176">
        <v>173085629.17331901</v>
      </c>
      <c r="K110">
        <v>0</v>
      </c>
      <c r="L110" s="342" t="str">
        <f t="shared" si="14"/>
        <v/>
      </c>
      <c r="M110">
        <v>1270</v>
      </c>
      <c r="N110" t="s">
        <v>241</v>
      </c>
      <c r="O110" t="s">
        <v>962</v>
      </c>
      <c r="P110" s="243">
        <f t="shared" si="15"/>
        <v>384943411.9441542</v>
      </c>
      <c r="S110">
        <v>1270</v>
      </c>
      <c r="T110" t="s">
        <v>241</v>
      </c>
      <c r="U110" t="s">
        <v>962</v>
      </c>
      <c r="V110" s="176">
        <v>53169124.355554</v>
      </c>
      <c r="W110" s="176">
        <v>144854854.243323</v>
      </c>
      <c r="X110">
        <v>0</v>
      </c>
      <c r="Y110" s="176">
        <v>87016855.999998003</v>
      </c>
      <c r="Z110" s="176"/>
      <c r="AA110">
        <v>1270</v>
      </c>
      <c r="AB110" s="176" t="s">
        <v>241</v>
      </c>
      <c r="AC110" s="176" t="s">
        <v>962</v>
      </c>
      <c r="AD110" s="176">
        <v>53169124.355554</v>
      </c>
      <c r="AE110" s="176">
        <v>144854854.243323</v>
      </c>
      <c r="AF110">
        <v>0</v>
      </c>
      <c r="AG110" s="176">
        <v>87016855.999998003</v>
      </c>
      <c r="AH110" s="342" t="str">
        <f t="shared" si="9"/>
        <v/>
      </c>
      <c r="AI110">
        <v>1270</v>
      </c>
      <c r="AJ110" t="s">
        <v>241</v>
      </c>
      <c r="AK110" t="s">
        <v>962</v>
      </c>
      <c r="AL110" s="245">
        <f t="shared" si="10"/>
        <v>95704423.839997202</v>
      </c>
      <c r="AM110" s="245">
        <f t="shared" si="11"/>
        <v>260738737.63798141</v>
      </c>
      <c r="AN110" s="245">
        <f t="shared" si="12"/>
        <v>0</v>
      </c>
      <c r="AO110" s="245">
        <f t="shared" si="13"/>
        <v>156630340.79999641</v>
      </c>
      <c r="AP110" s="176"/>
      <c r="AQ110" s="176"/>
      <c r="AR110">
        <v>1270</v>
      </c>
      <c r="AS110" t="s">
        <v>241</v>
      </c>
      <c r="AT110" t="s">
        <v>962</v>
      </c>
      <c r="AU110" s="176">
        <v>52652128.425544001</v>
      </c>
      <c r="AW110">
        <v>1270</v>
      </c>
      <c r="AX110" t="s">
        <v>241</v>
      </c>
      <c r="AY110" t="s">
        <v>962</v>
      </c>
      <c r="AZ110" s="176">
        <v>51668365.822215997</v>
      </c>
      <c r="BA110" s="342" t="str">
        <f t="shared" si="16"/>
        <v/>
      </c>
      <c r="BB110">
        <v>1270</v>
      </c>
      <c r="BC110" t="s">
        <v>241</v>
      </c>
      <c r="BD110" t="s">
        <v>962</v>
      </c>
      <c r="BE110" s="243">
        <f t="shared" si="17"/>
        <v>93986821.083316803</v>
      </c>
    </row>
    <row r="111" spans="1:57">
      <c r="A111">
        <v>1280</v>
      </c>
      <c r="B111" t="s">
        <v>242</v>
      </c>
      <c r="C111" t="s">
        <v>964</v>
      </c>
      <c r="D111" s="176">
        <v>230557104.99439499</v>
      </c>
      <c r="E111">
        <v>0</v>
      </c>
      <c r="G111">
        <v>1280</v>
      </c>
      <c r="H111" t="s">
        <v>242</v>
      </c>
      <c r="I111" t="s">
        <v>964</v>
      </c>
      <c r="J111" s="176">
        <v>92771657.159979999</v>
      </c>
      <c r="K111">
        <v>0</v>
      </c>
      <c r="L111" s="342" t="str">
        <f t="shared" si="14"/>
        <v/>
      </c>
      <c r="M111">
        <v>1280</v>
      </c>
      <c r="N111" t="s">
        <v>242</v>
      </c>
      <c r="O111" t="s">
        <v>964</v>
      </c>
      <c r="P111" s="243">
        <f t="shared" si="15"/>
        <v>304774430.72237897</v>
      </c>
      <c r="S111">
        <v>1280</v>
      </c>
      <c r="T111" t="s">
        <v>242</v>
      </c>
      <c r="U111" t="s">
        <v>964</v>
      </c>
      <c r="V111" s="176">
        <v>34405100.363333002</v>
      </c>
      <c r="W111" s="176">
        <v>279131771.15220201</v>
      </c>
      <c r="X111" s="176">
        <v>2279200</v>
      </c>
      <c r="Y111" s="176">
        <v>31147064.444444001</v>
      </c>
      <c r="Z111" s="176"/>
      <c r="AA111">
        <v>1280</v>
      </c>
      <c r="AB111" s="176" t="s">
        <v>242</v>
      </c>
      <c r="AC111" s="176" t="s">
        <v>964</v>
      </c>
      <c r="AD111" s="176">
        <v>34405100.363333002</v>
      </c>
      <c r="AE111" s="176">
        <v>279131771.15220201</v>
      </c>
      <c r="AF111" s="176">
        <v>2279200</v>
      </c>
      <c r="AG111" s="176">
        <v>31147064.444444001</v>
      </c>
      <c r="AH111" s="342" t="str">
        <f t="shared" si="9"/>
        <v/>
      </c>
      <c r="AI111">
        <v>1280</v>
      </c>
      <c r="AJ111" t="s">
        <v>242</v>
      </c>
      <c r="AK111" t="s">
        <v>964</v>
      </c>
      <c r="AL111" s="245">
        <f t="shared" si="10"/>
        <v>61929180.653999403</v>
      </c>
      <c r="AM111" s="245">
        <f t="shared" si="11"/>
        <v>502437188.07396364</v>
      </c>
      <c r="AN111" s="245">
        <f t="shared" si="12"/>
        <v>4102560</v>
      </c>
      <c r="AO111" s="245">
        <f t="shared" si="13"/>
        <v>56064715.999999203</v>
      </c>
      <c r="AP111" s="176"/>
      <c r="AQ111" s="176"/>
      <c r="AR111">
        <v>1280</v>
      </c>
      <c r="AS111" t="s">
        <v>242</v>
      </c>
      <c r="AT111" t="s">
        <v>964</v>
      </c>
      <c r="AU111" s="176">
        <v>10925608.567770001</v>
      </c>
      <c r="AW111">
        <v>1280</v>
      </c>
      <c r="AX111" t="s">
        <v>242</v>
      </c>
      <c r="AY111" t="s">
        <v>964</v>
      </c>
      <c r="AZ111" s="176">
        <v>10184622.465554001</v>
      </c>
      <c r="BA111" s="342" t="str">
        <f t="shared" si="16"/>
        <v/>
      </c>
      <c r="BB111">
        <v>1280</v>
      </c>
      <c r="BC111" t="s">
        <v>242</v>
      </c>
      <c r="BD111" t="s">
        <v>964</v>
      </c>
      <c r="BE111" s="243">
        <f t="shared" si="17"/>
        <v>19073306.540213201</v>
      </c>
    </row>
    <row r="112" spans="1:57">
      <c r="A112">
        <v>1280</v>
      </c>
      <c r="B112" t="s">
        <v>242</v>
      </c>
      <c r="C112" t="s">
        <v>963</v>
      </c>
      <c r="D112" s="176">
        <v>273476249.73876399</v>
      </c>
      <c r="E112">
        <v>0</v>
      </c>
      <c r="G112">
        <v>1280</v>
      </c>
      <c r="H112" t="s">
        <v>242</v>
      </c>
      <c r="I112" t="s">
        <v>963</v>
      </c>
      <c r="J112" s="176">
        <v>153126814.581085</v>
      </c>
      <c r="K112">
        <v>0</v>
      </c>
      <c r="L112" s="342" t="str">
        <f t="shared" si="14"/>
        <v/>
      </c>
      <c r="M112">
        <v>1280</v>
      </c>
      <c r="N112" t="s">
        <v>242</v>
      </c>
      <c r="O112" t="s">
        <v>963</v>
      </c>
      <c r="P112" s="243">
        <f t="shared" si="15"/>
        <v>395977701.40363199</v>
      </c>
      <c r="S112">
        <v>1280</v>
      </c>
      <c r="T112" t="s">
        <v>242</v>
      </c>
      <c r="U112" t="s">
        <v>963</v>
      </c>
      <c r="V112" s="176">
        <v>91784519.829997003</v>
      </c>
      <c r="W112" s="176">
        <v>392127939.17106402</v>
      </c>
      <c r="X112" s="176">
        <v>6500000</v>
      </c>
      <c r="Y112" s="176">
        <v>22436465.333331998</v>
      </c>
      <c r="Z112" s="176"/>
      <c r="AA112">
        <v>1280</v>
      </c>
      <c r="AB112" s="176" t="s">
        <v>242</v>
      </c>
      <c r="AC112" s="176" t="s">
        <v>963</v>
      </c>
      <c r="AD112" s="176">
        <v>91784519.829997003</v>
      </c>
      <c r="AE112" s="176">
        <v>392127939.17106402</v>
      </c>
      <c r="AF112" s="176">
        <v>6500000</v>
      </c>
      <c r="AG112" s="176">
        <v>22436465.333331998</v>
      </c>
      <c r="AH112" s="342" t="str">
        <f t="shared" si="9"/>
        <v/>
      </c>
      <c r="AI112">
        <v>1280</v>
      </c>
      <c r="AJ112" t="s">
        <v>242</v>
      </c>
      <c r="AK112" t="s">
        <v>963</v>
      </c>
      <c r="AL112" s="245">
        <f t="shared" si="10"/>
        <v>165212135.69399461</v>
      </c>
      <c r="AM112" s="245">
        <f t="shared" si="11"/>
        <v>705830290.50791526</v>
      </c>
      <c r="AN112" s="245">
        <f t="shared" si="12"/>
        <v>11700000</v>
      </c>
      <c r="AO112" s="245">
        <f t="shared" si="13"/>
        <v>40385637.599997595</v>
      </c>
      <c r="AP112" s="176"/>
      <c r="AQ112" s="176"/>
      <c r="AR112">
        <v>1280</v>
      </c>
      <c r="AS112" t="s">
        <v>242</v>
      </c>
      <c r="AT112" t="s">
        <v>963</v>
      </c>
      <c r="AU112" s="176">
        <v>15964297.492202999</v>
      </c>
      <c r="AW112">
        <v>1280</v>
      </c>
      <c r="AX112" t="s">
        <v>242</v>
      </c>
      <c r="AY112" t="s">
        <v>963</v>
      </c>
      <c r="AZ112" s="176">
        <v>9590389.49333</v>
      </c>
      <c r="BA112" s="342" t="str">
        <f t="shared" si="16"/>
        <v/>
      </c>
      <c r="BB112">
        <v>1280</v>
      </c>
      <c r="BC112" t="s">
        <v>242</v>
      </c>
      <c r="BD112" t="s">
        <v>963</v>
      </c>
      <c r="BE112" s="243">
        <f t="shared" si="17"/>
        <v>23636609.086866997</v>
      </c>
    </row>
    <row r="113" spans="1:57">
      <c r="A113">
        <v>1290</v>
      </c>
      <c r="B113" t="s">
        <v>243</v>
      </c>
      <c r="C113" t="s">
        <v>966</v>
      </c>
      <c r="D113" s="176">
        <v>398216957.73434901</v>
      </c>
      <c r="E113">
        <v>0</v>
      </c>
      <c r="G113">
        <v>1290</v>
      </c>
      <c r="H113" t="s">
        <v>243</v>
      </c>
      <c r="I113" t="s">
        <v>966</v>
      </c>
      <c r="J113" s="176">
        <v>444657275.03885198</v>
      </c>
      <c r="K113">
        <v>0</v>
      </c>
      <c r="L113" s="342" t="str">
        <f t="shared" si="14"/>
        <v/>
      </c>
      <c r="M113">
        <v>1290</v>
      </c>
      <c r="N113" t="s">
        <v>243</v>
      </c>
      <c r="O113" t="s">
        <v>966</v>
      </c>
      <c r="P113" s="243">
        <f t="shared" si="15"/>
        <v>753942777.76543069</v>
      </c>
      <c r="S113">
        <v>1290</v>
      </c>
      <c r="T113" t="s">
        <v>243</v>
      </c>
      <c r="U113" t="s">
        <v>966</v>
      </c>
      <c r="V113" s="176">
        <v>77173850.817774996</v>
      </c>
      <c r="W113" s="176">
        <v>189117618.12775999</v>
      </c>
      <c r="X113">
        <v>1219372.2222219999</v>
      </c>
      <c r="Y113" s="176">
        <v>34176347.777774997</v>
      </c>
      <c r="Z113" s="176"/>
      <c r="AA113">
        <v>1290</v>
      </c>
      <c r="AB113" s="176" t="s">
        <v>243</v>
      </c>
      <c r="AC113" s="176" t="s">
        <v>966</v>
      </c>
      <c r="AD113" s="176">
        <v>77173850.817774996</v>
      </c>
      <c r="AE113" s="176">
        <v>189117618.12775999</v>
      </c>
      <c r="AF113">
        <v>1219372.2222219999</v>
      </c>
      <c r="AG113" s="176">
        <v>34176347.777774997</v>
      </c>
      <c r="AH113" s="342" t="str">
        <f t="shared" si="9"/>
        <v/>
      </c>
      <c r="AI113">
        <v>1290</v>
      </c>
      <c r="AJ113" t="s">
        <v>243</v>
      </c>
      <c r="AK113" t="s">
        <v>966</v>
      </c>
      <c r="AL113" s="245">
        <f t="shared" si="10"/>
        <v>138912931.471995</v>
      </c>
      <c r="AM113" s="245">
        <f t="shared" si="11"/>
        <v>340411712.62996799</v>
      </c>
      <c r="AN113" s="245">
        <f t="shared" si="12"/>
        <v>2194869.9999996</v>
      </c>
      <c r="AO113" s="245">
        <f t="shared" si="13"/>
        <v>61517425.999994993</v>
      </c>
      <c r="AP113" s="176"/>
      <c r="AQ113" s="176"/>
      <c r="AR113">
        <v>1290</v>
      </c>
      <c r="AS113" t="s">
        <v>243</v>
      </c>
      <c r="AT113" t="s">
        <v>966</v>
      </c>
      <c r="AU113" s="176">
        <v>13575557.445544001</v>
      </c>
      <c r="AW113">
        <v>1290</v>
      </c>
      <c r="AX113" t="s">
        <v>243</v>
      </c>
      <c r="AY113" t="s">
        <v>966</v>
      </c>
      <c r="AZ113" s="176">
        <v>32012320.634440001</v>
      </c>
      <c r="BA113" s="342" t="str">
        <f t="shared" si="16"/>
        <v/>
      </c>
      <c r="BB113">
        <v>1290</v>
      </c>
      <c r="BC113" t="s">
        <v>243</v>
      </c>
      <c r="BD113" t="s">
        <v>966</v>
      </c>
      <c r="BE113" s="243">
        <f t="shared" si="17"/>
        <v>39185413.953096002</v>
      </c>
    </row>
    <row r="114" spans="1:57">
      <c r="A114">
        <v>1290</v>
      </c>
      <c r="B114" t="s">
        <v>243</v>
      </c>
      <c r="C114" t="s">
        <v>1693</v>
      </c>
      <c r="D114" s="176">
        <v>38157108.504422002</v>
      </c>
      <c r="E114">
        <v>0</v>
      </c>
      <c r="G114">
        <v>1290</v>
      </c>
      <c r="H114" t="s">
        <v>243</v>
      </c>
      <c r="I114" t="s">
        <v>1693</v>
      </c>
      <c r="J114" s="176">
        <v>18714816.77888</v>
      </c>
      <c r="K114">
        <v>0</v>
      </c>
      <c r="L114" s="342" t="str">
        <f t="shared" si="14"/>
        <v/>
      </c>
      <c r="M114">
        <v>1290</v>
      </c>
      <c r="N114" t="s">
        <v>243</v>
      </c>
      <c r="O114" t="s">
        <v>1693</v>
      </c>
      <c r="P114" s="243">
        <f t="shared" si="15"/>
        <v>53128961.927526005</v>
      </c>
      <c r="S114">
        <v>1290</v>
      </c>
      <c r="T114" t="s">
        <v>243</v>
      </c>
      <c r="U114" t="s">
        <v>1693</v>
      </c>
      <c r="V114" s="176">
        <v>37060264.711108997</v>
      </c>
      <c r="W114" s="176">
        <v>55106583.425546996</v>
      </c>
      <c r="X114" s="176">
        <v>0</v>
      </c>
      <c r="Y114" s="176">
        <v>5280910</v>
      </c>
      <c r="Z114" s="176"/>
      <c r="AA114">
        <v>1290</v>
      </c>
      <c r="AB114" s="176" t="s">
        <v>243</v>
      </c>
      <c r="AC114" s="176" t="s">
        <v>1693</v>
      </c>
      <c r="AD114" s="176">
        <v>37060264.711108997</v>
      </c>
      <c r="AE114" s="176">
        <v>55106583.425546996</v>
      </c>
      <c r="AF114">
        <v>0</v>
      </c>
      <c r="AG114" s="176">
        <v>5280910</v>
      </c>
      <c r="AH114" s="342" t="str">
        <f t="shared" si="9"/>
        <v/>
      </c>
      <c r="AI114">
        <v>1290</v>
      </c>
      <c r="AJ114" t="s">
        <v>243</v>
      </c>
      <c r="AK114" t="s">
        <v>1693</v>
      </c>
      <c r="AL114" s="245">
        <f t="shared" si="10"/>
        <v>66708476.479996197</v>
      </c>
      <c r="AM114" s="245">
        <f t="shared" si="11"/>
        <v>99191850.165984601</v>
      </c>
      <c r="AN114" s="245">
        <f t="shared" si="12"/>
        <v>0</v>
      </c>
      <c r="AO114" s="245">
        <f t="shared" si="13"/>
        <v>9505638</v>
      </c>
      <c r="AP114" s="176"/>
      <c r="AQ114" s="176"/>
      <c r="AR114">
        <v>1290</v>
      </c>
      <c r="AS114" t="s">
        <v>243</v>
      </c>
      <c r="AT114" t="s">
        <v>1693</v>
      </c>
      <c r="AU114" s="176">
        <v>0</v>
      </c>
      <c r="AW114">
        <v>1290</v>
      </c>
      <c r="AX114" t="s">
        <v>243</v>
      </c>
      <c r="AY114" t="s">
        <v>1693</v>
      </c>
      <c r="AZ114" s="176">
        <v>1362470.3133330001</v>
      </c>
      <c r="BA114" s="342" t="str">
        <f t="shared" si="16"/>
        <v/>
      </c>
      <c r="BB114">
        <v>1290</v>
      </c>
      <c r="BC114" t="s">
        <v>243</v>
      </c>
      <c r="BD114" t="s">
        <v>1693</v>
      </c>
      <c r="BE114" s="243">
        <f t="shared" si="17"/>
        <v>1089976.2506664002</v>
      </c>
    </row>
    <row r="115" spans="1:57">
      <c r="A115">
        <v>1290</v>
      </c>
      <c r="B115" t="s">
        <v>243</v>
      </c>
      <c r="C115" t="s">
        <v>965</v>
      </c>
      <c r="D115" s="176">
        <v>161857574.32771501</v>
      </c>
      <c r="E115">
        <v>0</v>
      </c>
      <c r="G115">
        <v>1290</v>
      </c>
      <c r="H115" t="s">
        <v>243</v>
      </c>
      <c r="I115" t="s">
        <v>965</v>
      </c>
      <c r="J115" s="176">
        <v>209002213.181088</v>
      </c>
      <c r="K115">
        <v>0</v>
      </c>
      <c r="L115" s="342" t="str">
        <f t="shared" si="14"/>
        <v/>
      </c>
      <c r="M115">
        <v>1290</v>
      </c>
      <c r="N115" t="s">
        <v>243</v>
      </c>
      <c r="O115" t="s">
        <v>965</v>
      </c>
      <c r="P115" s="243">
        <f t="shared" si="15"/>
        <v>329059344.87258542</v>
      </c>
      <c r="S115">
        <v>1290</v>
      </c>
      <c r="T115" t="s">
        <v>243</v>
      </c>
      <c r="U115" t="s">
        <v>965</v>
      </c>
      <c r="V115" s="176">
        <v>53412024.604442</v>
      </c>
      <c r="W115" s="176">
        <v>120977692.617763</v>
      </c>
      <c r="X115" s="176">
        <v>0</v>
      </c>
      <c r="Y115" s="176">
        <v>22469423.333331998</v>
      </c>
      <c r="Z115" s="176"/>
      <c r="AA115">
        <v>1290</v>
      </c>
      <c r="AB115" s="176" t="s">
        <v>243</v>
      </c>
      <c r="AC115" s="176" t="s">
        <v>965</v>
      </c>
      <c r="AD115" s="176">
        <v>53412024.604442</v>
      </c>
      <c r="AE115" s="176">
        <v>120977692.617763</v>
      </c>
      <c r="AF115" s="176">
        <v>0</v>
      </c>
      <c r="AG115" s="176">
        <v>22469423.333331998</v>
      </c>
      <c r="AH115" s="342" t="str">
        <f t="shared" si="9"/>
        <v/>
      </c>
      <c r="AI115">
        <v>1290</v>
      </c>
      <c r="AJ115" t="s">
        <v>243</v>
      </c>
      <c r="AK115" t="s">
        <v>965</v>
      </c>
      <c r="AL115" s="245">
        <f t="shared" si="10"/>
        <v>96141644.287995607</v>
      </c>
      <c r="AM115" s="245">
        <f t="shared" si="11"/>
        <v>217759846.7119734</v>
      </c>
      <c r="AN115" s="245">
        <f t="shared" si="12"/>
        <v>0</v>
      </c>
      <c r="AO115" s="245">
        <f t="shared" si="13"/>
        <v>40444961.999997601</v>
      </c>
      <c r="AP115" s="176"/>
      <c r="AQ115" s="176"/>
      <c r="AR115">
        <v>1290</v>
      </c>
      <c r="AS115" t="s">
        <v>243</v>
      </c>
      <c r="AT115" t="s">
        <v>965</v>
      </c>
      <c r="AU115" s="176">
        <v>5014203.8877750002</v>
      </c>
      <c r="AW115">
        <v>1290</v>
      </c>
      <c r="AX115" t="s">
        <v>243</v>
      </c>
      <c r="AY115" t="s">
        <v>965</v>
      </c>
      <c r="AZ115" s="176">
        <v>13045364.755553</v>
      </c>
      <c r="BA115" s="342" t="str">
        <f t="shared" si="16"/>
        <v/>
      </c>
      <c r="BB115">
        <v>1290</v>
      </c>
      <c r="BC115" t="s">
        <v>243</v>
      </c>
      <c r="BD115" t="s">
        <v>965</v>
      </c>
      <c r="BE115" s="243">
        <f t="shared" si="17"/>
        <v>15450495.6922174</v>
      </c>
    </row>
    <row r="116" spans="1:57">
      <c r="A116">
        <v>1290</v>
      </c>
      <c r="B116" t="s">
        <v>243</v>
      </c>
      <c r="C116" t="s">
        <v>1692</v>
      </c>
      <c r="D116" s="176">
        <v>104383998.72331101</v>
      </c>
      <c r="E116">
        <v>0</v>
      </c>
      <c r="G116">
        <v>1290</v>
      </c>
      <c r="H116" t="s">
        <v>243</v>
      </c>
      <c r="I116" t="s">
        <v>1692</v>
      </c>
      <c r="J116" s="176">
        <v>80560058.057769001</v>
      </c>
      <c r="K116">
        <v>0</v>
      </c>
      <c r="L116" s="342" t="str">
        <f t="shared" si="14"/>
        <v/>
      </c>
      <c r="M116">
        <v>1290</v>
      </c>
      <c r="N116" t="s">
        <v>243</v>
      </c>
      <c r="O116" t="s">
        <v>1692</v>
      </c>
      <c r="P116" s="243">
        <f t="shared" si="15"/>
        <v>168832045.16952622</v>
      </c>
      <c r="S116">
        <v>1290</v>
      </c>
      <c r="T116" t="s">
        <v>243</v>
      </c>
      <c r="U116" t="s">
        <v>1692</v>
      </c>
      <c r="V116" s="176">
        <v>15712937.787776999</v>
      </c>
      <c r="W116" s="176">
        <v>88376381.704437003</v>
      </c>
      <c r="X116" s="176">
        <v>0</v>
      </c>
      <c r="Y116" s="176">
        <v>3614220</v>
      </c>
      <c r="Z116" s="176"/>
      <c r="AA116">
        <v>1290</v>
      </c>
      <c r="AB116" s="176" t="s">
        <v>243</v>
      </c>
      <c r="AC116" s="176" t="s">
        <v>1692</v>
      </c>
      <c r="AD116" s="176">
        <v>15712937.787776999</v>
      </c>
      <c r="AE116" s="176">
        <v>88376381.704437003</v>
      </c>
      <c r="AF116" s="176">
        <v>0</v>
      </c>
      <c r="AG116" s="176">
        <v>3614220</v>
      </c>
      <c r="AH116" s="342" t="str">
        <f t="shared" si="9"/>
        <v/>
      </c>
      <c r="AI116">
        <v>1290</v>
      </c>
      <c r="AJ116" t="s">
        <v>243</v>
      </c>
      <c r="AK116" t="s">
        <v>1692</v>
      </c>
      <c r="AL116" s="245">
        <f t="shared" si="10"/>
        <v>28283288.017998599</v>
      </c>
      <c r="AM116" s="245">
        <f t="shared" si="11"/>
        <v>159077487.06798661</v>
      </c>
      <c r="AN116" s="245">
        <f t="shared" si="12"/>
        <v>0</v>
      </c>
      <c r="AO116" s="245">
        <f t="shared" si="13"/>
        <v>6505596</v>
      </c>
      <c r="AP116" s="176"/>
      <c r="AQ116" s="176"/>
      <c r="AR116">
        <v>1290</v>
      </c>
      <c r="AS116" t="s">
        <v>243</v>
      </c>
      <c r="AT116" t="s">
        <v>1692</v>
      </c>
      <c r="AU116" s="176">
        <v>1556339.809997</v>
      </c>
      <c r="AW116">
        <v>1290</v>
      </c>
      <c r="AX116" t="s">
        <v>243</v>
      </c>
      <c r="AY116" t="s">
        <v>1692</v>
      </c>
      <c r="AZ116" s="176">
        <v>0</v>
      </c>
      <c r="BA116" s="342" t="str">
        <f t="shared" si="16"/>
        <v/>
      </c>
      <c r="BB116">
        <v>1290</v>
      </c>
      <c r="BC116" t="s">
        <v>243</v>
      </c>
      <c r="BD116" t="s">
        <v>1692</v>
      </c>
      <c r="BE116" s="243">
        <f t="shared" si="17"/>
        <v>1556339.809997</v>
      </c>
    </row>
    <row r="117" spans="1:57">
      <c r="A117">
        <v>1300</v>
      </c>
      <c r="B117" t="s">
        <v>244</v>
      </c>
      <c r="C117" t="s">
        <v>967</v>
      </c>
      <c r="D117" s="176">
        <v>293020645.377707</v>
      </c>
      <c r="E117">
        <v>0</v>
      </c>
      <c r="G117">
        <v>1300</v>
      </c>
      <c r="H117" t="s">
        <v>244</v>
      </c>
      <c r="I117" t="s">
        <v>967</v>
      </c>
      <c r="J117" s="176">
        <v>248170563.94220701</v>
      </c>
      <c r="K117">
        <v>0</v>
      </c>
      <c r="L117" s="342" t="str">
        <f t="shared" si="14"/>
        <v/>
      </c>
      <c r="M117">
        <v>1300</v>
      </c>
      <c r="N117" t="s">
        <v>244</v>
      </c>
      <c r="O117" t="s">
        <v>967</v>
      </c>
      <c r="P117" s="243">
        <f t="shared" si="15"/>
        <v>491557096.53147262</v>
      </c>
      <c r="S117">
        <v>1300</v>
      </c>
      <c r="T117" t="s">
        <v>244</v>
      </c>
      <c r="U117" t="s">
        <v>967</v>
      </c>
      <c r="V117" s="176">
        <v>38114057.273331001</v>
      </c>
      <c r="W117" s="176">
        <v>122777699.22886001</v>
      </c>
      <c r="X117" s="176">
        <v>1000000</v>
      </c>
      <c r="Y117" s="176">
        <v>6344443.7355549997</v>
      </c>
      <c r="Z117" s="176"/>
      <c r="AA117">
        <v>1300</v>
      </c>
      <c r="AB117" s="176" t="s">
        <v>244</v>
      </c>
      <c r="AC117" s="176" t="s">
        <v>967</v>
      </c>
      <c r="AD117" s="176">
        <v>38114057.273331001</v>
      </c>
      <c r="AE117" s="176">
        <v>122777699.22886001</v>
      </c>
      <c r="AF117" s="176">
        <v>1000000</v>
      </c>
      <c r="AG117" s="176">
        <v>6344443.7355549997</v>
      </c>
      <c r="AH117" s="342" t="str">
        <f t="shared" si="9"/>
        <v/>
      </c>
      <c r="AI117">
        <v>1300</v>
      </c>
      <c r="AJ117" t="s">
        <v>244</v>
      </c>
      <c r="AK117" t="s">
        <v>967</v>
      </c>
      <c r="AL117" s="245">
        <f t="shared" si="10"/>
        <v>68605303.091995806</v>
      </c>
      <c r="AM117" s="245">
        <f t="shared" si="11"/>
        <v>220999858.61194801</v>
      </c>
      <c r="AN117" s="245">
        <f t="shared" si="12"/>
        <v>1800000</v>
      </c>
      <c r="AO117" s="245">
        <f t="shared" si="13"/>
        <v>11419998.723999001</v>
      </c>
      <c r="AP117" s="176"/>
      <c r="AQ117" s="176"/>
      <c r="AR117">
        <v>1300</v>
      </c>
      <c r="AS117" t="s">
        <v>244</v>
      </c>
      <c r="AT117" t="s">
        <v>967</v>
      </c>
      <c r="AU117" s="176">
        <v>42292167.91443</v>
      </c>
      <c r="AW117">
        <v>1300</v>
      </c>
      <c r="AX117" t="s">
        <v>244</v>
      </c>
      <c r="AY117" t="s">
        <v>967</v>
      </c>
      <c r="AZ117" s="176">
        <v>39273648.722218998</v>
      </c>
      <c r="BA117" s="342" t="str">
        <f t="shared" si="16"/>
        <v/>
      </c>
      <c r="BB117">
        <v>1300</v>
      </c>
      <c r="BC117" t="s">
        <v>244</v>
      </c>
      <c r="BD117" t="s">
        <v>967</v>
      </c>
      <c r="BE117" s="243">
        <f t="shared" si="17"/>
        <v>73711086.892205209</v>
      </c>
    </row>
    <row r="118" spans="1:57">
      <c r="A118">
        <v>1300</v>
      </c>
      <c r="B118" t="s">
        <v>244</v>
      </c>
      <c r="C118" t="s">
        <v>1004</v>
      </c>
      <c r="D118" s="176">
        <v>134765587.11552</v>
      </c>
      <c r="E118">
        <v>0</v>
      </c>
      <c r="G118">
        <v>1300</v>
      </c>
      <c r="H118" t="s">
        <v>244</v>
      </c>
      <c r="I118" t="s">
        <v>1004</v>
      </c>
      <c r="J118" s="176">
        <v>37181675.113324001</v>
      </c>
      <c r="K118">
        <v>0</v>
      </c>
      <c r="L118" s="342" t="str">
        <f t="shared" si="14"/>
        <v/>
      </c>
      <c r="M118">
        <v>1300</v>
      </c>
      <c r="N118" t="s">
        <v>244</v>
      </c>
      <c r="O118" t="s">
        <v>1004</v>
      </c>
      <c r="P118" s="243">
        <f t="shared" si="15"/>
        <v>164510927.2061792</v>
      </c>
      <c r="S118">
        <v>1300</v>
      </c>
      <c r="T118" t="s">
        <v>244</v>
      </c>
      <c r="U118" t="s">
        <v>1004</v>
      </c>
      <c r="V118" s="176">
        <v>11940988.018888</v>
      </c>
      <c r="W118" s="176">
        <v>81787168.137764007</v>
      </c>
      <c r="X118" s="176">
        <v>800000</v>
      </c>
      <c r="Y118" s="176">
        <v>8568998.1111110002</v>
      </c>
      <c r="Z118" s="176"/>
      <c r="AA118">
        <v>1300</v>
      </c>
      <c r="AB118" s="176" t="s">
        <v>244</v>
      </c>
      <c r="AC118" s="176" t="s">
        <v>1004</v>
      </c>
      <c r="AD118" s="176">
        <v>11940988.018888</v>
      </c>
      <c r="AE118" s="176">
        <v>81787168.137764007</v>
      </c>
      <c r="AF118">
        <v>800000</v>
      </c>
      <c r="AG118" s="176">
        <v>8568998.1111110002</v>
      </c>
      <c r="AH118" s="342" t="str">
        <f t="shared" si="9"/>
        <v/>
      </c>
      <c r="AI118">
        <v>1300</v>
      </c>
      <c r="AJ118" t="s">
        <v>244</v>
      </c>
      <c r="AK118" t="s">
        <v>1004</v>
      </c>
      <c r="AL118" s="245">
        <f t="shared" si="10"/>
        <v>21493778.433998398</v>
      </c>
      <c r="AM118" s="245">
        <f t="shared" si="11"/>
        <v>147216902.64797521</v>
      </c>
      <c r="AN118" s="245">
        <f t="shared" si="12"/>
        <v>1440000</v>
      </c>
      <c r="AO118" s="245">
        <f t="shared" si="13"/>
        <v>15424196.5999998</v>
      </c>
      <c r="AP118" s="176"/>
      <c r="AQ118" s="176"/>
      <c r="AR118">
        <v>1300</v>
      </c>
      <c r="AS118" t="s">
        <v>244</v>
      </c>
      <c r="AT118" t="s">
        <v>1004</v>
      </c>
      <c r="AU118" s="176">
        <v>14725640.287767</v>
      </c>
      <c r="AW118">
        <v>1300</v>
      </c>
      <c r="AX118" t="s">
        <v>244</v>
      </c>
      <c r="AY118" t="s">
        <v>1004</v>
      </c>
      <c r="AZ118" s="176">
        <v>0</v>
      </c>
      <c r="BA118" s="342" t="str">
        <f t="shared" si="16"/>
        <v/>
      </c>
      <c r="BB118">
        <v>1300</v>
      </c>
      <c r="BC118" t="s">
        <v>244</v>
      </c>
      <c r="BD118" t="s">
        <v>1004</v>
      </c>
      <c r="BE118" s="243">
        <f t="shared" si="17"/>
        <v>14725640.287767</v>
      </c>
    </row>
    <row r="119" spans="1:57">
      <c r="A119">
        <v>1300</v>
      </c>
      <c r="B119" t="s">
        <v>244</v>
      </c>
      <c r="C119" t="s">
        <v>1694</v>
      </c>
      <c r="D119" s="176">
        <v>68960661.254410997</v>
      </c>
      <c r="E119">
        <v>0</v>
      </c>
      <c r="G119">
        <v>1300</v>
      </c>
      <c r="H119" t="s">
        <v>244</v>
      </c>
      <c r="I119" t="s">
        <v>1694</v>
      </c>
      <c r="J119" s="176">
        <v>41422222.863324001</v>
      </c>
      <c r="K119">
        <v>0</v>
      </c>
      <c r="L119" s="342" t="str">
        <f t="shared" si="14"/>
        <v/>
      </c>
      <c r="M119">
        <v>1300</v>
      </c>
      <c r="N119" t="s">
        <v>244</v>
      </c>
      <c r="O119" t="s">
        <v>1694</v>
      </c>
      <c r="P119" s="243">
        <f t="shared" si="15"/>
        <v>102098439.5450702</v>
      </c>
      <c r="S119">
        <v>1300</v>
      </c>
      <c r="T119" t="s">
        <v>244</v>
      </c>
      <c r="U119" t="s">
        <v>1694</v>
      </c>
      <c r="V119" s="176">
        <v>15045020.658887001</v>
      </c>
      <c r="W119" s="176">
        <v>90221989.797759995</v>
      </c>
      <c r="X119">
        <v>0</v>
      </c>
      <c r="Y119" s="176">
        <v>17257918.555553999</v>
      </c>
      <c r="Z119" s="176"/>
      <c r="AA119">
        <v>1300</v>
      </c>
      <c r="AB119" s="176" t="s">
        <v>244</v>
      </c>
      <c r="AC119" s="176" t="s">
        <v>1694</v>
      </c>
      <c r="AD119" s="176">
        <v>15045020.658887001</v>
      </c>
      <c r="AE119" s="176">
        <v>90221989.797759995</v>
      </c>
      <c r="AF119">
        <v>0</v>
      </c>
      <c r="AG119" s="176">
        <v>17257918.555553999</v>
      </c>
      <c r="AH119" s="342" t="str">
        <f t="shared" si="9"/>
        <v/>
      </c>
      <c r="AI119">
        <v>1300</v>
      </c>
      <c r="AJ119" t="s">
        <v>244</v>
      </c>
      <c r="AK119" t="s">
        <v>1694</v>
      </c>
      <c r="AL119" s="245">
        <f t="shared" si="10"/>
        <v>27081037.185996599</v>
      </c>
      <c r="AM119" s="245">
        <f t="shared" si="11"/>
        <v>162399581.635968</v>
      </c>
      <c r="AN119" s="245">
        <f t="shared" si="12"/>
        <v>0</v>
      </c>
      <c r="AO119" s="245">
        <f t="shared" si="13"/>
        <v>31064253.399997197</v>
      </c>
      <c r="AP119" s="176"/>
      <c r="AQ119" s="176"/>
      <c r="AR119">
        <v>1300</v>
      </c>
      <c r="AS119" t="s">
        <v>244</v>
      </c>
      <c r="AT119" t="s">
        <v>1694</v>
      </c>
      <c r="AU119" s="176">
        <v>8467999.8722159993</v>
      </c>
      <c r="AW119">
        <v>1300</v>
      </c>
      <c r="AX119" t="s">
        <v>244</v>
      </c>
      <c r="AY119" t="s">
        <v>1694</v>
      </c>
      <c r="AZ119" s="176">
        <v>569386.085555</v>
      </c>
      <c r="BA119" s="342" t="str">
        <f t="shared" si="16"/>
        <v/>
      </c>
      <c r="BB119">
        <v>1300</v>
      </c>
      <c r="BC119" t="s">
        <v>244</v>
      </c>
      <c r="BD119" t="s">
        <v>1694</v>
      </c>
      <c r="BE119" s="243">
        <f t="shared" si="17"/>
        <v>8923508.7406599987</v>
      </c>
    </row>
    <row r="120" spans="1:57">
      <c r="A120">
        <v>1320</v>
      </c>
      <c r="B120" t="s">
        <v>245</v>
      </c>
      <c r="C120" t="s">
        <v>1695</v>
      </c>
      <c r="D120" s="176">
        <v>356709665.19656003</v>
      </c>
      <c r="E120">
        <v>0</v>
      </c>
      <c r="G120">
        <v>1320</v>
      </c>
      <c r="H120" t="s">
        <v>245</v>
      </c>
      <c r="I120" t="s">
        <v>1695</v>
      </c>
      <c r="J120" s="176">
        <v>225515865.33662701</v>
      </c>
      <c r="K120">
        <v>0</v>
      </c>
      <c r="L120" s="342" t="str">
        <f t="shared" si="14"/>
        <v/>
      </c>
      <c r="M120">
        <v>1320</v>
      </c>
      <c r="N120" t="s">
        <v>245</v>
      </c>
      <c r="O120" t="s">
        <v>1695</v>
      </c>
      <c r="P120" s="243">
        <f t="shared" si="15"/>
        <v>537122357.46586168</v>
      </c>
      <c r="S120">
        <v>1320</v>
      </c>
      <c r="T120" t="s">
        <v>245</v>
      </c>
      <c r="U120" t="s">
        <v>1695</v>
      </c>
      <c r="V120" s="176">
        <v>129945695.72888701</v>
      </c>
      <c r="W120" s="176">
        <v>282896771.51440698</v>
      </c>
      <c r="X120">
        <v>0</v>
      </c>
      <c r="Y120" s="176">
        <v>11115961.11111</v>
      </c>
      <c r="Z120" s="176"/>
      <c r="AA120">
        <v>1320</v>
      </c>
      <c r="AB120" s="176" t="s">
        <v>245</v>
      </c>
      <c r="AC120" s="176" t="s">
        <v>1695</v>
      </c>
      <c r="AD120" s="176">
        <v>129945695.72888701</v>
      </c>
      <c r="AE120" s="176">
        <v>282896771.51440698</v>
      </c>
      <c r="AF120">
        <v>0</v>
      </c>
      <c r="AG120" s="176">
        <v>11115961.11111</v>
      </c>
      <c r="AH120" s="342" t="str">
        <f t="shared" si="9"/>
        <v/>
      </c>
      <c r="AI120">
        <v>1320</v>
      </c>
      <c r="AJ120" t="s">
        <v>245</v>
      </c>
      <c r="AK120" t="s">
        <v>1695</v>
      </c>
      <c r="AL120" s="245">
        <f t="shared" si="10"/>
        <v>233902252.31199664</v>
      </c>
      <c r="AM120" s="245">
        <f t="shared" si="11"/>
        <v>509214188.7259326</v>
      </c>
      <c r="AN120" s="245">
        <f t="shared" si="12"/>
        <v>0</v>
      </c>
      <c r="AO120" s="245">
        <f t="shared" si="13"/>
        <v>20008729.999998</v>
      </c>
      <c r="AP120" s="176"/>
      <c r="AQ120" s="176"/>
      <c r="AR120">
        <v>1320</v>
      </c>
      <c r="AS120" t="s">
        <v>245</v>
      </c>
      <c r="AT120" t="s">
        <v>1695</v>
      </c>
      <c r="AU120" s="176">
        <v>75537047.849977002</v>
      </c>
      <c r="AW120">
        <v>1320</v>
      </c>
      <c r="AX120" t="s">
        <v>245</v>
      </c>
      <c r="AY120" t="s">
        <v>1695</v>
      </c>
      <c r="AZ120" s="176">
        <v>44517854.423322998</v>
      </c>
      <c r="BA120" s="342" t="str">
        <f t="shared" si="16"/>
        <v/>
      </c>
      <c r="BB120">
        <v>1320</v>
      </c>
      <c r="BC120" t="s">
        <v>245</v>
      </c>
      <c r="BD120" t="s">
        <v>1695</v>
      </c>
      <c r="BE120" s="243">
        <f t="shared" si="17"/>
        <v>111151331.3886354</v>
      </c>
    </row>
    <row r="121" spans="1:57">
      <c r="A121">
        <v>1330</v>
      </c>
      <c r="B121" t="s">
        <v>246</v>
      </c>
      <c r="C121" t="s">
        <v>1696</v>
      </c>
      <c r="D121" s="176">
        <v>52830853.601066999</v>
      </c>
      <c r="E121">
        <v>0</v>
      </c>
      <c r="G121">
        <v>1330</v>
      </c>
      <c r="H121" t="s">
        <v>246</v>
      </c>
      <c r="I121" t="s">
        <v>1696</v>
      </c>
      <c r="J121" s="176">
        <v>14208664.486661</v>
      </c>
      <c r="K121">
        <v>0</v>
      </c>
      <c r="L121" s="342" t="str">
        <f t="shared" si="14"/>
        <v/>
      </c>
      <c r="M121">
        <v>1330</v>
      </c>
      <c r="N121" t="s">
        <v>246</v>
      </c>
      <c r="O121" t="s">
        <v>1696</v>
      </c>
      <c r="P121" s="243">
        <f t="shared" si="15"/>
        <v>64197785.190395802</v>
      </c>
      <c r="S121">
        <v>1330</v>
      </c>
      <c r="T121" t="s">
        <v>246</v>
      </c>
      <c r="U121" t="s">
        <v>1696</v>
      </c>
      <c r="V121" s="176">
        <v>7601443.5366660003</v>
      </c>
      <c r="W121" s="176">
        <v>33515980.845543999</v>
      </c>
      <c r="X121" s="176">
        <v>0</v>
      </c>
      <c r="Y121" s="176">
        <v>516222.33333300002</v>
      </c>
      <c r="Z121" s="176"/>
      <c r="AA121">
        <v>1330</v>
      </c>
      <c r="AB121" s="176" t="s">
        <v>246</v>
      </c>
      <c r="AC121" s="176" t="s">
        <v>1696</v>
      </c>
      <c r="AD121" s="176">
        <v>7601443.5366660003</v>
      </c>
      <c r="AE121" s="176">
        <v>33515980.845543999</v>
      </c>
      <c r="AF121">
        <v>0</v>
      </c>
      <c r="AG121" s="176">
        <v>516222.33333300002</v>
      </c>
      <c r="AH121" s="342" t="str">
        <f t="shared" si="9"/>
        <v/>
      </c>
      <c r="AI121">
        <v>1330</v>
      </c>
      <c r="AJ121" t="s">
        <v>246</v>
      </c>
      <c r="AK121" t="s">
        <v>1696</v>
      </c>
      <c r="AL121" s="245">
        <f t="shared" si="10"/>
        <v>13682598.365998801</v>
      </c>
      <c r="AM121" s="245">
        <f t="shared" si="11"/>
        <v>60328765.521979198</v>
      </c>
      <c r="AN121" s="245">
        <f t="shared" si="12"/>
        <v>0</v>
      </c>
      <c r="AO121" s="245">
        <f t="shared" si="13"/>
        <v>929200.19999940007</v>
      </c>
      <c r="AP121" s="176"/>
      <c r="AQ121" s="176"/>
      <c r="AR121">
        <v>1330</v>
      </c>
      <c r="AS121" t="s">
        <v>246</v>
      </c>
      <c r="AT121" t="s">
        <v>1696</v>
      </c>
      <c r="AU121" s="176">
        <v>1987465.838883</v>
      </c>
      <c r="AW121">
        <v>1330</v>
      </c>
      <c r="AX121" t="s">
        <v>246</v>
      </c>
      <c r="AY121" t="s">
        <v>1696</v>
      </c>
      <c r="AZ121" s="176">
        <v>1431372.885555</v>
      </c>
      <c r="BA121" s="342" t="str">
        <f t="shared" si="16"/>
        <v/>
      </c>
      <c r="BB121">
        <v>1330</v>
      </c>
      <c r="BC121" t="s">
        <v>246</v>
      </c>
      <c r="BD121" t="s">
        <v>1696</v>
      </c>
      <c r="BE121" s="243">
        <f t="shared" si="17"/>
        <v>3132564.1473270003</v>
      </c>
    </row>
    <row r="122" spans="1:57">
      <c r="A122">
        <v>1330</v>
      </c>
      <c r="B122" t="s">
        <v>246</v>
      </c>
      <c r="C122" t="s">
        <v>968</v>
      </c>
      <c r="D122" s="176">
        <v>152063076.53882101</v>
      </c>
      <c r="E122">
        <v>0</v>
      </c>
      <c r="G122">
        <v>1330</v>
      </c>
      <c r="H122" t="s">
        <v>246</v>
      </c>
      <c r="I122" t="s">
        <v>968</v>
      </c>
      <c r="J122" s="176">
        <v>201717678.96330601</v>
      </c>
      <c r="K122">
        <v>0</v>
      </c>
      <c r="L122" s="342" t="str">
        <f t="shared" si="14"/>
        <v/>
      </c>
      <c r="M122">
        <v>1330</v>
      </c>
      <c r="N122" t="s">
        <v>246</v>
      </c>
      <c r="O122" t="s">
        <v>968</v>
      </c>
      <c r="P122" s="243">
        <f t="shared" si="15"/>
        <v>313437219.70946586</v>
      </c>
      <c r="S122">
        <v>1330</v>
      </c>
      <c r="T122" t="s">
        <v>246</v>
      </c>
      <c r="U122" t="s">
        <v>968</v>
      </c>
      <c r="V122" s="176">
        <v>35002915.273332</v>
      </c>
      <c r="W122" s="176">
        <v>195284150.434421</v>
      </c>
      <c r="X122">
        <v>0</v>
      </c>
      <c r="Y122" s="176">
        <v>8008948.0355540002</v>
      </c>
      <c r="Z122" s="176"/>
      <c r="AA122">
        <v>1330</v>
      </c>
      <c r="AB122" s="176" t="s">
        <v>246</v>
      </c>
      <c r="AC122" s="176" t="s">
        <v>968</v>
      </c>
      <c r="AD122" s="176">
        <v>35002915.273332</v>
      </c>
      <c r="AE122" s="176">
        <v>195284150.434421</v>
      </c>
      <c r="AF122">
        <v>0</v>
      </c>
      <c r="AG122" s="176">
        <v>8008948.0355540002</v>
      </c>
      <c r="AH122" s="342" t="str">
        <f t="shared" si="9"/>
        <v/>
      </c>
      <c r="AI122">
        <v>1330</v>
      </c>
      <c r="AJ122" t="s">
        <v>246</v>
      </c>
      <c r="AK122" t="s">
        <v>968</v>
      </c>
      <c r="AL122" s="245">
        <f t="shared" si="10"/>
        <v>63005247.4919976</v>
      </c>
      <c r="AM122" s="245">
        <f t="shared" si="11"/>
        <v>351511470.78195781</v>
      </c>
      <c r="AN122" s="245">
        <f t="shared" si="12"/>
        <v>0</v>
      </c>
      <c r="AO122" s="245">
        <f t="shared" si="13"/>
        <v>14416106.4639972</v>
      </c>
      <c r="AP122" s="176"/>
      <c r="AQ122" s="176"/>
      <c r="AR122">
        <v>1330</v>
      </c>
      <c r="AS122" t="s">
        <v>246</v>
      </c>
      <c r="AT122" t="s">
        <v>968</v>
      </c>
      <c r="AU122" s="176">
        <v>12135825.001101</v>
      </c>
      <c r="AW122">
        <v>1330</v>
      </c>
      <c r="AX122" t="s">
        <v>246</v>
      </c>
      <c r="AY122" t="s">
        <v>968</v>
      </c>
      <c r="AZ122" s="176">
        <v>39612681.655552</v>
      </c>
      <c r="BA122" s="342" t="str">
        <f t="shared" si="16"/>
        <v/>
      </c>
      <c r="BB122">
        <v>1330</v>
      </c>
      <c r="BC122" t="s">
        <v>246</v>
      </c>
      <c r="BD122" t="s">
        <v>968</v>
      </c>
      <c r="BE122" s="243">
        <f t="shared" si="17"/>
        <v>43825970.325542599</v>
      </c>
    </row>
    <row r="123" spans="1:57">
      <c r="A123">
        <v>1330</v>
      </c>
      <c r="B123" t="s">
        <v>246</v>
      </c>
      <c r="C123" t="s">
        <v>969</v>
      </c>
      <c r="D123" s="176">
        <v>286175701.16881299</v>
      </c>
      <c r="E123">
        <v>0</v>
      </c>
      <c r="G123">
        <v>1330</v>
      </c>
      <c r="H123" t="s">
        <v>246</v>
      </c>
      <c r="I123" t="s">
        <v>969</v>
      </c>
      <c r="J123" s="176">
        <v>260686261.897753</v>
      </c>
      <c r="K123">
        <v>0</v>
      </c>
      <c r="L123" s="342" t="str">
        <f t="shared" si="14"/>
        <v/>
      </c>
      <c r="M123">
        <v>1330</v>
      </c>
      <c r="N123" t="s">
        <v>246</v>
      </c>
      <c r="O123" t="s">
        <v>969</v>
      </c>
      <c r="P123" s="243">
        <f t="shared" si="15"/>
        <v>494724710.68701541</v>
      </c>
      <c r="S123">
        <v>1330</v>
      </c>
      <c r="T123" t="s">
        <v>246</v>
      </c>
      <c r="U123" t="s">
        <v>969</v>
      </c>
      <c r="V123" s="176">
        <v>25251526.920000002</v>
      </c>
      <c r="W123" s="176">
        <v>160626053.85220399</v>
      </c>
      <c r="X123">
        <v>0</v>
      </c>
      <c r="Y123" s="176">
        <v>17184869.772218</v>
      </c>
      <c r="Z123" s="176"/>
      <c r="AA123">
        <v>1330</v>
      </c>
      <c r="AB123" s="176" t="s">
        <v>246</v>
      </c>
      <c r="AC123" s="176" t="s">
        <v>969</v>
      </c>
      <c r="AD123" s="176">
        <v>25251526.920000002</v>
      </c>
      <c r="AE123" s="176">
        <v>160626053.85220399</v>
      </c>
      <c r="AF123">
        <v>0</v>
      </c>
      <c r="AG123" s="176">
        <v>17184869.772218</v>
      </c>
      <c r="AH123" s="342" t="str">
        <f t="shared" si="9"/>
        <v/>
      </c>
      <c r="AI123">
        <v>1330</v>
      </c>
      <c r="AJ123" t="s">
        <v>246</v>
      </c>
      <c r="AK123" t="s">
        <v>969</v>
      </c>
      <c r="AL123" s="245">
        <f t="shared" si="10"/>
        <v>45452748.456</v>
      </c>
      <c r="AM123" s="245">
        <f t="shared" si="11"/>
        <v>289126896.93396723</v>
      </c>
      <c r="AN123" s="245">
        <f t="shared" si="12"/>
        <v>0</v>
      </c>
      <c r="AO123" s="245">
        <f t="shared" si="13"/>
        <v>30932765.5899924</v>
      </c>
      <c r="AP123" s="176"/>
      <c r="AQ123" s="176"/>
      <c r="AR123">
        <v>1330</v>
      </c>
      <c r="AS123" t="s">
        <v>246</v>
      </c>
      <c r="AT123" t="s">
        <v>969</v>
      </c>
      <c r="AU123" s="176">
        <v>49291395.005548999</v>
      </c>
      <c r="AW123">
        <v>1330</v>
      </c>
      <c r="AX123" t="s">
        <v>246</v>
      </c>
      <c r="AY123" t="s">
        <v>969</v>
      </c>
      <c r="AZ123" s="176">
        <v>18570983.312217001</v>
      </c>
      <c r="BA123" s="342" t="str">
        <f t="shared" si="16"/>
        <v/>
      </c>
      <c r="BB123">
        <v>1330</v>
      </c>
      <c r="BC123" t="s">
        <v>246</v>
      </c>
      <c r="BD123" t="s">
        <v>969</v>
      </c>
      <c r="BE123" s="243">
        <f t="shared" si="17"/>
        <v>64148181.655322596</v>
      </c>
    </row>
    <row r="124" spans="1:57">
      <c r="A124">
        <v>1340</v>
      </c>
      <c r="B124" t="s">
        <v>247</v>
      </c>
      <c r="C124" t="s">
        <v>1063</v>
      </c>
      <c r="D124" s="176">
        <v>232124240.28883401</v>
      </c>
      <c r="E124">
        <v>0</v>
      </c>
      <c r="G124">
        <v>1340</v>
      </c>
      <c r="H124" t="s">
        <v>247</v>
      </c>
      <c r="I124" t="s">
        <v>1063</v>
      </c>
      <c r="J124" s="176">
        <v>133457714.17664599</v>
      </c>
      <c r="K124">
        <v>0</v>
      </c>
      <c r="L124" s="342" t="str">
        <f t="shared" si="14"/>
        <v/>
      </c>
      <c r="M124">
        <v>1340</v>
      </c>
      <c r="N124" t="s">
        <v>247</v>
      </c>
      <c r="O124" t="s">
        <v>1063</v>
      </c>
      <c r="P124" s="243">
        <f t="shared" si="15"/>
        <v>338890411.63015079</v>
      </c>
      <c r="S124">
        <v>1340</v>
      </c>
      <c r="T124" t="s">
        <v>247</v>
      </c>
      <c r="U124" t="s">
        <v>1063</v>
      </c>
      <c r="V124" s="176">
        <v>64630520.585552</v>
      </c>
      <c r="W124" s="176">
        <v>572748740.16998005</v>
      </c>
      <c r="X124" s="176">
        <v>0</v>
      </c>
      <c r="Y124" s="176">
        <v>26429382.822221</v>
      </c>
      <c r="Z124" s="176"/>
      <c r="AA124">
        <v>1340</v>
      </c>
      <c r="AB124" s="176" t="s">
        <v>247</v>
      </c>
      <c r="AC124" s="176" t="s">
        <v>1063</v>
      </c>
      <c r="AD124" s="176">
        <v>64630520.585552</v>
      </c>
      <c r="AE124" s="176">
        <v>572748740.16998005</v>
      </c>
      <c r="AF124" s="176">
        <v>0</v>
      </c>
      <c r="AG124" s="176">
        <v>26429382.822221</v>
      </c>
      <c r="AH124" s="342" t="str">
        <f t="shared" si="9"/>
        <v/>
      </c>
      <c r="AI124">
        <v>1340</v>
      </c>
      <c r="AJ124" t="s">
        <v>247</v>
      </c>
      <c r="AK124" t="s">
        <v>1063</v>
      </c>
      <c r="AL124" s="245">
        <f t="shared" si="10"/>
        <v>116334937.05399361</v>
      </c>
      <c r="AM124" s="245">
        <f t="shared" si="11"/>
        <v>1030947732.3059641</v>
      </c>
      <c r="AN124" s="245">
        <f t="shared" si="12"/>
        <v>0</v>
      </c>
      <c r="AO124" s="245">
        <f t="shared" si="13"/>
        <v>47572889.0799978</v>
      </c>
      <c r="AP124" s="176"/>
      <c r="AQ124" s="176"/>
      <c r="AR124">
        <v>1340</v>
      </c>
      <c r="AS124" t="s">
        <v>247</v>
      </c>
      <c r="AT124" t="s">
        <v>1063</v>
      </c>
      <c r="AU124" s="176">
        <v>51394449.211102001</v>
      </c>
      <c r="AW124">
        <v>1340</v>
      </c>
      <c r="AX124" t="s">
        <v>247</v>
      </c>
      <c r="AY124" t="s">
        <v>1063</v>
      </c>
      <c r="AZ124" s="176">
        <v>73855585.188881993</v>
      </c>
      <c r="BA124" s="342" t="str">
        <f t="shared" si="16"/>
        <v/>
      </c>
      <c r="BB124">
        <v>1340</v>
      </c>
      <c r="BC124" t="s">
        <v>247</v>
      </c>
      <c r="BD124" t="s">
        <v>1063</v>
      </c>
      <c r="BE124" s="243">
        <f t="shared" si="17"/>
        <v>110478917.36220759</v>
      </c>
    </row>
    <row r="125" spans="1:57">
      <c r="A125">
        <v>1340</v>
      </c>
      <c r="B125" t="s">
        <v>247</v>
      </c>
      <c r="C125" t="s">
        <v>1551</v>
      </c>
      <c r="D125" s="176">
        <v>88627951.503211007</v>
      </c>
      <c r="E125">
        <v>0</v>
      </c>
      <c r="G125">
        <v>1340</v>
      </c>
      <c r="H125" t="s">
        <v>247</v>
      </c>
      <c r="I125" t="s">
        <v>1551</v>
      </c>
      <c r="J125" s="176">
        <v>52733028.254423</v>
      </c>
      <c r="K125">
        <v>0</v>
      </c>
      <c r="L125" s="342" t="str">
        <f t="shared" si="14"/>
        <v/>
      </c>
      <c r="M125">
        <v>1340</v>
      </c>
      <c r="N125" t="s">
        <v>247</v>
      </c>
      <c r="O125" t="s">
        <v>1551</v>
      </c>
      <c r="P125" s="243">
        <f t="shared" si="15"/>
        <v>130814374.10674942</v>
      </c>
      <c r="S125">
        <v>1340</v>
      </c>
      <c r="T125" t="s">
        <v>247</v>
      </c>
      <c r="U125" t="s">
        <v>1551</v>
      </c>
      <c r="V125" s="176">
        <v>48054704.807774998</v>
      </c>
      <c r="W125" s="176">
        <v>174291182.55662701</v>
      </c>
      <c r="X125" s="176">
        <v>0</v>
      </c>
      <c r="Y125" s="176">
        <v>5273471.12</v>
      </c>
      <c r="Z125" s="176"/>
      <c r="AA125">
        <v>1340</v>
      </c>
      <c r="AB125" s="176" t="s">
        <v>247</v>
      </c>
      <c r="AC125" s="176" t="s">
        <v>1551</v>
      </c>
      <c r="AD125" s="176">
        <v>48054704.807774998</v>
      </c>
      <c r="AE125" s="176">
        <v>174291182.55662701</v>
      </c>
      <c r="AF125" s="176">
        <v>0</v>
      </c>
      <c r="AG125" s="176">
        <v>5273471.12</v>
      </c>
      <c r="AH125" s="342" t="str">
        <f t="shared" si="9"/>
        <v/>
      </c>
      <c r="AI125">
        <v>1340</v>
      </c>
      <c r="AJ125" t="s">
        <v>247</v>
      </c>
      <c r="AK125" t="s">
        <v>1551</v>
      </c>
      <c r="AL125" s="245">
        <f t="shared" si="10"/>
        <v>86498468.653995007</v>
      </c>
      <c r="AM125" s="245">
        <f t="shared" si="11"/>
        <v>313724128.60192859</v>
      </c>
      <c r="AN125" s="245">
        <f t="shared" si="12"/>
        <v>0</v>
      </c>
      <c r="AO125" s="245">
        <f t="shared" si="13"/>
        <v>9492248.0160000008</v>
      </c>
      <c r="AP125" s="176"/>
      <c r="AQ125" s="176"/>
      <c r="AR125">
        <v>1340</v>
      </c>
      <c r="AS125" t="s">
        <v>247</v>
      </c>
      <c r="AT125" t="s">
        <v>1551</v>
      </c>
      <c r="AU125" s="176">
        <v>3691107.8611050001</v>
      </c>
      <c r="AW125">
        <v>1340</v>
      </c>
      <c r="AX125" t="s">
        <v>247</v>
      </c>
      <c r="AY125" t="s">
        <v>1551</v>
      </c>
      <c r="AZ125" s="176">
        <v>4874026.2711079996</v>
      </c>
      <c r="BA125" s="342" t="str">
        <f t="shared" si="16"/>
        <v/>
      </c>
      <c r="BB125">
        <v>1340</v>
      </c>
      <c r="BC125" t="s">
        <v>247</v>
      </c>
      <c r="BD125" t="s">
        <v>1551</v>
      </c>
      <c r="BE125" s="243">
        <f t="shared" si="17"/>
        <v>7590328.8779914007</v>
      </c>
    </row>
    <row r="126" spans="1:57">
      <c r="A126">
        <v>1340</v>
      </c>
      <c r="B126" t="s">
        <v>247</v>
      </c>
      <c r="C126" t="s">
        <v>1043</v>
      </c>
      <c r="D126" s="176">
        <v>175504598.42661101</v>
      </c>
      <c r="E126">
        <v>0</v>
      </c>
      <c r="G126">
        <v>1340</v>
      </c>
      <c r="H126" t="s">
        <v>247</v>
      </c>
      <c r="I126" t="s">
        <v>1043</v>
      </c>
      <c r="J126" s="176">
        <v>125929283.69886699</v>
      </c>
      <c r="K126">
        <v>0</v>
      </c>
      <c r="L126" s="342" t="str">
        <f t="shared" si="14"/>
        <v/>
      </c>
      <c r="M126">
        <v>1340</v>
      </c>
      <c r="N126" t="s">
        <v>247</v>
      </c>
      <c r="O126" t="s">
        <v>1043</v>
      </c>
      <c r="P126" s="243">
        <f t="shared" si="15"/>
        <v>276248025.38570464</v>
      </c>
      <c r="S126">
        <v>1340</v>
      </c>
      <c r="T126" t="s">
        <v>247</v>
      </c>
      <c r="U126" t="s">
        <v>1043</v>
      </c>
      <c r="V126" s="176">
        <v>84124152.921109006</v>
      </c>
      <c r="W126" s="176">
        <v>456202629.21330601</v>
      </c>
      <c r="X126" s="176">
        <v>0</v>
      </c>
      <c r="Y126" s="176">
        <v>22948864.455554001</v>
      </c>
      <c r="Z126" s="176"/>
      <c r="AA126">
        <v>1340</v>
      </c>
      <c r="AB126" s="176" t="s">
        <v>247</v>
      </c>
      <c r="AC126" s="176" t="s">
        <v>1043</v>
      </c>
      <c r="AD126" s="176">
        <v>84124152.921109006</v>
      </c>
      <c r="AE126" s="176">
        <v>456202629.21330601</v>
      </c>
      <c r="AF126">
        <v>0</v>
      </c>
      <c r="AG126" s="176">
        <v>22948864.455554001</v>
      </c>
      <c r="AH126" s="342" t="str">
        <f t="shared" si="9"/>
        <v/>
      </c>
      <c r="AI126">
        <v>1340</v>
      </c>
      <c r="AJ126" t="s">
        <v>247</v>
      </c>
      <c r="AK126" t="s">
        <v>1043</v>
      </c>
      <c r="AL126" s="245">
        <f t="shared" si="10"/>
        <v>151423475.2579962</v>
      </c>
      <c r="AM126" s="245">
        <f t="shared" si="11"/>
        <v>821164732.58395076</v>
      </c>
      <c r="AN126" s="245">
        <f t="shared" si="12"/>
        <v>0</v>
      </c>
      <c r="AO126" s="245">
        <f t="shared" si="13"/>
        <v>41307956.019997202</v>
      </c>
      <c r="AP126" s="176"/>
      <c r="AQ126" s="176"/>
      <c r="AR126">
        <v>1340</v>
      </c>
      <c r="AS126" t="s">
        <v>247</v>
      </c>
      <c r="AT126" t="s">
        <v>1043</v>
      </c>
      <c r="AU126" s="176">
        <v>38935030.558876</v>
      </c>
      <c r="AW126">
        <v>1340</v>
      </c>
      <c r="AX126" t="s">
        <v>247</v>
      </c>
      <c r="AY126" t="s">
        <v>1043</v>
      </c>
      <c r="AZ126" s="176">
        <v>19371019.925547998</v>
      </c>
      <c r="BA126" s="342" t="str">
        <f t="shared" si="16"/>
        <v/>
      </c>
      <c r="BB126">
        <v>1340</v>
      </c>
      <c r="BC126" t="s">
        <v>247</v>
      </c>
      <c r="BD126" t="s">
        <v>1043</v>
      </c>
      <c r="BE126" s="243">
        <f t="shared" si="17"/>
        <v>54431846.499314398</v>
      </c>
    </row>
    <row r="127" spans="1:57">
      <c r="A127">
        <v>1360</v>
      </c>
      <c r="B127" t="s">
        <v>248</v>
      </c>
      <c r="C127" t="s">
        <v>971</v>
      </c>
      <c r="D127" s="176">
        <v>146959573.91547301</v>
      </c>
      <c r="E127">
        <v>0</v>
      </c>
      <c r="G127">
        <v>1360</v>
      </c>
      <c r="H127" t="s">
        <v>248</v>
      </c>
      <c r="I127" t="s">
        <v>971</v>
      </c>
      <c r="J127" s="176">
        <v>104533943.764432</v>
      </c>
      <c r="K127">
        <v>0</v>
      </c>
      <c r="L127" s="342" t="str">
        <f t="shared" si="14"/>
        <v/>
      </c>
      <c r="M127">
        <v>1360</v>
      </c>
      <c r="N127" t="s">
        <v>248</v>
      </c>
      <c r="O127" t="s">
        <v>971</v>
      </c>
      <c r="P127" s="243">
        <f t="shared" si="15"/>
        <v>230586728.92701861</v>
      </c>
      <c r="S127">
        <v>1360</v>
      </c>
      <c r="T127" t="s">
        <v>248</v>
      </c>
      <c r="U127" t="s">
        <v>971</v>
      </c>
      <c r="V127" s="176">
        <v>9309641.6600000001</v>
      </c>
      <c r="W127" s="176">
        <v>117125671.872199</v>
      </c>
      <c r="X127" s="176">
        <v>0</v>
      </c>
      <c r="Y127" s="176">
        <v>2833192</v>
      </c>
      <c r="Z127" s="176"/>
      <c r="AA127">
        <v>1360</v>
      </c>
      <c r="AB127" s="176" t="s">
        <v>248</v>
      </c>
      <c r="AC127" s="176" t="s">
        <v>971</v>
      </c>
      <c r="AD127" s="176">
        <v>9309641.6600000001</v>
      </c>
      <c r="AE127" s="176">
        <v>117125671.872199</v>
      </c>
      <c r="AF127" s="176">
        <v>0</v>
      </c>
      <c r="AG127" s="176">
        <v>2833192</v>
      </c>
      <c r="AH127" s="342" t="str">
        <f t="shared" si="9"/>
        <v/>
      </c>
      <c r="AI127">
        <v>1360</v>
      </c>
      <c r="AJ127" t="s">
        <v>248</v>
      </c>
      <c r="AK127" t="s">
        <v>971</v>
      </c>
      <c r="AL127" s="245">
        <f t="shared" si="10"/>
        <v>16757354.988000002</v>
      </c>
      <c r="AM127" s="245">
        <f t="shared" si="11"/>
        <v>210826209.36995822</v>
      </c>
      <c r="AN127" s="245">
        <f t="shared" si="12"/>
        <v>0</v>
      </c>
      <c r="AO127" s="245">
        <f t="shared" si="13"/>
        <v>5099745.5999999996</v>
      </c>
      <c r="AP127" s="176"/>
      <c r="AQ127" s="176"/>
      <c r="AR127">
        <v>1360</v>
      </c>
      <c r="AS127" t="s">
        <v>248</v>
      </c>
      <c r="AT127" t="s">
        <v>971</v>
      </c>
      <c r="AU127" s="176">
        <v>10533253.421107</v>
      </c>
      <c r="AW127">
        <v>1360</v>
      </c>
      <c r="AX127" t="s">
        <v>248</v>
      </c>
      <c r="AY127" t="s">
        <v>971</v>
      </c>
      <c r="AZ127" s="176">
        <v>2926371.0144420001</v>
      </c>
      <c r="BA127" s="342" t="str">
        <f t="shared" si="16"/>
        <v/>
      </c>
      <c r="BB127">
        <v>1360</v>
      </c>
      <c r="BC127" t="s">
        <v>248</v>
      </c>
      <c r="BD127" t="s">
        <v>971</v>
      </c>
      <c r="BE127" s="243">
        <f t="shared" si="17"/>
        <v>12874350.232660599</v>
      </c>
    </row>
    <row r="128" spans="1:57">
      <c r="A128">
        <v>1360</v>
      </c>
      <c r="B128" t="s">
        <v>248</v>
      </c>
      <c r="C128" t="s">
        <v>972</v>
      </c>
      <c r="D128" s="176">
        <v>110261459.652178</v>
      </c>
      <c r="E128">
        <v>0</v>
      </c>
      <c r="G128">
        <v>1360</v>
      </c>
      <c r="H128" t="s">
        <v>248</v>
      </c>
      <c r="I128" t="s">
        <v>972</v>
      </c>
      <c r="J128" s="176">
        <v>31890171.416659001</v>
      </c>
      <c r="K128">
        <v>0</v>
      </c>
      <c r="L128" s="342" t="str">
        <f t="shared" si="14"/>
        <v/>
      </c>
      <c r="M128">
        <v>1360</v>
      </c>
      <c r="N128" t="s">
        <v>248</v>
      </c>
      <c r="O128" t="s">
        <v>972</v>
      </c>
      <c r="P128" s="243">
        <f t="shared" si="15"/>
        <v>135773596.78550521</v>
      </c>
      <c r="S128">
        <v>1360</v>
      </c>
      <c r="T128" t="s">
        <v>248</v>
      </c>
      <c r="U128" t="s">
        <v>972</v>
      </c>
      <c r="V128" s="176">
        <v>14830332.486666</v>
      </c>
      <c r="W128" s="176">
        <v>53836214.474423997</v>
      </c>
      <c r="X128">
        <v>0</v>
      </c>
      <c r="Y128" s="176">
        <v>25396203.999999002</v>
      </c>
      <c r="Z128" s="176"/>
      <c r="AA128">
        <v>1360</v>
      </c>
      <c r="AB128" s="176" t="s">
        <v>248</v>
      </c>
      <c r="AC128" s="176" t="s">
        <v>972</v>
      </c>
      <c r="AD128" s="176">
        <v>14830332.486666</v>
      </c>
      <c r="AE128" s="176">
        <v>53836214.474423997</v>
      </c>
      <c r="AF128">
        <v>0</v>
      </c>
      <c r="AG128" s="176">
        <v>25396203.999999002</v>
      </c>
      <c r="AH128" s="342" t="str">
        <f t="shared" si="9"/>
        <v/>
      </c>
      <c r="AI128">
        <v>1360</v>
      </c>
      <c r="AJ128" t="s">
        <v>248</v>
      </c>
      <c r="AK128" t="s">
        <v>972</v>
      </c>
      <c r="AL128" s="245">
        <f t="shared" si="10"/>
        <v>26694598.4759988</v>
      </c>
      <c r="AM128" s="245">
        <f t="shared" si="11"/>
        <v>96905186.053963199</v>
      </c>
      <c r="AN128" s="245">
        <f t="shared" si="12"/>
        <v>0</v>
      </c>
      <c r="AO128" s="245">
        <f t="shared" si="13"/>
        <v>45713167.1999982</v>
      </c>
      <c r="AP128" s="176"/>
      <c r="AQ128" s="176"/>
      <c r="AR128">
        <v>1360</v>
      </c>
      <c r="AS128" t="s">
        <v>248</v>
      </c>
      <c r="AT128" t="s">
        <v>972</v>
      </c>
      <c r="AU128" s="176">
        <v>9444668.5933299996</v>
      </c>
      <c r="AW128">
        <v>1360</v>
      </c>
      <c r="AX128" t="s">
        <v>248</v>
      </c>
      <c r="AY128" t="s">
        <v>972</v>
      </c>
      <c r="AZ128" s="176">
        <v>19893469.121107999</v>
      </c>
      <c r="BA128" s="342" t="str">
        <f t="shared" si="16"/>
        <v/>
      </c>
      <c r="BB128">
        <v>1360</v>
      </c>
      <c r="BC128" t="s">
        <v>248</v>
      </c>
      <c r="BD128" t="s">
        <v>972</v>
      </c>
      <c r="BE128" s="243">
        <f t="shared" si="17"/>
        <v>25359443.890216399</v>
      </c>
    </row>
    <row r="129" spans="1:57">
      <c r="A129">
        <v>1360</v>
      </c>
      <c r="B129" t="s">
        <v>248</v>
      </c>
      <c r="C129" t="s">
        <v>1697</v>
      </c>
      <c r="D129" s="176">
        <v>32548444.898874</v>
      </c>
      <c r="E129">
        <v>0</v>
      </c>
      <c r="G129">
        <v>1360</v>
      </c>
      <c r="H129" t="s">
        <v>248</v>
      </c>
      <c r="I129" t="s">
        <v>1697</v>
      </c>
      <c r="J129" s="176">
        <v>4281644.059998</v>
      </c>
      <c r="K129">
        <v>0</v>
      </c>
      <c r="L129" s="342" t="str">
        <f t="shared" si="14"/>
        <v/>
      </c>
      <c r="M129">
        <v>1360</v>
      </c>
      <c r="N129" t="s">
        <v>248</v>
      </c>
      <c r="O129" t="s">
        <v>1697</v>
      </c>
      <c r="P129" s="243">
        <f t="shared" si="15"/>
        <v>35973760.146872401</v>
      </c>
      <c r="S129">
        <v>1360</v>
      </c>
      <c r="T129" t="s">
        <v>248</v>
      </c>
      <c r="U129" t="s">
        <v>1697</v>
      </c>
      <c r="V129" s="176">
        <v>13674180.5</v>
      </c>
      <c r="W129" s="176">
        <v>41404265.205536999</v>
      </c>
      <c r="X129" s="176">
        <v>0</v>
      </c>
      <c r="Y129" s="176">
        <v>1869609.2222209999</v>
      </c>
      <c r="Z129" s="176"/>
      <c r="AA129">
        <v>1360</v>
      </c>
      <c r="AB129" s="176" t="s">
        <v>248</v>
      </c>
      <c r="AC129" s="176" t="s">
        <v>1697</v>
      </c>
      <c r="AD129" s="176">
        <v>13674180.5</v>
      </c>
      <c r="AE129" s="176">
        <v>41404265.205536999</v>
      </c>
      <c r="AF129" s="176">
        <v>0</v>
      </c>
      <c r="AG129" s="176">
        <v>1869609.2222209999</v>
      </c>
      <c r="AH129" s="342" t="str">
        <f t="shared" si="9"/>
        <v/>
      </c>
      <c r="AI129">
        <v>1360</v>
      </c>
      <c r="AJ129" t="s">
        <v>248</v>
      </c>
      <c r="AK129" t="s">
        <v>1697</v>
      </c>
      <c r="AL129" s="245">
        <f t="shared" si="10"/>
        <v>24613524.899999999</v>
      </c>
      <c r="AM129" s="245">
        <f t="shared" si="11"/>
        <v>74527677.369966596</v>
      </c>
      <c r="AN129" s="245">
        <f t="shared" si="12"/>
        <v>0</v>
      </c>
      <c r="AO129" s="245">
        <f t="shared" si="13"/>
        <v>3365296.5999977998</v>
      </c>
      <c r="AP129" s="176"/>
      <c r="AQ129" s="176"/>
      <c r="AR129">
        <v>1360</v>
      </c>
      <c r="AS129" t="s">
        <v>248</v>
      </c>
      <c r="AT129" t="s">
        <v>1697</v>
      </c>
      <c r="AU129" s="176">
        <v>26601059.463328999</v>
      </c>
      <c r="AW129">
        <v>1360</v>
      </c>
      <c r="AX129" t="s">
        <v>248</v>
      </c>
      <c r="AY129" t="s">
        <v>1697</v>
      </c>
      <c r="AZ129" s="176">
        <v>6074924.4466650002</v>
      </c>
      <c r="BA129" s="342" t="str">
        <f t="shared" si="16"/>
        <v/>
      </c>
      <c r="BB129">
        <v>1360</v>
      </c>
      <c r="BC129" t="s">
        <v>248</v>
      </c>
      <c r="BD129" t="s">
        <v>1697</v>
      </c>
      <c r="BE129" s="243">
        <f t="shared" si="17"/>
        <v>31460999.020661</v>
      </c>
    </row>
    <row r="130" spans="1:57">
      <c r="A130">
        <v>1370</v>
      </c>
      <c r="B130" t="s">
        <v>249</v>
      </c>
      <c r="C130" t="s">
        <v>973</v>
      </c>
      <c r="D130" s="176">
        <v>524765601.90421301</v>
      </c>
      <c r="E130">
        <v>0</v>
      </c>
      <c r="G130">
        <v>1370</v>
      </c>
      <c r="H130" t="s">
        <v>249</v>
      </c>
      <c r="I130" t="s">
        <v>973</v>
      </c>
      <c r="J130" s="176">
        <v>260147592.61662501</v>
      </c>
      <c r="K130">
        <v>0</v>
      </c>
      <c r="L130" s="342" t="str">
        <f t="shared" si="14"/>
        <v/>
      </c>
      <c r="M130">
        <v>1370</v>
      </c>
      <c r="N130" t="s">
        <v>249</v>
      </c>
      <c r="O130" t="s">
        <v>973</v>
      </c>
      <c r="P130" s="243">
        <f t="shared" si="15"/>
        <v>732883675.99751306</v>
      </c>
      <c r="S130">
        <v>1370</v>
      </c>
      <c r="T130" t="s">
        <v>249</v>
      </c>
      <c r="U130" t="s">
        <v>973</v>
      </c>
      <c r="V130" s="176">
        <v>62105550.218886003</v>
      </c>
      <c r="W130" s="176">
        <v>443276126.936584</v>
      </c>
      <c r="X130" s="176">
        <v>10398533.333331</v>
      </c>
      <c r="Y130" s="176">
        <v>171543558.68333101</v>
      </c>
      <c r="Z130" s="176"/>
      <c r="AA130">
        <v>1370</v>
      </c>
      <c r="AB130" s="176" t="s">
        <v>249</v>
      </c>
      <c r="AC130" s="176" t="s">
        <v>973</v>
      </c>
      <c r="AD130" s="176">
        <v>62105550.218886003</v>
      </c>
      <c r="AE130" s="176">
        <v>443276126.936584</v>
      </c>
      <c r="AF130" s="176">
        <v>10398533.333331</v>
      </c>
      <c r="AG130" s="176">
        <v>171543558.68333101</v>
      </c>
      <c r="AH130" s="342" t="str">
        <f t="shared" si="9"/>
        <v/>
      </c>
      <c r="AI130">
        <v>1370</v>
      </c>
      <c r="AJ130" t="s">
        <v>249</v>
      </c>
      <c r="AK130" t="s">
        <v>973</v>
      </c>
      <c r="AL130" s="245">
        <f t="shared" si="10"/>
        <v>111789990.39399481</v>
      </c>
      <c r="AM130" s="245">
        <f t="shared" si="11"/>
        <v>797897028.48585129</v>
      </c>
      <c r="AN130" s="245">
        <f t="shared" si="12"/>
        <v>18717359.999995802</v>
      </c>
      <c r="AO130" s="245">
        <f t="shared" si="13"/>
        <v>308778405.62999582</v>
      </c>
      <c r="AP130" s="176"/>
      <c r="AQ130" s="176"/>
      <c r="AR130">
        <v>1370</v>
      </c>
      <c r="AS130" t="s">
        <v>249</v>
      </c>
      <c r="AT130" t="s">
        <v>973</v>
      </c>
      <c r="AU130" s="176">
        <v>69392345.028868005</v>
      </c>
      <c r="AW130">
        <v>1370</v>
      </c>
      <c r="AX130" t="s">
        <v>249</v>
      </c>
      <c r="AY130" t="s">
        <v>973</v>
      </c>
      <c r="AZ130" s="176">
        <v>76061741.847769007</v>
      </c>
      <c r="BA130" s="342" t="str">
        <f t="shared" si="16"/>
        <v/>
      </c>
      <c r="BB130">
        <v>1370</v>
      </c>
      <c r="BC130" t="s">
        <v>249</v>
      </c>
      <c r="BD130" t="s">
        <v>973</v>
      </c>
      <c r="BE130" s="243">
        <f t="shared" si="17"/>
        <v>130241738.50708321</v>
      </c>
    </row>
    <row r="131" spans="1:57">
      <c r="A131">
        <v>1430</v>
      </c>
      <c r="B131" t="s">
        <v>250</v>
      </c>
      <c r="C131" t="s">
        <v>1560</v>
      </c>
      <c r="D131" s="176">
        <v>172433613.39658999</v>
      </c>
      <c r="E131">
        <v>0</v>
      </c>
      <c r="G131">
        <v>1430</v>
      </c>
      <c r="H131" t="s">
        <v>250</v>
      </c>
      <c r="I131" t="s">
        <v>1560</v>
      </c>
      <c r="J131" s="176">
        <v>118418726.165536</v>
      </c>
      <c r="K131">
        <v>0</v>
      </c>
      <c r="L131" s="342" t="str">
        <f t="shared" si="14"/>
        <v/>
      </c>
      <c r="M131">
        <v>1430</v>
      </c>
      <c r="N131" t="s">
        <v>250</v>
      </c>
      <c r="O131" t="s">
        <v>1560</v>
      </c>
      <c r="P131" s="243">
        <f t="shared" si="15"/>
        <v>267168594.3290188</v>
      </c>
      <c r="S131">
        <v>1430</v>
      </c>
      <c r="T131" t="s">
        <v>250</v>
      </c>
      <c r="U131" t="s">
        <v>1560</v>
      </c>
      <c r="V131" s="176">
        <v>30867541.089997001</v>
      </c>
      <c r="W131" s="176">
        <v>179950922.952191</v>
      </c>
      <c r="X131" s="176">
        <v>1887822.3333330001</v>
      </c>
      <c r="Y131" s="176">
        <v>23360876.888886999</v>
      </c>
      <c r="Z131" s="176"/>
      <c r="AA131">
        <v>1430</v>
      </c>
      <c r="AB131" s="176" t="s">
        <v>250</v>
      </c>
      <c r="AC131" s="176" t="s">
        <v>1560</v>
      </c>
      <c r="AD131" s="176">
        <v>30867541.089997001</v>
      </c>
      <c r="AE131" s="176">
        <v>179950922.952191</v>
      </c>
      <c r="AF131" s="176">
        <v>1887822.3333330001</v>
      </c>
      <c r="AG131" s="176">
        <v>23360876.888886999</v>
      </c>
      <c r="AH131" s="342" t="str">
        <f t="shared" si="9"/>
        <v/>
      </c>
      <c r="AI131">
        <v>1430</v>
      </c>
      <c r="AJ131" t="s">
        <v>250</v>
      </c>
      <c r="AK131" t="s">
        <v>1560</v>
      </c>
      <c r="AL131" s="245">
        <f t="shared" si="10"/>
        <v>55561573.961994603</v>
      </c>
      <c r="AM131" s="245">
        <f t="shared" si="11"/>
        <v>323911661.3139438</v>
      </c>
      <c r="AN131" s="245">
        <f t="shared" si="12"/>
        <v>3398080.1999994004</v>
      </c>
      <c r="AO131" s="245">
        <f t="shared" si="13"/>
        <v>42049578.399996601</v>
      </c>
      <c r="AP131" s="176"/>
      <c r="AQ131" s="176"/>
      <c r="AR131">
        <v>1430</v>
      </c>
      <c r="AS131" t="s">
        <v>250</v>
      </c>
      <c r="AT131" t="s">
        <v>1560</v>
      </c>
      <c r="AU131" s="176">
        <v>54782446.854433</v>
      </c>
      <c r="AW131">
        <v>1430</v>
      </c>
      <c r="AX131" t="s">
        <v>250</v>
      </c>
      <c r="AY131" t="s">
        <v>1560</v>
      </c>
      <c r="AZ131" s="176">
        <v>116098616.359992</v>
      </c>
      <c r="BA131" s="342" t="str">
        <f t="shared" si="16"/>
        <v/>
      </c>
      <c r="BB131">
        <v>1430</v>
      </c>
      <c r="BC131" t="s">
        <v>250</v>
      </c>
      <c r="BD131" t="s">
        <v>1560</v>
      </c>
      <c r="BE131" s="243">
        <f t="shared" si="17"/>
        <v>147661339.94242662</v>
      </c>
    </row>
    <row r="132" spans="1:57">
      <c r="A132">
        <v>1430</v>
      </c>
      <c r="B132" t="s">
        <v>250</v>
      </c>
      <c r="C132" t="s">
        <v>1938</v>
      </c>
      <c r="D132" s="176">
        <v>225067149.91547099</v>
      </c>
      <c r="E132">
        <v>0</v>
      </c>
      <c r="G132">
        <v>1430</v>
      </c>
      <c r="H132" t="s">
        <v>250</v>
      </c>
      <c r="I132" t="s">
        <v>1938</v>
      </c>
      <c r="J132" s="176">
        <v>69770559.474429995</v>
      </c>
      <c r="K132">
        <v>0</v>
      </c>
      <c r="L132" s="342" t="str">
        <f t="shared" si="14"/>
        <v/>
      </c>
      <c r="M132">
        <v>1430</v>
      </c>
      <c r="N132" t="s">
        <v>250</v>
      </c>
      <c r="O132" t="s">
        <v>1938</v>
      </c>
      <c r="P132" s="243">
        <f t="shared" si="15"/>
        <v>280883597.49501497</v>
      </c>
      <c r="S132">
        <v>1430</v>
      </c>
      <c r="T132" t="s">
        <v>250</v>
      </c>
      <c r="U132" t="s">
        <v>1938</v>
      </c>
      <c r="V132" s="176">
        <v>30775188.02</v>
      </c>
      <c r="W132" s="176">
        <v>155507220.93217999</v>
      </c>
      <c r="X132">
        <v>100000</v>
      </c>
      <c r="Y132" s="176">
        <v>28625212.833331998</v>
      </c>
      <c r="Z132" s="176"/>
      <c r="AA132">
        <v>1430</v>
      </c>
      <c r="AB132" s="176" t="s">
        <v>250</v>
      </c>
      <c r="AC132" s="176" t="s">
        <v>1938</v>
      </c>
      <c r="AD132" s="176">
        <v>30775188.02</v>
      </c>
      <c r="AE132" s="176">
        <v>155507220.93217999</v>
      </c>
      <c r="AF132">
        <v>100000</v>
      </c>
      <c r="AG132" s="176">
        <v>28625212.833331998</v>
      </c>
      <c r="AH132" s="342" t="str">
        <f t="shared" ref="AH132:AH195" si="18">IF(AND(M132 = S132, O132 = U132), "", "ATT")</f>
        <v/>
      </c>
      <c r="AI132">
        <v>1430</v>
      </c>
      <c r="AJ132" t="s">
        <v>250</v>
      </c>
      <c r="AK132" t="s">
        <v>1938</v>
      </c>
      <c r="AL132" s="245">
        <f t="shared" ref="AL132:AL195" si="19">V132+(AD132*0.8)</f>
        <v>55395338.436000004</v>
      </c>
      <c r="AM132" s="245">
        <f t="shared" ref="AM132:AM195" si="20">W132+(AE132*0.8)</f>
        <v>279912997.67792398</v>
      </c>
      <c r="AN132" s="245">
        <f t="shared" ref="AN132:AN195" si="21">X132+(AF132*0.8)</f>
        <v>180000</v>
      </c>
      <c r="AO132" s="245">
        <f t="shared" ref="AO132:AO195" si="22">Y132+(AG132*0.8)</f>
        <v>51525383.099997595</v>
      </c>
      <c r="AP132" s="176"/>
      <c r="AQ132" s="176"/>
      <c r="AR132">
        <v>1430</v>
      </c>
      <c r="AS132" t="s">
        <v>250</v>
      </c>
      <c r="AT132" t="s">
        <v>1938</v>
      </c>
      <c r="AU132" s="176">
        <v>14837916.854432</v>
      </c>
      <c r="AW132">
        <v>1430</v>
      </c>
      <c r="AX132" t="s">
        <v>250</v>
      </c>
      <c r="AY132" t="s">
        <v>1938</v>
      </c>
      <c r="AZ132" s="176">
        <v>7436029.5144410003</v>
      </c>
      <c r="BA132" s="342" t="str">
        <f t="shared" si="16"/>
        <v/>
      </c>
      <c r="BB132">
        <v>1430</v>
      </c>
      <c r="BC132" t="s">
        <v>250</v>
      </c>
      <c r="BD132" t="s">
        <v>1938</v>
      </c>
      <c r="BE132" s="243">
        <f t="shared" si="17"/>
        <v>20786740.465984799</v>
      </c>
    </row>
    <row r="133" spans="1:57">
      <c r="A133">
        <v>1450</v>
      </c>
      <c r="B133" t="s">
        <v>251</v>
      </c>
      <c r="C133" t="s">
        <v>1006</v>
      </c>
      <c r="D133" s="176">
        <v>353205034.62997299</v>
      </c>
      <c r="E133">
        <v>0</v>
      </c>
      <c r="G133">
        <v>1450</v>
      </c>
      <c r="H133" t="s">
        <v>251</v>
      </c>
      <c r="I133" t="s">
        <v>1006</v>
      </c>
      <c r="J133" s="176">
        <v>143364283.354431</v>
      </c>
      <c r="K133">
        <v>0</v>
      </c>
      <c r="L133" s="342" t="str">
        <f t="shared" ref="L133:L196" si="23">IF(AND(A133 = G133, C133 = I133), "", "ATT")</f>
        <v/>
      </c>
      <c r="M133">
        <v>1450</v>
      </c>
      <c r="N133" t="s">
        <v>251</v>
      </c>
      <c r="O133" t="s">
        <v>1006</v>
      </c>
      <c r="P133" s="243">
        <f t="shared" ref="P133:P196" si="24">D133+(J133*0.8)</f>
        <v>467896461.31351781</v>
      </c>
      <c r="S133">
        <v>1450</v>
      </c>
      <c r="T133" t="s">
        <v>251</v>
      </c>
      <c r="U133" t="s">
        <v>1006</v>
      </c>
      <c r="V133" s="176">
        <v>42110029.143333003</v>
      </c>
      <c r="W133" s="176">
        <v>160493859.26999101</v>
      </c>
      <c r="X133">
        <v>0</v>
      </c>
      <c r="Y133" s="176">
        <v>27566726</v>
      </c>
      <c r="Z133" s="176"/>
      <c r="AA133">
        <v>1450</v>
      </c>
      <c r="AB133" s="176" t="s">
        <v>251</v>
      </c>
      <c r="AC133" s="176" t="s">
        <v>1006</v>
      </c>
      <c r="AD133" s="176">
        <v>42110029.143333003</v>
      </c>
      <c r="AE133" s="176">
        <v>160493859.26999101</v>
      </c>
      <c r="AF133">
        <v>0</v>
      </c>
      <c r="AG133" s="176">
        <v>27566726</v>
      </c>
      <c r="AH133" s="342" t="str">
        <f t="shared" si="18"/>
        <v/>
      </c>
      <c r="AI133">
        <v>1450</v>
      </c>
      <c r="AJ133" t="s">
        <v>251</v>
      </c>
      <c r="AK133" t="s">
        <v>1006</v>
      </c>
      <c r="AL133" s="245">
        <f t="shared" si="19"/>
        <v>75798052.457999408</v>
      </c>
      <c r="AM133" s="245">
        <f t="shared" si="20"/>
        <v>288888946.68598384</v>
      </c>
      <c r="AN133" s="245">
        <f t="shared" si="21"/>
        <v>0</v>
      </c>
      <c r="AO133" s="245">
        <f t="shared" si="22"/>
        <v>49620106.799999997</v>
      </c>
      <c r="AP133" s="176"/>
      <c r="AQ133" s="176"/>
      <c r="AR133">
        <v>1450</v>
      </c>
      <c r="AS133" t="s">
        <v>251</v>
      </c>
      <c r="AT133" t="s">
        <v>1006</v>
      </c>
      <c r="AU133" s="176">
        <v>214784382.261107</v>
      </c>
      <c r="AW133">
        <v>1450</v>
      </c>
      <c r="AX133" t="s">
        <v>251</v>
      </c>
      <c r="AY133" t="s">
        <v>1006</v>
      </c>
      <c r="AZ133" s="176">
        <v>35707239.994442001</v>
      </c>
      <c r="BA133" s="342" t="str">
        <f t="shared" ref="BA133:BA196" si="25">IF(AND(AR133 = AW133, AT133 = AY133), "", "ATT")</f>
        <v/>
      </c>
      <c r="BB133">
        <v>1450</v>
      </c>
      <c r="BC133" t="s">
        <v>251</v>
      </c>
      <c r="BD133" t="s">
        <v>1006</v>
      </c>
      <c r="BE133" s="243">
        <f t="shared" ref="BE133:BE196" si="26">AU133+(0.8*AZ133)</f>
        <v>243350174.25666061</v>
      </c>
    </row>
    <row r="134" spans="1:57">
      <c r="A134">
        <v>1450</v>
      </c>
      <c r="B134" t="s">
        <v>251</v>
      </c>
      <c r="C134" t="s">
        <v>1552</v>
      </c>
      <c r="D134" s="176">
        <v>142796836.88879001</v>
      </c>
      <c r="E134">
        <v>0</v>
      </c>
      <c r="G134">
        <v>1450</v>
      </c>
      <c r="H134" t="s">
        <v>251</v>
      </c>
      <c r="I134" t="s">
        <v>1552</v>
      </c>
      <c r="J134" s="176">
        <v>171890845.19775701</v>
      </c>
      <c r="K134">
        <v>0</v>
      </c>
      <c r="L134" s="342" t="str">
        <f t="shared" si="23"/>
        <v/>
      </c>
      <c r="M134">
        <v>1450</v>
      </c>
      <c r="N134" t="s">
        <v>251</v>
      </c>
      <c r="O134" t="s">
        <v>1552</v>
      </c>
      <c r="P134" s="243">
        <f t="shared" si="24"/>
        <v>280309513.04699564</v>
      </c>
      <c r="S134">
        <v>1450</v>
      </c>
      <c r="T134" t="s">
        <v>251</v>
      </c>
      <c r="U134" t="s">
        <v>1552</v>
      </c>
      <c r="V134" s="176">
        <v>98575220.076664001</v>
      </c>
      <c r="W134" s="176">
        <v>123975140.109962</v>
      </c>
      <c r="X134" s="176">
        <v>1000000</v>
      </c>
      <c r="Y134" s="176">
        <v>9327838.8888869993</v>
      </c>
      <c r="Z134" s="176"/>
      <c r="AA134">
        <v>1450</v>
      </c>
      <c r="AB134" s="176" t="s">
        <v>251</v>
      </c>
      <c r="AC134" s="176" t="s">
        <v>1552</v>
      </c>
      <c r="AD134" s="176">
        <v>98575220.076664001</v>
      </c>
      <c r="AE134" s="176">
        <v>123975140.109962</v>
      </c>
      <c r="AF134">
        <v>1000000</v>
      </c>
      <c r="AG134" s="176">
        <v>9327838.8888869993</v>
      </c>
      <c r="AH134" s="342" t="str">
        <f t="shared" si="18"/>
        <v/>
      </c>
      <c r="AI134">
        <v>1450</v>
      </c>
      <c r="AJ134" t="s">
        <v>251</v>
      </c>
      <c r="AK134" t="s">
        <v>1552</v>
      </c>
      <c r="AL134" s="245">
        <f t="shared" si="19"/>
        <v>177435396.13799518</v>
      </c>
      <c r="AM134" s="245">
        <f t="shared" si="20"/>
        <v>223155252.19793159</v>
      </c>
      <c r="AN134" s="245">
        <f t="shared" si="21"/>
        <v>1800000</v>
      </c>
      <c r="AO134" s="245">
        <f t="shared" si="22"/>
        <v>16790109.999996599</v>
      </c>
      <c r="AP134" s="176"/>
      <c r="AQ134" s="176"/>
      <c r="AR134">
        <v>1450</v>
      </c>
      <c r="AS134" t="s">
        <v>251</v>
      </c>
      <c r="AT134" t="s">
        <v>1552</v>
      </c>
      <c r="AU134" s="176">
        <v>14382248.423320999</v>
      </c>
      <c r="AW134">
        <v>1450</v>
      </c>
      <c r="AX134" t="s">
        <v>251</v>
      </c>
      <c r="AY134" t="s">
        <v>1552</v>
      </c>
      <c r="AZ134" s="176">
        <v>423393.66</v>
      </c>
      <c r="BA134" s="342" t="str">
        <f t="shared" si="25"/>
        <v/>
      </c>
      <c r="BB134">
        <v>1450</v>
      </c>
      <c r="BC134" t="s">
        <v>251</v>
      </c>
      <c r="BD134" t="s">
        <v>1552</v>
      </c>
      <c r="BE134" s="243">
        <f t="shared" si="26"/>
        <v>14720963.351320999</v>
      </c>
    </row>
    <row r="135" spans="1:57">
      <c r="A135">
        <v>1470</v>
      </c>
      <c r="B135" t="s">
        <v>252</v>
      </c>
      <c r="C135" t="s">
        <v>978</v>
      </c>
      <c r="D135" s="176">
        <v>161774942.62436599</v>
      </c>
      <c r="E135">
        <v>0</v>
      </c>
      <c r="G135">
        <v>1470</v>
      </c>
      <c r="H135" t="s">
        <v>252</v>
      </c>
      <c r="I135" t="s">
        <v>978</v>
      </c>
      <c r="J135" s="176">
        <v>152811397.582201</v>
      </c>
      <c r="K135">
        <v>0</v>
      </c>
      <c r="L135" s="342" t="str">
        <f t="shared" si="23"/>
        <v/>
      </c>
      <c r="M135">
        <v>1470</v>
      </c>
      <c r="N135" t="s">
        <v>252</v>
      </c>
      <c r="O135" t="s">
        <v>978</v>
      </c>
      <c r="P135" s="243">
        <f t="shared" si="24"/>
        <v>284024060.69012678</v>
      </c>
      <c r="S135">
        <v>1470</v>
      </c>
      <c r="T135" t="s">
        <v>252</v>
      </c>
      <c r="U135" t="s">
        <v>978</v>
      </c>
      <c r="V135" s="176">
        <v>46860400.219997004</v>
      </c>
      <c r="W135" s="176">
        <v>128757745.44219901</v>
      </c>
      <c r="X135" s="176">
        <v>0</v>
      </c>
      <c r="Y135" s="176">
        <v>9733934.4444440007</v>
      </c>
      <c r="Z135" s="176"/>
      <c r="AA135">
        <v>1470</v>
      </c>
      <c r="AB135" s="176" t="s">
        <v>252</v>
      </c>
      <c r="AC135" s="176" t="s">
        <v>978</v>
      </c>
      <c r="AD135" s="176">
        <v>46860400.219997004</v>
      </c>
      <c r="AE135" s="176">
        <v>128757745.44219901</v>
      </c>
      <c r="AF135" s="176">
        <v>0</v>
      </c>
      <c r="AG135" s="176">
        <v>9733934.4444440007</v>
      </c>
      <c r="AH135" s="342" t="str">
        <f t="shared" si="18"/>
        <v/>
      </c>
      <c r="AI135">
        <v>1470</v>
      </c>
      <c r="AJ135" t="s">
        <v>252</v>
      </c>
      <c r="AK135" t="s">
        <v>978</v>
      </c>
      <c r="AL135" s="245">
        <f t="shared" si="19"/>
        <v>84348720.395994604</v>
      </c>
      <c r="AM135" s="245">
        <f t="shared" si="20"/>
        <v>231763941.79595822</v>
      </c>
      <c r="AN135" s="245">
        <f t="shared" si="21"/>
        <v>0</v>
      </c>
      <c r="AO135" s="245">
        <f t="shared" si="22"/>
        <v>17521081.999999203</v>
      </c>
      <c r="AP135" s="176"/>
      <c r="AQ135" s="176"/>
      <c r="AR135">
        <v>1470</v>
      </c>
      <c r="AS135" t="s">
        <v>252</v>
      </c>
      <c r="AT135" t="s">
        <v>978</v>
      </c>
      <c r="AU135" s="176">
        <v>3384729.3744399999</v>
      </c>
      <c r="AW135">
        <v>1470</v>
      </c>
      <c r="AX135" t="s">
        <v>252</v>
      </c>
      <c r="AY135" t="s">
        <v>978</v>
      </c>
      <c r="AZ135" s="176">
        <v>3639627.0522210002</v>
      </c>
      <c r="BA135" s="342" t="str">
        <f t="shared" si="25"/>
        <v/>
      </c>
      <c r="BB135">
        <v>1470</v>
      </c>
      <c r="BC135" t="s">
        <v>252</v>
      </c>
      <c r="BD135" t="s">
        <v>978</v>
      </c>
      <c r="BE135" s="243">
        <f t="shared" si="26"/>
        <v>6296431.0162167996</v>
      </c>
    </row>
    <row r="136" spans="1:57">
      <c r="A136">
        <v>1470</v>
      </c>
      <c r="B136" t="s">
        <v>252</v>
      </c>
      <c r="C136" t="s">
        <v>977</v>
      </c>
      <c r="D136" s="176">
        <v>181811731.35771301</v>
      </c>
      <c r="E136">
        <v>0</v>
      </c>
      <c r="G136">
        <v>1470</v>
      </c>
      <c r="H136" t="s">
        <v>252</v>
      </c>
      <c r="I136" t="s">
        <v>977</v>
      </c>
      <c r="J136" s="176">
        <v>187542250.91109401</v>
      </c>
      <c r="K136">
        <v>0</v>
      </c>
      <c r="L136" s="342" t="str">
        <f t="shared" si="23"/>
        <v/>
      </c>
      <c r="M136">
        <v>1470</v>
      </c>
      <c r="N136" t="s">
        <v>252</v>
      </c>
      <c r="O136" t="s">
        <v>977</v>
      </c>
      <c r="P136" s="243">
        <f t="shared" si="24"/>
        <v>331845532.08658826</v>
      </c>
      <c r="S136">
        <v>1470</v>
      </c>
      <c r="T136" t="s">
        <v>252</v>
      </c>
      <c r="U136" t="s">
        <v>977</v>
      </c>
      <c r="V136" s="176">
        <v>85787200.874442995</v>
      </c>
      <c r="W136" s="176">
        <v>183748626.96776101</v>
      </c>
      <c r="X136" s="176">
        <v>500000</v>
      </c>
      <c r="Y136" s="176">
        <v>14121427.777775999</v>
      </c>
      <c r="Z136" s="176"/>
      <c r="AA136">
        <v>1470</v>
      </c>
      <c r="AB136" s="176" t="s">
        <v>252</v>
      </c>
      <c r="AC136" s="176" t="s">
        <v>977</v>
      </c>
      <c r="AD136" s="176">
        <v>85787200.874442995</v>
      </c>
      <c r="AE136" s="176">
        <v>183748626.96776101</v>
      </c>
      <c r="AF136" s="176">
        <v>500000</v>
      </c>
      <c r="AG136" s="176">
        <v>14121427.777775999</v>
      </c>
      <c r="AH136" s="342" t="str">
        <f t="shared" si="18"/>
        <v/>
      </c>
      <c r="AI136">
        <v>1470</v>
      </c>
      <c r="AJ136" t="s">
        <v>252</v>
      </c>
      <c r="AK136" t="s">
        <v>977</v>
      </c>
      <c r="AL136" s="245">
        <f t="shared" si="19"/>
        <v>154416961.57399738</v>
      </c>
      <c r="AM136" s="245">
        <f t="shared" si="20"/>
        <v>330747528.54196984</v>
      </c>
      <c r="AN136" s="245">
        <f t="shared" si="21"/>
        <v>900000</v>
      </c>
      <c r="AO136" s="245">
        <f t="shared" si="22"/>
        <v>25418569.9999968</v>
      </c>
      <c r="AP136" s="176"/>
      <c r="AQ136" s="176"/>
      <c r="AR136">
        <v>1470</v>
      </c>
      <c r="AS136" t="s">
        <v>252</v>
      </c>
      <c r="AT136" t="s">
        <v>977</v>
      </c>
      <c r="AU136" s="176">
        <v>33359890.265549999</v>
      </c>
      <c r="AW136">
        <v>1470</v>
      </c>
      <c r="AX136" t="s">
        <v>252</v>
      </c>
      <c r="AY136" t="s">
        <v>977</v>
      </c>
      <c r="AZ136" s="176">
        <v>53250426.496665999</v>
      </c>
      <c r="BA136" s="342" t="str">
        <f t="shared" si="25"/>
        <v/>
      </c>
      <c r="BB136">
        <v>1470</v>
      </c>
      <c r="BC136" t="s">
        <v>252</v>
      </c>
      <c r="BD136" t="s">
        <v>977</v>
      </c>
      <c r="BE136" s="243">
        <f t="shared" si="26"/>
        <v>75960231.462882802</v>
      </c>
    </row>
    <row r="137" spans="1:57">
      <c r="A137">
        <v>1470</v>
      </c>
      <c r="B137" t="s">
        <v>252</v>
      </c>
      <c r="C137" t="s">
        <v>1939</v>
      </c>
      <c r="D137" s="176">
        <v>51539820.537753001</v>
      </c>
      <c r="E137">
        <v>0</v>
      </c>
      <c r="G137">
        <v>1470</v>
      </c>
      <c r="H137" t="s">
        <v>252</v>
      </c>
      <c r="I137" t="s">
        <v>1939</v>
      </c>
      <c r="J137" s="176">
        <v>43197712.196654998</v>
      </c>
      <c r="K137">
        <v>0</v>
      </c>
      <c r="L137" s="342" t="str">
        <f t="shared" si="23"/>
        <v/>
      </c>
      <c r="M137">
        <v>1470</v>
      </c>
      <c r="N137" t="s">
        <v>252</v>
      </c>
      <c r="O137" t="s">
        <v>1939</v>
      </c>
      <c r="P137" s="243">
        <f t="shared" si="24"/>
        <v>86097990.295076996</v>
      </c>
      <c r="S137">
        <v>1470</v>
      </c>
      <c r="T137" t="s">
        <v>252</v>
      </c>
      <c r="U137" t="s">
        <v>1939</v>
      </c>
      <c r="V137" s="176">
        <v>17494724.167776</v>
      </c>
      <c r="W137" s="176">
        <v>70685680.345543995</v>
      </c>
      <c r="X137" s="176">
        <v>0</v>
      </c>
      <c r="Y137" s="176">
        <v>15906124.444444001</v>
      </c>
      <c r="Z137" s="176"/>
      <c r="AA137">
        <v>1470</v>
      </c>
      <c r="AB137" s="176" t="s">
        <v>252</v>
      </c>
      <c r="AC137" s="176" t="s">
        <v>1939</v>
      </c>
      <c r="AD137" s="176">
        <v>17494724.167776</v>
      </c>
      <c r="AE137" s="176">
        <v>70685680.345543995</v>
      </c>
      <c r="AF137" s="176">
        <v>0</v>
      </c>
      <c r="AG137" s="176">
        <v>15906124.444444001</v>
      </c>
      <c r="AH137" s="342" t="str">
        <f t="shared" si="18"/>
        <v/>
      </c>
      <c r="AI137">
        <v>1470</v>
      </c>
      <c r="AJ137" t="s">
        <v>252</v>
      </c>
      <c r="AK137" t="s">
        <v>1939</v>
      </c>
      <c r="AL137" s="245">
        <f t="shared" si="19"/>
        <v>31490503.5019968</v>
      </c>
      <c r="AM137" s="245">
        <f t="shared" si="20"/>
        <v>127234224.62197919</v>
      </c>
      <c r="AN137" s="245">
        <f t="shared" si="21"/>
        <v>0</v>
      </c>
      <c r="AO137" s="245">
        <f t="shared" si="22"/>
        <v>28631023.999999203</v>
      </c>
      <c r="AP137" s="176"/>
      <c r="AQ137" s="176"/>
      <c r="AR137">
        <v>1470</v>
      </c>
      <c r="AS137" t="s">
        <v>252</v>
      </c>
      <c r="AT137" t="s">
        <v>1939</v>
      </c>
      <c r="AU137" s="176">
        <v>29169746.489997</v>
      </c>
      <c r="AW137">
        <v>1470</v>
      </c>
      <c r="AX137" t="s">
        <v>252</v>
      </c>
      <c r="AY137" t="s">
        <v>1939</v>
      </c>
      <c r="AZ137">
        <v>658252.338888</v>
      </c>
      <c r="BA137" s="342" t="str">
        <f t="shared" si="25"/>
        <v/>
      </c>
      <c r="BB137">
        <v>1470</v>
      </c>
      <c r="BC137" t="s">
        <v>252</v>
      </c>
      <c r="BD137" t="s">
        <v>1939</v>
      </c>
      <c r="BE137" s="243">
        <f t="shared" si="26"/>
        <v>29696348.361107398</v>
      </c>
    </row>
    <row r="138" spans="1:57">
      <c r="A138">
        <v>1470</v>
      </c>
      <c r="B138" t="s">
        <v>252</v>
      </c>
      <c r="C138" t="s">
        <v>976</v>
      </c>
      <c r="D138" s="176">
        <v>139330015.85327801</v>
      </c>
      <c r="E138">
        <v>0</v>
      </c>
      <c r="G138">
        <v>1470</v>
      </c>
      <c r="H138" t="s">
        <v>252</v>
      </c>
      <c r="I138" t="s">
        <v>976</v>
      </c>
      <c r="J138" s="176">
        <v>284482661.47997302</v>
      </c>
      <c r="K138">
        <v>0</v>
      </c>
      <c r="L138" s="342" t="str">
        <f t="shared" si="23"/>
        <v/>
      </c>
      <c r="M138">
        <v>1470</v>
      </c>
      <c r="N138" t="s">
        <v>252</v>
      </c>
      <c r="O138" t="s">
        <v>976</v>
      </c>
      <c r="P138" s="243">
        <f t="shared" si="24"/>
        <v>366916145.03725648</v>
      </c>
      <c r="S138">
        <v>1470</v>
      </c>
      <c r="T138" t="s">
        <v>252</v>
      </c>
      <c r="U138" t="s">
        <v>976</v>
      </c>
      <c r="V138" s="176">
        <v>40917176.658886999</v>
      </c>
      <c r="W138" s="176">
        <v>141426326.787747</v>
      </c>
      <c r="X138" s="176">
        <v>0</v>
      </c>
      <c r="Y138" s="176">
        <v>11801316.666665001</v>
      </c>
      <c r="Z138" s="176"/>
      <c r="AA138">
        <v>1470</v>
      </c>
      <c r="AB138" s="176" t="s">
        <v>252</v>
      </c>
      <c r="AC138" s="176" t="s">
        <v>976</v>
      </c>
      <c r="AD138" s="176">
        <v>40917176.658886999</v>
      </c>
      <c r="AE138" s="176">
        <v>141426326.787747</v>
      </c>
      <c r="AF138" s="176">
        <v>0</v>
      </c>
      <c r="AG138" s="176">
        <v>11801316.666665001</v>
      </c>
      <c r="AH138" s="342" t="str">
        <f t="shared" si="18"/>
        <v/>
      </c>
      <c r="AI138">
        <v>1470</v>
      </c>
      <c r="AJ138" t="s">
        <v>252</v>
      </c>
      <c r="AK138" t="s">
        <v>976</v>
      </c>
      <c r="AL138" s="245">
        <f t="shared" si="19"/>
        <v>73650917.985996604</v>
      </c>
      <c r="AM138" s="245">
        <f t="shared" si="20"/>
        <v>254567388.21794459</v>
      </c>
      <c r="AN138" s="245">
        <f t="shared" si="21"/>
        <v>0</v>
      </c>
      <c r="AO138" s="245">
        <f t="shared" si="22"/>
        <v>21242369.999997001</v>
      </c>
      <c r="AP138" s="176"/>
      <c r="AQ138" s="176"/>
      <c r="AR138">
        <v>1470</v>
      </c>
      <c r="AS138" t="s">
        <v>252</v>
      </c>
      <c r="AT138" t="s">
        <v>976</v>
      </c>
      <c r="AU138" s="176">
        <v>9299623.8499979991</v>
      </c>
      <c r="AW138">
        <v>1470</v>
      </c>
      <c r="AX138" t="s">
        <v>252</v>
      </c>
      <c r="AY138" t="s">
        <v>976</v>
      </c>
      <c r="AZ138" s="176">
        <v>15576758.283329999</v>
      </c>
      <c r="BA138" s="342" t="str">
        <f t="shared" si="25"/>
        <v/>
      </c>
      <c r="BB138">
        <v>1470</v>
      </c>
      <c r="BC138" t="s">
        <v>252</v>
      </c>
      <c r="BD138" t="s">
        <v>976</v>
      </c>
      <c r="BE138" s="243">
        <f t="shared" si="26"/>
        <v>21761030.476661999</v>
      </c>
    </row>
    <row r="139" spans="1:57">
      <c r="A139">
        <v>1480</v>
      </c>
      <c r="B139" t="s">
        <v>253</v>
      </c>
      <c r="C139" t="s">
        <v>938</v>
      </c>
      <c r="D139" s="176">
        <v>137563539.13441199</v>
      </c>
      <c r="E139">
        <v>0</v>
      </c>
      <c r="G139">
        <v>1480</v>
      </c>
      <c r="H139" t="s">
        <v>253</v>
      </c>
      <c r="I139" t="s">
        <v>938</v>
      </c>
      <c r="J139" s="176">
        <v>95617445.575538993</v>
      </c>
      <c r="K139">
        <v>0</v>
      </c>
      <c r="L139" s="342" t="str">
        <f t="shared" si="23"/>
        <v/>
      </c>
      <c r="M139">
        <v>1480</v>
      </c>
      <c r="N139" t="s">
        <v>253</v>
      </c>
      <c r="O139" t="s">
        <v>938</v>
      </c>
      <c r="P139" s="243">
        <f t="shared" si="24"/>
        <v>214057495.59484321</v>
      </c>
      <c r="S139">
        <v>1480</v>
      </c>
      <c r="T139" t="s">
        <v>253</v>
      </c>
      <c r="U139" t="s">
        <v>938</v>
      </c>
      <c r="V139" s="176">
        <v>28962091.045554999</v>
      </c>
      <c r="W139" s="176">
        <v>112602708.089994</v>
      </c>
      <c r="X139" s="176">
        <v>0</v>
      </c>
      <c r="Y139" s="176">
        <v>19902631.719997998</v>
      </c>
      <c r="Z139" s="176"/>
      <c r="AA139">
        <v>1480</v>
      </c>
      <c r="AB139" s="176" t="s">
        <v>253</v>
      </c>
      <c r="AC139" s="176" t="s">
        <v>938</v>
      </c>
      <c r="AD139" s="176">
        <v>28962091.045554999</v>
      </c>
      <c r="AE139" s="176">
        <v>112602708.089994</v>
      </c>
      <c r="AF139" s="176">
        <v>0</v>
      </c>
      <c r="AG139" s="176">
        <v>19902631.719997998</v>
      </c>
      <c r="AH139" s="342" t="str">
        <f t="shared" si="18"/>
        <v/>
      </c>
      <c r="AI139">
        <v>1480</v>
      </c>
      <c r="AJ139" t="s">
        <v>253</v>
      </c>
      <c r="AK139" t="s">
        <v>938</v>
      </c>
      <c r="AL139" s="245">
        <f t="shared" si="19"/>
        <v>52131763.881999001</v>
      </c>
      <c r="AM139" s="245">
        <f t="shared" si="20"/>
        <v>202684874.56198919</v>
      </c>
      <c r="AN139" s="245">
        <f t="shared" si="21"/>
        <v>0</v>
      </c>
      <c r="AO139" s="245">
        <f t="shared" si="22"/>
        <v>35824737.095996395</v>
      </c>
      <c r="AP139" s="176"/>
      <c r="AQ139" s="176"/>
      <c r="AR139">
        <v>1480</v>
      </c>
      <c r="AS139" t="s">
        <v>253</v>
      </c>
      <c r="AT139" t="s">
        <v>938</v>
      </c>
      <c r="AU139" s="176">
        <v>17537405.64666</v>
      </c>
      <c r="AW139">
        <v>1480</v>
      </c>
      <c r="AX139" t="s">
        <v>253</v>
      </c>
      <c r="AY139" t="s">
        <v>938</v>
      </c>
      <c r="AZ139" s="176">
        <v>21126249.648882002</v>
      </c>
      <c r="BA139" s="342" t="str">
        <f t="shared" si="25"/>
        <v/>
      </c>
      <c r="BB139">
        <v>1480</v>
      </c>
      <c r="BC139" t="s">
        <v>253</v>
      </c>
      <c r="BD139" t="s">
        <v>938</v>
      </c>
      <c r="BE139" s="243">
        <f t="shared" si="26"/>
        <v>34438405.365765601</v>
      </c>
    </row>
    <row r="140" spans="1:57">
      <c r="A140">
        <v>1480</v>
      </c>
      <c r="B140" t="s">
        <v>253</v>
      </c>
      <c r="C140" t="s">
        <v>1698</v>
      </c>
      <c r="D140" s="176">
        <v>116801610.91771001</v>
      </c>
      <c r="E140">
        <v>0</v>
      </c>
      <c r="G140">
        <v>1480</v>
      </c>
      <c r="H140" t="s">
        <v>253</v>
      </c>
      <c r="I140" t="s">
        <v>1698</v>
      </c>
      <c r="J140" s="176">
        <v>42803070.722212002</v>
      </c>
      <c r="K140">
        <v>0</v>
      </c>
      <c r="L140" s="342" t="str">
        <f t="shared" si="23"/>
        <v/>
      </c>
      <c r="M140">
        <v>1480</v>
      </c>
      <c r="N140" t="s">
        <v>253</v>
      </c>
      <c r="O140" t="s">
        <v>1698</v>
      </c>
      <c r="P140" s="243">
        <f t="shared" si="24"/>
        <v>151044067.49547961</v>
      </c>
      <c r="S140">
        <v>1480</v>
      </c>
      <c r="T140" t="s">
        <v>253</v>
      </c>
      <c r="U140" t="s">
        <v>1698</v>
      </c>
      <c r="V140" s="176">
        <v>53879667.234439999</v>
      </c>
      <c r="W140" s="176">
        <v>205215293.08886701</v>
      </c>
      <c r="X140" s="176">
        <v>0</v>
      </c>
      <c r="Y140" s="176">
        <v>15078233.688888</v>
      </c>
      <c r="Z140" s="176"/>
      <c r="AA140">
        <v>1480</v>
      </c>
      <c r="AB140" s="176" t="s">
        <v>253</v>
      </c>
      <c r="AC140" s="176" t="s">
        <v>1698</v>
      </c>
      <c r="AD140" s="176">
        <v>53879667.234439999</v>
      </c>
      <c r="AE140" s="176">
        <v>205215293.08886701</v>
      </c>
      <c r="AF140" s="176">
        <v>0</v>
      </c>
      <c r="AG140" s="176">
        <v>15078233.688888</v>
      </c>
      <c r="AH140" s="342" t="str">
        <f t="shared" si="18"/>
        <v/>
      </c>
      <c r="AI140">
        <v>1480</v>
      </c>
      <c r="AJ140" t="s">
        <v>253</v>
      </c>
      <c r="AK140" t="s">
        <v>1698</v>
      </c>
      <c r="AL140" s="245">
        <f t="shared" si="19"/>
        <v>96983401.021991998</v>
      </c>
      <c r="AM140" s="245">
        <f t="shared" si="20"/>
        <v>369387527.5599606</v>
      </c>
      <c r="AN140" s="245">
        <f t="shared" si="21"/>
        <v>0</v>
      </c>
      <c r="AO140" s="245">
        <f t="shared" si="22"/>
        <v>27140820.639998399</v>
      </c>
      <c r="AP140" s="176"/>
      <c r="AQ140" s="176"/>
      <c r="AR140">
        <v>1480</v>
      </c>
      <c r="AS140" t="s">
        <v>253</v>
      </c>
      <c r="AT140" t="s">
        <v>1698</v>
      </c>
      <c r="AU140" s="176">
        <v>18294476.925546002</v>
      </c>
      <c r="AW140">
        <v>1480</v>
      </c>
      <c r="AX140" t="s">
        <v>253</v>
      </c>
      <c r="AY140" t="s">
        <v>1698</v>
      </c>
      <c r="AZ140" s="176">
        <v>2746328.2066649999</v>
      </c>
      <c r="BA140" s="342" t="str">
        <f t="shared" si="25"/>
        <v/>
      </c>
      <c r="BB140">
        <v>1480</v>
      </c>
      <c r="BC140" t="s">
        <v>253</v>
      </c>
      <c r="BD140" t="s">
        <v>1698</v>
      </c>
      <c r="BE140" s="243">
        <f t="shared" si="26"/>
        <v>20491539.490878001</v>
      </c>
    </row>
    <row r="141" spans="1:57">
      <c r="A141">
        <v>1480</v>
      </c>
      <c r="B141" t="s">
        <v>253</v>
      </c>
      <c r="C141" t="s">
        <v>979</v>
      </c>
      <c r="D141" s="176">
        <v>147318355.97102201</v>
      </c>
      <c r="E141">
        <v>0</v>
      </c>
      <c r="G141">
        <v>1480</v>
      </c>
      <c r="H141" t="s">
        <v>253</v>
      </c>
      <c r="I141" t="s">
        <v>979</v>
      </c>
      <c r="J141" s="176">
        <v>96633083.713315994</v>
      </c>
      <c r="K141">
        <v>0</v>
      </c>
      <c r="L141" s="342" t="str">
        <f t="shared" si="23"/>
        <v/>
      </c>
      <c r="M141">
        <v>1480</v>
      </c>
      <c r="N141" t="s">
        <v>253</v>
      </c>
      <c r="O141" t="s">
        <v>979</v>
      </c>
      <c r="P141" s="243">
        <f t="shared" si="24"/>
        <v>224624822.94167483</v>
      </c>
      <c r="S141">
        <v>1480</v>
      </c>
      <c r="T141" t="s">
        <v>253</v>
      </c>
      <c r="U141" t="s">
        <v>979</v>
      </c>
      <c r="V141" s="176">
        <v>42183359.049999997</v>
      </c>
      <c r="W141" s="176">
        <v>113396739.087762</v>
      </c>
      <c r="X141">
        <v>0</v>
      </c>
      <c r="Y141" s="176">
        <v>8091410</v>
      </c>
      <c r="Z141" s="176"/>
      <c r="AA141">
        <v>1480</v>
      </c>
      <c r="AB141" s="176" t="s">
        <v>253</v>
      </c>
      <c r="AC141" s="176" t="s">
        <v>979</v>
      </c>
      <c r="AD141" s="176">
        <v>42183359.049999997</v>
      </c>
      <c r="AE141" s="176">
        <v>113396739.087762</v>
      </c>
      <c r="AF141">
        <v>0</v>
      </c>
      <c r="AG141" s="176">
        <v>8091410</v>
      </c>
      <c r="AH141" s="342" t="str">
        <f t="shared" si="18"/>
        <v/>
      </c>
      <c r="AI141">
        <v>1480</v>
      </c>
      <c r="AJ141" t="s">
        <v>253</v>
      </c>
      <c r="AK141" t="s">
        <v>979</v>
      </c>
      <c r="AL141" s="245">
        <f t="shared" si="19"/>
        <v>75930046.289999992</v>
      </c>
      <c r="AM141" s="245">
        <f t="shared" si="20"/>
        <v>204114130.35797161</v>
      </c>
      <c r="AN141" s="245">
        <f t="shared" si="21"/>
        <v>0</v>
      </c>
      <c r="AO141" s="245">
        <f t="shared" si="22"/>
        <v>14564538</v>
      </c>
      <c r="AP141" s="176"/>
      <c r="AQ141" s="176"/>
      <c r="AR141">
        <v>1480</v>
      </c>
      <c r="AS141" t="s">
        <v>253</v>
      </c>
      <c r="AT141" t="s">
        <v>979</v>
      </c>
      <c r="AU141" s="176">
        <v>22861749.337770998</v>
      </c>
      <c r="AW141">
        <v>1480</v>
      </c>
      <c r="AX141" t="s">
        <v>253</v>
      </c>
      <c r="AY141" t="s">
        <v>979</v>
      </c>
      <c r="AZ141" s="176">
        <v>21002963.934443001</v>
      </c>
      <c r="BA141" s="342" t="str">
        <f t="shared" si="25"/>
        <v/>
      </c>
      <c r="BB141">
        <v>1480</v>
      </c>
      <c r="BC141" t="s">
        <v>253</v>
      </c>
      <c r="BD141" t="s">
        <v>979</v>
      </c>
      <c r="BE141" s="243">
        <f t="shared" si="26"/>
        <v>39664120.485325396</v>
      </c>
    </row>
    <row r="142" spans="1:57">
      <c r="A142">
        <v>1490</v>
      </c>
      <c r="B142" t="s">
        <v>254</v>
      </c>
      <c r="C142" t="s">
        <v>981</v>
      </c>
      <c r="D142" s="176">
        <v>299604719.19659603</v>
      </c>
      <c r="E142">
        <v>0</v>
      </c>
      <c r="G142">
        <v>1490</v>
      </c>
      <c r="H142" t="s">
        <v>254</v>
      </c>
      <c r="I142" t="s">
        <v>981</v>
      </c>
      <c r="J142" s="176">
        <v>216243319.28997999</v>
      </c>
      <c r="K142">
        <v>0</v>
      </c>
      <c r="L142" s="342" t="str">
        <f t="shared" si="23"/>
        <v/>
      </c>
      <c r="M142">
        <v>1490</v>
      </c>
      <c r="N142" t="s">
        <v>254</v>
      </c>
      <c r="O142" t="s">
        <v>981</v>
      </c>
      <c r="P142" s="243">
        <f t="shared" si="24"/>
        <v>472599374.62858003</v>
      </c>
      <c r="S142">
        <v>1490</v>
      </c>
      <c r="T142" t="s">
        <v>254</v>
      </c>
      <c r="U142" t="s">
        <v>981</v>
      </c>
      <c r="V142" s="176">
        <v>34471841.049998999</v>
      </c>
      <c r="W142" s="176">
        <v>147171212.071098</v>
      </c>
      <c r="X142" s="176">
        <v>3000000</v>
      </c>
      <c r="Y142" s="176">
        <v>9108453.3333330005</v>
      </c>
      <c r="Z142" s="176"/>
      <c r="AA142">
        <v>1490</v>
      </c>
      <c r="AB142" s="176" t="s">
        <v>254</v>
      </c>
      <c r="AC142" s="176" t="s">
        <v>981</v>
      </c>
      <c r="AD142" s="176">
        <v>34471841.049998999</v>
      </c>
      <c r="AE142" s="176">
        <v>147171212.071098</v>
      </c>
      <c r="AF142" s="176">
        <v>3000000</v>
      </c>
      <c r="AG142" s="176">
        <v>9108453.3333330005</v>
      </c>
      <c r="AH142" s="342" t="str">
        <f t="shared" si="18"/>
        <v/>
      </c>
      <c r="AI142">
        <v>1490</v>
      </c>
      <c r="AJ142" t="s">
        <v>254</v>
      </c>
      <c r="AK142" t="s">
        <v>981</v>
      </c>
      <c r="AL142" s="245">
        <f t="shared" si="19"/>
        <v>62049313.889998198</v>
      </c>
      <c r="AM142" s="245">
        <f t="shared" si="20"/>
        <v>264908181.72797641</v>
      </c>
      <c r="AN142" s="245">
        <f t="shared" si="21"/>
        <v>5400000</v>
      </c>
      <c r="AO142" s="245">
        <f t="shared" si="22"/>
        <v>16395215.9999994</v>
      </c>
      <c r="AP142" s="176"/>
      <c r="AQ142" s="176"/>
      <c r="AR142">
        <v>1490</v>
      </c>
      <c r="AS142" t="s">
        <v>254</v>
      </c>
      <c r="AT142" t="s">
        <v>981</v>
      </c>
      <c r="AU142" s="176">
        <v>7114295.9688790003</v>
      </c>
      <c r="AW142">
        <v>1490</v>
      </c>
      <c r="AX142" t="s">
        <v>254</v>
      </c>
      <c r="AY142" t="s">
        <v>981</v>
      </c>
      <c r="AZ142" s="176">
        <v>8417422.5233299993</v>
      </c>
      <c r="BA142" s="342" t="str">
        <f t="shared" si="25"/>
        <v/>
      </c>
      <c r="BB142">
        <v>1490</v>
      </c>
      <c r="BC142" t="s">
        <v>254</v>
      </c>
      <c r="BD142" t="s">
        <v>981</v>
      </c>
      <c r="BE142" s="243">
        <f t="shared" si="26"/>
        <v>13848233.987543</v>
      </c>
    </row>
    <row r="143" spans="1:57">
      <c r="A143">
        <v>1490</v>
      </c>
      <c r="B143" t="s">
        <v>254</v>
      </c>
      <c r="C143" t="s">
        <v>944</v>
      </c>
      <c r="D143" s="176">
        <v>70570941.312200993</v>
      </c>
      <c r="E143">
        <v>0</v>
      </c>
      <c r="G143">
        <v>1490</v>
      </c>
      <c r="H143" t="s">
        <v>254</v>
      </c>
      <c r="I143" t="s">
        <v>944</v>
      </c>
      <c r="J143" s="176">
        <v>78014941.868880004</v>
      </c>
      <c r="K143">
        <v>0</v>
      </c>
      <c r="L143" s="342" t="str">
        <f t="shared" si="23"/>
        <v/>
      </c>
      <c r="M143">
        <v>1490</v>
      </c>
      <c r="N143" t="s">
        <v>254</v>
      </c>
      <c r="O143" t="s">
        <v>944</v>
      </c>
      <c r="P143" s="243">
        <f t="shared" si="24"/>
        <v>132982894.80730501</v>
      </c>
      <c r="S143">
        <v>1490</v>
      </c>
      <c r="T143" t="s">
        <v>254</v>
      </c>
      <c r="U143" t="s">
        <v>944</v>
      </c>
      <c r="V143" s="176">
        <v>18109489.543331999</v>
      </c>
      <c r="W143" s="176">
        <v>38451820.609994002</v>
      </c>
      <c r="X143" s="176">
        <v>0</v>
      </c>
      <c r="Y143" s="176">
        <v>1111111.1111109999</v>
      </c>
      <c r="Z143" s="176"/>
      <c r="AA143">
        <v>1490</v>
      </c>
      <c r="AB143" s="176" t="s">
        <v>254</v>
      </c>
      <c r="AC143" s="176" t="s">
        <v>944</v>
      </c>
      <c r="AD143" s="176">
        <v>18109489.543331999</v>
      </c>
      <c r="AE143" s="176">
        <v>38451820.609994002</v>
      </c>
      <c r="AF143" s="176">
        <v>0</v>
      </c>
      <c r="AG143" s="176">
        <v>1111111.1111109999</v>
      </c>
      <c r="AH143" s="342" t="str">
        <f t="shared" si="18"/>
        <v/>
      </c>
      <c r="AI143">
        <v>1490</v>
      </c>
      <c r="AJ143" t="s">
        <v>254</v>
      </c>
      <c r="AK143" t="s">
        <v>944</v>
      </c>
      <c r="AL143" s="245">
        <f t="shared" si="19"/>
        <v>32597081.1779976</v>
      </c>
      <c r="AM143" s="245">
        <f t="shared" si="20"/>
        <v>69213277.097989202</v>
      </c>
      <c r="AN143" s="245">
        <f t="shared" si="21"/>
        <v>0</v>
      </c>
      <c r="AO143" s="245">
        <f t="shared" si="22"/>
        <v>1999999.9999998</v>
      </c>
      <c r="AP143" s="176"/>
      <c r="AQ143" s="176"/>
      <c r="AR143">
        <v>1490</v>
      </c>
      <c r="AS143" t="s">
        <v>254</v>
      </c>
      <c r="AT143" t="s">
        <v>944</v>
      </c>
      <c r="AU143" s="176">
        <v>7430675.5466630002</v>
      </c>
      <c r="AW143">
        <v>1490</v>
      </c>
      <c r="AX143" t="s">
        <v>254</v>
      </c>
      <c r="AY143" t="s">
        <v>944</v>
      </c>
      <c r="AZ143" s="176">
        <v>1014335</v>
      </c>
      <c r="BA143" s="342" t="str">
        <f t="shared" si="25"/>
        <v/>
      </c>
      <c r="BB143">
        <v>1490</v>
      </c>
      <c r="BC143" t="s">
        <v>254</v>
      </c>
      <c r="BD143" t="s">
        <v>944</v>
      </c>
      <c r="BE143" s="243">
        <f t="shared" si="26"/>
        <v>8242143.5466630002</v>
      </c>
    </row>
    <row r="144" spans="1:57">
      <c r="A144">
        <v>1490</v>
      </c>
      <c r="B144" t="s">
        <v>254</v>
      </c>
      <c r="C144" t="s">
        <v>982</v>
      </c>
      <c r="D144" s="176">
        <v>155078635.46656701</v>
      </c>
      <c r="E144">
        <v>0</v>
      </c>
      <c r="G144">
        <v>1490</v>
      </c>
      <c r="H144" t="s">
        <v>254</v>
      </c>
      <c r="I144" t="s">
        <v>982</v>
      </c>
      <c r="J144" s="176">
        <v>88148116.465541005</v>
      </c>
      <c r="K144">
        <v>0</v>
      </c>
      <c r="L144" s="342" t="str">
        <f t="shared" si="23"/>
        <v/>
      </c>
      <c r="M144">
        <v>1490</v>
      </c>
      <c r="N144" t="s">
        <v>254</v>
      </c>
      <c r="O144" t="s">
        <v>982</v>
      </c>
      <c r="P144" s="243">
        <f t="shared" si="24"/>
        <v>225597128.63899982</v>
      </c>
      <c r="S144">
        <v>1490</v>
      </c>
      <c r="T144" t="s">
        <v>254</v>
      </c>
      <c r="U144" t="s">
        <v>982</v>
      </c>
      <c r="V144" s="176">
        <v>55842531.729998998</v>
      </c>
      <c r="W144" s="176">
        <v>128275434.98996399</v>
      </c>
      <c r="X144" s="176">
        <v>0</v>
      </c>
      <c r="Y144" s="176">
        <v>5966147.555555</v>
      </c>
      <c r="Z144" s="176"/>
      <c r="AA144">
        <v>1490</v>
      </c>
      <c r="AB144" s="176" t="s">
        <v>254</v>
      </c>
      <c r="AC144" s="176" t="s">
        <v>982</v>
      </c>
      <c r="AD144" s="176">
        <v>55842531.729998998</v>
      </c>
      <c r="AE144" s="176">
        <v>128275434.98996399</v>
      </c>
      <c r="AF144">
        <v>0</v>
      </c>
      <c r="AG144" s="176">
        <v>5966147.555555</v>
      </c>
      <c r="AH144" s="342" t="str">
        <f t="shared" si="18"/>
        <v/>
      </c>
      <c r="AI144">
        <v>1490</v>
      </c>
      <c r="AJ144" t="s">
        <v>254</v>
      </c>
      <c r="AK144" t="s">
        <v>982</v>
      </c>
      <c r="AL144" s="245">
        <f t="shared" si="19"/>
        <v>100516557.1139982</v>
      </c>
      <c r="AM144" s="245">
        <f t="shared" si="20"/>
        <v>230895782.9819352</v>
      </c>
      <c r="AN144" s="245">
        <f t="shared" si="21"/>
        <v>0</v>
      </c>
      <c r="AO144" s="245">
        <f t="shared" si="22"/>
        <v>10739065.599998999</v>
      </c>
      <c r="AP144" s="176"/>
      <c r="AQ144" s="176"/>
      <c r="AR144">
        <v>1490</v>
      </c>
      <c r="AS144" t="s">
        <v>254</v>
      </c>
      <c r="AT144" t="s">
        <v>982</v>
      </c>
      <c r="AU144" s="176">
        <v>9035218.1922139991</v>
      </c>
      <c r="AW144">
        <v>1490</v>
      </c>
      <c r="AX144" t="s">
        <v>254</v>
      </c>
      <c r="AY144" t="s">
        <v>982</v>
      </c>
      <c r="AZ144" s="176">
        <v>42296430.688887</v>
      </c>
      <c r="BA144" s="342" t="str">
        <f t="shared" si="25"/>
        <v/>
      </c>
      <c r="BB144">
        <v>1490</v>
      </c>
      <c r="BC144" t="s">
        <v>254</v>
      </c>
      <c r="BD144" t="s">
        <v>982</v>
      </c>
      <c r="BE144" s="243">
        <f t="shared" si="26"/>
        <v>42872362.743323602</v>
      </c>
    </row>
    <row r="145" spans="1:57">
      <c r="A145">
        <v>1490</v>
      </c>
      <c r="B145" t="s">
        <v>254</v>
      </c>
      <c r="C145" t="s">
        <v>1940</v>
      </c>
      <c r="D145" s="176">
        <v>26920032.594423998</v>
      </c>
      <c r="E145">
        <v>0</v>
      </c>
      <c r="G145">
        <v>1490</v>
      </c>
      <c r="H145" t="s">
        <v>254</v>
      </c>
      <c r="I145" t="s">
        <v>1940</v>
      </c>
      <c r="J145" s="176">
        <v>18094000.848884001</v>
      </c>
      <c r="K145">
        <v>0</v>
      </c>
      <c r="L145" s="342" t="str">
        <f t="shared" si="23"/>
        <v/>
      </c>
      <c r="M145">
        <v>1490</v>
      </c>
      <c r="N145" t="s">
        <v>254</v>
      </c>
      <c r="O145" t="s">
        <v>1940</v>
      </c>
      <c r="P145" s="243">
        <f t="shared" si="24"/>
        <v>41395233.273531199</v>
      </c>
      <c r="S145">
        <v>1490</v>
      </c>
      <c r="T145" t="s">
        <v>254</v>
      </c>
      <c r="U145" t="s">
        <v>1940</v>
      </c>
      <c r="V145" s="176">
        <v>13584709.846666001</v>
      </c>
      <c r="W145" s="176">
        <v>31055662.343323</v>
      </c>
      <c r="X145" s="176">
        <v>500000</v>
      </c>
      <c r="Y145" s="176">
        <v>1190421</v>
      </c>
      <c r="Z145" s="176"/>
      <c r="AA145">
        <v>1490</v>
      </c>
      <c r="AB145" s="176" t="s">
        <v>254</v>
      </c>
      <c r="AC145" s="176" t="s">
        <v>1940</v>
      </c>
      <c r="AD145" s="176">
        <v>13584709.846666001</v>
      </c>
      <c r="AE145" s="176">
        <v>31055662.343323</v>
      </c>
      <c r="AF145" s="176">
        <v>500000</v>
      </c>
      <c r="AG145" s="176">
        <v>1190421</v>
      </c>
      <c r="AH145" s="342" t="str">
        <f t="shared" si="18"/>
        <v/>
      </c>
      <c r="AI145">
        <v>1490</v>
      </c>
      <c r="AJ145" t="s">
        <v>254</v>
      </c>
      <c r="AK145" t="s">
        <v>1940</v>
      </c>
      <c r="AL145" s="245">
        <f t="shared" si="19"/>
        <v>24452477.7239988</v>
      </c>
      <c r="AM145" s="245">
        <f t="shared" si="20"/>
        <v>55900192.217981398</v>
      </c>
      <c r="AN145" s="245">
        <f t="shared" si="21"/>
        <v>900000</v>
      </c>
      <c r="AO145" s="245">
        <f t="shared" si="22"/>
        <v>2142757.7999999998</v>
      </c>
      <c r="AP145" s="176"/>
      <c r="AQ145" s="176"/>
      <c r="AR145">
        <v>1490</v>
      </c>
      <c r="AS145" t="s">
        <v>254</v>
      </c>
      <c r="AT145" t="s">
        <v>1940</v>
      </c>
      <c r="AU145" s="176">
        <v>10809896.356663</v>
      </c>
      <c r="AW145">
        <v>1490</v>
      </c>
      <c r="AX145" t="s">
        <v>254</v>
      </c>
      <c r="AY145" t="s">
        <v>1940</v>
      </c>
      <c r="AZ145" s="176">
        <v>0</v>
      </c>
      <c r="BA145" s="342" t="str">
        <f t="shared" si="25"/>
        <v/>
      </c>
      <c r="BB145">
        <v>1490</v>
      </c>
      <c r="BC145" t="s">
        <v>254</v>
      </c>
      <c r="BD145" t="s">
        <v>1940</v>
      </c>
      <c r="BE145" s="243">
        <f t="shared" si="26"/>
        <v>10809896.356663</v>
      </c>
    </row>
    <row r="146" spans="1:57">
      <c r="A146">
        <v>1510</v>
      </c>
      <c r="B146" t="s">
        <v>255</v>
      </c>
      <c r="C146" t="s">
        <v>984</v>
      </c>
      <c r="D146" s="176">
        <v>165487605.29217899</v>
      </c>
      <c r="E146">
        <v>0</v>
      </c>
      <c r="G146">
        <v>1510</v>
      </c>
      <c r="H146" t="s">
        <v>255</v>
      </c>
      <c r="I146" t="s">
        <v>984</v>
      </c>
      <c r="J146" s="176">
        <v>90449643.634425998</v>
      </c>
      <c r="K146">
        <v>0</v>
      </c>
      <c r="L146" s="342" t="str">
        <f t="shared" si="23"/>
        <v/>
      </c>
      <c r="M146">
        <v>1510</v>
      </c>
      <c r="N146" t="s">
        <v>255</v>
      </c>
      <c r="O146" t="s">
        <v>984</v>
      </c>
      <c r="P146" s="243">
        <f t="shared" si="24"/>
        <v>237847320.19971979</v>
      </c>
      <c r="S146">
        <v>1510</v>
      </c>
      <c r="T146" t="s">
        <v>255</v>
      </c>
      <c r="U146" t="s">
        <v>984</v>
      </c>
      <c r="V146" s="176">
        <v>67815544.787773997</v>
      </c>
      <c r="W146" s="176">
        <v>209502679.025536</v>
      </c>
      <c r="X146" s="176">
        <v>0</v>
      </c>
      <c r="Y146" s="176">
        <v>17442594.444442999</v>
      </c>
      <c r="Z146" s="176"/>
      <c r="AA146">
        <v>1510</v>
      </c>
      <c r="AB146" s="176" t="s">
        <v>255</v>
      </c>
      <c r="AC146" s="176" t="s">
        <v>984</v>
      </c>
      <c r="AD146" s="176">
        <v>67815544.787773997</v>
      </c>
      <c r="AE146" s="176">
        <v>209502679.025536</v>
      </c>
      <c r="AF146" s="176">
        <v>0</v>
      </c>
      <c r="AG146" s="176">
        <v>17442594.444442999</v>
      </c>
      <c r="AH146" s="342" t="str">
        <f t="shared" si="18"/>
        <v/>
      </c>
      <c r="AI146">
        <v>1510</v>
      </c>
      <c r="AJ146" t="s">
        <v>255</v>
      </c>
      <c r="AK146" t="s">
        <v>984</v>
      </c>
      <c r="AL146" s="245">
        <f t="shared" si="19"/>
        <v>122067980.61799321</v>
      </c>
      <c r="AM146" s="245">
        <f t="shared" si="20"/>
        <v>377104822.24596483</v>
      </c>
      <c r="AN146" s="245">
        <f t="shared" si="21"/>
        <v>0</v>
      </c>
      <c r="AO146" s="245">
        <f t="shared" si="22"/>
        <v>31396669.9999974</v>
      </c>
      <c r="AP146" s="176"/>
      <c r="AQ146" s="176"/>
      <c r="AR146">
        <v>1510</v>
      </c>
      <c r="AS146" t="s">
        <v>255</v>
      </c>
      <c r="AT146" t="s">
        <v>984</v>
      </c>
      <c r="AU146" s="176">
        <v>130578264.965543</v>
      </c>
      <c r="AW146">
        <v>1510</v>
      </c>
      <c r="AX146" t="s">
        <v>255</v>
      </c>
      <c r="AY146" t="s">
        <v>984</v>
      </c>
      <c r="AZ146" s="176">
        <v>83091476.946664006</v>
      </c>
      <c r="BA146" s="342" t="str">
        <f t="shared" si="25"/>
        <v/>
      </c>
      <c r="BB146">
        <v>1510</v>
      </c>
      <c r="BC146" t="s">
        <v>255</v>
      </c>
      <c r="BD146" t="s">
        <v>984</v>
      </c>
      <c r="BE146" s="243">
        <f t="shared" si="26"/>
        <v>197051446.52287421</v>
      </c>
    </row>
    <row r="147" spans="1:57">
      <c r="A147">
        <v>1510</v>
      </c>
      <c r="B147" t="s">
        <v>255</v>
      </c>
      <c r="C147" t="s">
        <v>1556</v>
      </c>
      <c r="D147" s="176">
        <v>272669163.698856</v>
      </c>
      <c r="E147">
        <v>0</v>
      </c>
      <c r="G147">
        <v>1510</v>
      </c>
      <c r="H147" t="s">
        <v>255</v>
      </c>
      <c r="I147" t="s">
        <v>1556</v>
      </c>
      <c r="J147" s="176">
        <v>93350427.468878001</v>
      </c>
      <c r="K147">
        <v>0</v>
      </c>
      <c r="L147" s="342" t="str">
        <f t="shared" si="23"/>
        <v/>
      </c>
      <c r="M147">
        <v>1510</v>
      </c>
      <c r="N147" t="s">
        <v>255</v>
      </c>
      <c r="O147" t="s">
        <v>1556</v>
      </c>
      <c r="P147" s="243">
        <f t="shared" si="24"/>
        <v>347349505.67395842</v>
      </c>
      <c r="S147">
        <v>1510</v>
      </c>
      <c r="T147" t="s">
        <v>255</v>
      </c>
      <c r="U147" t="s">
        <v>1556</v>
      </c>
      <c r="V147" s="176">
        <v>89246149.432218999</v>
      </c>
      <c r="W147" s="176">
        <v>111180841.249989</v>
      </c>
      <c r="X147">
        <v>0</v>
      </c>
      <c r="Y147" s="176">
        <v>18876566.666666001</v>
      </c>
      <c r="Z147" s="176"/>
      <c r="AA147">
        <v>1510</v>
      </c>
      <c r="AB147" s="176" t="s">
        <v>255</v>
      </c>
      <c r="AC147" s="176" t="s">
        <v>1556</v>
      </c>
      <c r="AD147" s="176">
        <v>89246149.432218999</v>
      </c>
      <c r="AE147" s="176">
        <v>111180841.249989</v>
      </c>
      <c r="AF147">
        <v>0</v>
      </c>
      <c r="AG147" s="176">
        <v>18876566.666666001</v>
      </c>
      <c r="AH147" s="342" t="str">
        <f t="shared" si="18"/>
        <v/>
      </c>
      <c r="AI147">
        <v>1510</v>
      </c>
      <c r="AJ147" t="s">
        <v>255</v>
      </c>
      <c r="AK147" t="s">
        <v>1556</v>
      </c>
      <c r="AL147" s="245">
        <f t="shared" si="19"/>
        <v>160643068.9779942</v>
      </c>
      <c r="AM147" s="245">
        <f t="shared" si="20"/>
        <v>200125514.24998021</v>
      </c>
      <c r="AN147" s="245">
        <f t="shared" si="21"/>
        <v>0</v>
      </c>
      <c r="AO147" s="245">
        <f t="shared" si="22"/>
        <v>33977819.9999988</v>
      </c>
      <c r="AP147" s="176"/>
      <c r="AQ147" s="176"/>
      <c r="AR147">
        <v>1510</v>
      </c>
      <c r="AS147" t="s">
        <v>255</v>
      </c>
      <c r="AT147" t="s">
        <v>1556</v>
      </c>
      <c r="AU147" s="176">
        <v>40255964.148879997</v>
      </c>
      <c r="AW147">
        <v>1510</v>
      </c>
      <c r="AX147" t="s">
        <v>255</v>
      </c>
      <c r="AY147" t="s">
        <v>1556</v>
      </c>
      <c r="AZ147" s="176">
        <v>18988974.788885001</v>
      </c>
      <c r="BA147" s="342" t="str">
        <f t="shared" si="25"/>
        <v/>
      </c>
      <c r="BB147">
        <v>1510</v>
      </c>
      <c r="BC147" t="s">
        <v>255</v>
      </c>
      <c r="BD147" t="s">
        <v>1556</v>
      </c>
      <c r="BE147" s="243">
        <f t="shared" si="26"/>
        <v>55447143.979988001</v>
      </c>
    </row>
    <row r="148" spans="1:57">
      <c r="A148">
        <v>1510</v>
      </c>
      <c r="B148" t="s">
        <v>255</v>
      </c>
      <c r="C148" t="s">
        <v>1699</v>
      </c>
      <c r="D148" s="176">
        <v>108218178.501057</v>
      </c>
      <c r="E148">
        <v>0</v>
      </c>
      <c r="G148">
        <v>1510</v>
      </c>
      <c r="H148" t="s">
        <v>255</v>
      </c>
      <c r="I148" t="s">
        <v>1699</v>
      </c>
      <c r="J148" s="176">
        <v>27675899.566659</v>
      </c>
      <c r="K148">
        <v>0</v>
      </c>
      <c r="L148" s="342" t="str">
        <f t="shared" si="23"/>
        <v/>
      </c>
      <c r="M148">
        <v>1510</v>
      </c>
      <c r="N148" t="s">
        <v>255</v>
      </c>
      <c r="O148" t="s">
        <v>1699</v>
      </c>
      <c r="P148" s="243">
        <f t="shared" si="24"/>
        <v>130358898.1543842</v>
      </c>
      <c r="S148">
        <v>1510</v>
      </c>
      <c r="T148" t="s">
        <v>255</v>
      </c>
      <c r="U148" t="s">
        <v>1699</v>
      </c>
      <c r="V148" s="176">
        <v>36994598.081110001</v>
      </c>
      <c r="W148" s="176">
        <v>91068352.144418001</v>
      </c>
      <c r="X148" s="176">
        <v>0</v>
      </c>
      <c r="Y148" s="176">
        <v>4374133.966666</v>
      </c>
      <c r="Z148" s="176"/>
      <c r="AA148">
        <v>1510</v>
      </c>
      <c r="AB148" s="176" t="s">
        <v>255</v>
      </c>
      <c r="AC148" s="176" t="s">
        <v>1699</v>
      </c>
      <c r="AD148" s="176">
        <v>36994598.081110001</v>
      </c>
      <c r="AE148" s="176">
        <v>91068352.144418001</v>
      </c>
      <c r="AF148" s="176">
        <v>0</v>
      </c>
      <c r="AG148" s="176">
        <v>4374133.966666</v>
      </c>
      <c r="AH148" s="342" t="str">
        <f t="shared" si="18"/>
        <v/>
      </c>
      <c r="AI148">
        <v>1510</v>
      </c>
      <c r="AJ148" t="s">
        <v>255</v>
      </c>
      <c r="AK148" t="s">
        <v>1699</v>
      </c>
      <c r="AL148" s="245">
        <f t="shared" si="19"/>
        <v>66590276.545998007</v>
      </c>
      <c r="AM148" s="245">
        <f t="shared" si="20"/>
        <v>163923033.85995239</v>
      </c>
      <c r="AN148" s="245">
        <f t="shared" si="21"/>
        <v>0</v>
      </c>
      <c r="AO148" s="245">
        <f t="shared" si="22"/>
        <v>7873441.1399988001</v>
      </c>
      <c r="AP148" s="176"/>
      <c r="AQ148" s="176"/>
      <c r="AR148">
        <v>1510</v>
      </c>
      <c r="AS148" t="s">
        <v>255</v>
      </c>
      <c r="AT148" t="s">
        <v>1699</v>
      </c>
      <c r="AU148" s="176">
        <v>4512111.6455499995</v>
      </c>
      <c r="AW148">
        <v>1510</v>
      </c>
      <c r="AX148" t="s">
        <v>255</v>
      </c>
      <c r="AY148" t="s">
        <v>1699</v>
      </c>
      <c r="AZ148" s="176">
        <v>4932823.8833320001</v>
      </c>
      <c r="BA148" s="342" t="str">
        <f t="shared" si="25"/>
        <v/>
      </c>
      <c r="BB148">
        <v>1510</v>
      </c>
      <c r="BC148" t="s">
        <v>255</v>
      </c>
      <c r="BD148" t="s">
        <v>1699</v>
      </c>
      <c r="BE148" s="243">
        <f t="shared" si="26"/>
        <v>8458370.7522155996</v>
      </c>
    </row>
    <row r="149" spans="1:57">
      <c r="A149">
        <v>1510</v>
      </c>
      <c r="B149" t="s">
        <v>255</v>
      </c>
      <c r="C149" t="s">
        <v>1553</v>
      </c>
      <c r="D149" s="176">
        <v>84306368.215492994</v>
      </c>
      <c r="E149">
        <v>0</v>
      </c>
      <c r="G149">
        <v>1510</v>
      </c>
      <c r="H149" t="s">
        <v>255</v>
      </c>
      <c r="I149" t="s">
        <v>1553</v>
      </c>
      <c r="J149" s="176">
        <v>30673483.966653999</v>
      </c>
      <c r="K149">
        <v>0</v>
      </c>
      <c r="L149" s="342" t="str">
        <f t="shared" si="23"/>
        <v/>
      </c>
      <c r="M149">
        <v>1510</v>
      </c>
      <c r="N149" t="s">
        <v>255</v>
      </c>
      <c r="O149" t="s">
        <v>1553</v>
      </c>
      <c r="P149" s="243">
        <f t="shared" si="24"/>
        <v>108845155.38881619</v>
      </c>
      <c r="S149">
        <v>1510</v>
      </c>
      <c r="T149" t="s">
        <v>255</v>
      </c>
      <c r="U149" t="s">
        <v>1553</v>
      </c>
      <c r="V149" s="176">
        <v>44714588.358886003</v>
      </c>
      <c r="W149" s="176">
        <v>99414932.181096002</v>
      </c>
      <c r="X149" s="176">
        <v>0</v>
      </c>
      <c r="Y149" s="176">
        <v>898610</v>
      </c>
      <c r="Z149" s="176"/>
      <c r="AA149">
        <v>1510</v>
      </c>
      <c r="AB149" s="176" t="s">
        <v>255</v>
      </c>
      <c r="AC149" s="176" t="s">
        <v>1553</v>
      </c>
      <c r="AD149" s="176">
        <v>44714588.358886003</v>
      </c>
      <c r="AE149" s="176">
        <v>99414932.181096002</v>
      </c>
      <c r="AF149" s="176">
        <v>0</v>
      </c>
      <c r="AG149" s="176">
        <v>898610</v>
      </c>
      <c r="AH149" s="342" t="str">
        <f t="shared" si="18"/>
        <v/>
      </c>
      <c r="AI149">
        <v>1510</v>
      </c>
      <c r="AJ149" t="s">
        <v>255</v>
      </c>
      <c r="AK149" t="s">
        <v>1553</v>
      </c>
      <c r="AL149" s="245">
        <f t="shared" si="19"/>
        <v>80486259.045994818</v>
      </c>
      <c r="AM149" s="245">
        <f t="shared" si="20"/>
        <v>178946877.92597282</v>
      </c>
      <c r="AN149" s="245">
        <f t="shared" si="21"/>
        <v>0</v>
      </c>
      <c r="AO149" s="245">
        <f t="shared" si="22"/>
        <v>1617498</v>
      </c>
      <c r="AP149" s="176"/>
      <c r="AQ149" s="176"/>
      <c r="AR149">
        <v>1510</v>
      </c>
      <c r="AS149" t="s">
        <v>255</v>
      </c>
      <c r="AT149" t="s">
        <v>1553</v>
      </c>
      <c r="AU149" s="176">
        <v>4600269.7533280002</v>
      </c>
      <c r="AW149">
        <v>1510</v>
      </c>
      <c r="AX149" t="s">
        <v>255</v>
      </c>
      <c r="AY149" t="s">
        <v>1553</v>
      </c>
      <c r="AZ149" s="176">
        <v>14691195.487775</v>
      </c>
      <c r="BA149" s="342" t="str">
        <f t="shared" si="25"/>
        <v/>
      </c>
      <c r="BB149">
        <v>1510</v>
      </c>
      <c r="BC149" t="s">
        <v>255</v>
      </c>
      <c r="BD149" t="s">
        <v>1553</v>
      </c>
      <c r="BE149" s="243">
        <f t="shared" si="26"/>
        <v>16353226.143548001</v>
      </c>
    </row>
    <row r="150" spans="1:57">
      <c r="A150">
        <v>1510</v>
      </c>
      <c r="B150" t="s">
        <v>255</v>
      </c>
      <c r="C150" t="s">
        <v>983</v>
      </c>
      <c r="D150" s="176">
        <v>315201622.86880702</v>
      </c>
      <c r="E150">
        <v>0</v>
      </c>
      <c r="G150">
        <v>1510</v>
      </c>
      <c r="H150" t="s">
        <v>255</v>
      </c>
      <c r="I150" t="s">
        <v>983</v>
      </c>
      <c r="J150" s="176">
        <v>194531502.26220199</v>
      </c>
      <c r="K150">
        <v>0</v>
      </c>
      <c r="L150" s="342" t="str">
        <f t="shared" si="23"/>
        <v/>
      </c>
      <c r="M150">
        <v>1510</v>
      </c>
      <c r="N150" t="s">
        <v>255</v>
      </c>
      <c r="O150" t="s">
        <v>983</v>
      </c>
      <c r="P150" s="243">
        <f t="shared" si="24"/>
        <v>470826824.6785686</v>
      </c>
      <c r="S150">
        <v>1510</v>
      </c>
      <c r="T150" t="s">
        <v>255</v>
      </c>
      <c r="U150" t="s">
        <v>983</v>
      </c>
      <c r="V150" s="176">
        <v>80572941.457773998</v>
      </c>
      <c r="W150" s="176">
        <v>248911454.33550799</v>
      </c>
      <c r="X150" s="176">
        <v>0</v>
      </c>
      <c r="Y150" s="176">
        <v>31491064.888888001</v>
      </c>
      <c r="Z150" s="176"/>
      <c r="AA150">
        <v>1510</v>
      </c>
      <c r="AB150" s="176" t="s">
        <v>255</v>
      </c>
      <c r="AC150" s="176" t="s">
        <v>983</v>
      </c>
      <c r="AD150" s="176">
        <v>80572941.457773998</v>
      </c>
      <c r="AE150" s="176">
        <v>248911454.33550799</v>
      </c>
      <c r="AF150" s="176">
        <v>0</v>
      </c>
      <c r="AG150" s="176">
        <v>31491064.888888001</v>
      </c>
      <c r="AH150" s="342" t="str">
        <f t="shared" si="18"/>
        <v/>
      </c>
      <c r="AI150">
        <v>1510</v>
      </c>
      <c r="AJ150" t="s">
        <v>255</v>
      </c>
      <c r="AK150" t="s">
        <v>983</v>
      </c>
      <c r="AL150" s="245">
        <f t="shared" si="19"/>
        <v>145031294.62399322</v>
      </c>
      <c r="AM150" s="245">
        <f t="shared" si="20"/>
        <v>448040617.80391443</v>
      </c>
      <c r="AN150" s="245">
        <f t="shared" si="21"/>
        <v>0</v>
      </c>
      <c r="AO150" s="245">
        <f t="shared" si="22"/>
        <v>56683916.799998403</v>
      </c>
      <c r="AP150" s="176"/>
      <c r="AQ150" s="176"/>
      <c r="AR150">
        <v>1510</v>
      </c>
      <c r="AS150" t="s">
        <v>255</v>
      </c>
      <c r="AT150" t="s">
        <v>983</v>
      </c>
      <c r="AU150" s="176">
        <v>125668562.458873</v>
      </c>
      <c r="AW150">
        <v>1510</v>
      </c>
      <c r="AX150" t="s">
        <v>255</v>
      </c>
      <c r="AY150" t="s">
        <v>983</v>
      </c>
      <c r="AZ150" s="176">
        <v>76090495.619994998</v>
      </c>
      <c r="BA150" s="342" t="str">
        <f t="shared" si="25"/>
        <v/>
      </c>
      <c r="BB150">
        <v>1510</v>
      </c>
      <c r="BC150" t="s">
        <v>255</v>
      </c>
      <c r="BD150" t="s">
        <v>983</v>
      </c>
      <c r="BE150" s="243">
        <f t="shared" si="26"/>
        <v>186540958.954869</v>
      </c>
    </row>
    <row r="151" spans="1:57">
      <c r="A151">
        <v>1520</v>
      </c>
      <c r="B151" t="s">
        <v>256</v>
      </c>
      <c r="C151" t="s">
        <v>1700</v>
      </c>
      <c r="D151" s="176">
        <v>103282226.30330101</v>
      </c>
      <c r="E151">
        <v>0</v>
      </c>
      <c r="G151">
        <v>1520</v>
      </c>
      <c r="H151" t="s">
        <v>256</v>
      </c>
      <c r="I151" t="s">
        <v>1700</v>
      </c>
      <c r="J151" s="176">
        <v>71199536.756651998</v>
      </c>
      <c r="K151">
        <v>0</v>
      </c>
      <c r="L151" s="342" t="str">
        <f t="shared" si="23"/>
        <v/>
      </c>
      <c r="M151">
        <v>1520</v>
      </c>
      <c r="N151" t="s">
        <v>256</v>
      </c>
      <c r="O151" t="s">
        <v>1700</v>
      </c>
      <c r="P151" s="243">
        <f t="shared" si="24"/>
        <v>160241855.7086226</v>
      </c>
      <c r="S151">
        <v>1520</v>
      </c>
      <c r="T151" t="s">
        <v>256</v>
      </c>
      <c r="U151" t="s">
        <v>1700</v>
      </c>
      <c r="V151" s="176">
        <v>26940716.285553999</v>
      </c>
      <c r="W151" s="176">
        <v>71923712.539989993</v>
      </c>
      <c r="X151" s="176">
        <v>0</v>
      </c>
      <c r="Y151" s="176">
        <v>3300000</v>
      </c>
      <c r="Z151" s="176"/>
      <c r="AA151">
        <v>1520</v>
      </c>
      <c r="AB151" s="176" t="s">
        <v>256</v>
      </c>
      <c r="AC151" s="176" t="s">
        <v>1700</v>
      </c>
      <c r="AD151" s="176">
        <v>26940716.285553999</v>
      </c>
      <c r="AE151" s="176">
        <v>71923712.539989993</v>
      </c>
      <c r="AF151" s="176">
        <v>0</v>
      </c>
      <c r="AG151" s="176">
        <v>3300000</v>
      </c>
      <c r="AH151" s="342" t="str">
        <f t="shared" si="18"/>
        <v/>
      </c>
      <c r="AI151">
        <v>1520</v>
      </c>
      <c r="AJ151" t="s">
        <v>256</v>
      </c>
      <c r="AK151" t="s">
        <v>1700</v>
      </c>
      <c r="AL151" s="245">
        <f t="shared" si="19"/>
        <v>48493289.313997202</v>
      </c>
      <c r="AM151" s="245">
        <f t="shared" si="20"/>
        <v>129462682.571982</v>
      </c>
      <c r="AN151" s="245">
        <f t="shared" si="21"/>
        <v>0</v>
      </c>
      <c r="AO151" s="245">
        <f t="shared" si="22"/>
        <v>5940000</v>
      </c>
      <c r="AP151" s="176"/>
      <c r="AQ151" s="176"/>
      <c r="AR151">
        <v>1520</v>
      </c>
      <c r="AS151" t="s">
        <v>256</v>
      </c>
      <c r="AT151" t="s">
        <v>1700</v>
      </c>
      <c r="AU151" s="176">
        <v>140136.40332899999</v>
      </c>
      <c r="AW151">
        <v>1520</v>
      </c>
      <c r="AX151" t="s">
        <v>256</v>
      </c>
      <c r="AY151" t="s">
        <v>1700</v>
      </c>
      <c r="AZ151" s="176">
        <v>1355175.209999</v>
      </c>
      <c r="BA151" s="342" t="str">
        <f t="shared" si="25"/>
        <v/>
      </c>
      <c r="BB151">
        <v>1520</v>
      </c>
      <c r="BC151" t="s">
        <v>256</v>
      </c>
      <c r="BD151" t="s">
        <v>1700</v>
      </c>
      <c r="BE151" s="243">
        <f t="shared" si="26"/>
        <v>1224276.5713281999</v>
      </c>
    </row>
    <row r="152" spans="1:57">
      <c r="A152">
        <v>1520</v>
      </c>
      <c r="B152" t="s">
        <v>256</v>
      </c>
      <c r="C152" t="s">
        <v>987</v>
      </c>
      <c r="D152" s="176">
        <v>221763216.800993</v>
      </c>
      <c r="E152">
        <v>0</v>
      </c>
      <c r="G152">
        <v>1520</v>
      </c>
      <c r="H152" t="s">
        <v>256</v>
      </c>
      <c r="I152" t="s">
        <v>987</v>
      </c>
      <c r="J152" s="176">
        <v>177583266.964412</v>
      </c>
      <c r="K152">
        <v>0</v>
      </c>
      <c r="L152" s="342" t="str">
        <f t="shared" si="23"/>
        <v/>
      </c>
      <c r="M152">
        <v>1520</v>
      </c>
      <c r="N152" t="s">
        <v>256</v>
      </c>
      <c r="O152" t="s">
        <v>987</v>
      </c>
      <c r="P152" s="243">
        <f t="shared" si="24"/>
        <v>363829830.37252259</v>
      </c>
      <c r="S152">
        <v>1520</v>
      </c>
      <c r="T152" t="s">
        <v>256</v>
      </c>
      <c r="U152" t="s">
        <v>987</v>
      </c>
      <c r="V152" s="176">
        <v>125867018.60555001</v>
      </c>
      <c r="W152" s="176">
        <v>243214751.494423</v>
      </c>
      <c r="X152">
        <v>0</v>
      </c>
      <c r="Y152" s="176">
        <v>11249954.266665</v>
      </c>
      <c r="Z152" s="176"/>
      <c r="AA152">
        <v>1520</v>
      </c>
      <c r="AB152" s="176" t="s">
        <v>256</v>
      </c>
      <c r="AC152" s="176" t="s">
        <v>987</v>
      </c>
      <c r="AD152" s="176">
        <v>125867018.60555001</v>
      </c>
      <c r="AE152" s="176">
        <v>243214751.494423</v>
      </c>
      <c r="AF152">
        <v>0</v>
      </c>
      <c r="AG152" s="176">
        <v>11249954.266665</v>
      </c>
      <c r="AH152" s="342" t="str">
        <f t="shared" si="18"/>
        <v/>
      </c>
      <c r="AI152">
        <v>1520</v>
      </c>
      <c r="AJ152" t="s">
        <v>256</v>
      </c>
      <c r="AK152" t="s">
        <v>987</v>
      </c>
      <c r="AL152" s="245">
        <f t="shared" si="19"/>
        <v>226560633.48999</v>
      </c>
      <c r="AM152" s="245">
        <f t="shared" si="20"/>
        <v>437786552.68996143</v>
      </c>
      <c r="AN152" s="245">
        <f t="shared" si="21"/>
        <v>0</v>
      </c>
      <c r="AO152" s="245">
        <f t="shared" si="22"/>
        <v>20249917.679997001</v>
      </c>
      <c r="AP152" s="176"/>
      <c r="AQ152" s="176"/>
      <c r="AR152">
        <v>1520</v>
      </c>
      <c r="AS152" t="s">
        <v>256</v>
      </c>
      <c r="AT152" t="s">
        <v>987</v>
      </c>
      <c r="AU152" s="176">
        <v>7417603.5066569997</v>
      </c>
      <c r="AW152">
        <v>1520</v>
      </c>
      <c r="AX152" t="s">
        <v>256</v>
      </c>
      <c r="AY152" t="s">
        <v>987</v>
      </c>
      <c r="AZ152" s="176">
        <v>3792521.687775</v>
      </c>
      <c r="BA152" s="342" t="str">
        <f t="shared" si="25"/>
        <v/>
      </c>
      <c r="BB152">
        <v>1520</v>
      </c>
      <c r="BC152" t="s">
        <v>256</v>
      </c>
      <c r="BD152" t="s">
        <v>987</v>
      </c>
      <c r="BE152" s="243">
        <f t="shared" si="26"/>
        <v>10451620.856876999</v>
      </c>
    </row>
    <row r="153" spans="1:57">
      <c r="A153">
        <v>1520</v>
      </c>
      <c r="B153" t="s">
        <v>256</v>
      </c>
      <c r="C153" t="s">
        <v>1701</v>
      </c>
      <c r="D153" s="176">
        <v>100396525.434422</v>
      </c>
      <c r="E153">
        <v>0</v>
      </c>
      <c r="G153">
        <v>1520</v>
      </c>
      <c r="H153" t="s">
        <v>256</v>
      </c>
      <c r="I153" t="s">
        <v>1701</v>
      </c>
      <c r="J153" s="176">
        <v>30439623.397767998</v>
      </c>
      <c r="K153">
        <v>0</v>
      </c>
      <c r="L153" s="342" t="str">
        <f t="shared" si="23"/>
        <v/>
      </c>
      <c r="M153">
        <v>1520</v>
      </c>
      <c r="N153" t="s">
        <v>256</v>
      </c>
      <c r="O153" t="s">
        <v>1701</v>
      </c>
      <c r="P153" s="243">
        <f t="shared" si="24"/>
        <v>124748224.15263641</v>
      </c>
      <c r="S153">
        <v>1520</v>
      </c>
      <c r="T153" t="s">
        <v>256</v>
      </c>
      <c r="U153" t="s">
        <v>1701</v>
      </c>
      <c r="V153" s="176">
        <v>16503957.215554001</v>
      </c>
      <c r="W153" s="176">
        <v>50347092.747766003</v>
      </c>
      <c r="X153" s="176">
        <v>1030000</v>
      </c>
      <c r="Y153" s="176">
        <v>1659255.2588879999</v>
      </c>
      <c r="Z153" s="176"/>
      <c r="AA153">
        <v>1520</v>
      </c>
      <c r="AB153" s="176" t="s">
        <v>256</v>
      </c>
      <c r="AC153" s="176" t="s">
        <v>1701</v>
      </c>
      <c r="AD153" s="176">
        <v>16503957.215554001</v>
      </c>
      <c r="AE153" s="176">
        <v>50347092.747766003</v>
      </c>
      <c r="AF153" s="176">
        <v>1030000</v>
      </c>
      <c r="AG153" s="176">
        <v>1659255.2588879999</v>
      </c>
      <c r="AH153" s="342" t="str">
        <f t="shared" si="18"/>
        <v/>
      </c>
      <c r="AI153">
        <v>1520</v>
      </c>
      <c r="AJ153" t="s">
        <v>256</v>
      </c>
      <c r="AK153" t="s">
        <v>1701</v>
      </c>
      <c r="AL153" s="245">
        <f t="shared" si="19"/>
        <v>29707122.987997204</v>
      </c>
      <c r="AM153" s="245">
        <f t="shared" si="20"/>
        <v>90624766.945978805</v>
      </c>
      <c r="AN153" s="245">
        <f t="shared" si="21"/>
        <v>1854000</v>
      </c>
      <c r="AO153" s="245">
        <f t="shared" si="22"/>
        <v>2986659.4659984</v>
      </c>
      <c r="AP153" s="176"/>
      <c r="AQ153" s="176"/>
      <c r="AR153">
        <v>1520</v>
      </c>
      <c r="AS153" t="s">
        <v>256</v>
      </c>
      <c r="AT153" t="s">
        <v>1701</v>
      </c>
      <c r="AU153" s="176">
        <v>6471387.5755550005</v>
      </c>
      <c r="AW153">
        <v>1520</v>
      </c>
      <c r="AX153" t="s">
        <v>256</v>
      </c>
      <c r="AY153" t="s">
        <v>1701</v>
      </c>
      <c r="AZ153" s="176">
        <v>325220.94222199998</v>
      </c>
      <c r="BA153" s="342" t="str">
        <f t="shared" si="25"/>
        <v/>
      </c>
      <c r="BB153">
        <v>1520</v>
      </c>
      <c r="BC153" t="s">
        <v>256</v>
      </c>
      <c r="BD153" t="s">
        <v>1701</v>
      </c>
      <c r="BE153" s="243">
        <f t="shared" si="26"/>
        <v>6731564.3293326003</v>
      </c>
    </row>
    <row r="154" spans="1:57">
      <c r="A154">
        <v>1520</v>
      </c>
      <c r="B154" t="s">
        <v>256</v>
      </c>
      <c r="C154" t="s">
        <v>986</v>
      </c>
      <c r="D154" s="176">
        <v>342124741.18995202</v>
      </c>
      <c r="E154">
        <v>0</v>
      </c>
      <c r="G154">
        <v>1520</v>
      </c>
      <c r="H154" t="s">
        <v>256</v>
      </c>
      <c r="I154" t="s">
        <v>986</v>
      </c>
      <c r="J154" s="176">
        <v>296251005.83662897</v>
      </c>
      <c r="K154">
        <v>0</v>
      </c>
      <c r="L154" s="342" t="str">
        <f t="shared" si="23"/>
        <v/>
      </c>
      <c r="M154">
        <v>1520</v>
      </c>
      <c r="N154" t="s">
        <v>256</v>
      </c>
      <c r="O154" t="s">
        <v>986</v>
      </c>
      <c r="P154" s="243">
        <f t="shared" si="24"/>
        <v>579125545.85925519</v>
      </c>
      <c r="S154">
        <v>1520</v>
      </c>
      <c r="T154" t="s">
        <v>256</v>
      </c>
      <c r="U154" t="s">
        <v>986</v>
      </c>
      <c r="V154" s="176">
        <v>55238198.498885997</v>
      </c>
      <c r="W154" s="176">
        <v>241994226.38998801</v>
      </c>
      <c r="X154" s="176">
        <v>0</v>
      </c>
      <c r="Y154" s="176">
        <v>22480582.222220998</v>
      </c>
      <c r="Z154" s="176"/>
      <c r="AA154">
        <v>1520</v>
      </c>
      <c r="AB154" s="176" t="s">
        <v>256</v>
      </c>
      <c r="AC154" s="176" t="s">
        <v>986</v>
      </c>
      <c r="AD154" s="176">
        <v>55238198.498885997</v>
      </c>
      <c r="AE154" s="176">
        <v>241994226.38998801</v>
      </c>
      <c r="AF154" s="176">
        <v>0</v>
      </c>
      <c r="AG154" s="176">
        <v>22480582.222220998</v>
      </c>
      <c r="AH154" s="342" t="str">
        <f t="shared" si="18"/>
        <v/>
      </c>
      <c r="AI154">
        <v>1520</v>
      </c>
      <c r="AJ154" t="s">
        <v>256</v>
      </c>
      <c r="AK154" t="s">
        <v>986</v>
      </c>
      <c r="AL154" s="245">
        <f t="shared" si="19"/>
        <v>99428757.297994792</v>
      </c>
      <c r="AM154" s="245">
        <f t="shared" si="20"/>
        <v>435589607.5019784</v>
      </c>
      <c r="AN154" s="245">
        <f t="shared" si="21"/>
        <v>0</v>
      </c>
      <c r="AO154" s="245">
        <f t="shared" si="22"/>
        <v>40465047.999997795</v>
      </c>
      <c r="AP154" s="176"/>
      <c r="AQ154" s="176"/>
      <c r="AR154">
        <v>1520</v>
      </c>
      <c r="AS154" t="s">
        <v>256</v>
      </c>
      <c r="AT154" t="s">
        <v>986</v>
      </c>
      <c r="AU154" s="176">
        <v>64253858.304439001</v>
      </c>
      <c r="AW154">
        <v>1520</v>
      </c>
      <c r="AX154" t="s">
        <v>256</v>
      </c>
      <c r="AY154" t="s">
        <v>986</v>
      </c>
      <c r="AZ154" s="176">
        <v>31994087.951106999</v>
      </c>
      <c r="BA154" s="342" t="str">
        <f t="shared" si="25"/>
        <v/>
      </c>
      <c r="BB154">
        <v>1520</v>
      </c>
      <c r="BC154" t="s">
        <v>256</v>
      </c>
      <c r="BD154" t="s">
        <v>986</v>
      </c>
      <c r="BE154" s="243">
        <f t="shared" si="26"/>
        <v>89849128.665324599</v>
      </c>
    </row>
    <row r="155" spans="1:57">
      <c r="A155">
        <v>1520</v>
      </c>
      <c r="B155" t="s">
        <v>256</v>
      </c>
      <c r="C155" t="s">
        <v>985</v>
      </c>
      <c r="D155" s="176">
        <v>172103087.539967</v>
      </c>
      <c r="E155">
        <v>0</v>
      </c>
      <c r="G155">
        <v>1520</v>
      </c>
      <c r="H155" t="s">
        <v>256</v>
      </c>
      <c r="I155" t="s">
        <v>985</v>
      </c>
      <c r="J155" s="176">
        <v>93472535.029982001</v>
      </c>
      <c r="K155">
        <v>0</v>
      </c>
      <c r="L155" s="342" t="str">
        <f t="shared" si="23"/>
        <v/>
      </c>
      <c r="M155">
        <v>1520</v>
      </c>
      <c r="N155" t="s">
        <v>256</v>
      </c>
      <c r="O155" t="s">
        <v>985</v>
      </c>
      <c r="P155" s="243">
        <f t="shared" si="24"/>
        <v>246881115.56395262</v>
      </c>
      <c r="S155">
        <v>1520</v>
      </c>
      <c r="T155" t="s">
        <v>256</v>
      </c>
      <c r="U155" t="s">
        <v>985</v>
      </c>
      <c r="V155" s="176">
        <v>32737699.887777001</v>
      </c>
      <c r="W155" s="176">
        <v>141255780.69332001</v>
      </c>
      <c r="X155" s="176">
        <v>0</v>
      </c>
      <c r="Y155" s="176">
        <v>36163259.333333001</v>
      </c>
      <c r="Z155" s="176"/>
      <c r="AA155">
        <v>1520</v>
      </c>
      <c r="AB155" s="176" t="s">
        <v>256</v>
      </c>
      <c r="AC155" s="176" t="s">
        <v>985</v>
      </c>
      <c r="AD155" s="176">
        <v>32737699.887777001</v>
      </c>
      <c r="AE155" s="176">
        <v>141255780.69332001</v>
      </c>
      <c r="AF155" s="176">
        <v>0</v>
      </c>
      <c r="AG155" s="176">
        <v>36163259.333333001</v>
      </c>
      <c r="AH155" s="342" t="str">
        <f t="shared" si="18"/>
        <v/>
      </c>
      <c r="AI155">
        <v>1520</v>
      </c>
      <c r="AJ155" t="s">
        <v>256</v>
      </c>
      <c r="AK155" t="s">
        <v>985</v>
      </c>
      <c r="AL155" s="245">
        <f t="shared" si="19"/>
        <v>58927859.797998607</v>
      </c>
      <c r="AM155" s="245">
        <f t="shared" si="20"/>
        <v>254260405.24797601</v>
      </c>
      <c r="AN155" s="245">
        <f t="shared" si="21"/>
        <v>0</v>
      </c>
      <c r="AO155" s="245">
        <f t="shared" si="22"/>
        <v>65093866.799999401</v>
      </c>
      <c r="AP155" s="176"/>
      <c r="AQ155" s="176"/>
      <c r="AR155">
        <v>1520</v>
      </c>
      <c r="AS155" t="s">
        <v>256</v>
      </c>
      <c r="AT155" t="s">
        <v>985</v>
      </c>
      <c r="AU155" s="176">
        <v>13818232.377774</v>
      </c>
      <c r="AW155">
        <v>1520</v>
      </c>
      <c r="AX155" t="s">
        <v>256</v>
      </c>
      <c r="AY155" t="s">
        <v>985</v>
      </c>
      <c r="AZ155" s="176">
        <v>17142042.35111</v>
      </c>
      <c r="BA155" s="342" t="str">
        <f t="shared" si="25"/>
        <v/>
      </c>
      <c r="BB155">
        <v>1520</v>
      </c>
      <c r="BC155" t="s">
        <v>256</v>
      </c>
      <c r="BD155" t="s">
        <v>985</v>
      </c>
      <c r="BE155" s="243">
        <f t="shared" si="26"/>
        <v>27531866.258662</v>
      </c>
    </row>
    <row r="156" spans="1:57">
      <c r="A156">
        <v>1530</v>
      </c>
      <c r="B156" t="s">
        <v>257</v>
      </c>
      <c r="C156" t="s">
        <v>1941</v>
      </c>
      <c r="D156" s="176">
        <v>25209116.181093</v>
      </c>
      <c r="E156">
        <v>0</v>
      </c>
      <c r="G156">
        <v>1530</v>
      </c>
      <c r="H156" t="s">
        <v>257</v>
      </c>
      <c r="I156" t="s">
        <v>1941</v>
      </c>
      <c r="J156" s="176">
        <v>27314726.175547</v>
      </c>
      <c r="K156">
        <v>0</v>
      </c>
      <c r="L156" s="342" t="str">
        <f t="shared" si="23"/>
        <v/>
      </c>
      <c r="M156">
        <v>1530</v>
      </c>
      <c r="N156" t="s">
        <v>257</v>
      </c>
      <c r="O156" t="s">
        <v>1941</v>
      </c>
      <c r="P156" s="243">
        <f t="shared" si="24"/>
        <v>47060897.1215306</v>
      </c>
      <c r="S156">
        <v>1530</v>
      </c>
      <c r="T156" t="s">
        <v>257</v>
      </c>
      <c r="U156" t="s">
        <v>1941</v>
      </c>
      <c r="V156" s="176">
        <v>15895153.904444</v>
      </c>
      <c r="W156" s="176">
        <v>92800018.184437007</v>
      </c>
      <c r="X156" s="176">
        <v>0</v>
      </c>
      <c r="Y156" s="176">
        <v>8870866.2777769994</v>
      </c>
      <c r="Z156" s="176"/>
      <c r="AA156">
        <v>1530</v>
      </c>
      <c r="AB156" s="176" t="s">
        <v>257</v>
      </c>
      <c r="AC156" s="176" t="s">
        <v>1941</v>
      </c>
      <c r="AD156" s="176">
        <v>15895153.904444</v>
      </c>
      <c r="AE156" s="176">
        <v>92800018.184437007</v>
      </c>
      <c r="AF156" s="176">
        <v>0</v>
      </c>
      <c r="AG156" s="176">
        <v>8870866.2777769994</v>
      </c>
      <c r="AH156" s="342" t="str">
        <f t="shared" si="18"/>
        <v/>
      </c>
      <c r="AI156">
        <v>1530</v>
      </c>
      <c r="AJ156" t="s">
        <v>257</v>
      </c>
      <c r="AK156" t="s">
        <v>1941</v>
      </c>
      <c r="AL156" s="245">
        <f t="shared" si="19"/>
        <v>28611277.0279992</v>
      </c>
      <c r="AM156" s="245">
        <f t="shared" si="20"/>
        <v>167040032.73198661</v>
      </c>
      <c r="AN156" s="245">
        <f t="shared" si="21"/>
        <v>0</v>
      </c>
      <c r="AO156" s="245">
        <f t="shared" si="22"/>
        <v>15967559.2999986</v>
      </c>
      <c r="AP156" s="176"/>
      <c r="AQ156" s="176"/>
      <c r="AR156">
        <v>1530</v>
      </c>
      <c r="AS156" t="s">
        <v>257</v>
      </c>
      <c r="AT156" t="s">
        <v>1941</v>
      </c>
      <c r="AU156" s="176">
        <v>8768400.5711070001</v>
      </c>
      <c r="AW156">
        <v>1530</v>
      </c>
      <c r="AX156" t="s">
        <v>257</v>
      </c>
      <c r="AY156" t="s">
        <v>1941</v>
      </c>
      <c r="AZ156" s="176">
        <v>183908.63</v>
      </c>
      <c r="BA156" s="342" t="str">
        <f t="shared" si="25"/>
        <v/>
      </c>
      <c r="BB156">
        <v>1530</v>
      </c>
      <c r="BC156" t="s">
        <v>257</v>
      </c>
      <c r="BD156" t="s">
        <v>1941</v>
      </c>
      <c r="BE156" s="243">
        <f t="shared" si="26"/>
        <v>8915527.4751069993</v>
      </c>
    </row>
    <row r="157" spans="1:57">
      <c r="A157">
        <v>1530</v>
      </c>
      <c r="B157" t="s">
        <v>257</v>
      </c>
      <c r="C157" t="s">
        <v>989</v>
      </c>
      <c r="D157" s="176">
        <v>242547091.78216699</v>
      </c>
      <c r="E157">
        <v>0</v>
      </c>
      <c r="G157">
        <v>1530</v>
      </c>
      <c r="H157" t="s">
        <v>257</v>
      </c>
      <c r="I157" t="s">
        <v>989</v>
      </c>
      <c r="J157" s="176">
        <v>388878800.72441101</v>
      </c>
      <c r="K157">
        <v>0</v>
      </c>
      <c r="L157" s="342" t="str">
        <f t="shared" si="23"/>
        <v/>
      </c>
      <c r="M157">
        <v>1530</v>
      </c>
      <c r="N157" t="s">
        <v>257</v>
      </c>
      <c r="O157" t="s">
        <v>989</v>
      </c>
      <c r="P157" s="243">
        <f t="shared" si="24"/>
        <v>553650132.36169577</v>
      </c>
      <c r="S157">
        <v>1530</v>
      </c>
      <c r="T157" t="s">
        <v>257</v>
      </c>
      <c r="U157" t="s">
        <v>989</v>
      </c>
      <c r="V157" s="176">
        <v>133655128.69777299</v>
      </c>
      <c r="W157" s="176">
        <v>288536359.74553502</v>
      </c>
      <c r="X157">
        <v>0</v>
      </c>
      <c r="Y157" s="176">
        <v>49173699.377777003</v>
      </c>
      <c r="Z157" s="176"/>
      <c r="AA157">
        <v>1530</v>
      </c>
      <c r="AB157" s="176" t="s">
        <v>257</v>
      </c>
      <c r="AC157" s="176" t="s">
        <v>989</v>
      </c>
      <c r="AD157" s="176">
        <v>133655128.69777299</v>
      </c>
      <c r="AE157" s="176">
        <v>288536359.74553502</v>
      </c>
      <c r="AF157">
        <v>0</v>
      </c>
      <c r="AG157" s="176">
        <v>49173699.377777003</v>
      </c>
      <c r="AH157" s="342" t="str">
        <f t="shared" si="18"/>
        <v/>
      </c>
      <c r="AI157">
        <v>1530</v>
      </c>
      <c r="AJ157" t="s">
        <v>257</v>
      </c>
      <c r="AK157" t="s">
        <v>989</v>
      </c>
      <c r="AL157" s="245">
        <f t="shared" si="19"/>
        <v>240579231.65599138</v>
      </c>
      <c r="AM157" s="245">
        <f t="shared" si="20"/>
        <v>519365447.54196304</v>
      </c>
      <c r="AN157" s="245">
        <f t="shared" si="21"/>
        <v>0</v>
      </c>
      <c r="AO157" s="245">
        <f t="shared" si="22"/>
        <v>88512658.879998609</v>
      </c>
      <c r="AP157" s="176"/>
      <c r="AQ157" s="176"/>
      <c r="AR157">
        <v>1530</v>
      </c>
      <c r="AS157" t="s">
        <v>257</v>
      </c>
      <c r="AT157" t="s">
        <v>989</v>
      </c>
      <c r="AU157" s="176">
        <v>25315950.318884999</v>
      </c>
      <c r="AW157">
        <v>1530</v>
      </c>
      <c r="AX157" t="s">
        <v>257</v>
      </c>
      <c r="AY157" t="s">
        <v>989</v>
      </c>
      <c r="AZ157">
        <v>78482966.347773999</v>
      </c>
      <c r="BA157" s="342" t="str">
        <f t="shared" si="25"/>
        <v/>
      </c>
      <c r="BB157">
        <v>1530</v>
      </c>
      <c r="BC157" t="s">
        <v>257</v>
      </c>
      <c r="BD157" t="s">
        <v>989</v>
      </c>
      <c r="BE157" s="243">
        <f t="shared" si="26"/>
        <v>88102323.397104204</v>
      </c>
    </row>
    <row r="158" spans="1:57">
      <c r="A158">
        <v>1530</v>
      </c>
      <c r="B158" t="s">
        <v>257</v>
      </c>
      <c r="C158" t="s">
        <v>1554</v>
      </c>
      <c r="D158" s="176">
        <v>89537381.614370003</v>
      </c>
      <c r="E158">
        <v>0</v>
      </c>
      <c r="G158">
        <v>1530</v>
      </c>
      <c r="H158" t="s">
        <v>257</v>
      </c>
      <c r="I158" t="s">
        <v>1554</v>
      </c>
      <c r="J158" s="176">
        <v>61938793.893312998</v>
      </c>
      <c r="K158">
        <v>0</v>
      </c>
      <c r="L158" s="342" t="str">
        <f t="shared" si="23"/>
        <v/>
      </c>
      <c r="M158">
        <v>1530</v>
      </c>
      <c r="N158" t="s">
        <v>257</v>
      </c>
      <c r="O158" t="s">
        <v>1554</v>
      </c>
      <c r="P158" s="243">
        <f t="shared" si="24"/>
        <v>139088416.72902042</v>
      </c>
      <c r="S158">
        <v>1530</v>
      </c>
      <c r="T158" t="s">
        <v>257</v>
      </c>
      <c r="U158" t="s">
        <v>1554</v>
      </c>
      <c r="V158" s="176">
        <v>33647031.538888</v>
      </c>
      <c r="W158" s="176">
        <v>59517625.733314998</v>
      </c>
      <c r="X158" s="176">
        <v>0</v>
      </c>
      <c r="Y158" s="176">
        <v>3581807</v>
      </c>
      <c r="Z158" s="176"/>
      <c r="AA158">
        <v>1530</v>
      </c>
      <c r="AB158" s="176" t="s">
        <v>257</v>
      </c>
      <c r="AC158" s="176" t="s">
        <v>1554</v>
      </c>
      <c r="AD158" s="176">
        <v>33647031.538888</v>
      </c>
      <c r="AE158" s="176">
        <v>59517625.733314998</v>
      </c>
      <c r="AF158">
        <v>0</v>
      </c>
      <c r="AG158" s="176">
        <v>3581807</v>
      </c>
      <c r="AH158" s="342" t="str">
        <f t="shared" si="18"/>
        <v/>
      </c>
      <c r="AI158">
        <v>1530</v>
      </c>
      <c r="AJ158" t="s">
        <v>257</v>
      </c>
      <c r="AK158" t="s">
        <v>1554</v>
      </c>
      <c r="AL158" s="245">
        <f t="shared" si="19"/>
        <v>60564656.769998401</v>
      </c>
      <c r="AM158" s="245">
        <f t="shared" si="20"/>
        <v>107131726.319967</v>
      </c>
      <c r="AN158" s="245">
        <f t="shared" si="21"/>
        <v>0</v>
      </c>
      <c r="AO158" s="245">
        <f t="shared" si="22"/>
        <v>6447252.5999999996</v>
      </c>
      <c r="AP158" s="176"/>
      <c r="AQ158" s="176"/>
      <c r="AR158">
        <v>1530</v>
      </c>
      <c r="AS158" t="s">
        <v>257</v>
      </c>
      <c r="AT158" t="s">
        <v>1554</v>
      </c>
      <c r="AU158" s="176">
        <v>888529.41444099997</v>
      </c>
      <c r="AW158">
        <v>1530</v>
      </c>
      <c r="AX158" t="s">
        <v>257</v>
      </c>
      <c r="AY158" t="s">
        <v>1554</v>
      </c>
      <c r="AZ158" s="176">
        <v>3846706.0199989998</v>
      </c>
      <c r="BA158" s="342" t="str">
        <f t="shared" si="25"/>
        <v/>
      </c>
      <c r="BB158">
        <v>1530</v>
      </c>
      <c r="BC158" t="s">
        <v>257</v>
      </c>
      <c r="BD158" t="s">
        <v>1554</v>
      </c>
      <c r="BE158" s="243">
        <f t="shared" si="26"/>
        <v>3965894.2304402003</v>
      </c>
    </row>
    <row r="159" spans="1:57">
      <c r="A159">
        <v>1530</v>
      </c>
      <c r="B159" t="s">
        <v>257</v>
      </c>
      <c r="C159" t="s">
        <v>988</v>
      </c>
      <c r="D159" s="176">
        <v>188397302.59550399</v>
      </c>
      <c r="E159">
        <v>0</v>
      </c>
      <c r="G159">
        <v>1530</v>
      </c>
      <c r="H159" t="s">
        <v>257</v>
      </c>
      <c r="I159" t="s">
        <v>988</v>
      </c>
      <c r="J159" s="176">
        <v>138250576.02886999</v>
      </c>
      <c r="K159">
        <v>0</v>
      </c>
      <c r="L159" s="342" t="str">
        <f t="shared" si="23"/>
        <v/>
      </c>
      <c r="M159">
        <v>1530</v>
      </c>
      <c r="N159" t="s">
        <v>257</v>
      </c>
      <c r="O159" t="s">
        <v>988</v>
      </c>
      <c r="P159" s="243">
        <f t="shared" si="24"/>
        <v>298997763.41859996</v>
      </c>
      <c r="S159">
        <v>1530</v>
      </c>
      <c r="T159" t="s">
        <v>257</v>
      </c>
      <c r="U159" t="s">
        <v>988</v>
      </c>
      <c r="V159" s="176">
        <v>54615103.146665998</v>
      </c>
      <c r="W159" s="176">
        <v>315528517.19442302</v>
      </c>
      <c r="X159" s="176">
        <v>0</v>
      </c>
      <c r="Y159" s="176">
        <v>16537350</v>
      </c>
      <c r="Z159" s="176"/>
      <c r="AA159">
        <v>1530</v>
      </c>
      <c r="AB159" s="176" t="s">
        <v>257</v>
      </c>
      <c r="AC159" s="176" t="s">
        <v>988</v>
      </c>
      <c r="AD159" s="176">
        <v>54615103.146665998</v>
      </c>
      <c r="AE159" s="176">
        <v>315528517.19442302</v>
      </c>
      <c r="AF159" s="176">
        <v>0</v>
      </c>
      <c r="AG159" s="176">
        <v>16537350</v>
      </c>
      <c r="AH159" s="342" t="str">
        <f t="shared" si="18"/>
        <v/>
      </c>
      <c r="AI159">
        <v>1530</v>
      </c>
      <c r="AJ159" t="s">
        <v>257</v>
      </c>
      <c r="AK159" t="s">
        <v>988</v>
      </c>
      <c r="AL159" s="245">
        <f t="shared" si="19"/>
        <v>98307185.663998798</v>
      </c>
      <c r="AM159" s="245">
        <f t="shared" si="20"/>
        <v>567951330.94996142</v>
      </c>
      <c r="AN159" s="245">
        <f t="shared" si="21"/>
        <v>0</v>
      </c>
      <c r="AO159" s="245">
        <f t="shared" si="22"/>
        <v>29767230</v>
      </c>
      <c r="AP159" s="176"/>
      <c r="AQ159" s="176"/>
      <c r="AR159">
        <v>1530</v>
      </c>
      <c r="AS159" t="s">
        <v>257</v>
      </c>
      <c r="AT159" t="s">
        <v>988</v>
      </c>
      <c r="AU159" s="176">
        <v>28610352.597771</v>
      </c>
      <c r="AW159">
        <v>1530</v>
      </c>
      <c r="AX159" t="s">
        <v>257</v>
      </c>
      <c r="AY159" t="s">
        <v>988</v>
      </c>
      <c r="AZ159" s="176">
        <v>9951306.2699970007</v>
      </c>
      <c r="BA159" s="342" t="str">
        <f t="shared" si="25"/>
        <v/>
      </c>
      <c r="BB159">
        <v>1530</v>
      </c>
      <c r="BC159" t="s">
        <v>257</v>
      </c>
      <c r="BD159" t="s">
        <v>988</v>
      </c>
      <c r="BE159" s="243">
        <f t="shared" si="26"/>
        <v>36571397.6137686</v>
      </c>
    </row>
    <row r="160" spans="1:57">
      <c r="A160">
        <v>1540</v>
      </c>
      <c r="B160" t="s">
        <v>258</v>
      </c>
      <c r="C160" t="s">
        <v>1942</v>
      </c>
      <c r="D160" s="176">
        <v>325552934.71984398</v>
      </c>
      <c r="E160">
        <v>0</v>
      </c>
      <c r="G160">
        <v>1540</v>
      </c>
      <c r="H160" t="s">
        <v>258</v>
      </c>
      <c r="I160" t="s">
        <v>1942</v>
      </c>
      <c r="J160" s="176">
        <v>121370618.257742</v>
      </c>
      <c r="K160">
        <v>0</v>
      </c>
      <c r="L160" s="342" t="str">
        <f t="shared" si="23"/>
        <v/>
      </c>
      <c r="M160">
        <v>1540</v>
      </c>
      <c r="N160" t="s">
        <v>258</v>
      </c>
      <c r="O160" t="s">
        <v>1942</v>
      </c>
      <c r="P160" s="243">
        <f t="shared" si="24"/>
        <v>422649429.32603759</v>
      </c>
      <c r="S160">
        <v>1540</v>
      </c>
      <c r="T160" t="s">
        <v>258</v>
      </c>
      <c r="U160" t="s">
        <v>1942</v>
      </c>
      <c r="V160" s="176">
        <v>105135785.351107</v>
      </c>
      <c r="W160" s="176">
        <v>493058432.62774402</v>
      </c>
      <c r="X160" s="176">
        <v>2418350</v>
      </c>
      <c r="Y160" s="176">
        <v>55243335.169996999</v>
      </c>
      <c r="Z160" s="176"/>
      <c r="AA160">
        <v>1540</v>
      </c>
      <c r="AB160" s="176" t="s">
        <v>258</v>
      </c>
      <c r="AC160" s="176" t="s">
        <v>1942</v>
      </c>
      <c r="AD160" s="176">
        <v>105135785.351107</v>
      </c>
      <c r="AE160" s="176">
        <v>493058432.62774402</v>
      </c>
      <c r="AF160" s="176">
        <v>2418350</v>
      </c>
      <c r="AG160" s="176">
        <v>55243335.169996999</v>
      </c>
      <c r="AH160" s="342" t="str">
        <f t="shared" si="18"/>
        <v/>
      </c>
      <c r="AI160">
        <v>1540</v>
      </c>
      <c r="AJ160" t="s">
        <v>258</v>
      </c>
      <c r="AK160" t="s">
        <v>1942</v>
      </c>
      <c r="AL160" s="245">
        <f t="shared" si="19"/>
        <v>189244413.63199261</v>
      </c>
      <c r="AM160" s="245">
        <f t="shared" si="20"/>
        <v>887505178.72993922</v>
      </c>
      <c r="AN160" s="245">
        <f t="shared" si="21"/>
        <v>4353030</v>
      </c>
      <c r="AO160" s="245">
        <f t="shared" si="22"/>
        <v>99438003.3059946</v>
      </c>
      <c r="AP160" s="176"/>
      <c r="AQ160" s="176"/>
      <c r="AR160">
        <v>1540</v>
      </c>
      <c r="AS160" t="s">
        <v>258</v>
      </c>
      <c r="AT160" t="s">
        <v>1942</v>
      </c>
      <c r="AU160" s="176">
        <v>148165422.71219701</v>
      </c>
      <c r="AW160">
        <v>1540</v>
      </c>
      <c r="AX160" t="s">
        <v>258</v>
      </c>
      <c r="AY160" t="s">
        <v>1942</v>
      </c>
      <c r="AZ160" s="176">
        <v>75997388.297768995</v>
      </c>
      <c r="BA160" s="342" t="str">
        <f t="shared" si="25"/>
        <v/>
      </c>
      <c r="BB160">
        <v>1540</v>
      </c>
      <c r="BC160" t="s">
        <v>258</v>
      </c>
      <c r="BD160" t="s">
        <v>1942</v>
      </c>
      <c r="BE160" s="243">
        <f t="shared" si="26"/>
        <v>208963333.35041219</v>
      </c>
    </row>
    <row r="161" spans="1:57">
      <c r="A161">
        <v>1560</v>
      </c>
      <c r="B161" t="s">
        <v>259</v>
      </c>
      <c r="C161" t="s">
        <v>1702</v>
      </c>
      <c r="D161" s="176">
        <v>119394599.401071</v>
      </c>
      <c r="E161">
        <v>0</v>
      </c>
      <c r="G161">
        <v>1560</v>
      </c>
      <c r="H161" t="s">
        <v>259</v>
      </c>
      <c r="I161" t="s">
        <v>1702</v>
      </c>
      <c r="J161" s="176">
        <v>36592915.192211002</v>
      </c>
      <c r="K161">
        <v>0</v>
      </c>
      <c r="L161" s="342" t="str">
        <f t="shared" si="23"/>
        <v/>
      </c>
      <c r="M161">
        <v>1560</v>
      </c>
      <c r="N161" t="s">
        <v>259</v>
      </c>
      <c r="O161" t="s">
        <v>1702</v>
      </c>
      <c r="P161" s="243">
        <f t="shared" si="24"/>
        <v>148668931.55483979</v>
      </c>
      <c r="S161">
        <v>1560</v>
      </c>
      <c r="T161" t="s">
        <v>259</v>
      </c>
      <c r="U161" t="s">
        <v>1702</v>
      </c>
      <c r="V161" s="176">
        <v>28684086.866664998</v>
      </c>
      <c r="W161" s="176">
        <v>65710902.615547001</v>
      </c>
      <c r="X161" s="176">
        <v>437850</v>
      </c>
      <c r="Y161" s="176">
        <v>9515304.1333329994</v>
      </c>
      <c r="Z161" s="176"/>
      <c r="AA161">
        <v>1560</v>
      </c>
      <c r="AB161" s="176" t="s">
        <v>259</v>
      </c>
      <c r="AC161" s="176" t="s">
        <v>1702</v>
      </c>
      <c r="AD161" s="176">
        <v>28684086.866664998</v>
      </c>
      <c r="AE161" s="176">
        <v>65710902.615547001</v>
      </c>
      <c r="AF161" s="176">
        <v>437850</v>
      </c>
      <c r="AG161" s="176">
        <v>9515304.1333329994</v>
      </c>
      <c r="AH161" s="342" t="str">
        <f t="shared" si="18"/>
        <v/>
      </c>
      <c r="AI161">
        <v>1560</v>
      </c>
      <c r="AJ161" t="s">
        <v>259</v>
      </c>
      <c r="AK161" t="s">
        <v>1702</v>
      </c>
      <c r="AL161" s="245">
        <f t="shared" si="19"/>
        <v>51631356.359996997</v>
      </c>
      <c r="AM161" s="245">
        <f t="shared" si="20"/>
        <v>118279624.7079846</v>
      </c>
      <c r="AN161" s="245">
        <f t="shared" si="21"/>
        <v>788130</v>
      </c>
      <c r="AO161" s="245">
        <f t="shared" si="22"/>
        <v>17127547.439999402</v>
      </c>
      <c r="AP161" s="176"/>
      <c r="AQ161" s="176"/>
      <c r="AR161">
        <v>1560</v>
      </c>
      <c r="AS161" t="s">
        <v>259</v>
      </c>
      <c r="AT161" t="s">
        <v>1702</v>
      </c>
      <c r="AU161" s="176">
        <v>39838209.791102</v>
      </c>
      <c r="AW161">
        <v>1560</v>
      </c>
      <c r="AX161" t="s">
        <v>259</v>
      </c>
      <c r="AY161" t="s">
        <v>1702</v>
      </c>
      <c r="AZ161" s="176">
        <v>14946017.929998999</v>
      </c>
      <c r="BA161" s="342" t="str">
        <f t="shared" si="25"/>
        <v/>
      </c>
      <c r="BB161">
        <v>1560</v>
      </c>
      <c r="BC161" t="s">
        <v>259</v>
      </c>
      <c r="BD161" t="s">
        <v>1702</v>
      </c>
      <c r="BE161" s="243">
        <f t="shared" si="26"/>
        <v>51795024.135101199</v>
      </c>
    </row>
    <row r="162" spans="1:57">
      <c r="A162">
        <v>1560</v>
      </c>
      <c r="B162" t="s">
        <v>259</v>
      </c>
      <c r="C162" t="s">
        <v>990</v>
      </c>
      <c r="D162" s="176">
        <v>341437228.85880601</v>
      </c>
      <c r="E162">
        <v>0</v>
      </c>
      <c r="G162">
        <v>1560</v>
      </c>
      <c r="H162" t="s">
        <v>259</v>
      </c>
      <c r="I162" t="s">
        <v>990</v>
      </c>
      <c r="J162" s="176">
        <v>199835192.84998199</v>
      </c>
      <c r="K162">
        <v>0</v>
      </c>
      <c r="L162" s="342" t="str">
        <f t="shared" si="23"/>
        <v/>
      </c>
      <c r="M162">
        <v>1560</v>
      </c>
      <c r="N162" t="s">
        <v>259</v>
      </c>
      <c r="O162" t="s">
        <v>990</v>
      </c>
      <c r="P162" s="243">
        <f t="shared" si="24"/>
        <v>501305383.13879162</v>
      </c>
      <c r="S162">
        <v>1560</v>
      </c>
      <c r="T162" t="s">
        <v>259</v>
      </c>
      <c r="U162" t="s">
        <v>990</v>
      </c>
      <c r="V162" s="176">
        <v>33344054.023329001</v>
      </c>
      <c r="W162" s="176">
        <v>91378268.028872997</v>
      </c>
      <c r="X162" s="176">
        <v>0</v>
      </c>
      <c r="Y162" s="176">
        <v>58889978.688886002</v>
      </c>
      <c r="Z162" s="176"/>
      <c r="AA162">
        <v>1560</v>
      </c>
      <c r="AB162" s="176" t="s">
        <v>259</v>
      </c>
      <c r="AC162" s="176" t="s">
        <v>990</v>
      </c>
      <c r="AD162" s="176">
        <v>33344054.023329001</v>
      </c>
      <c r="AE162" s="176">
        <v>91378268.028872997</v>
      </c>
      <c r="AF162">
        <v>0</v>
      </c>
      <c r="AG162" s="176">
        <v>58889978.688886002</v>
      </c>
      <c r="AH162" s="342" t="str">
        <f t="shared" si="18"/>
        <v/>
      </c>
      <c r="AI162">
        <v>1560</v>
      </c>
      <c r="AJ162" t="s">
        <v>259</v>
      </c>
      <c r="AK162" t="s">
        <v>990</v>
      </c>
      <c r="AL162" s="245">
        <f t="shared" si="19"/>
        <v>60019297.241992205</v>
      </c>
      <c r="AM162" s="245">
        <f t="shared" si="20"/>
        <v>164480882.45197141</v>
      </c>
      <c r="AN162" s="245">
        <f t="shared" si="21"/>
        <v>0</v>
      </c>
      <c r="AO162" s="245">
        <f t="shared" si="22"/>
        <v>106001961.6399948</v>
      </c>
      <c r="AP162" s="176"/>
      <c r="AQ162" s="176"/>
      <c r="AR162">
        <v>1560</v>
      </c>
      <c r="AS162" t="s">
        <v>259</v>
      </c>
      <c r="AT162" t="s">
        <v>990</v>
      </c>
      <c r="AU162" s="176">
        <v>8907214.9455510005</v>
      </c>
      <c r="AW162">
        <v>1560</v>
      </c>
      <c r="AX162" t="s">
        <v>259</v>
      </c>
      <c r="AY162" t="s">
        <v>990</v>
      </c>
      <c r="AZ162" s="176">
        <v>8058393.7166640004</v>
      </c>
      <c r="BA162" s="342" t="str">
        <f t="shared" si="25"/>
        <v/>
      </c>
      <c r="BB162">
        <v>1560</v>
      </c>
      <c r="BC162" t="s">
        <v>259</v>
      </c>
      <c r="BD162" t="s">
        <v>990</v>
      </c>
      <c r="BE162" s="243">
        <f t="shared" si="26"/>
        <v>15353929.918882202</v>
      </c>
    </row>
    <row r="163" spans="1:57">
      <c r="A163">
        <v>1560</v>
      </c>
      <c r="B163" t="s">
        <v>259</v>
      </c>
      <c r="C163" t="s">
        <v>991</v>
      </c>
      <c r="D163" s="176">
        <v>217965335.76328301</v>
      </c>
      <c r="E163">
        <v>0</v>
      </c>
      <c r="G163">
        <v>1560</v>
      </c>
      <c r="H163" t="s">
        <v>259</v>
      </c>
      <c r="I163" t="s">
        <v>991</v>
      </c>
      <c r="J163" s="176">
        <v>137454474.773323</v>
      </c>
      <c r="K163">
        <v>0</v>
      </c>
      <c r="L163" s="342" t="str">
        <f t="shared" si="23"/>
        <v/>
      </c>
      <c r="M163">
        <v>1560</v>
      </c>
      <c r="N163" t="s">
        <v>259</v>
      </c>
      <c r="O163" t="s">
        <v>991</v>
      </c>
      <c r="P163" s="243">
        <f t="shared" si="24"/>
        <v>327928915.58194143</v>
      </c>
      <c r="S163">
        <v>1560</v>
      </c>
      <c r="T163" t="s">
        <v>259</v>
      </c>
      <c r="U163" t="s">
        <v>991</v>
      </c>
      <c r="V163" s="176">
        <v>81196837.841110006</v>
      </c>
      <c r="W163" s="176">
        <v>134259168.43665701</v>
      </c>
      <c r="X163" s="176">
        <v>0</v>
      </c>
      <c r="Y163" s="176">
        <v>100052103.333331</v>
      </c>
      <c r="Z163" s="176"/>
      <c r="AA163">
        <v>1560</v>
      </c>
      <c r="AB163" s="176" t="s">
        <v>259</v>
      </c>
      <c r="AC163" s="176" t="s">
        <v>991</v>
      </c>
      <c r="AD163" s="176">
        <v>81196837.841110006</v>
      </c>
      <c r="AE163" s="176">
        <v>134259168.43665701</v>
      </c>
      <c r="AF163" s="176">
        <v>0</v>
      </c>
      <c r="AG163" s="176">
        <v>100052103.333331</v>
      </c>
      <c r="AH163" s="342" t="str">
        <f t="shared" si="18"/>
        <v/>
      </c>
      <c r="AI163">
        <v>1560</v>
      </c>
      <c r="AJ163" t="s">
        <v>259</v>
      </c>
      <c r="AK163" t="s">
        <v>991</v>
      </c>
      <c r="AL163" s="245">
        <f t="shared" si="19"/>
        <v>146154308.113998</v>
      </c>
      <c r="AM163" s="245">
        <f t="shared" si="20"/>
        <v>241666503.18598264</v>
      </c>
      <c r="AN163" s="245">
        <f t="shared" si="21"/>
        <v>0</v>
      </c>
      <c r="AO163" s="245">
        <f t="shared" si="22"/>
        <v>180093785.99999583</v>
      </c>
      <c r="AP163" s="176"/>
      <c r="AQ163" s="176"/>
      <c r="AR163">
        <v>1560</v>
      </c>
      <c r="AS163" t="s">
        <v>259</v>
      </c>
      <c r="AT163" t="s">
        <v>991</v>
      </c>
      <c r="AU163" s="176">
        <v>27298160.947767001</v>
      </c>
      <c r="AW163">
        <v>1560</v>
      </c>
      <c r="AX163" t="s">
        <v>259</v>
      </c>
      <c r="AY163" t="s">
        <v>991</v>
      </c>
      <c r="AZ163" s="176">
        <v>49945683.611103997</v>
      </c>
      <c r="BA163" s="342" t="str">
        <f t="shared" si="25"/>
        <v/>
      </c>
      <c r="BB163">
        <v>1560</v>
      </c>
      <c r="BC163" t="s">
        <v>259</v>
      </c>
      <c r="BD163" t="s">
        <v>991</v>
      </c>
      <c r="BE163" s="243">
        <f t="shared" si="26"/>
        <v>67254707.836650193</v>
      </c>
    </row>
    <row r="164" spans="1:57">
      <c r="A164">
        <v>1570</v>
      </c>
      <c r="B164" t="s">
        <v>260</v>
      </c>
      <c r="C164" t="s">
        <v>992</v>
      </c>
      <c r="D164" s="176">
        <v>168609980.22991401</v>
      </c>
      <c r="E164">
        <v>0</v>
      </c>
      <c r="G164">
        <v>1570</v>
      </c>
      <c r="H164" t="s">
        <v>260</v>
      </c>
      <c r="I164" t="s">
        <v>992</v>
      </c>
      <c r="J164" s="176">
        <v>150972917.28997299</v>
      </c>
      <c r="K164">
        <v>0</v>
      </c>
      <c r="L164" s="342" t="str">
        <f t="shared" si="23"/>
        <v/>
      </c>
      <c r="M164">
        <v>1570</v>
      </c>
      <c r="N164" t="s">
        <v>260</v>
      </c>
      <c r="O164" t="s">
        <v>992</v>
      </c>
      <c r="P164" s="243">
        <f t="shared" si="24"/>
        <v>289388314.06189239</v>
      </c>
      <c r="S164">
        <v>1570</v>
      </c>
      <c r="T164" t="s">
        <v>260</v>
      </c>
      <c r="U164" t="s">
        <v>992</v>
      </c>
      <c r="V164" s="176">
        <v>51551455.804440998</v>
      </c>
      <c r="W164" s="176">
        <v>147996684.95664299</v>
      </c>
      <c r="X164" s="176">
        <v>1317194</v>
      </c>
      <c r="Y164" s="176">
        <v>17432656.423331</v>
      </c>
      <c r="Z164" s="176"/>
      <c r="AA164">
        <v>1570</v>
      </c>
      <c r="AB164" s="176" t="s">
        <v>260</v>
      </c>
      <c r="AC164" s="176" t="s">
        <v>992</v>
      </c>
      <c r="AD164" s="176">
        <v>51551455.804440998</v>
      </c>
      <c r="AE164" s="176">
        <v>147996684.95664299</v>
      </c>
      <c r="AF164">
        <v>1317194</v>
      </c>
      <c r="AG164" s="176">
        <v>17432656.423331</v>
      </c>
      <c r="AH164" s="342" t="str">
        <f t="shared" si="18"/>
        <v/>
      </c>
      <c r="AI164">
        <v>1570</v>
      </c>
      <c r="AJ164" t="s">
        <v>260</v>
      </c>
      <c r="AK164" t="s">
        <v>992</v>
      </c>
      <c r="AL164" s="245">
        <f t="shared" si="19"/>
        <v>92792620.4479938</v>
      </c>
      <c r="AM164" s="245">
        <f t="shared" si="20"/>
        <v>266394032.92195737</v>
      </c>
      <c r="AN164" s="245">
        <f t="shared" si="21"/>
        <v>2370949.2000000002</v>
      </c>
      <c r="AO164" s="245">
        <f t="shared" si="22"/>
        <v>31378781.561995801</v>
      </c>
      <c r="AP164" s="176"/>
      <c r="AQ164" s="176"/>
      <c r="AR164">
        <v>1570</v>
      </c>
      <c r="AS164" t="s">
        <v>260</v>
      </c>
      <c r="AT164" t="s">
        <v>992</v>
      </c>
      <c r="AU164" s="176">
        <v>30026120.333324</v>
      </c>
      <c r="AW164">
        <v>1570</v>
      </c>
      <c r="AX164" t="s">
        <v>260</v>
      </c>
      <c r="AY164" t="s">
        <v>992</v>
      </c>
      <c r="AZ164" s="176">
        <v>22519216.895550001</v>
      </c>
      <c r="BA164" s="342" t="str">
        <f t="shared" si="25"/>
        <v/>
      </c>
      <c r="BB164">
        <v>1570</v>
      </c>
      <c r="BC164" t="s">
        <v>260</v>
      </c>
      <c r="BD164" t="s">
        <v>992</v>
      </c>
      <c r="BE164" s="243">
        <f t="shared" si="26"/>
        <v>48041493.849764004</v>
      </c>
    </row>
    <row r="165" spans="1:57">
      <c r="A165">
        <v>1570</v>
      </c>
      <c r="B165" t="s">
        <v>260</v>
      </c>
      <c r="C165" t="s">
        <v>1703</v>
      </c>
      <c r="D165" s="176">
        <v>37244059.284405001</v>
      </c>
      <c r="E165">
        <v>0</v>
      </c>
      <c r="G165">
        <v>1570</v>
      </c>
      <c r="H165" t="s">
        <v>260</v>
      </c>
      <c r="I165" t="s">
        <v>1703</v>
      </c>
      <c r="J165" s="176">
        <v>12207866.034437001</v>
      </c>
      <c r="K165">
        <v>0</v>
      </c>
      <c r="L165" s="342" t="str">
        <f t="shared" si="23"/>
        <v/>
      </c>
      <c r="M165">
        <v>1570</v>
      </c>
      <c r="N165" t="s">
        <v>260</v>
      </c>
      <c r="O165" t="s">
        <v>1703</v>
      </c>
      <c r="P165" s="243">
        <f t="shared" si="24"/>
        <v>47010352.1119546</v>
      </c>
      <c r="S165">
        <v>1570</v>
      </c>
      <c r="T165" t="s">
        <v>260</v>
      </c>
      <c r="U165" t="s">
        <v>1703</v>
      </c>
      <c r="V165" s="176">
        <v>26645481.033332001</v>
      </c>
      <c r="W165" s="176">
        <v>82766392.925531998</v>
      </c>
      <c r="X165" s="176">
        <v>0</v>
      </c>
      <c r="Y165" s="176">
        <v>6472712.5</v>
      </c>
      <c r="Z165" s="176"/>
      <c r="AA165">
        <v>1570</v>
      </c>
      <c r="AB165" s="176" t="s">
        <v>260</v>
      </c>
      <c r="AC165" s="176" t="s">
        <v>1703</v>
      </c>
      <c r="AD165" s="176">
        <v>26645481.033332001</v>
      </c>
      <c r="AE165" s="176">
        <v>82766392.925531998</v>
      </c>
      <c r="AF165">
        <v>0</v>
      </c>
      <c r="AG165" s="176">
        <v>6472712.5</v>
      </c>
      <c r="AH165" s="342" t="str">
        <f t="shared" si="18"/>
        <v/>
      </c>
      <c r="AI165">
        <v>1570</v>
      </c>
      <c r="AJ165" t="s">
        <v>260</v>
      </c>
      <c r="AK165" t="s">
        <v>1703</v>
      </c>
      <c r="AL165" s="245">
        <f t="shared" si="19"/>
        <v>47961865.8599976</v>
      </c>
      <c r="AM165" s="245">
        <f t="shared" si="20"/>
        <v>148979507.26595759</v>
      </c>
      <c r="AN165" s="245">
        <f t="shared" si="21"/>
        <v>0</v>
      </c>
      <c r="AO165" s="245">
        <f t="shared" si="22"/>
        <v>11650882.5</v>
      </c>
      <c r="AP165" s="176"/>
      <c r="AQ165" s="176"/>
      <c r="AR165">
        <v>1570</v>
      </c>
      <c r="AS165" t="s">
        <v>260</v>
      </c>
      <c r="AT165" t="s">
        <v>1703</v>
      </c>
      <c r="AU165" s="176">
        <v>1250046.951106</v>
      </c>
      <c r="AW165">
        <v>1570</v>
      </c>
      <c r="AX165" t="s">
        <v>260</v>
      </c>
      <c r="AY165" t="s">
        <v>1703</v>
      </c>
      <c r="AZ165" s="176">
        <v>0</v>
      </c>
      <c r="BA165" s="342" t="str">
        <f t="shared" si="25"/>
        <v/>
      </c>
      <c r="BB165">
        <v>1570</v>
      </c>
      <c r="BC165" t="s">
        <v>260</v>
      </c>
      <c r="BD165" t="s">
        <v>1703</v>
      </c>
      <c r="BE165" s="243">
        <f t="shared" si="26"/>
        <v>1250046.951106</v>
      </c>
    </row>
    <row r="166" spans="1:57">
      <c r="A166">
        <v>1570</v>
      </c>
      <c r="B166" t="s">
        <v>260</v>
      </c>
      <c r="C166" t="s">
        <v>993</v>
      </c>
      <c r="D166" s="176">
        <v>588213662.64992094</v>
      </c>
      <c r="E166">
        <v>0</v>
      </c>
      <c r="G166">
        <v>1570</v>
      </c>
      <c r="H166" t="s">
        <v>260</v>
      </c>
      <c r="I166" t="s">
        <v>993</v>
      </c>
      <c r="J166" s="176">
        <v>397530005.811077</v>
      </c>
      <c r="K166">
        <v>0</v>
      </c>
      <c r="L166" s="342" t="str">
        <f t="shared" si="23"/>
        <v/>
      </c>
      <c r="M166">
        <v>1570</v>
      </c>
      <c r="N166" t="s">
        <v>260</v>
      </c>
      <c r="O166" t="s">
        <v>993</v>
      </c>
      <c r="P166" s="243">
        <f t="shared" si="24"/>
        <v>906237667.29878259</v>
      </c>
      <c r="S166">
        <v>1570</v>
      </c>
      <c r="T166" t="s">
        <v>260</v>
      </c>
      <c r="U166" t="s">
        <v>993</v>
      </c>
      <c r="V166" s="176">
        <v>44640781.781111002</v>
      </c>
      <c r="W166" s="176">
        <v>138688096.902208</v>
      </c>
      <c r="X166" s="176">
        <v>1556600</v>
      </c>
      <c r="Y166" s="176">
        <v>53570872.222221002</v>
      </c>
      <c r="Z166" s="176"/>
      <c r="AA166">
        <v>1570</v>
      </c>
      <c r="AB166" s="176" t="s">
        <v>260</v>
      </c>
      <c r="AC166" s="176" t="s">
        <v>993</v>
      </c>
      <c r="AD166" s="176">
        <v>44640781.781111002</v>
      </c>
      <c r="AE166" s="176">
        <v>138688096.902208</v>
      </c>
      <c r="AF166">
        <v>1556600</v>
      </c>
      <c r="AG166" s="176">
        <v>53570872.222221002</v>
      </c>
      <c r="AH166" s="342" t="str">
        <f t="shared" si="18"/>
        <v/>
      </c>
      <c r="AI166">
        <v>1570</v>
      </c>
      <c r="AJ166" t="s">
        <v>260</v>
      </c>
      <c r="AK166" t="s">
        <v>993</v>
      </c>
      <c r="AL166" s="245">
        <f t="shared" si="19"/>
        <v>80353407.205999807</v>
      </c>
      <c r="AM166" s="245">
        <f t="shared" si="20"/>
        <v>249638574.42397439</v>
      </c>
      <c r="AN166" s="245">
        <f t="shared" si="21"/>
        <v>2801880</v>
      </c>
      <c r="AO166" s="245">
        <f t="shared" si="22"/>
        <v>96427569.99999781</v>
      </c>
      <c r="AP166" s="176"/>
      <c r="AQ166" s="176"/>
      <c r="AR166">
        <v>1570</v>
      </c>
      <c r="AS166" t="s">
        <v>260</v>
      </c>
      <c r="AT166" t="s">
        <v>993</v>
      </c>
      <c r="AU166" s="176">
        <v>15422484.973327</v>
      </c>
      <c r="AW166">
        <v>1570</v>
      </c>
      <c r="AX166" t="s">
        <v>260</v>
      </c>
      <c r="AY166" t="s">
        <v>993</v>
      </c>
      <c r="AZ166" s="176">
        <v>29368938.019997001</v>
      </c>
      <c r="BA166" s="342" t="str">
        <f t="shared" si="25"/>
        <v/>
      </c>
      <c r="BB166">
        <v>1570</v>
      </c>
      <c r="BC166" t="s">
        <v>260</v>
      </c>
      <c r="BD166" t="s">
        <v>993</v>
      </c>
      <c r="BE166" s="243">
        <f t="shared" si="26"/>
        <v>38917635.389324605</v>
      </c>
    </row>
    <row r="167" spans="1:57">
      <c r="A167">
        <v>1580</v>
      </c>
      <c r="B167" t="s">
        <v>261</v>
      </c>
      <c r="C167" t="s">
        <v>995</v>
      </c>
      <c r="D167" s="176">
        <v>307563034.88328701</v>
      </c>
      <c r="E167">
        <v>0</v>
      </c>
      <c r="G167">
        <v>1580</v>
      </c>
      <c r="H167" t="s">
        <v>261</v>
      </c>
      <c r="I167" t="s">
        <v>995</v>
      </c>
      <c r="J167" s="176">
        <v>276218554.27997601</v>
      </c>
      <c r="K167">
        <v>0</v>
      </c>
      <c r="L167" s="342" t="str">
        <f t="shared" si="23"/>
        <v/>
      </c>
      <c r="M167">
        <v>1580</v>
      </c>
      <c r="N167" t="s">
        <v>261</v>
      </c>
      <c r="O167" t="s">
        <v>995</v>
      </c>
      <c r="P167" s="243">
        <f t="shared" si="24"/>
        <v>528537878.30726784</v>
      </c>
      <c r="S167">
        <v>1580</v>
      </c>
      <c r="T167" t="s">
        <v>261</v>
      </c>
      <c r="U167" t="s">
        <v>995</v>
      </c>
      <c r="V167" s="176">
        <v>74981363.079999998</v>
      </c>
      <c r="W167" s="176">
        <v>403486436.14330798</v>
      </c>
      <c r="X167" s="176">
        <v>11755005.555553</v>
      </c>
      <c r="Y167" s="176">
        <v>69850798.999998003</v>
      </c>
      <c r="Z167" s="176"/>
      <c r="AA167">
        <v>1580</v>
      </c>
      <c r="AB167" s="176" t="s">
        <v>261</v>
      </c>
      <c r="AC167" s="176" t="s">
        <v>995</v>
      </c>
      <c r="AD167" s="176">
        <v>74981363.079999998</v>
      </c>
      <c r="AE167" s="176">
        <v>403486436.14330798</v>
      </c>
      <c r="AF167" s="176">
        <v>11755005.555553</v>
      </c>
      <c r="AG167" s="176">
        <v>69850798.999998003</v>
      </c>
      <c r="AH167" s="342" t="str">
        <f t="shared" si="18"/>
        <v/>
      </c>
      <c r="AI167">
        <v>1580</v>
      </c>
      <c r="AJ167" t="s">
        <v>261</v>
      </c>
      <c r="AK167" t="s">
        <v>995</v>
      </c>
      <c r="AL167" s="245">
        <f t="shared" si="19"/>
        <v>134966453.544</v>
      </c>
      <c r="AM167" s="245">
        <f t="shared" si="20"/>
        <v>726275585.05795431</v>
      </c>
      <c r="AN167" s="245">
        <f t="shared" si="21"/>
        <v>21159009.999995403</v>
      </c>
      <c r="AO167" s="245">
        <f t="shared" si="22"/>
        <v>125731438.19999641</v>
      </c>
      <c r="AP167" s="176"/>
      <c r="AQ167" s="176"/>
      <c r="AR167">
        <v>1580</v>
      </c>
      <c r="AS167" t="s">
        <v>261</v>
      </c>
      <c r="AT167" t="s">
        <v>995</v>
      </c>
      <c r="AU167" s="176">
        <v>309542010.00443101</v>
      </c>
      <c r="AW167">
        <v>1580</v>
      </c>
      <c r="AX167" t="s">
        <v>261</v>
      </c>
      <c r="AY167" t="s">
        <v>995</v>
      </c>
      <c r="AZ167" s="176">
        <v>333511540.254435</v>
      </c>
      <c r="BA167" s="342" t="str">
        <f t="shared" si="25"/>
        <v/>
      </c>
      <c r="BB167">
        <v>1580</v>
      </c>
      <c r="BC167" t="s">
        <v>261</v>
      </c>
      <c r="BD167" t="s">
        <v>995</v>
      </c>
      <c r="BE167" s="243">
        <f t="shared" si="26"/>
        <v>576351242.20797896</v>
      </c>
    </row>
    <row r="168" spans="1:57">
      <c r="A168">
        <v>1580</v>
      </c>
      <c r="B168" t="s">
        <v>261</v>
      </c>
      <c r="C168" t="s">
        <v>1704</v>
      </c>
      <c r="D168" s="176">
        <v>110456734.014341</v>
      </c>
      <c r="E168">
        <v>0</v>
      </c>
      <c r="G168">
        <v>1580</v>
      </c>
      <c r="H168" t="s">
        <v>261</v>
      </c>
      <c r="I168" t="s">
        <v>1704</v>
      </c>
      <c r="J168" s="176">
        <v>25802833.264428001</v>
      </c>
      <c r="K168">
        <v>0</v>
      </c>
      <c r="L168" s="342" t="str">
        <f t="shared" si="23"/>
        <v/>
      </c>
      <c r="M168">
        <v>1580</v>
      </c>
      <c r="N168" t="s">
        <v>261</v>
      </c>
      <c r="O168" t="s">
        <v>1704</v>
      </c>
      <c r="P168" s="243">
        <f t="shared" si="24"/>
        <v>131099000.6258834</v>
      </c>
      <c r="S168">
        <v>1580</v>
      </c>
      <c r="T168" t="s">
        <v>261</v>
      </c>
      <c r="U168" t="s">
        <v>1704</v>
      </c>
      <c r="V168" s="176">
        <v>27867723.853333</v>
      </c>
      <c r="W168" s="176">
        <v>107590039.876634</v>
      </c>
      <c r="X168" s="176">
        <v>0</v>
      </c>
      <c r="Y168" s="176">
        <v>10182751.666665999</v>
      </c>
      <c r="Z168" s="176"/>
      <c r="AA168">
        <v>1580</v>
      </c>
      <c r="AB168" s="176" t="s">
        <v>261</v>
      </c>
      <c r="AC168" s="176" t="s">
        <v>1704</v>
      </c>
      <c r="AD168" s="176">
        <v>27867723.853333</v>
      </c>
      <c r="AE168" s="176">
        <v>107590039.876634</v>
      </c>
      <c r="AF168">
        <v>0</v>
      </c>
      <c r="AG168" s="176">
        <v>10182751.666665999</v>
      </c>
      <c r="AH168" s="342" t="str">
        <f t="shared" si="18"/>
        <v/>
      </c>
      <c r="AI168">
        <v>1580</v>
      </c>
      <c r="AJ168" t="s">
        <v>261</v>
      </c>
      <c r="AK168" t="s">
        <v>1704</v>
      </c>
      <c r="AL168" s="245">
        <f t="shared" si="19"/>
        <v>50161902.935999401</v>
      </c>
      <c r="AM168" s="245">
        <f t="shared" si="20"/>
        <v>193662071.77794123</v>
      </c>
      <c r="AN168" s="245">
        <f t="shared" si="21"/>
        <v>0</v>
      </c>
      <c r="AO168" s="245">
        <f t="shared" si="22"/>
        <v>18328952.9999988</v>
      </c>
      <c r="AP168" s="176"/>
      <c r="AQ168" s="176"/>
      <c r="AR168">
        <v>1580</v>
      </c>
      <c r="AS168" t="s">
        <v>261</v>
      </c>
      <c r="AT168" t="s">
        <v>1704</v>
      </c>
      <c r="AU168" s="176">
        <v>23775036.995549001</v>
      </c>
      <c r="AW168">
        <v>1580</v>
      </c>
      <c r="AX168" t="s">
        <v>261</v>
      </c>
      <c r="AY168" t="s">
        <v>1704</v>
      </c>
      <c r="AZ168" s="176">
        <v>2475692.2688870002</v>
      </c>
      <c r="BA168" s="342" t="str">
        <f t="shared" si="25"/>
        <v/>
      </c>
      <c r="BB168">
        <v>1580</v>
      </c>
      <c r="BC168" t="s">
        <v>261</v>
      </c>
      <c r="BD168" t="s">
        <v>1704</v>
      </c>
      <c r="BE168" s="243">
        <f t="shared" si="26"/>
        <v>25755590.8106586</v>
      </c>
    </row>
    <row r="169" spans="1:57">
      <c r="A169">
        <v>1580</v>
      </c>
      <c r="B169" t="s">
        <v>261</v>
      </c>
      <c r="C169" t="s">
        <v>994</v>
      </c>
      <c r="D169" s="176">
        <v>170132411.59210801</v>
      </c>
      <c r="E169">
        <v>0</v>
      </c>
      <c r="G169">
        <v>1580</v>
      </c>
      <c r="H169" t="s">
        <v>261</v>
      </c>
      <c r="I169" t="s">
        <v>994</v>
      </c>
      <c r="J169" s="176">
        <v>85516820.339976996</v>
      </c>
      <c r="K169">
        <v>0</v>
      </c>
      <c r="L169" s="342" t="str">
        <f t="shared" si="23"/>
        <v/>
      </c>
      <c r="M169">
        <v>1580</v>
      </c>
      <c r="N169" t="s">
        <v>261</v>
      </c>
      <c r="O169" t="s">
        <v>994</v>
      </c>
      <c r="P169" s="243">
        <f t="shared" si="24"/>
        <v>238545867.86408961</v>
      </c>
      <c r="S169">
        <v>1580</v>
      </c>
      <c r="T169" t="s">
        <v>261</v>
      </c>
      <c r="U169" t="s">
        <v>994</v>
      </c>
      <c r="V169" s="176">
        <v>36351056.787776001</v>
      </c>
      <c r="W169" s="176">
        <v>308004666.389952</v>
      </c>
      <c r="X169" s="176">
        <v>9054800</v>
      </c>
      <c r="Y169" s="176">
        <v>13244001.779999999</v>
      </c>
      <c r="Z169" s="176"/>
      <c r="AA169">
        <v>1580</v>
      </c>
      <c r="AB169" s="176" t="s">
        <v>261</v>
      </c>
      <c r="AC169" s="176" t="s">
        <v>994</v>
      </c>
      <c r="AD169" s="176">
        <v>36351056.787776001</v>
      </c>
      <c r="AE169" s="176">
        <v>308004666.389952</v>
      </c>
      <c r="AF169">
        <v>9054800</v>
      </c>
      <c r="AG169" s="176">
        <v>13244001.779999999</v>
      </c>
      <c r="AH169" s="342" t="str">
        <f t="shared" si="18"/>
        <v/>
      </c>
      <c r="AI169">
        <v>1580</v>
      </c>
      <c r="AJ169" t="s">
        <v>261</v>
      </c>
      <c r="AK169" t="s">
        <v>994</v>
      </c>
      <c r="AL169" s="245">
        <f t="shared" si="19"/>
        <v>65431902.217996806</v>
      </c>
      <c r="AM169" s="245">
        <f t="shared" si="20"/>
        <v>554408399.50191355</v>
      </c>
      <c r="AN169" s="245">
        <f t="shared" si="21"/>
        <v>16298640</v>
      </c>
      <c r="AO169" s="245">
        <f t="shared" si="22"/>
        <v>23839203.204</v>
      </c>
      <c r="AP169" s="176"/>
      <c r="AQ169" s="176"/>
      <c r="AR169">
        <v>1580</v>
      </c>
      <c r="AS169" t="s">
        <v>261</v>
      </c>
      <c r="AT169" t="s">
        <v>994</v>
      </c>
      <c r="AU169" s="176">
        <v>24031576.086658999</v>
      </c>
      <c r="AW169">
        <v>1580</v>
      </c>
      <c r="AX169" t="s">
        <v>261</v>
      </c>
      <c r="AY169" t="s">
        <v>994</v>
      </c>
      <c r="AZ169" s="176">
        <v>43710333.087771997</v>
      </c>
      <c r="BA169" s="342" t="str">
        <f t="shared" si="25"/>
        <v/>
      </c>
      <c r="BB169">
        <v>1580</v>
      </c>
      <c r="BC169" t="s">
        <v>261</v>
      </c>
      <c r="BD169" t="s">
        <v>994</v>
      </c>
      <c r="BE169" s="243">
        <f t="shared" si="26"/>
        <v>58999842.5568766</v>
      </c>
    </row>
    <row r="170" spans="1:57">
      <c r="A170">
        <v>1590</v>
      </c>
      <c r="B170" t="s">
        <v>262</v>
      </c>
      <c r="C170" t="s">
        <v>1705</v>
      </c>
      <c r="D170" s="176">
        <v>60448742.839951999</v>
      </c>
      <c r="E170">
        <v>0</v>
      </c>
      <c r="G170">
        <v>1590</v>
      </c>
      <c r="H170" t="s">
        <v>262</v>
      </c>
      <c r="I170" t="s">
        <v>1705</v>
      </c>
      <c r="J170" s="176">
        <v>75458669.061097994</v>
      </c>
      <c r="K170">
        <v>0</v>
      </c>
      <c r="L170" s="342" t="str">
        <f t="shared" si="23"/>
        <v/>
      </c>
      <c r="M170">
        <v>1590</v>
      </c>
      <c r="N170" t="s">
        <v>262</v>
      </c>
      <c r="O170" t="s">
        <v>1705</v>
      </c>
      <c r="P170" s="243">
        <f t="shared" si="24"/>
        <v>120815678.0888304</v>
      </c>
      <c r="S170">
        <v>1590</v>
      </c>
      <c r="T170" t="s">
        <v>262</v>
      </c>
      <c r="U170" t="s">
        <v>1705</v>
      </c>
      <c r="V170" s="176">
        <v>8208031.8377759997</v>
      </c>
      <c r="W170" s="176">
        <v>55639558.029972002</v>
      </c>
      <c r="X170" s="176">
        <v>547000</v>
      </c>
      <c r="Y170" s="176">
        <v>2866526.6666660002</v>
      </c>
      <c r="Z170" s="176"/>
      <c r="AA170">
        <v>1590</v>
      </c>
      <c r="AB170" s="176" t="s">
        <v>262</v>
      </c>
      <c r="AC170" s="176" t="s">
        <v>1705</v>
      </c>
      <c r="AD170" s="176">
        <v>8208031.8377759997</v>
      </c>
      <c r="AE170" s="176">
        <v>55639558.029972002</v>
      </c>
      <c r="AF170" s="176">
        <v>547000</v>
      </c>
      <c r="AG170" s="176">
        <v>2866526.6666660002</v>
      </c>
      <c r="AH170" s="342" t="str">
        <f t="shared" si="18"/>
        <v/>
      </c>
      <c r="AI170">
        <v>1590</v>
      </c>
      <c r="AJ170" t="s">
        <v>262</v>
      </c>
      <c r="AK170" t="s">
        <v>1705</v>
      </c>
      <c r="AL170" s="245">
        <f t="shared" si="19"/>
        <v>14774457.3079968</v>
      </c>
      <c r="AM170" s="245">
        <f t="shared" si="20"/>
        <v>100151204.4539496</v>
      </c>
      <c r="AN170" s="245">
        <f t="shared" si="21"/>
        <v>984600</v>
      </c>
      <c r="AO170" s="245">
        <f t="shared" si="22"/>
        <v>5159747.9999988005</v>
      </c>
      <c r="AP170" s="176"/>
      <c r="AQ170" s="176"/>
      <c r="AR170">
        <v>1590</v>
      </c>
      <c r="AS170" t="s">
        <v>262</v>
      </c>
      <c r="AT170" t="s">
        <v>1705</v>
      </c>
      <c r="AU170" s="176">
        <v>4596820.3999969997</v>
      </c>
      <c r="AW170">
        <v>1590</v>
      </c>
      <c r="AX170" t="s">
        <v>262</v>
      </c>
      <c r="AY170" t="s">
        <v>1705</v>
      </c>
      <c r="AZ170" s="176">
        <v>2441392.67</v>
      </c>
      <c r="BA170" s="342" t="str">
        <f t="shared" si="25"/>
        <v/>
      </c>
      <c r="BB170">
        <v>1590</v>
      </c>
      <c r="BC170" t="s">
        <v>262</v>
      </c>
      <c r="BD170" t="s">
        <v>1705</v>
      </c>
      <c r="BE170" s="243">
        <f t="shared" si="26"/>
        <v>6549934.5359969996</v>
      </c>
    </row>
    <row r="171" spans="1:57">
      <c r="A171">
        <v>1590</v>
      </c>
      <c r="B171" t="s">
        <v>262</v>
      </c>
      <c r="C171" t="s">
        <v>999</v>
      </c>
      <c r="D171" s="176">
        <v>111329919.749955</v>
      </c>
      <c r="E171">
        <v>0</v>
      </c>
      <c r="G171">
        <v>1590</v>
      </c>
      <c r="H171" t="s">
        <v>262</v>
      </c>
      <c r="I171" t="s">
        <v>999</v>
      </c>
      <c r="J171" s="176">
        <v>128773960.522209</v>
      </c>
      <c r="K171">
        <v>0</v>
      </c>
      <c r="L171" s="342" t="str">
        <f t="shared" si="23"/>
        <v/>
      </c>
      <c r="M171">
        <v>1590</v>
      </c>
      <c r="N171" t="s">
        <v>262</v>
      </c>
      <c r="O171" t="s">
        <v>999</v>
      </c>
      <c r="P171" s="243">
        <f t="shared" si="24"/>
        <v>214349088.16772223</v>
      </c>
      <c r="S171">
        <v>1590</v>
      </c>
      <c r="T171" t="s">
        <v>262</v>
      </c>
      <c r="U171" t="s">
        <v>999</v>
      </c>
      <c r="V171" s="176">
        <v>27538259.536664002</v>
      </c>
      <c r="W171" s="176">
        <v>101394600.197762</v>
      </c>
      <c r="X171" s="176">
        <v>1222400</v>
      </c>
      <c r="Y171" s="176">
        <v>8872316.6666659992</v>
      </c>
      <c r="Z171" s="176"/>
      <c r="AA171">
        <v>1590</v>
      </c>
      <c r="AB171" s="176" t="s">
        <v>262</v>
      </c>
      <c r="AC171" s="176" t="s">
        <v>999</v>
      </c>
      <c r="AD171" s="176">
        <v>27538259.536664002</v>
      </c>
      <c r="AE171" s="176">
        <v>101394600.197762</v>
      </c>
      <c r="AF171">
        <v>1222400</v>
      </c>
      <c r="AG171" s="176">
        <v>8872316.6666659992</v>
      </c>
      <c r="AH171" s="342" t="str">
        <f t="shared" si="18"/>
        <v/>
      </c>
      <c r="AI171">
        <v>1590</v>
      </c>
      <c r="AJ171" t="s">
        <v>262</v>
      </c>
      <c r="AK171" t="s">
        <v>999</v>
      </c>
      <c r="AL171" s="245">
        <f t="shared" si="19"/>
        <v>49568867.165995203</v>
      </c>
      <c r="AM171" s="245">
        <f t="shared" si="20"/>
        <v>182510280.3559716</v>
      </c>
      <c r="AN171" s="245">
        <f t="shared" si="21"/>
        <v>2200320</v>
      </c>
      <c r="AO171" s="245">
        <f t="shared" si="22"/>
        <v>15970169.999998799</v>
      </c>
      <c r="AP171" s="176"/>
      <c r="AQ171" s="176"/>
      <c r="AR171">
        <v>1590</v>
      </c>
      <c r="AS171" t="s">
        <v>262</v>
      </c>
      <c r="AT171" t="s">
        <v>999</v>
      </c>
      <c r="AU171" s="176">
        <v>106916203.227768</v>
      </c>
      <c r="AW171">
        <v>1590</v>
      </c>
      <c r="AX171" t="s">
        <v>262</v>
      </c>
      <c r="AY171" t="s">
        <v>999</v>
      </c>
      <c r="AZ171" s="176">
        <v>71411594.969993994</v>
      </c>
      <c r="BA171" s="342" t="str">
        <f t="shared" si="25"/>
        <v/>
      </c>
      <c r="BB171">
        <v>1590</v>
      </c>
      <c r="BC171" t="s">
        <v>262</v>
      </c>
      <c r="BD171" t="s">
        <v>999</v>
      </c>
      <c r="BE171" s="243">
        <f t="shared" si="26"/>
        <v>164045479.20376319</v>
      </c>
    </row>
    <row r="172" spans="1:57">
      <c r="A172">
        <v>1590</v>
      </c>
      <c r="B172" t="s">
        <v>262</v>
      </c>
      <c r="C172" t="s">
        <v>997</v>
      </c>
      <c r="D172" s="176">
        <v>257725031.38327801</v>
      </c>
      <c r="E172">
        <v>0</v>
      </c>
      <c r="G172">
        <v>1590</v>
      </c>
      <c r="H172" t="s">
        <v>262</v>
      </c>
      <c r="I172" t="s">
        <v>997</v>
      </c>
      <c r="J172" s="176">
        <v>32140770.343320999</v>
      </c>
      <c r="K172">
        <v>0</v>
      </c>
      <c r="L172" s="342" t="str">
        <f t="shared" si="23"/>
        <v/>
      </c>
      <c r="M172">
        <v>1590</v>
      </c>
      <c r="N172" t="s">
        <v>262</v>
      </c>
      <c r="O172" t="s">
        <v>997</v>
      </c>
      <c r="P172" s="243">
        <f t="shared" si="24"/>
        <v>283437647.65793478</v>
      </c>
      <c r="S172">
        <v>1590</v>
      </c>
      <c r="T172" t="s">
        <v>262</v>
      </c>
      <c r="U172" t="s">
        <v>997</v>
      </c>
      <c r="V172" s="176">
        <v>20202902.359999999</v>
      </c>
      <c r="W172" s="176">
        <v>86990389.384423003</v>
      </c>
      <c r="X172" s="176">
        <v>0</v>
      </c>
      <c r="Y172" s="176">
        <v>7998199.9999980005</v>
      </c>
      <c r="Z172" s="176"/>
      <c r="AA172">
        <v>1590</v>
      </c>
      <c r="AB172" s="176" t="s">
        <v>262</v>
      </c>
      <c r="AC172" s="176" t="s">
        <v>997</v>
      </c>
      <c r="AD172" s="176">
        <v>20202902.359999999</v>
      </c>
      <c r="AE172" s="176">
        <v>86990389.384423003</v>
      </c>
      <c r="AF172" s="176">
        <v>0</v>
      </c>
      <c r="AG172" s="176">
        <v>7998199.9999980005</v>
      </c>
      <c r="AH172" s="342" t="str">
        <f t="shared" si="18"/>
        <v/>
      </c>
      <c r="AI172">
        <v>1590</v>
      </c>
      <c r="AJ172" t="s">
        <v>262</v>
      </c>
      <c r="AK172" t="s">
        <v>997</v>
      </c>
      <c r="AL172" s="245">
        <f t="shared" si="19"/>
        <v>36365224.247999996</v>
      </c>
      <c r="AM172" s="245">
        <f t="shared" si="20"/>
        <v>156582700.8919614</v>
      </c>
      <c r="AN172" s="245">
        <f t="shared" si="21"/>
        <v>0</v>
      </c>
      <c r="AO172" s="245">
        <f t="shared" si="22"/>
        <v>14396759.999996401</v>
      </c>
      <c r="AP172" s="176"/>
      <c r="AQ172" s="176"/>
      <c r="AR172">
        <v>1590</v>
      </c>
      <c r="AS172" t="s">
        <v>262</v>
      </c>
      <c r="AT172" t="s">
        <v>997</v>
      </c>
      <c r="AU172" s="176">
        <v>35394684.098875999</v>
      </c>
      <c r="AW172">
        <v>1590</v>
      </c>
      <c r="AX172" t="s">
        <v>262</v>
      </c>
      <c r="AY172" t="s">
        <v>997</v>
      </c>
      <c r="AZ172" s="176">
        <v>13173477.009997999</v>
      </c>
      <c r="BA172" s="342" t="str">
        <f t="shared" si="25"/>
        <v/>
      </c>
      <c r="BB172">
        <v>1590</v>
      </c>
      <c r="BC172" t="s">
        <v>262</v>
      </c>
      <c r="BD172" t="s">
        <v>997</v>
      </c>
      <c r="BE172" s="243">
        <f t="shared" si="26"/>
        <v>45933465.7068744</v>
      </c>
    </row>
    <row r="173" spans="1:57">
      <c r="A173">
        <v>1590</v>
      </c>
      <c r="B173" t="s">
        <v>262</v>
      </c>
      <c r="C173" t="s">
        <v>998</v>
      </c>
      <c r="D173" s="176">
        <v>147699480.68995801</v>
      </c>
      <c r="E173">
        <v>0</v>
      </c>
      <c r="G173">
        <v>1590</v>
      </c>
      <c r="H173" t="s">
        <v>262</v>
      </c>
      <c r="I173" t="s">
        <v>998</v>
      </c>
      <c r="J173" s="176">
        <v>136661772.30665299</v>
      </c>
      <c r="K173">
        <v>0</v>
      </c>
      <c r="L173" s="342" t="str">
        <f t="shared" si="23"/>
        <v/>
      </c>
      <c r="M173">
        <v>1590</v>
      </c>
      <c r="N173" t="s">
        <v>262</v>
      </c>
      <c r="O173" t="s">
        <v>998</v>
      </c>
      <c r="P173" s="243">
        <f t="shared" si="24"/>
        <v>257028898.53528041</v>
      </c>
      <c r="S173">
        <v>1590</v>
      </c>
      <c r="T173" t="s">
        <v>262</v>
      </c>
      <c r="U173" t="s">
        <v>998</v>
      </c>
      <c r="V173" s="176">
        <v>274842593.01666498</v>
      </c>
      <c r="W173" s="176">
        <v>248952457.98440599</v>
      </c>
      <c r="X173" s="176">
        <v>0</v>
      </c>
      <c r="Y173" s="176">
        <v>10674709.506665999</v>
      </c>
      <c r="Z173" s="176"/>
      <c r="AA173">
        <v>1590</v>
      </c>
      <c r="AB173" s="176" t="s">
        <v>262</v>
      </c>
      <c r="AC173" s="176" t="s">
        <v>998</v>
      </c>
      <c r="AD173" s="176">
        <v>274842593.01666498</v>
      </c>
      <c r="AE173" s="176">
        <v>248952457.98440599</v>
      </c>
      <c r="AF173" s="176">
        <v>0</v>
      </c>
      <c r="AG173" s="176">
        <v>10674709.506665999</v>
      </c>
      <c r="AH173" s="342" t="str">
        <f t="shared" si="18"/>
        <v/>
      </c>
      <c r="AI173">
        <v>1590</v>
      </c>
      <c r="AJ173" t="s">
        <v>262</v>
      </c>
      <c r="AK173" t="s">
        <v>998</v>
      </c>
      <c r="AL173" s="245">
        <f t="shared" si="19"/>
        <v>494716667.42999697</v>
      </c>
      <c r="AM173" s="245">
        <f t="shared" si="20"/>
        <v>448114424.37193084</v>
      </c>
      <c r="AN173" s="245">
        <f t="shared" si="21"/>
        <v>0</v>
      </c>
      <c r="AO173" s="245">
        <f t="shared" si="22"/>
        <v>19214477.111998796</v>
      </c>
      <c r="AP173" s="176"/>
      <c r="AQ173" s="176"/>
      <c r="AR173">
        <v>1590</v>
      </c>
      <c r="AS173" t="s">
        <v>262</v>
      </c>
      <c r="AT173" t="s">
        <v>998</v>
      </c>
      <c r="AU173" s="176">
        <v>184265585.988879</v>
      </c>
      <c r="AW173">
        <v>1590</v>
      </c>
      <c r="AX173" t="s">
        <v>262</v>
      </c>
      <c r="AY173" t="s">
        <v>998</v>
      </c>
      <c r="AZ173">
        <v>58554598.688882999</v>
      </c>
      <c r="BA173" s="342" t="str">
        <f t="shared" si="25"/>
        <v/>
      </c>
      <c r="BB173">
        <v>1590</v>
      </c>
      <c r="BC173" t="s">
        <v>262</v>
      </c>
      <c r="BD173" t="s">
        <v>998</v>
      </c>
      <c r="BE173" s="243">
        <f t="shared" si="26"/>
        <v>231109264.93998539</v>
      </c>
    </row>
    <row r="174" spans="1:57">
      <c r="A174">
        <v>1590</v>
      </c>
      <c r="B174" t="s">
        <v>262</v>
      </c>
      <c r="C174" t="s">
        <v>1000</v>
      </c>
      <c r="D174" s="176">
        <v>273078947.62547499</v>
      </c>
      <c r="E174">
        <v>0</v>
      </c>
      <c r="G174">
        <v>1590</v>
      </c>
      <c r="H174" t="s">
        <v>262</v>
      </c>
      <c r="I174" t="s">
        <v>1000</v>
      </c>
      <c r="J174" s="176">
        <v>133032655.77886499</v>
      </c>
      <c r="K174">
        <v>0</v>
      </c>
      <c r="L174" s="342" t="str">
        <f t="shared" si="23"/>
        <v/>
      </c>
      <c r="M174">
        <v>1590</v>
      </c>
      <c r="N174" t="s">
        <v>262</v>
      </c>
      <c r="O174" t="s">
        <v>1000</v>
      </c>
      <c r="P174" s="243">
        <f t="shared" si="24"/>
        <v>379505072.24856699</v>
      </c>
      <c r="S174">
        <v>1590</v>
      </c>
      <c r="T174" t="s">
        <v>262</v>
      </c>
      <c r="U174" t="s">
        <v>1000</v>
      </c>
      <c r="V174" s="176">
        <v>90542757.196661994</v>
      </c>
      <c r="W174" s="176">
        <v>277209789.39551097</v>
      </c>
      <c r="X174" s="176">
        <v>0</v>
      </c>
      <c r="Y174" s="176">
        <v>22803144.057776</v>
      </c>
      <c r="Z174" s="176"/>
      <c r="AA174">
        <v>1590</v>
      </c>
      <c r="AB174" s="176" t="s">
        <v>262</v>
      </c>
      <c r="AC174" s="176" t="s">
        <v>1000</v>
      </c>
      <c r="AD174" s="176">
        <v>90542757.196661994</v>
      </c>
      <c r="AE174" s="176">
        <v>277209789.39551097</v>
      </c>
      <c r="AF174" s="176">
        <v>0</v>
      </c>
      <c r="AG174" s="176">
        <v>22803144.057776</v>
      </c>
      <c r="AH174" s="342" t="str">
        <f t="shared" si="18"/>
        <v/>
      </c>
      <c r="AI174">
        <v>1590</v>
      </c>
      <c r="AJ174" t="s">
        <v>262</v>
      </c>
      <c r="AK174" t="s">
        <v>1000</v>
      </c>
      <c r="AL174" s="245">
        <f t="shared" si="19"/>
        <v>162976962.95399159</v>
      </c>
      <c r="AM174" s="245">
        <f t="shared" si="20"/>
        <v>498977620.91191977</v>
      </c>
      <c r="AN174" s="245">
        <f t="shared" si="21"/>
        <v>0</v>
      </c>
      <c r="AO174" s="245">
        <f t="shared" si="22"/>
        <v>41045659.303996801</v>
      </c>
      <c r="AP174" s="176"/>
      <c r="AQ174" s="176"/>
      <c r="AR174">
        <v>1590</v>
      </c>
      <c r="AS174" t="s">
        <v>262</v>
      </c>
      <c r="AT174" t="s">
        <v>1000</v>
      </c>
      <c r="AU174" s="176">
        <v>108283380.108871</v>
      </c>
      <c r="AW174">
        <v>1590</v>
      </c>
      <c r="AX174" t="s">
        <v>262</v>
      </c>
      <c r="AY174" t="s">
        <v>1000</v>
      </c>
      <c r="AZ174" s="176">
        <v>166641135.48888201</v>
      </c>
      <c r="BA174" s="342" t="str">
        <f t="shared" si="25"/>
        <v/>
      </c>
      <c r="BB174">
        <v>1590</v>
      </c>
      <c r="BC174" t="s">
        <v>262</v>
      </c>
      <c r="BD174" t="s">
        <v>1000</v>
      </c>
      <c r="BE174" s="243">
        <f t="shared" si="26"/>
        <v>241596288.49997661</v>
      </c>
    </row>
    <row r="175" spans="1:57">
      <c r="A175">
        <v>1590</v>
      </c>
      <c r="B175" t="s">
        <v>262</v>
      </c>
      <c r="C175" t="s">
        <v>1555</v>
      </c>
      <c r="D175" s="176">
        <v>120882456.37217499</v>
      </c>
      <c r="E175">
        <v>0</v>
      </c>
      <c r="G175">
        <v>1590</v>
      </c>
      <c r="H175" t="s">
        <v>262</v>
      </c>
      <c r="I175" t="s">
        <v>1555</v>
      </c>
      <c r="J175" s="176">
        <v>90391053.511090994</v>
      </c>
      <c r="K175">
        <v>0</v>
      </c>
      <c r="L175" s="342" t="str">
        <f t="shared" si="23"/>
        <v/>
      </c>
      <c r="M175">
        <v>1590</v>
      </c>
      <c r="N175" t="s">
        <v>262</v>
      </c>
      <c r="O175" t="s">
        <v>1555</v>
      </c>
      <c r="P175" s="243">
        <f t="shared" si="24"/>
        <v>193195299.1810478</v>
      </c>
      <c r="S175">
        <v>1590</v>
      </c>
      <c r="T175" t="s">
        <v>262</v>
      </c>
      <c r="U175" t="s">
        <v>1555</v>
      </c>
      <c r="V175" s="176">
        <v>31457448.831110001</v>
      </c>
      <c r="W175" s="176">
        <v>96094515.119973004</v>
      </c>
      <c r="X175" s="176">
        <v>500000</v>
      </c>
      <c r="Y175" s="176">
        <v>1626149.999999</v>
      </c>
      <c r="Z175" s="176"/>
      <c r="AA175">
        <v>1590</v>
      </c>
      <c r="AB175" s="176" t="s">
        <v>262</v>
      </c>
      <c r="AC175" s="176" t="s">
        <v>1555</v>
      </c>
      <c r="AD175" s="176">
        <v>31457448.831110001</v>
      </c>
      <c r="AE175" s="176">
        <v>96094515.119973004</v>
      </c>
      <c r="AF175" s="176">
        <v>500000</v>
      </c>
      <c r="AG175" s="176">
        <v>1626149.999999</v>
      </c>
      <c r="AH175" s="342" t="str">
        <f t="shared" si="18"/>
        <v/>
      </c>
      <c r="AI175">
        <v>1590</v>
      </c>
      <c r="AJ175" t="s">
        <v>262</v>
      </c>
      <c r="AK175" t="s">
        <v>1555</v>
      </c>
      <c r="AL175" s="245">
        <f t="shared" si="19"/>
        <v>56623407.895998001</v>
      </c>
      <c r="AM175" s="245">
        <f t="shared" si="20"/>
        <v>172970127.21595141</v>
      </c>
      <c r="AN175" s="245">
        <f t="shared" si="21"/>
        <v>900000</v>
      </c>
      <c r="AO175" s="245">
        <f t="shared" si="22"/>
        <v>2927069.9999981998</v>
      </c>
      <c r="AP175" s="176"/>
      <c r="AQ175" s="176"/>
      <c r="AR175">
        <v>1590</v>
      </c>
      <c r="AS175" t="s">
        <v>262</v>
      </c>
      <c r="AT175" t="s">
        <v>1555</v>
      </c>
      <c r="AU175" s="176">
        <v>47989017.483319998</v>
      </c>
      <c r="AW175">
        <v>1590</v>
      </c>
      <c r="AX175" t="s">
        <v>262</v>
      </c>
      <c r="AY175" t="s">
        <v>1555</v>
      </c>
      <c r="AZ175" s="176">
        <v>39374171.038884997</v>
      </c>
      <c r="BA175" s="342" t="str">
        <f t="shared" si="25"/>
        <v/>
      </c>
      <c r="BB175">
        <v>1590</v>
      </c>
      <c r="BC175" t="s">
        <v>262</v>
      </c>
      <c r="BD175" t="s">
        <v>1555</v>
      </c>
      <c r="BE175" s="243">
        <f t="shared" si="26"/>
        <v>79488354.314428002</v>
      </c>
    </row>
    <row r="176" spans="1:57">
      <c r="A176">
        <v>1600</v>
      </c>
      <c r="B176" t="s">
        <v>263</v>
      </c>
      <c r="C176" t="s">
        <v>1001</v>
      </c>
      <c r="D176" s="176">
        <v>304270047.448717</v>
      </c>
      <c r="E176">
        <v>0</v>
      </c>
      <c r="G176">
        <v>1600</v>
      </c>
      <c r="H176" t="s">
        <v>263</v>
      </c>
      <c r="I176" t="s">
        <v>1001</v>
      </c>
      <c r="J176" s="176">
        <v>257948122.09439999</v>
      </c>
      <c r="K176">
        <v>0</v>
      </c>
      <c r="L176" s="342" t="str">
        <f t="shared" si="23"/>
        <v/>
      </c>
      <c r="M176">
        <v>1600</v>
      </c>
      <c r="N176" t="s">
        <v>263</v>
      </c>
      <c r="O176" t="s">
        <v>1001</v>
      </c>
      <c r="P176" s="243">
        <f t="shared" si="24"/>
        <v>510628545.124237</v>
      </c>
      <c r="S176">
        <v>1600</v>
      </c>
      <c r="T176" t="s">
        <v>263</v>
      </c>
      <c r="U176" t="s">
        <v>1001</v>
      </c>
      <c r="V176" s="176">
        <v>119133604.53221799</v>
      </c>
      <c r="W176" s="176">
        <v>413286326.05659598</v>
      </c>
      <c r="X176" s="176">
        <v>6500000</v>
      </c>
      <c r="Y176" s="176">
        <v>27537574.999998</v>
      </c>
      <c r="Z176" s="176"/>
      <c r="AA176">
        <v>1600</v>
      </c>
      <c r="AB176" s="176" t="s">
        <v>263</v>
      </c>
      <c r="AC176" s="176" t="s">
        <v>1001</v>
      </c>
      <c r="AD176" s="176">
        <v>119133604.53221799</v>
      </c>
      <c r="AE176" s="176">
        <v>413286326.05659598</v>
      </c>
      <c r="AF176" s="176">
        <v>6500000</v>
      </c>
      <c r="AG176" s="176">
        <v>27537574.999998</v>
      </c>
      <c r="AH176" s="342" t="str">
        <f t="shared" si="18"/>
        <v/>
      </c>
      <c r="AI176">
        <v>1600</v>
      </c>
      <c r="AJ176" t="s">
        <v>263</v>
      </c>
      <c r="AK176" t="s">
        <v>1001</v>
      </c>
      <c r="AL176" s="245">
        <f t="shared" si="19"/>
        <v>214440488.15799239</v>
      </c>
      <c r="AM176" s="245">
        <f t="shared" si="20"/>
        <v>743915386.90187287</v>
      </c>
      <c r="AN176" s="245">
        <f t="shared" si="21"/>
        <v>11700000</v>
      </c>
      <c r="AO176" s="245">
        <f t="shared" si="22"/>
        <v>49567634.999996401</v>
      </c>
      <c r="AP176" s="176"/>
      <c r="AQ176" s="176"/>
      <c r="AR176">
        <v>1600</v>
      </c>
      <c r="AS176" t="s">
        <v>263</v>
      </c>
      <c r="AT176" t="s">
        <v>1001</v>
      </c>
      <c r="AU176" s="176">
        <v>31530473.398876</v>
      </c>
      <c r="AW176">
        <v>1600</v>
      </c>
      <c r="AX176" t="s">
        <v>263</v>
      </c>
      <c r="AY176" t="s">
        <v>1001</v>
      </c>
      <c r="AZ176" s="176">
        <v>28873564.502218999</v>
      </c>
      <c r="BA176" s="342" t="str">
        <f t="shared" si="25"/>
        <v/>
      </c>
      <c r="BB176">
        <v>1600</v>
      </c>
      <c r="BC176" t="s">
        <v>263</v>
      </c>
      <c r="BD176" t="s">
        <v>1001</v>
      </c>
      <c r="BE176" s="243">
        <f t="shared" si="26"/>
        <v>54629325.000651196</v>
      </c>
    </row>
    <row r="177" spans="1:57">
      <c r="A177">
        <v>1600</v>
      </c>
      <c r="B177" t="s">
        <v>263</v>
      </c>
      <c r="C177" t="s">
        <v>1002</v>
      </c>
      <c r="D177" s="176">
        <v>188053462.95107499</v>
      </c>
      <c r="E177">
        <v>0</v>
      </c>
      <c r="G177">
        <v>1600</v>
      </c>
      <c r="H177" t="s">
        <v>263</v>
      </c>
      <c r="I177" t="s">
        <v>1002</v>
      </c>
      <c r="J177" s="176">
        <v>137756035.70331699</v>
      </c>
      <c r="K177">
        <v>0</v>
      </c>
      <c r="L177" s="342" t="str">
        <f t="shared" si="23"/>
        <v/>
      </c>
      <c r="M177">
        <v>1600</v>
      </c>
      <c r="N177" t="s">
        <v>263</v>
      </c>
      <c r="O177" t="s">
        <v>1002</v>
      </c>
      <c r="P177" s="243">
        <f t="shared" si="24"/>
        <v>298258291.51372862</v>
      </c>
      <c r="S177">
        <v>1600</v>
      </c>
      <c r="T177" t="s">
        <v>263</v>
      </c>
      <c r="U177" t="s">
        <v>1002</v>
      </c>
      <c r="V177" s="176">
        <v>112000304.34333199</v>
      </c>
      <c r="W177" s="176">
        <v>203368156.415519</v>
      </c>
      <c r="X177" s="176">
        <v>0</v>
      </c>
      <c r="Y177" s="176">
        <v>12898610</v>
      </c>
      <c r="Z177" s="176"/>
      <c r="AA177">
        <v>1600</v>
      </c>
      <c r="AB177" s="176" t="s">
        <v>263</v>
      </c>
      <c r="AC177" s="176" t="s">
        <v>1002</v>
      </c>
      <c r="AD177" s="176">
        <v>112000304.34333199</v>
      </c>
      <c r="AE177" s="176">
        <v>203368156.415519</v>
      </c>
      <c r="AF177" s="176">
        <v>0</v>
      </c>
      <c r="AG177" s="176">
        <v>12898610</v>
      </c>
      <c r="AH177" s="342" t="str">
        <f t="shared" si="18"/>
        <v/>
      </c>
      <c r="AI177">
        <v>1600</v>
      </c>
      <c r="AJ177" t="s">
        <v>263</v>
      </c>
      <c r="AK177" t="s">
        <v>1002</v>
      </c>
      <c r="AL177" s="245">
        <f t="shared" si="19"/>
        <v>201600547.81799757</v>
      </c>
      <c r="AM177" s="245">
        <f t="shared" si="20"/>
        <v>366062681.54793417</v>
      </c>
      <c r="AN177" s="245">
        <f t="shared" si="21"/>
        <v>0</v>
      </c>
      <c r="AO177" s="245">
        <f t="shared" si="22"/>
        <v>23217498</v>
      </c>
      <c r="AP177" s="176"/>
      <c r="AQ177" s="176"/>
      <c r="AR177">
        <v>1600</v>
      </c>
      <c r="AS177" t="s">
        <v>263</v>
      </c>
      <c r="AT177" t="s">
        <v>1002</v>
      </c>
      <c r="AU177" s="176">
        <v>45232746.656657003</v>
      </c>
      <c r="AW177">
        <v>1600</v>
      </c>
      <c r="AX177" t="s">
        <v>263</v>
      </c>
      <c r="AY177" t="s">
        <v>1002</v>
      </c>
      <c r="AZ177" s="176">
        <v>63964982.946661003</v>
      </c>
      <c r="BA177" s="342" t="str">
        <f t="shared" si="25"/>
        <v/>
      </c>
      <c r="BB177">
        <v>1600</v>
      </c>
      <c r="BC177" t="s">
        <v>263</v>
      </c>
      <c r="BD177" t="s">
        <v>1002</v>
      </c>
      <c r="BE177" s="243">
        <f t="shared" si="26"/>
        <v>96404733.013985813</v>
      </c>
    </row>
    <row r="178" spans="1:57">
      <c r="A178">
        <v>1600</v>
      </c>
      <c r="B178" t="s">
        <v>263</v>
      </c>
      <c r="C178" t="s">
        <v>1052</v>
      </c>
      <c r="D178" s="176">
        <v>85789719.138835996</v>
      </c>
      <c r="E178">
        <v>0</v>
      </c>
      <c r="G178">
        <v>1600</v>
      </c>
      <c r="H178" t="s">
        <v>263</v>
      </c>
      <c r="I178" t="s">
        <v>1052</v>
      </c>
      <c r="J178" s="176">
        <v>28455843.634431001</v>
      </c>
      <c r="K178">
        <v>0</v>
      </c>
      <c r="L178" s="342" t="str">
        <f t="shared" si="23"/>
        <v/>
      </c>
      <c r="M178">
        <v>1600</v>
      </c>
      <c r="N178" t="s">
        <v>263</v>
      </c>
      <c r="O178" t="s">
        <v>1052</v>
      </c>
      <c r="P178" s="243">
        <f t="shared" si="24"/>
        <v>108554394.0463808</v>
      </c>
      <c r="S178">
        <v>1600</v>
      </c>
      <c r="T178" t="s">
        <v>263</v>
      </c>
      <c r="U178" t="s">
        <v>1052</v>
      </c>
      <c r="V178" s="176">
        <v>18575421.682220001</v>
      </c>
      <c r="W178" s="176">
        <v>143013313.37551501</v>
      </c>
      <c r="X178" s="176">
        <v>1000000</v>
      </c>
      <c r="Y178" s="176">
        <v>1321756.6666659999</v>
      </c>
      <c r="Z178" s="176"/>
      <c r="AA178">
        <v>1600</v>
      </c>
      <c r="AB178" s="176" t="s">
        <v>263</v>
      </c>
      <c r="AC178" s="176" t="s">
        <v>1052</v>
      </c>
      <c r="AD178" s="176">
        <v>18575421.682220001</v>
      </c>
      <c r="AE178" s="176">
        <v>143013313.37551501</v>
      </c>
      <c r="AF178" s="176">
        <v>1000000</v>
      </c>
      <c r="AG178" s="176">
        <v>1321756.6666659999</v>
      </c>
      <c r="AH178" s="342" t="str">
        <f t="shared" si="18"/>
        <v/>
      </c>
      <c r="AI178">
        <v>1600</v>
      </c>
      <c r="AJ178" t="s">
        <v>263</v>
      </c>
      <c r="AK178" t="s">
        <v>1052</v>
      </c>
      <c r="AL178" s="245">
        <f t="shared" si="19"/>
        <v>33435759.027996004</v>
      </c>
      <c r="AM178" s="245">
        <f t="shared" si="20"/>
        <v>257423964.07592702</v>
      </c>
      <c r="AN178" s="245">
        <f t="shared" si="21"/>
        <v>1800000</v>
      </c>
      <c r="AO178" s="245">
        <f t="shared" si="22"/>
        <v>2379161.9999988</v>
      </c>
      <c r="AP178" s="176"/>
      <c r="AQ178" s="176"/>
      <c r="AR178">
        <v>1600</v>
      </c>
      <c r="AS178" t="s">
        <v>263</v>
      </c>
      <c r="AT178" t="s">
        <v>1052</v>
      </c>
      <c r="AU178" s="176">
        <v>10188825.022216</v>
      </c>
      <c r="AW178">
        <v>1600</v>
      </c>
      <c r="AX178" t="s">
        <v>263</v>
      </c>
      <c r="AY178" t="s">
        <v>1052</v>
      </c>
      <c r="AZ178" s="176">
        <v>15012380.036664</v>
      </c>
      <c r="BA178" s="342" t="str">
        <f t="shared" si="25"/>
        <v/>
      </c>
      <c r="BB178">
        <v>1600</v>
      </c>
      <c r="BC178" t="s">
        <v>263</v>
      </c>
      <c r="BD178" t="s">
        <v>1052</v>
      </c>
      <c r="BE178" s="243">
        <f t="shared" si="26"/>
        <v>22198729.051547199</v>
      </c>
    </row>
    <row r="179" spans="1:57">
      <c r="A179">
        <v>1610</v>
      </c>
      <c r="B179" t="s">
        <v>264</v>
      </c>
      <c r="C179" t="s">
        <v>1005</v>
      </c>
      <c r="D179" s="176">
        <v>220954386.84658301</v>
      </c>
      <c r="E179">
        <v>0</v>
      </c>
      <c r="G179">
        <v>1610</v>
      </c>
      <c r="H179" t="s">
        <v>264</v>
      </c>
      <c r="I179" t="s">
        <v>1005</v>
      </c>
      <c r="J179" s="176">
        <v>131051081.96887299</v>
      </c>
      <c r="K179">
        <v>0</v>
      </c>
      <c r="L179" s="342" t="str">
        <f t="shared" si="23"/>
        <v/>
      </c>
      <c r="M179">
        <v>1610</v>
      </c>
      <c r="N179" t="s">
        <v>264</v>
      </c>
      <c r="O179" t="s">
        <v>1005</v>
      </c>
      <c r="P179" s="243">
        <f t="shared" si="24"/>
        <v>325795252.4216814</v>
      </c>
      <c r="S179">
        <v>1610</v>
      </c>
      <c r="T179" t="s">
        <v>264</v>
      </c>
      <c r="U179" t="s">
        <v>1005</v>
      </c>
      <c r="V179" s="176">
        <v>43035677.559997998</v>
      </c>
      <c r="W179" s="176">
        <v>363238801.82663298</v>
      </c>
      <c r="X179" s="176">
        <v>1630750</v>
      </c>
      <c r="Y179" s="176">
        <v>35626303.44444</v>
      </c>
      <c r="Z179" s="176"/>
      <c r="AA179">
        <v>1610</v>
      </c>
      <c r="AB179" s="176" t="s">
        <v>264</v>
      </c>
      <c r="AC179" s="176" t="s">
        <v>1005</v>
      </c>
      <c r="AD179" s="176">
        <v>43035677.559997998</v>
      </c>
      <c r="AE179" s="176">
        <v>363238801.82663298</v>
      </c>
      <c r="AF179" s="176">
        <v>1630750</v>
      </c>
      <c r="AG179" s="176">
        <v>35626303.44444</v>
      </c>
      <c r="AH179" s="342" t="str">
        <f t="shared" si="18"/>
        <v/>
      </c>
      <c r="AI179">
        <v>1610</v>
      </c>
      <c r="AJ179" t="s">
        <v>264</v>
      </c>
      <c r="AK179" t="s">
        <v>1005</v>
      </c>
      <c r="AL179" s="245">
        <f t="shared" si="19"/>
        <v>77464219.607996404</v>
      </c>
      <c r="AM179" s="245">
        <f t="shared" si="20"/>
        <v>653829843.28793931</v>
      </c>
      <c r="AN179" s="245">
        <f t="shared" si="21"/>
        <v>2935350</v>
      </c>
      <c r="AO179" s="245">
        <f t="shared" si="22"/>
        <v>64127346.199992001</v>
      </c>
      <c r="AP179" s="176"/>
      <c r="AQ179" s="176"/>
      <c r="AR179">
        <v>1610</v>
      </c>
      <c r="AS179" t="s">
        <v>264</v>
      </c>
      <c r="AT179" t="s">
        <v>1005</v>
      </c>
      <c r="AU179" s="176">
        <v>109857212.89109001</v>
      </c>
      <c r="AW179">
        <v>1610</v>
      </c>
      <c r="AX179" t="s">
        <v>264</v>
      </c>
      <c r="AY179" t="s">
        <v>1005</v>
      </c>
      <c r="AZ179">
        <v>83439629.437769994</v>
      </c>
      <c r="BA179" s="342" t="str">
        <f t="shared" si="25"/>
        <v/>
      </c>
      <c r="BB179">
        <v>1610</v>
      </c>
      <c r="BC179" t="s">
        <v>264</v>
      </c>
      <c r="BD179" t="s">
        <v>1005</v>
      </c>
      <c r="BE179" s="243">
        <f t="shared" si="26"/>
        <v>176608916.44130599</v>
      </c>
    </row>
    <row r="180" spans="1:57">
      <c r="A180">
        <v>1610</v>
      </c>
      <c r="B180" t="s">
        <v>264</v>
      </c>
      <c r="C180" t="s">
        <v>1943</v>
      </c>
      <c r="D180" s="176">
        <v>227003057.17657101</v>
      </c>
      <c r="E180">
        <v>0</v>
      </c>
      <c r="G180">
        <v>1610</v>
      </c>
      <c r="H180" t="s">
        <v>264</v>
      </c>
      <c r="I180" t="s">
        <v>1943</v>
      </c>
      <c r="J180" s="176">
        <v>107431126.737756</v>
      </c>
      <c r="K180">
        <v>0</v>
      </c>
      <c r="L180" s="342" t="str">
        <f t="shared" si="23"/>
        <v/>
      </c>
      <c r="M180">
        <v>1610</v>
      </c>
      <c r="N180" t="s">
        <v>264</v>
      </c>
      <c r="O180" t="s">
        <v>1943</v>
      </c>
      <c r="P180" s="243">
        <f t="shared" si="24"/>
        <v>312947958.5667758</v>
      </c>
      <c r="S180">
        <v>1610</v>
      </c>
      <c r="T180" t="s">
        <v>264</v>
      </c>
      <c r="U180" t="s">
        <v>1943</v>
      </c>
      <c r="V180" s="176">
        <v>110278344.42110801</v>
      </c>
      <c r="W180" s="176">
        <v>262438228.22885299</v>
      </c>
      <c r="X180" s="176">
        <v>0</v>
      </c>
      <c r="Y180" s="176">
        <v>25275052.333331998</v>
      </c>
      <c r="Z180" s="176"/>
      <c r="AA180">
        <v>1610</v>
      </c>
      <c r="AB180" s="176" t="s">
        <v>264</v>
      </c>
      <c r="AC180" s="176" t="s">
        <v>1943</v>
      </c>
      <c r="AD180" s="176">
        <v>110278344.42110801</v>
      </c>
      <c r="AE180" s="176">
        <v>262438228.22885299</v>
      </c>
      <c r="AF180" s="176">
        <v>0</v>
      </c>
      <c r="AG180" s="176">
        <v>25275052.333331998</v>
      </c>
      <c r="AH180" s="342" t="str">
        <f t="shared" si="18"/>
        <v/>
      </c>
      <c r="AI180">
        <v>1610</v>
      </c>
      <c r="AJ180" t="s">
        <v>264</v>
      </c>
      <c r="AK180" t="s">
        <v>1943</v>
      </c>
      <c r="AL180" s="245">
        <f t="shared" si="19"/>
        <v>198501019.9579944</v>
      </c>
      <c r="AM180" s="245">
        <f t="shared" si="20"/>
        <v>472388810.81193542</v>
      </c>
      <c r="AN180" s="245">
        <f t="shared" si="21"/>
        <v>0</v>
      </c>
      <c r="AO180" s="245">
        <f t="shared" si="22"/>
        <v>45495094.199997604</v>
      </c>
      <c r="AP180" s="176"/>
      <c r="AQ180" s="176"/>
      <c r="AR180">
        <v>1610</v>
      </c>
      <c r="AS180" t="s">
        <v>264</v>
      </c>
      <c r="AT180" t="s">
        <v>1943</v>
      </c>
      <c r="AU180" s="176">
        <v>64777077.206639998</v>
      </c>
      <c r="AW180">
        <v>1610</v>
      </c>
      <c r="AX180" t="s">
        <v>264</v>
      </c>
      <c r="AY180" t="s">
        <v>1943</v>
      </c>
      <c r="AZ180" s="176">
        <v>28036234.218880001</v>
      </c>
      <c r="BA180" s="342" t="str">
        <f t="shared" si="25"/>
        <v/>
      </c>
      <c r="BB180">
        <v>1610</v>
      </c>
      <c r="BC180" t="s">
        <v>264</v>
      </c>
      <c r="BD180" t="s">
        <v>1943</v>
      </c>
      <c r="BE180" s="243">
        <f t="shared" si="26"/>
        <v>87206064.581744</v>
      </c>
    </row>
    <row r="181" spans="1:57">
      <c r="A181">
        <v>1620</v>
      </c>
      <c r="B181" t="s">
        <v>265</v>
      </c>
      <c r="C181" t="s">
        <v>1944</v>
      </c>
      <c r="D181" s="176">
        <v>71682888.945537999</v>
      </c>
      <c r="E181">
        <v>0</v>
      </c>
      <c r="G181">
        <v>1620</v>
      </c>
      <c r="H181" t="s">
        <v>265</v>
      </c>
      <c r="I181" t="s">
        <v>1944</v>
      </c>
      <c r="J181" s="176">
        <v>40000379.263327003</v>
      </c>
      <c r="K181">
        <v>0</v>
      </c>
      <c r="L181" s="342" t="str">
        <f t="shared" si="23"/>
        <v/>
      </c>
      <c r="M181">
        <v>1620</v>
      </c>
      <c r="N181" t="s">
        <v>265</v>
      </c>
      <c r="O181" t="s">
        <v>1944</v>
      </c>
      <c r="P181" s="243">
        <f t="shared" si="24"/>
        <v>103683192.35619961</v>
      </c>
      <c r="S181">
        <v>1620</v>
      </c>
      <c r="T181" t="s">
        <v>265</v>
      </c>
      <c r="U181" t="s">
        <v>1944</v>
      </c>
      <c r="V181" s="176">
        <v>35528844.689999998</v>
      </c>
      <c r="W181" s="176">
        <v>108267312.931104</v>
      </c>
      <c r="X181" s="176">
        <v>2287880</v>
      </c>
      <c r="Y181" s="176">
        <v>47380576.944444001</v>
      </c>
      <c r="Z181" s="176"/>
      <c r="AA181">
        <v>1620</v>
      </c>
      <c r="AB181" s="176" t="s">
        <v>265</v>
      </c>
      <c r="AC181" s="176" t="s">
        <v>1944</v>
      </c>
      <c r="AD181" s="176">
        <v>35528844.689999998</v>
      </c>
      <c r="AE181" s="176">
        <v>108267312.931104</v>
      </c>
      <c r="AF181" s="176">
        <v>2287880</v>
      </c>
      <c r="AG181" s="176">
        <v>47380576.944444001</v>
      </c>
      <c r="AH181" s="342" t="str">
        <f t="shared" si="18"/>
        <v/>
      </c>
      <c r="AI181">
        <v>1620</v>
      </c>
      <c r="AJ181" t="s">
        <v>265</v>
      </c>
      <c r="AK181" t="s">
        <v>1944</v>
      </c>
      <c r="AL181" s="245">
        <f t="shared" si="19"/>
        <v>63951920.442000002</v>
      </c>
      <c r="AM181" s="245">
        <f t="shared" si="20"/>
        <v>194881163.27598721</v>
      </c>
      <c r="AN181" s="245">
        <f t="shared" si="21"/>
        <v>4118184</v>
      </c>
      <c r="AO181" s="245">
        <f t="shared" si="22"/>
        <v>85285038.499999195</v>
      </c>
      <c r="AP181" s="176"/>
      <c r="AQ181" s="176"/>
      <c r="AR181">
        <v>1620</v>
      </c>
      <c r="AS181" t="s">
        <v>265</v>
      </c>
      <c r="AT181" t="s">
        <v>1944</v>
      </c>
      <c r="AU181" s="176">
        <v>8774672.5799959991</v>
      </c>
      <c r="AW181">
        <v>1620</v>
      </c>
      <c r="AX181" t="s">
        <v>265</v>
      </c>
      <c r="AY181" t="s">
        <v>1944</v>
      </c>
      <c r="AZ181" s="176">
        <v>4399982.4655539999</v>
      </c>
      <c r="BA181" s="342" t="str">
        <f t="shared" si="25"/>
        <v/>
      </c>
      <c r="BB181">
        <v>1620</v>
      </c>
      <c r="BC181" t="s">
        <v>265</v>
      </c>
      <c r="BD181" t="s">
        <v>1944</v>
      </c>
      <c r="BE181" s="243">
        <f t="shared" si="26"/>
        <v>12294658.5524392</v>
      </c>
    </row>
    <row r="182" spans="1:57">
      <c r="A182">
        <v>1620</v>
      </c>
      <c r="B182" t="s">
        <v>265</v>
      </c>
      <c r="C182" t="s">
        <v>1009</v>
      </c>
      <c r="D182" s="176">
        <v>322269792.59882998</v>
      </c>
      <c r="E182">
        <v>0</v>
      </c>
      <c r="G182">
        <v>1620</v>
      </c>
      <c r="H182" t="s">
        <v>265</v>
      </c>
      <c r="I182" t="s">
        <v>1009</v>
      </c>
      <c r="J182" s="176">
        <v>199261653.331083</v>
      </c>
      <c r="K182">
        <v>0</v>
      </c>
      <c r="L182" s="342" t="str">
        <f t="shared" si="23"/>
        <v/>
      </c>
      <c r="M182">
        <v>1620</v>
      </c>
      <c r="N182" t="s">
        <v>265</v>
      </c>
      <c r="O182" t="s">
        <v>1009</v>
      </c>
      <c r="P182" s="243">
        <f t="shared" si="24"/>
        <v>481679115.26369643</v>
      </c>
      <c r="S182">
        <v>1620</v>
      </c>
      <c r="T182" t="s">
        <v>265</v>
      </c>
      <c r="U182" t="s">
        <v>1009</v>
      </c>
      <c r="V182" s="176">
        <v>62322597.555555001</v>
      </c>
      <c r="W182" s="176">
        <v>311330427.72663999</v>
      </c>
      <c r="X182" s="176">
        <v>1000000</v>
      </c>
      <c r="Y182" s="176">
        <v>51808946.222218998</v>
      </c>
      <c r="Z182" s="176"/>
      <c r="AA182">
        <v>1620</v>
      </c>
      <c r="AB182" s="176" t="s">
        <v>265</v>
      </c>
      <c r="AC182" s="176" t="s">
        <v>1009</v>
      </c>
      <c r="AD182" s="176">
        <v>62322597.555555001</v>
      </c>
      <c r="AE182" s="176">
        <v>311330427.72663999</v>
      </c>
      <c r="AF182" s="176">
        <v>1000000</v>
      </c>
      <c r="AG182" s="176">
        <v>51808946.222218998</v>
      </c>
      <c r="AH182" s="342" t="str">
        <f t="shared" si="18"/>
        <v/>
      </c>
      <c r="AI182">
        <v>1620</v>
      </c>
      <c r="AJ182" t="s">
        <v>265</v>
      </c>
      <c r="AK182" t="s">
        <v>1009</v>
      </c>
      <c r="AL182" s="245">
        <f t="shared" si="19"/>
        <v>112180675.59999901</v>
      </c>
      <c r="AM182" s="245">
        <f t="shared" si="20"/>
        <v>560394769.90795195</v>
      </c>
      <c r="AN182" s="245">
        <f t="shared" si="21"/>
        <v>1800000</v>
      </c>
      <c r="AO182" s="245">
        <f t="shared" si="22"/>
        <v>93256103.199994206</v>
      </c>
      <c r="AP182" s="176"/>
      <c r="AQ182" s="176"/>
      <c r="AR182">
        <v>1620</v>
      </c>
      <c r="AS182" t="s">
        <v>265</v>
      </c>
      <c r="AT182" t="s">
        <v>1009</v>
      </c>
      <c r="AU182" s="176">
        <v>48285367.161099002</v>
      </c>
      <c r="AW182">
        <v>1620</v>
      </c>
      <c r="AX182" t="s">
        <v>265</v>
      </c>
      <c r="AY182" t="s">
        <v>1009</v>
      </c>
      <c r="AZ182" s="176">
        <v>88602886.595549002</v>
      </c>
      <c r="BA182" s="342" t="str">
        <f t="shared" si="25"/>
        <v/>
      </c>
      <c r="BB182">
        <v>1620</v>
      </c>
      <c r="BC182" t="s">
        <v>265</v>
      </c>
      <c r="BD182" t="s">
        <v>1009</v>
      </c>
      <c r="BE182" s="243">
        <f t="shared" si="26"/>
        <v>119167676.43753821</v>
      </c>
    </row>
    <row r="183" spans="1:57">
      <c r="A183">
        <v>1620</v>
      </c>
      <c r="B183" t="s">
        <v>265</v>
      </c>
      <c r="C183" t="s">
        <v>1008</v>
      </c>
      <c r="D183" s="176">
        <v>537744589.01992702</v>
      </c>
      <c r="E183">
        <v>0</v>
      </c>
      <c r="G183">
        <v>1620</v>
      </c>
      <c r="H183" t="s">
        <v>265</v>
      </c>
      <c r="I183" t="s">
        <v>1008</v>
      </c>
      <c r="J183" s="176">
        <v>293772189.41775399</v>
      </c>
      <c r="K183">
        <v>0</v>
      </c>
      <c r="L183" s="342" t="str">
        <f t="shared" si="23"/>
        <v/>
      </c>
      <c r="M183">
        <v>1620</v>
      </c>
      <c r="N183" t="s">
        <v>265</v>
      </c>
      <c r="O183" t="s">
        <v>1008</v>
      </c>
      <c r="P183" s="243">
        <f t="shared" si="24"/>
        <v>772762340.5541302</v>
      </c>
      <c r="S183">
        <v>1620</v>
      </c>
      <c r="T183" t="s">
        <v>265</v>
      </c>
      <c r="U183" t="s">
        <v>1008</v>
      </c>
      <c r="V183" s="176">
        <v>129813928.548887</v>
      </c>
      <c r="W183" s="176">
        <v>411629816.72107798</v>
      </c>
      <c r="X183" s="176">
        <v>1654099.444444</v>
      </c>
      <c r="Y183" s="176">
        <v>53246441.791110002</v>
      </c>
      <c r="Z183" s="176"/>
      <c r="AA183">
        <v>1620</v>
      </c>
      <c r="AB183" s="176" t="s">
        <v>265</v>
      </c>
      <c r="AC183" s="176" t="s">
        <v>1008</v>
      </c>
      <c r="AD183" s="176">
        <v>129813928.548887</v>
      </c>
      <c r="AE183" s="176">
        <v>411629816.72107798</v>
      </c>
      <c r="AF183" s="176">
        <v>1654099.444444</v>
      </c>
      <c r="AG183" s="176">
        <v>53246441.791110002</v>
      </c>
      <c r="AH183" s="342" t="str">
        <f t="shared" si="18"/>
        <v/>
      </c>
      <c r="AI183">
        <v>1620</v>
      </c>
      <c r="AJ183" t="s">
        <v>265</v>
      </c>
      <c r="AK183" t="s">
        <v>1008</v>
      </c>
      <c r="AL183" s="245">
        <f t="shared" si="19"/>
        <v>233665071.38799661</v>
      </c>
      <c r="AM183" s="245">
        <f t="shared" si="20"/>
        <v>740933670.09794044</v>
      </c>
      <c r="AN183" s="245">
        <f t="shared" si="21"/>
        <v>2977378.9999992</v>
      </c>
      <c r="AO183" s="245">
        <f t="shared" si="22"/>
        <v>95843595.22399801</v>
      </c>
      <c r="AP183" s="176"/>
      <c r="AQ183" s="176"/>
      <c r="AR183">
        <v>1620</v>
      </c>
      <c r="AS183" t="s">
        <v>265</v>
      </c>
      <c r="AT183" t="s">
        <v>1008</v>
      </c>
      <c r="AU183" s="176">
        <v>90703772.027759001</v>
      </c>
      <c r="AW183">
        <v>1620</v>
      </c>
      <c r="AX183" t="s">
        <v>265</v>
      </c>
      <c r="AY183" t="s">
        <v>1008</v>
      </c>
      <c r="AZ183" s="176">
        <v>47916901.093327001</v>
      </c>
      <c r="BA183" s="342" t="str">
        <f t="shared" si="25"/>
        <v/>
      </c>
      <c r="BB183">
        <v>1620</v>
      </c>
      <c r="BC183" t="s">
        <v>265</v>
      </c>
      <c r="BD183" t="s">
        <v>1008</v>
      </c>
      <c r="BE183" s="243">
        <f t="shared" si="26"/>
        <v>129037292.90242061</v>
      </c>
    </row>
    <row r="184" spans="1:57">
      <c r="A184">
        <v>1620</v>
      </c>
      <c r="B184" t="s">
        <v>265</v>
      </c>
      <c r="C184" t="s">
        <v>1706</v>
      </c>
      <c r="D184" s="176">
        <v>65304347.428831004</v>
      </c>
      <c r="E184">
        <v>0</v>
      </c>
      <c r="G184">
        <v>1620</v>
      </c>
      <c r="H184" t="s">
        <v>265</v>
      </c>
      <c r="I184" t="s">
        <v>1706</v>
      </c>
      <c r="J184" s="176">
        <v>41235931.589987002</v>
      </c>
      <c r="K184">
        <v>0</v>
      </c>
      <c r="L184" s="342" t="str">
        <f t="shared" si="23"/>
        <v/>
      </c>
      <c r="M184">
        <v>1620</v>
      </c>
      <c r="N184" t="s">
        <v>265</v>
      </c>
      <c r="O184" t="s">
        <v>1706</v>
      </c>
      <c r="P184" s="243">
        <f t="shared" si="24"/>
        <v>98293092.70082061</v>
      </c>
      <c r="S184">
        <v>1620</v>
      </c>
      <c r="T184" t="s">
        <v>265</v>
      </c>
      <c r="U184" t="s">
        <v>1706</v>
      </c>
      <c r="V184" s="176">
        <v>37246112.095555</v>
      </c>
      <c r="W184" s="176">
        <v>78240568.92554</v>
      </c>
      <c r="X184">
        <v>0</v>
      </c>
      <c r="Y184" s="176">
        <v>6623316.6666649999</v>
      </c>
      <c r="Z184" s="176"/>
      <c r="AA184">
        <v>1620</v>
      </c>
      <c r="AB184" s="176" t="s">
        <v>265</v>
      </c>
      <c r="AC184" s="176" t="s">
        <v>1706</v>
      </c>
      <c r="AD184" s="176">
        <v>37246112.095555</v>
      </c>
      <c r="AE184" s="176">
        <v>78240568.92554</v>
      </c>
      <c r="AF184">
        <v>0</v>
      </c>
      <c r="AG184" s="176">
        <v>6623316.6666649999</v>
      </c>
      <c r="AH184" s="342" t="str">
        <f t="shared" si="18"/>
        <v/>
      </c>
      <c r="AI184">
        <v>1620</v>
      </c>
      <c r="AJ184" t="s">
        <v>265</v>
      </c>
      <c r="AK184" t="s">
        <v>1706</v>
      </c>
      <c r="AL184" s="245">
        <f t="shared" si="19"/>
        <v>67043001.771999002</v>
      </c>
      <c r="AM184" s="245">
        <f t="shared" si="20"/>
        <v>140833024.065972</v>
      </c>
      <c r="AN184" s="245">
        <f t="shared" si="21"/>
        <v>0</v>
      </c>
      <c r="AO184" s="245">
        <f t="shared" si="22"/>
        <v>11921969.999997001</v>
      </c>
      <c r="AP184" s="176"/>
      <c r="AQ184" s="176"/>
      <c r="AR184">
        <v>1620</v>
      </c>
      <c r="AS184" t="s">
        <v>265</v>
      </c>
      <c r="AT184" t="s">
        <v>1706</v>
      </c>
      <c r="AU184" s="176">
        <v>24562174.848882001</v>
      </c>
      <c r="AW184">
        <v>1620</v>
      </c>
      <c r="AX184" t="s">
        <v>265</v>
      </c>
      <c r="AY184" t="s">
        <v>1706</v>
      </c>
      <c r="AZ184" s="176">
        <v>7086635.6233320003</v>
      </c>
      <c r="BA184" s="342" t="str">
        <f t="shared" si="25"/>
        <v/>
      </c>
      <c r="BB184">
        <v>1620</v>
      </c>
      <c r="BC184" t="s">
        <v>265</v>
      </c>
      <c r="BD184" t="s">
        <v>1706</v>
      </c>
      <c r="BE184" s="243">
        <f t="shared" si="26"/>
        <v>30231483.347547602</v>
      </c>
    </row>
    <row r="185" spans="1:57">
      <c r="A185">
        <v>1620</v>
      </c>
      <c r="B185" t="s">
        <v>265</v>
      </c>
      <c r="C185" t="s">
        <v>1707</v>
      </c>
      <c r="D185" s="176">
        <v>57870363.707726002</v>
      </c>
      <c r="E185">
        <v>0</v>
      </c>
      <c r="G185">
        <v>1620</v>
      </c>
      <c r="H185" t="s">
        <v>265</v>
      </c>
      <c r="I185" t="s">
        <v>1707</v>
      </c>
      <c r="J185" s="176">
        <v>15654534.717770001</v>
      </c>
      <c r="K185">
        <v>0</v>
      </c>
      <c r="L185" s="342" t="str">
        <f t="shared" si="23"/>
        <v/>
      </c>
      <c r="M185">
        <v>1620</v>
      </c>
      <c r="N185" t="s">
        <v>265</v>
      </c>
      <c r="O185" t="s">
        <v>1707</v>
      </c>
      <c r="P185" s="243">
        <f t="shared" si="24"/>
        <v>70393991.481941998</v>
      </c>
      <c r="S185">
        <v>1620</v>
      </c>
      <c r="T185" t="s">
        <v>265</v>
      </c>
      <c r="U185" t="s">
        <v>1707</v>
      </c>
      <c r="V185" s="176">
        <v>11394791.597774999</v>
      </c>
      <c r="W185" s="176">
        <v>77910905.214427993</v>
      </c>
      <c r="X185" s="176">
        <v>1112800</v>
      </c>
      <c r="Y185" s="176">
        <v>8267856.6666649999</v>
      </c>
      <c r="Z185" s="176"/>
      <c r="AA185">
        <v>1620</v>
      </c>
      <c r="AB185" s="176" t="s">
        <v>265</v>
      </c>
      <c r="AC185" s="176" t="s">
        <v>1707</v>
      </c>
      <c r="AD185" s="176">
        <v>11394791.597774999</v>
      </c>
      <c r="AE185" s="176">
        <v>77910905.214427993</v>
      </c>
      <c r="AF185" s="176">
        <v>1112800</v>
      </c>
      <c r="AG185" s="176">
        <v>8267856.6666649999</v>
      </c>
      <c r="AH185" s="342" t="str">
        <f t="shared" si="18"/>
        <v/>
      </c>
      <c r="AI185">
        <v>1620</v>
      </c>
      <c r="AJ185" t="s">
        <v>265</v>
      </c>
      <c r="AK185" t="s">
        <v>1707</v>
      </c>
      <c r="AL185" s="245">
        <f t="shared" si="19"/>
        <v>20510624.875994999</v>
      </c>
      <c r="AM185" s="245">
        <f t="shared" si="20"/>
        <v>140239629.38597038</v>
      </c>
      <c r="AN185" s="245">
        <f t="shared" si="21"/>
        <v>2003040</v>
      </c>
      <c r="AO185" s="245">
        <f t="shared" si="22"/>
        <v>14882141.999997001</v>
      </c>
      <c r="AP185" s="176"/>
      <c r="AQ185" s="176"/>
      <c r="AR185">
        <v>1620</v>
      </c>
      <c r="AS185" t="s">
        <v>265</v>
      </c>
      <c r="AT185" t="s">
        <v>1707</v>
      </c>
      <c r="AU185" s="176">
        <v>11968745.336657001</v>
      </c>
      <c r="AW185">
        <v>1620</v>
      </c>
      <c r="AX185" t="s">
        <v>265</v>
      </c>
      <c r="AY185" t="s">
        <v>1707</v>
      </c>
      <c r="AZ185" s="176">
        <v>2282229.9333330002</v>
      </c>
      <c r="BA185" s="342" t="str">
        <f t="shared" si="25"/>
        <v/>
      </c>
      <c r="BB185">
        <v>1620</v>
      </c>
      <c r="BC185" t="s">
        <v>265</v>
      </c>
      <c r="BD185" t="s">
        <v>1707</v>
      </c>
      <c r="BE185" s="243">
        <f t="shared" si="26"/>
        <v>13794529.283323402</v>
      </c>
    </row>
    <row r="186" spans="1:57">
      <c r="A186">
        <v>1620</v>
      </c>
      <c r="B186" t="s">
        <v>265</v>
      </c>
      <c r="C186" t="s">
        <v>1054</v>
      </c>
      <c r="D186" s="176">
        <v>150183696.936636</v>
      </c>
      <c r="E186">
        <v>0</v>
      </c>
      <c r="G186">
        <v>1620</v>
      </c>
      <c r="H186" t="s">
        <v>265</v>
      </c>
      <c r="I186" t="s">
        <v>1054</v>
      </c>
      <c r="J186" s="176">
        <v>32847056.402215</v>
      </c>
      <c r="K186">
        <v>0</v>
      </c>
      <c r="L186" s="342" t="str">
        <f t="shared" si="23"/>
        <v/>
      </c>
      <c r="M186">
        <v>1620</v>
      </c>
      <c r="N186" t="s">
        <v>265</v>
      </c>
      <c r="O186" t="s">
        <v>1054</v>
      </c>
      <c r="P186" s="243">
        <f t="shared" si="24"/>
        <v>176461342.05840799</v>
      </c>
      <c r="S186">
        <v>1620</v>
      </c>
      <c r="T186" t="s">
        <v>265</v>
      </c>
      <c r="U186" t="s">
        <v>1054</v>
      </c>
      <c r="V186" s="176">
        <v>60411099.872221</v>
      </c>
      <c r="W186" s="176">
        <v>235835679.519986</v>
      </c>
      <c r="X186" s="176">
        <v>2444444.4444439998</v>
      </c>
      <c r="Y186" s="176">
        <v>29933503.182220999</v>
      </c>
      <c r="Z186" s="176"/>
      <c r="AA186">
        <v>1620</v>
      </c>
      <c r="AB186" s="176" t="s">
        <v>265</v>
      </c>
      <c r="AC186" s="176" t="s">
        <v>1054</v>
      </c>
      <c r="AD186" s="176">
        <v>60411099.872221</v>
      </c>
      <c r="AE186" s="176">
        <v>235835679.519986</v>
      </c>
      <c r="AF186">
        <v>2444444.4444439998</v>
      </c>
      <c r="AG186" s="176">
        <v>29933503.182220999</v>
      </c>
      <c r="AH186" s="342" t="str">
        <f t="shared" si="18"/>
        <v/>
      </c>
      <c r="AI186">
        <v>1620</v>
      </c>
      <c r="AJ186" t="s">
        <v>265</v>
      </c>
      <c r="AK186" t="s">
        <v>1054</v>
      </c>
      <c r="AL186" s="245">
        <f t="shared" si="19"/>
        <v>108739979.76999781</v>
      </c>
      <c r="AM186" s="245">
        <f t="shared" si="20"/>
        <v>424504223.13597482</v>
      </c>
      <c r="AN186" s="245">
        <f t="shared" si="21"/>
        <v>4399999.9999992</v>
      </c>
      <c r="AO186" s="245">
        <f t="shared" si="22"/>
        <v>53880305.727997795</v>
      </c>
      <c r="AP186" s="176"/>
      <c r="AQ186" s="176"/>
      <c r="AR186">
        <v>1620</v>
      </c>
      <c r="AS186" t="s">
        <v>265</v>
      </c>
      <c r="AT186" t="s">
        <v>1054</v>
      </c>
      <c r="AU186" s="176">
        <v>72770915.925548002</v>
      </c>
      <c r="AW186">
        <v>1620</v>
      </c>
      <c r="AX186" t="s">
        <v>265</v>
      </c>
      <c r="AY186" t="s">
        <v>1054</v>
      </c>
      <c r="AZ186">
        <v>1696208.812221</v>
      </c>
      <c r="BA186" s="342" t="str">
        <f t="shared" si="25"/>
        <v/>
      </c>
      <c r="BB186">
        <v>1620</v>
      </c>
      <c r="BC186" t="s">
        <v>265</v>
      </c>
      <c r="BD186" t="s">
        <v>1054</v>
      </c>
      <c r="BE186" s="243">
        <f t="shared" si="26"/>
        <v>74127882.97532481</v>
      </c>
    </row>
    <row r="187" spans="1:57">
      <c r="A187">
        <v>1630</v>
      </c>
      <c r="B187" t="s">
        <v>266</v>
      </c>
      <c r="C187" t="s">
        <v>1708</v>
      </c>
      <c r="D187" s="176">
        <v>47319362.731086999</v>
      </c>
      <c r="E187">
        <v>0</v>
      </c>
      <c r="G187">
        <v>1630</v>
      </c>
      <c r="H187" t="s">
        <v>266</v>
      </c>
      <c r="I187" t="s">
        <v>1708</v>
      </c>
      <c r="J187" s="176">
        <v>13479383.16444</v>
      </c>
      <c r="K187">
        <v>0</v>
      </c>
      <c r="L187" s="342" t="str">
        <f t="shared" si="23"/>
        <v/>
      </c>
      <c r="M187">
        <v>1630</v>
      </c>
      <c r="N187" t="s">
        <v>266</v>
      </c>
      <c r="O187" t="s">
        <v>1708</v>
      </c>
      <c r="P187" s="243">
        <f t="shared" si="24"/>
        <v>58102869.262639001</v>
      </c>
      <c r="S187">
        <v>1630</v>
      </c>
      <c r="T187" t="s">
        <v>266</v>
      </c>
      <c r="U187" t="s">
        <v>1708</v>
      </c>
      <c r="V187" s="176">
        <v>6035091.1200000001</v>
      </c>
      <c r="W187" s="176">
        <v>31362353.268879</v>
      </c>
      <c r="X187" s="176">
        <v>0</v>
      </c>
      <c r="Y187" s="176">
        <v>10836905.777776999</v>
      </c>
      <c r="Z187" s="176"/>
      <c r="AA187">
        <v>1630</v>
      </c>
      <c r="AB187" s="176" t="s">
        <v>266</v>
      </c>
      <c r="AC187" s="176" t="s">
        <v>1708</v>
      </c>
      <c r="AD187" s="176">
        <v>6035091.1200000001</v>
      </c>
      <c r="AE187" s="176">
        <v>31362353.268879</v>
      </c>
      <c r="AF187" s="176">
        <v>0</v>
      </c>
      <c r="AG187" s="176">
        <v>10836905.777776999</v>
      </c>
      <c r="AH187" s="342" t="str">
        <f t="shared" si="18"/>
        <v/>
      </c>
      <c r="AI187">
        <v>1630</v>
      </c>
      <c r="AJ187" t="s">
        <v>266</v>
      </c>
      <c r="AK187" t="s">
        <v>1708</v>
      </c>
      <c r="AL187" s="245">
        <f t="shared" si="19"/>
        <v>10863164.016000001</v>
      </c>
      <c r="AM187" s="245">
        <f t="shared" si="20"/>
        <v>56452235.883982196</v>
      </c>
      <c r="AN187" s="245">
        <f t="shared" si="21"/>
        <v>0</v>
      </c>
      <c r="AO187" s="245">
        <f t="shared" si="22"/>
        <v>19506430.399998598</v>
      </c>
      <c r="AP187" s="176"/>
      <c r="AQ187" s="176"/>
      <c r="AR187">
        <v>1630</v>
      </c>
      <c r="AS187" t="s">
        <v>266</v>
      </c>
      <c r="AT187" t="s">
        <v>1708</v>
      </c>
      <c r="AU187" s="176">
        <v>1342000.793332</v>
      </c>
      <c r="AW187">
        <v>1630</v>
      </c>
      <c r="AX187" t="s">
        <v>266</v>
      </c>
      <c r="AY187" t="s">
        <v>1708</v>
      </c>
      <c r="AZ187" s="176">
        <v>0</v>
      </c>
      <c r="BA187" s="342" t="str">
        <f t="shared" si="25"/>
        <v/>
      </c>
      <c r="BB187">
        <v>1630</v>
      </c>
      <c r="BC187" t="s">
        <v>266</v>
      </c>
      <c r="BD187" t="s">
        <v>1708</v>
      </c>
      <c r="BE187" s="243">
        <f t="shared" si="26"/>
        <v>1342000.793332</v>
      </c>
    </row>
    <row r="188" spans="1:57">
      <c r="A188">
        <v>1630</v>
      </c>
      <c r="B188" t="s">
        <v>266</v>
      </c>
      <c r="C188" t="s">
        <v>1010</v>
      </c>
      <c r="D188" s="176">
        <v>276981094.99988699</v>
      </c>
      <c r="E188">
        <v>0</v>
      </c>
      <c r="G188">
        <v>1630</v>
      </c>
      <c r="H188" t="s">
        <v>266</v>
      </c>
      <c r="I188" t="s">
        <v>1010</v>
      </c>
      <c r="J188" s="176">
        <v>142595677.66663399</v>
      </c>
      <c r="K188">
        <v>0</v>
      </c>
      <c r="L188" s="342" t="str">
        <f t="shared" si="23"/>
        <v/>
      </c>
      <c r="M188">
        <v>1630</v>
      </c>
      <c r="N188" t="s">
        <v>266</v>
      </c>
      <c r="O188" t="s">
        <v>1010</v>
      </c>
      <c r="P188" s="243">
        <f t="shared" si="24"/>
        <v>391057637.13319421</v>
      </c>
      <c r="S188">
        <v>1630</v>
      </c>
      <c r="T188" t="s">
        <v>266</v>
      </c>
      <c r="U188" t="s">
        <v>1010</v>
      </c>
      <c r="V188" s="176">
        <v>52889329.833333001</v>
      </c>
      <c r="W188" s="176">
        <v>169350650.259976</v>
      </c>
      <c r="X188">
        <v>0</v>
      </c>
      <c r="Y188" s="176">
        <v>24081031.495554999</v>
      </c>
      <c r="Z188" s="176"/>
      <c r="AA188">
        <v>1630</v>
      </c>
      <c r="AB188" s="176" t="s">
        <v>266</v>
      </c>
      <c r="AC188" s="176" t="s">
        <v>1010</v>
      </c>
      <c r="AD188" s="176">
        <v>52889329.833333001</v>
      </c>
      <c r="AE188" s="176">
        <v>169350650.259976</v>
      </c>
      <c r="AF188">
        <v>0</v>
      </c>
      <c r="AG188" s="176">
        <v>24081031.495554999</v>
      </c>
      <c r="AH188" s="342" t="str">
        <f t="shared" si="18"/>
        <v/>
      </c>
      <c r="AI188">
        <v>1630</v>
      </c>
      <c r="AJ188" t="s">
        <v>266</v>
      </c>
      <c r="AK188" t="s">
        <v>1010</v>
      </c>
      <c r="AL188" s="245">
        <f t="shared" si="19"/>
        <v>95200793.699999407</v>
      </c>
      <c r="AM188" s="245">
        <f t="shared" si="20"/>
        <v>304831170.46795678</v>
      </c>
      <c r="AN188" s="245">
        <f t="shared" si="21"/>
        <v>0</v>
      </c>
      <c r="AO188" s="245">
        <f t="shared" si="22"/>
        <v>43345856.691999003</v>
      </c>
      <c r="AP188" s="176"/>
      <c r="AQ188" s="176"/>
      <c r="AR188">
        <v>1630</v>
      </c>
      <c r="AS188" t="s">
        <v>266</v>
      </c>
      <c r="AT188" t="s">
        <v>1010</v>
      </c>
      <c r="AU188" s="176">
        <v>133152955.48999</v>
      </c>
      <c r="AW188">
        <v>1630</v>
      </c>
      <c r="AX188" t="s">
        <v>266</v>
      </c>
      <c r="AY188" t="s">
        <v>1010</v>
      </c>
      <c r="AZ188">
        <v>109052761.88332801</v>
      </c>
      <c r="BA188" s="342" t="str">
        <f t="shared" si="25"/>
        <v/>
      </c>
      <c r="BB188">
        <v>1630</v>
      </c>
      <c r="BC188" t="s">
        <v>266</v>
      </c>
      <c r="BD188" t="s">
        <v>1010</v>
      </c>
      <c r="BE188" s="243">
        <f t="shared" si="26"/>
        <v>220395164.99665242</v>
      </c>
    </row>
    <row r="189" spans="1:57">
      <c r="A189">
        <v>1630</v>
      </c>
      <c r="B189" t="s">
        <v>266</v>
      </c>
      <c r="C189" t="s">
        <v>1709</v>
      </c>
      <c r="D189" s="176">
        <v>70122255.098848</v>
      </c>
      <c r="E189">
        <v>0</v>
      </c>
      <c r="G189">
        <v>1630</v>
      </c>
      <c r="H189" t="s">
        <v>266</v>
      </c>
      <c r="I189" t="s">
        <v>1709</v>
      </c>
      <c r="J189" s="176">
        <v>29579318.652215999</v>
      </c>
      <c r="K189">
        <v>0</v>
      </c>
      <c r="L189" s="342" t="str">
        <f t="shared" si="23"/>
        <v/>
      </c>
      <c r="M189">
        <v>1630</v>
      </c>
      <c r="N189" t="s">
        <v>266</v>
      </c>
      <c r="O189" t="s">
        <v>1709</v>
      </c>
      <c r="P189" s="243">
        <f t="shared" si="24"/>
        <v>93785710.020620793</v>
      </c>
      <c r="S189">
        <v>1630</v>
      </c>
      <c r="T189" t="s">
        <v>266</v>
      </c>
      <c r="U189" t="s">
        <v>1709</v>
      </c>
      <c r="V189" s="176">
        <v>7243267.3899999997</v>
      </c>
      <c r="W189" s="176">
        <v>24805272.821107</v>
      </c>
      <c r="X189">
        <v>1300000</v>
      </c>
      <c r="Y189" s="176">
        <v>3666666.6666660002</v>
      </c>
      <c r="Z189" s="176"/>
      <c r="AA189">
        <v>1630</v>
      </c>
      <c r="AB189" s="176" t="s">
        <v>266</v>
      </c>
      <c r="AC189" s="176" t="s">
        <v>1709</v>
      </c>
      <c r="AD189" s="176">
        <v>7243267.3899999997</v>
      </c>
      <c r="AE189" s="176">
        <v>24805272.821107</v>
      </c>
      <c r="AF189">
        <v>1300000</v>
      </c>
      <c r="AG189" s="176">
        <v>3666666.6666660002</v>
      </c>
      <c r="AH189" s="342" t="str">
        <f t="shared" si="18"/>
        <v/>
      </c>
      <c r="AI189">
        <v>1630</v>
      </c>
      <c r="AJ189" t="s">
        <v>266</v>
      </c>
      <c r="AK189" t="s">
        <v>1709</v>
      </c>
      <c r="AL189" s="245">
        <f t="shared" si="19"/>
        <v>13037881.302000001</v>
      </c>
      <c r="AM189" s="245">
        <f t="shared" si="20"/>
        <v>44649491.077992603</v>
      </c>
      <c r="AN189" s="245">
        <f t="shared" si="21"/>
        <v>2340000</v>
      </c>
      <c r="AO189" s="245">
        <f t="shared" si="22"/>
        <v>6599999.9999988005</v>
      </c>
      <c r="AP189" s="176"/>
      <c r="AQ189" s="176"/>
      <c r="AR189">
        <v>1630</v>
      </c>
      <c r="AS189" t="s">
        <v>266</v>
      </c>
      <c r="AT189" t="s">
        <v>1709</v>
      </c>
      <c r="AU189" s="176">
        <v>3979410.0444419999</v>
      </c>
      <c r="AW189">
        <v>1630</v>
      </c>
      <c r="AX189" t="s">
        <v>266</v>
      </c>
      <c r="AY189" t="s">
        <v>1709</v>
      </c>
      <c r="AZ189" s="176">
        <v>1748772.9822219999</v>
      </c>
      <c r="BA189" s="342" t="str">
        <f t="shared" si="25"/>
        <v/>
      </c>
      <c r="BB189">
        <v>1630</v>
      </c>
      <c r="BC189" t="s">
        <v>266</v>
      </c>
      <c r="BD189" t="s">
        <v>1709</v>
      </c>
      <c r="BE189" s="243">
        <f t="shared" si="26"/>
        <v>5378428.4302196</v>
      </c>
    </row>
    <row r="190" spans="1:57">
      <c r="A190">
        <v>1630</v>
      </c>
      <c r="B190" t="s">
        <v>266</v>
      </c>
      <c r="C190" t="s">
        <v>1011</v>
      </c>
      <c r="D190" s="176">
        <v>254745670.29215199</v>
      </c>
      <c r="E190">
        <v>0</v>
      </c>
      <c r="G190">
        <v>1630</v>
      </c>
      <c r="H190" t="s">
        <v>266</v>
      </c>
      <c r="I190" t="s">
        <v>1011</v>
      </c>
      <c r="J190" s="176">
        <v>175344695.046639</v>
      </c>
      <c r="K190">
        <v>0</v>
      </c>
      <c r="L190" s="342" t="str">
        <f t="shared" si="23"/>
        <v/>
      </c>
      <c r="M190">
        <v>1630</v>
      </c>
      <c r="N190" t="s">
        <v>266</v>
      </c>
      <c r="O190" t="s">
        <v>1011</v>
      </c>
      <c r="P190" s="243">
        <f t="shared" si="24"/>
        <v>395021426.32946318</v>
      </c>
      <c r="S190">
        <v>1630</v>
      </c>
      <c r="T190" t="s">
        <v>266</v>
      </c>
      <c r="U190" t="s">
        <v>1011</v>
      </c>
      <c r="V190" s="176">
        <v>33620211.644442998</v>
      </c>
      <c r="W190" s="176">
        <v>202223801.17553201</v>
      </c>
      <c r="X190" s="176">
        <v>1126000</v>
      </c>
      <c r="Y190" s="176">
        <v>119466854.221104</v>
      </c>
      <c r="Z190" s="176"/>
      <c r="AA190">
        <v>1630</v>
      </c>
      <c r="AB190" s="176" t="s">
        <v>266</v>
      </c>
      <c r="AC190" s="176" t="s">
        <v>1011</v>
      </c>
      <c r="AD190" s="176">
        <v>33620211.644442998</v>
      </c>
      <c r="AE190" s="176">
        <v>202223801.17553201</v>
      </c>
      <c r="AF190">
        <v>1126000</v>
      </c>
      <c r="AG190" s="176">
        <v>119466854.221104</v>
      </c>
      <c r="AH190" s="342" t="str">
        <f t="shared" si="18"/>
        <v/>
      </c>
      <c r="AI190">
        <v>1630</v>
      </c>
      <c r="AJ190" t="s">
        <v>266</v>
      </c>
      <c r="AK190" t="s">
        <v>1011</v>
      </c>
      <c r="AL190" s="245">
        <f t="shared" si="19"/>
        <v>60516380.959997401</v>
      </c>
      <c r="AM190" s="245">
        <f t="shared" si="20"/>
        <v>364002842.11595762</v>
      </c>
      <c r="AN190" s="245">
        <f t="shared" si="21"/>
        <v>2026800</v>
      </c>
      <c r="AO190" s="245">
        <f t="shared" si="22"/>
        <v>215040337.5979872</v>
      </c>
      <c r="AP190" s="176"/>
      <c r="AQ190" s="176"/>
      <c r="AR190">
        <v>1630</v>
      </c>
      <c r="AS190" t="s">
        <v>266</v>
      </c>
      <c r="AT190" t="s">
        <v>1011</v>
      </c>
      <c r="AU190" s="176">
        <v>33299514.212216001</v>
      </c>
      <c r="AW190">
        <v>1630</v>
      </c>
      <c r="AX190" t="s">
        <v>266</v>
      </c>
      <c r="AY190" t="s">
        <v>1011</v>
      </c>
      <c r="AZ190" s="176">
        <v>10240808.942221001</v>
      </c>
      <c r="BA190" s="342" t="str">
        <f t="shared" si="25"/>
        <v/>
      </c>
      <c r="BB190">
        <v>1630</v>
      </c>
      <c r="BC190" t="s">
        <v>266</v>
      </c>
      <c r="BD190" t="s">
        <v>1011</v>
      </c>
      <c r="BE190" s="243">
        <f t="shared" si="26"/>
        <v>41492161.365992799</v>
      </c>
    </row>
    <row r="191" spans="1:57">
      <c r="A191">
        <v>1640</v>
      </c>
      <c r="B191" t="s">
        <v>267</v>
      </c>
      <c r="C191" t="s">
        <v>1014</v>
      </c>
      <c r="D191" s="176">
        <v>178456268.67550999</v>
      </c>
      <c r="E191">
        <v>0</v>
      </c>
      <c r="G191">
        <v>1640</v>
      </c>
      <c r="H191" t="s">
        <v>267</v>
      </c>
      <c r="I191" t="s">
        <v>1014</v>
      </c>
      <c r="J191" s="176">
        <v>86452439.338870004</v>
      </c>
      <c r="K191">
        <v>0</v>
      </c>
      <c r="L191" s="342" t="str">
        <f t="shared" si="23"/>
        <v/>
      </c>
      <c r="M191">
        <v>1640</v>
      </c>
      <c r="N191" t="s">
        <v>267</v>
      </c>
      <c r="O191" t="s">
        <v>1014</v>
      </c>
      <c r="P191" s="243">
        <f t="shared" si="24"/>
        <v>247618220.146606</v>
      </c>
      <c r="S191">
        <v>1640</v>
      </c>
      <c r="T191" t="s">
        <v>267</v>
      </c>
      <c r="U191" t="s">
        <v>1014</v>
      </c>
      <c r="V191" s="176">
        <v>61166879.785553999</v>
      </c>
      <c r="W191" s="176">
        <v>184245086.996647</v>
      </c>
      <c r="X191" s="176">
        <v>0</v>
      </c>
      <c r="Y191" s="176">
        <v>12986427.222221</v>
      </c>
      <c r="Z191" s="176"/>
      <c r="AA191">
        <v>1640</v>
      </c>
      <c r="AB191" s="176" t="s">
        <v>267</v>
      </c>
      <c r="AC191" s="176" t="s">
        <v>1014</v>
      </c>
      <c r="AD191" s="176">
        <v>61166879.785553999</v>
      </c>
      <c r="AE191" s="176">
        <v>184245086.996647</v>
      </c>
      <c r="AF191" s="176">
        <v>0</v>
      </c>
      <c r="AG191" s="176">
        <v>12986427.222221</v>
      </c>
      <c r="AH191" s="342" t="str">
        <f t="shared" si="18"/>
        <v/>
      </c>
      <c r="AI191">
        <v>1640</v>
      </c>
      <c r="AJ191" t="s">
        <v>267</v>
      </c>
      <c r="AK191" t="s">
        <v>1014</v>
      </c>
      <c r="AL191" s="245">
        <f t="shared" si="19"/>
        <v>110100383.61399719</v>
      </c>
      <c r="AM191" s="245">
        <f t="shared" si="20"/>
        <v>331641156.59396458</v>
      </c>
      <c r="AN191" s="245">
        <f t="shared" si="21"/>
        <v>0</v>
      </c>
      <c r="AO191" s="245">
        <f t="shared" si="22"/>
        <v>23375568.999997802</v>
      </c>
      <c r="AP191" s="176"/>
      <c r="AQ191" s="176"/>
      <c r="AR191">
        <v>1640</v>
      </c>
      <c r="AS191" t="s">
        <v>267</v>
      </c>
      <c r="AT191" t="s">
        <v>1014</v>
      </c>
      <c r="AU191" s="176">
        <v>25134110.474435002</v>
      </c>
      <c r="AW191">
        <v>1640</v>
      </c>
      <c r="AX191" t="s">
        <v>267</v>
      </c>
      <c r="AY191" t="s">
        <v>1014</v>
      </c>
      <c r="AZ191" s="176">
        <v>9731951.9611089993</v>
      </c>
      <c r="BA191" s="342" t="str">
        <f t="shared" si="25"/>
        <v/>
      </c>
      <c r="BB191">
        <v>1640</v>
      </c>
      <c r="BC191" t="s">
        <v>267</v>
      </c>
      <c r="BD191" t="s">
        <v>1014</v>
      </c>
      <c r="BE191" s="243">
        <f t="shared" si="26"/>
        <v>32919672.043322202</v>
      </c>
    </row>
    <row r="192" spans="1:57">
      <c r="A192">
        <v>1640</v>
      </c>
      <c r="B192" t="s">
        <v>267</v>
      </c>
      <c r="C192" t="s">
        <v>1032</v>
      </c>
      <c r="D192" s="176">
        <v>343303496.71878999</v>
      </c>
      <c r="E192">
        <v>0</v>
      </c>
      <c r="G192">
        <v>1640</v>
      </c>
      <c r="H192" t="s">
        <v>267</v>
      </c>
      <c r="I192" t="s">
        <v>1032</v>
      </c>
      <c r="J192" s="176">
        <v>135418114.10219201</v>
      </c>
      <c r="K192">
        <v>0</v>
      </c>
      <c r="L192" s="342" t="str">
        <f t="shared" si="23"/>
        <v/>
      </c>
      <c r="M192">
        <v>1640</v>
      </c>
      <c r="N192" t="s">
        <v>267</v>
      </c>
      <c r="O192" t="s">
        <v>1032</v>
      </c>
      <c r="P192" s="243">
        <f t="shared" si="24"/>
        <v>451637988.00054359</v>
      </c>
      <c r="S192">
        <v>1640</v>
      </c>
      <c r="T192" t="s">
        <v>267</v>
      </c>
      <c r="U192" t="s">
        <v>1032</v>
      </c>
      <c r="V192" s="176">
        <v>50549698.911109</v>
      </c>
      <c r="W192" s="176">
        <v>270178078.726632</v>
      </c>
      <c r="X192" s="176">
        <v>0</v>
      </c>
      <c r="Y192" s="176">
        <v>16492921.638885999</v>
      </c>
      <c r="Z192" s="176"/>
      <c r="AA192">
        <v>1640</v>
      </c>
      <c r="AB192" s="176" t="s">
        <v>267</v>
      </c>
      <c r="AC192" s="176" t="s">
        <v>1032</v>
      </c>
      <c r="AD192" s="176">
        <v>50549698.911109</v>
      </c>
      <c r="AE192" s="176">
        <v>270178078.726632</v>
      </c>
      <c r="AF192">
        <v>0</v>
      </c>
      <c r="AG192" s="176">
        <v>16492921.638885999</v>
      </c>
      <c r="AH192" s="342" t="str">
        <f t="shared" si="18"/>
        <v/>
      </c>
      <c r="AI192">
        <v>1640</v>
      </c>
      <c r="AJ192" t="s">
        <v>267</v>
      </c>
      <c r="AK192" t="s">
        <v>1032</v>
      </c>
      <c r="AL192" s="245">
        <f t="shared" si="19"/>
        <v>90989458.039996207</v>
      </c>
      <c r="AM192" s="245">
        <f t="shared" si="20"/>
        <v>486320541.7079376</v>
      </c>
      <c r="AN192" s="245">
        <f t="shared" si="21"/>
        <v>0</v>
      </c>
      <c r="AO192" s="245">
        <f t="shared" si="22"/>
        <v>29687258.949994799</v>
      </c>
      <c r="AP192" s="176"/>
      <c r="AQ192" s="176"/>
      <c r="AR192">
        <v>1640</v>
      </c>
      <c r="AS192" t="s">
        <v>267</v>
      </c>
      <c r="AT192" t="s">
        <v>1032</v>
      </c>
      <c r="AU192" s="176">
        <v>126056255.96331801</v>
      </c>
      <c r="AW192">
        <v>1640</v>
      </c>
      <c r="AX192" t="s">
        <v>267</v>
      </c>
      <c r="AY192" t="s">
        <v>1032</v>
      </c>
      <c r="AZ192" s="176">
        <v>66983565.686660998</v>
      </c>
      <c r="BA192" s="342" t="str">
        <f t="shared" si="25"/>
        <v/>
      </c>
      <c r="BB192">
        <v>1640</v>
      </c>
      <c r="BC192" t="s">
        <v>267</v>
      </c>
      <c r="BD192" t="s">
        <v>1032</v>
      </c>
      <c r="BE192" s="243">
        <f t="shared" si="26"/>
        <v>179643108.51264679</v>
      </c>
    </row>
    <row r="193" spans="1:57">
      <c r="A193">
        <v>1640</v>
      </c>
      <c r="B193" t="s">
        <v>267</v>
      </c>
      <c r="C193" t="s">
        <v>1710</v>
      </c>
      <c r="D193" s="176">
        <v>110254673.833242</v>
      </c>
      <c r="E193">
        <v>0</v>
      </c>
      <c r="G193">
        <v>1640</v>
      </c>
      <c r="H193" t="s">
        <v>267</v>
      </c>
      <c r="I193" t="s">
        <v>1710</v>
      </c>
      <c r="J193" s="176">
        <v>65434377.201085001</v>
      </c>
      <c r="K193">
        <v>0</v>
      </c>
      <c r="L193" s="342" t="str">
        <f t="shared" si="23"/>
        <v/>
      </c>
      <c r="M193">
        <v>1640</v>
      </c>
      <c r="N193" t="s">
        <v>267</v>
      </c>
      <c r="O193" t="s">
        <v>1710</v>
      </c>
      <c r="P193" s="243">
        <f t="shared" si="24"/>
        <v>162602175.59411001</v>
      </c>
      <c r="S193">
        <v>1640</v>
      </c>
      <c r="T193" t="s">
        <v>267</v>
      </c>
      <c r="U193" t="s">
        <v>1710</v>
      </c>
      <c r="V193" s="176">
        <v>74100583.027771994</v>
      </c>
      <c r="W193" s="176">
        <v>214483726.418843</v>
      </c>
      <c r="X193" s="176">
        <v>0</v>
      </c>
      <c r="Y193" s="176">
        <v>25864324.222222</v>
      </c>
      <c r="Z193" s="176"/>
      <c r="AA193">
        <v>1640</v>
      </c>
      <c r="AB193" s="176" t="s">
        <v>267</v>
      </c>
      <c r="AC193" s="176" t="s">
        <v>1710</v>
      </c>
      <c r="AD193" s="176">
        <v>74100583.027771994</v>
      </c>
      <c r="AE193" s="176">
        <v>214483726.418843</v>
      </c>
      <c r="AF193" s="176">
        <v>0</v>
      </c>
      <c r="AG193" s="176">
        <v>25864324.222222</v>
      </c>
      <c r="AH193" s="342" t="str">
        <f t="shared" si="18"/>
        <v/>
      </c>
      <c r="AI193">
        <v>1640</v>
      </c>
      <c r="AJ193" t="s">
        <v>267</v>
      </c>
      <c r="AK193" t="s">
        <v>1710</v>
      </c>
      <c r="AL193" s="245">
        <f t="shared" si="19"/>
        <v>133381049.44998959</v>
      </c>
      <c r="AM193" s="245">
        <f t="shared" si="20"/>
        <v>386070707.55391741</v>
      </c>
      <c r="AN193" s="245">
        <f t="shared" si="21"/>
        <v>0</v>
      </c>
      <c r="AO193" s="245">
        <f t="shared" si="22"/>
        <v>46555783.599999607</v>
      </c>
      <c r="AP193" s="176"/>
      <c r="AQ193" s="176"/>
      <c r="AR193">
        <v>1640</v>
      </c>
      <c r="AS193" t="s">
        <v>267</v>
      </c>
      <c r="AT193" t="s">
        <v>1710</v>
      </c>
      <c r="AU193" s="176">
        <v>19233439.545543</v>
      </c>
      <c r="AW193">
        <v>1640</v>
      </c>
      <c r="AX193" t="s">
        <v>267</v>
      </c>
      <c r="AY193" t="s">
        <v>1710</v>
      </c>
      <c r="AZ193" s="176">
        <v>39428308.994438998</v>
      </c>
      <c r="BA193" s="342" t="str">
        <f t="shared" si="25"/>
        <v/>
      </c>
      <c r="BB193">
        <v>1640</v>
      </c>
      <c r="BC193" t="s">
        <v>267</v>
      </c>
      <c r="BD193" t="s">
        <v>1710</v>
      </c>
      <c r="BE193" s="243">
        <f t="shared" si="26"/>
        <v>50776086.741094202</v>
      </c>
    </row>
    <row r="194" spans="1:57">
      <c r="A194">
        <v>1650</v>
      </c>
      <c r="B194" t="s">
        <v>268</v>
      </c>
      <c r="C194" t="s">
        <v>1003</v>
      </c>
      <c r="D194" s="176">
        <v>103688834.206581</v>
      </c>
      <c r="E194">
        <v>0</v>
      </c>
      <c r="G194">
        <v>1650</v>
      </c>
      <c r="H194" t="s">
        <v>268</v>
      </c>
      <c r="I194" t="s">
        <v>1003</v>
      </c>
      <c r="J194" s="176">
        <v>53822957.654426999</v>
      </c>
      <c r="K194">
        <v>0</v>
      </c>
      <c r="L194" s="342" t="str">
        <f t="shared" si="23"/>
        <v/>
      </c>
      <c r="M194">
        <v>1650</v>
      </c>
      <c r="N194" t="s">
        <v>268</v>
      </c>
      <c r="O194" t="s">
        <v>1003</v>
      </c>
      <c r="P194" s="243">
        <f t="shared" si="24"/>
        <v>146747200.33012259</v>
      </c>
      <c r="S194">
        <v>1650</v>
      </c>
      <c r="T194" t="s">
        <v>268</v>
      </c>
      <c r="U194" t="s">
        <v>1003</v>
      </c>
      <c r="V194" s="176">
        <v>47440480.404444002</v>
      </c>
      <c r="W194" s="176">
        <v>103174125.91996901</v>
      </c>
      <c r="X194" s="176">
        <v>0</v>
      </c>
      <c r="Y194" s="176">
        <v>11024133.749999</v>
      </c>
      <c r="Z194" s="176"/>
      <c r="AA194">
        <v>1650</v>
      </c>
      <c r="AB194" s="176" t="s">
        <v>268</v>
      </c>
      <c r="AC194" s="176" t="s">
        <v>1003</v>
      </c>
      <c r="AD194" s="176">
        <v>47440480.404444002</v>
      </c>
      <c r="AE194" s="176">
        <v>103174125.91996901</v>
      </c>
      <c r="AF194" s="176">
        <v>0</v>
      </c>
      <c r="AG194" s="176">
        <v>11024133.749999</v>
      </c>
      <c r="AH194" s="342" t="str">
        <f t="shared" si="18"/>
        <v/>
      </c>
      <c r="AI194">
        <v>1650</v>
      </c>
      <c r="AJ194" t="s">
        <v>268</v>
      </c>
      <c r="AK194" t="s">
        <v>1003</v>
      </c>
      <c r="AL194" s="245">
        <f t="shared" si="19"/>
        <v>85392864.72799921</v>
      </c>
      <c r="AM194" s="245">
        <f t="shared" si="20"/>
        <v>185713426.65594423</v>
      </c>
      <c r="AN194" s="245">
        <f t="shared" si="21"/>
        <v>0</v>
      </c>
      <c r="AO194" s="245">
        <f t="shared" si="22"/>
        <v>19843440.749998201</v>
      </c>
      <c r="AP194" s="176"/>
      <c r="AQ194" s="176"/>
      <c r="AR194">
        <v>1650</v>
      </c>
      <c r="AS194" t="s">
        <v>268</v>
      </c>
      <c r="AT194" t="s">
        <v>1003</v>
      </c>
      <c r="AU194" s="176">
        <v>14756124.286660001</v>
      </c>
      <c r="AW194">
        <v>1650</v>
      </c>
      <c r="AX194" t="s">
        <v>268</v>
      </c>
      <c r="AY194" t="s">
        <v>1003</v>
      </c>
      <c r="AZ194" s="176">
        <v>2939848.3455540002</v>
      </c>
      <c r="BA194" s="342" t="str">
        <f t="shared" si="25"/>
        <v/>
      </c>
      <c r="BB194">
        <v>1650</v>
      </c>
      <c r="BC194" t="s">
        <v>268</v>
      </c>
      <c r="BD194" t="s">
        <v>1003</v>
      </c>
      <c r="BE194" s="243">
        <f t="shared" si="26"/>
        <v>17108002.963103201</v>
      </c>
    </row>
    <row r="195" spans="1:57">
      <c r="A195">
        <v>1650</v>
      </c>
      <c r="B195" t="s">
        <v>268</v>
      </c>
      <c r="C195" t="s">
        <v>1015</v>
      </c>
      <c r="D195" s="176">
        <v>487873184.68770599</v>
      </c>
      <c r="E195">
        <v>0</v>
      </c>
      <c r="G195">
        <v>1650</v>
      </c>
      <c r="H195" t="s">
        <v>268</v>
      </c>
      <c r="I195" t="s">
        <v>1015</v>
      </c>
      <c r="J195" s="176">
        <v>582538407.63997602</v>
      </c>
      <c r="K195">
        <v>0</v>
      </c>
      <c r="L195" s="342" t="str">
        <f t="shared" si="23"/>
        <v/>
      </c>
      <c r="M195">
        <v>1650</v>
      </c>
      <c r="N195" t="s">
        <v>268</v>
      </c>
      <c r="O195" t="s">
        <v>1015</v>
      </c>
      <c r="P195" s="243">
        <f t="shared" si="24"/>
        <v>953903910.79968691</v>
      </c>
      <c r="S195">
        <v>1650</v>
      </c>
      <c r="T195" t="s">
        <v>268</v>
      </c>
      <c r="U195" t="s">
        <v>1015</v>
      </c>
      <c r="V195" s="176">
        <v>212634131.56444299</v>
      </c>
      <c r="W195" s="176">
        <v>338015489.91997403</v>
      </c>
      <c r="X195" s="176">
        <v>0</v>
      </c>
      <c r="Y195" s="176">
        <v>361249153.67110902</v>
      </c>
      <c r="Z195" s="176"/>
      <c r="AA195">
        <v>1650</v>
      </c>
      <c r="AB195" s="176" t="s">
        <v>268</v>
      </c>
      <c r="AC195" s="176" t="s">
        <v>1015</v>
      </c>
      <c r="AD195" s="176">
        <v>212634131.56444299</v>
      </c>
      <c r="AE195" s="176">
        <v>338015489.91997403</v>
      </c>
      <c r="AF195" s="176">
        <v>0</v>
      </c>
      <c r="AG195" s="176">
        <v>361249153.67110902</v>
      </c>
      <c r="AH195" s="342" t="str">
        <f t="shared" si="18"/>
        <v/>
      </c>
      <c r="AI195">
        <v>1650</v>
      </c>
      <c r="AJ195" t="s">
        <v>268</v>
      </c>
      <c r="AK195" t="s">
        <v>1015</v>
      </c>
      <c r="AL195" s="245">
        <f t="shared" si="19"/>
        <v>382741436.81599736</v>
      </c>
      <c r="AM195" s="245">
        <f t="shared" si="20"/>
        <v>608427881.85595322</v>
      </c>
      <c r="AN195" s="245">
        <f t="shared" si="21"/>
        <v>0</v>
      </c>
      <c r="AO195" s="245">
        <f t="shared" si="22"/>
        <v>650248476.60799623</v>
      </c>
      <c r="AP195" s="176"/>
      <c r="AQ195" s="176"/>
      <c r="AR195">
        <v>1650</v>
      </c>
      <c r="AS195" t="s">
        <v>268</v>
      </c>
      <c r="AT195" t="s">
        <v>1015</v>
      </c>
      <c r="AU195" s="176">
        <v>125258663.876647</v>
      </c>
      <c r="AW195">
        <v>1650</v>
      </c>
      <c r="AX195" t="s">
        <v>268</v>
      </c>
      <c r="AY195" t="s">
        <v>1015</v>
      </c>
      <c r="AZ195" s="176">
        <v>136639570.19999099</v>
      </c>
      <c r="BA195" s="342" t="str">
        <f t="shared" si="25"/>
        <v/>
      </c>
      <c r="BB195">
        <v>1650</v>
      </c>
      <c r="BC195" t="s">
        <v>268</v>
      </c>
      <c r="BD195" t="s">
        <v>1015</v>
      </c>
      <c r="BE195" s="243">
        <f t="shared" si="26"/>
        <v>234570320.03663981</v>
      </c>
    </row>
    <row r="196" spans="1:57">
      <c r="A196">
        <v>1650</v>
      </c>
      <c r="B196" t="s">
        <v>268</v>
      </c>
      <c r="C196" t="s">
        <v>917</v>
      </c>
      <c r="D196" s="176">
        <v>108207439.883301</v>
      </c>
      <c r="E196">
        <v>0</v>
      </c>
      <c r="G196">
        <v>1650</v>
      </c>
      <c r="H196" t="s">
        <v>268</v>
      </c>
      <c r="I196" t="s">
        <v>917</v>
      </c>
      <c r="J196" s="176">
        <v>160893314.67998701</v>
      </c>
      <c r="K196">
        <v>0</v>
      </c>
      <c r="L196" s="342" t="str">
        <f t="shared" si="23"/>
        <v/>
      </c>
      <c r="M196">
        <v>1650</v>
      </c>
      <c r="N196" t="s">
        <v>268</v>
      </c>
      <c r="O196" t="s">
        <v>917</v>
      </c>
      <c r="P196" s="243">
        <f t="shared" si="24"/>
        <v>236922091.62729061</v>
      </c>
      <c r="S196">
        <v>1650</v>
      </c>
      <c r="T196" t="s">
        <v>268</v>
      </c>
      <c r="U196" t="s">
        <v>917</v>
      </c>
      <c r="V196" s="176">
        <v>29994532.985553999</v>
      </c>
      <c r="W196" s="176">
        <v>135312370.83443099</v>
      </c>
      <c r="X196">
        <v>0</v>
      </c>
      <c r="Y196" s="176">
        <v>20975953.111111</v>
      </c>
      <c r="Z196" s="176"/>
      <c r="AA196">
        <v>1650</v>
      </c>
      <c r="AB196" s="176" t="s">
        <v>268</v>
      </c>
      <c r="AC196" s="176" t="s">
        <v>917</v>
      </c>
      <c r="AD196" s="176">
        <v>29994532.985553999</v>
      </c>
      <c r="AE196" s="176">
        <v>135312370.83443099</v>
      </c>
      <c r="AF196">
        <v>0</v>
      </c>
      <c r="AG196" s="176">
        <v>20975953.111111</v>
      </c>
      <c r="AH196" s="342" t="str">
        <f t="shared" ref="AH196:AH259" si="27">IF(AND(M196 = S196, O196 = U196), "", "ATT")</f>
        <v/>
      </c>
      <c r="AI196">
        <v>1650</v>
      </c>
      <c r="AJ196" t="s">
        <v>268</v>
      </c>
      <c r="AK196" t="s">
        <v>917</v>
      </c>
      <c r="AL196" s="245">
        <f t="shared" ref="AL196:AL259" si="28">V196+(AD196*0.8)</f>
        <v>53990159.373997197</v>
      </c>
      <c r="AM196" s="245">
        <f t="shared" ref="AM196:AM259" si="29">W196+(AE196*0.8)</f>
        <v>243562267.50197577</v>
      </c>
      <c r="AN196" s="245">
        <f t="shared" ref="AN196:AN259" si="30">X196+(AF196*0.8)</f>
        <v>0</v>
      </c>
      <c r="AO196" s="245">
        <f t="shared" ref="AO196:AO259" si="31">Y196+(AG196*0.8)</f>
        <v>37756715.5999998</v>
      </c>
      <c r="AP196" s="176"/>
      <c r="AQ196" s="176"/>
      <c r="AR196">
        <v>1650</v>
      </c>
      <c r="AS196" t="s">
        <v>268</v>
      </c>
      <c r="AT196" t="s">
        <v>917</v>
      </c>
      <c r="AU196" s="176">
        <v>25469671.184439</v>
      </c>
      <c r="AW196">
        <v>1650</v>
      </c>
      <c r="AX196" t="s">
        <v>268</v>
      </c>
      <c r="AY196" t="s">
        <v>917</v>
      </c>
      <c r="AZ196" s="176">
        <v>52765700.114441998</v>
      </c>
      <c r="BA196" s="342" t="str">
        <f t="shared" si="25"/>
        <v/>
      </c>
      <c r="BB196">
        <v>1650</v>
      </c>
      <c r="BC196" t="s">
        <v>268</v>
      </c>
      <c r="BD196" t="s">
        <v>917</v>
      </c>
      <c r="BE196" s="243">
        <f t="shared" si="26"/>
        <v>67682231.275992602</v>
      </c>
    </row>
    <row r="197" spans="1:57">
      <c r="A197">
        <v>1650</v>
      </c>
      <c r="B197" t="s">
        <v>268</v>
      </c>
      <c r="C197" t="s">
        <v>1711</v>
      </c>
      <c r="D197" s="176">
        <v>47586177.087737001</v>
      </c>
      <c r="E197">
        <v>0</v>
      </c>
      <c r="G197">
        <v>1650</v>
      </c>
      <c r="H197" t="s">
        <v>268</v>
      </c>
      <c r="I197" t="s">
        <v>1711</v>
      </c>
      <c r="J197" s="176">
        <v>39297393.042209998</v>
      </c>
      <c r="K197">
        <v>0</v>
      </c>
      <c r="L197" s="342" t="str">
        <f t="shared" ref="L197:L260" si="32">IF(AND(A197 = G197, C197 = I197), "", "ATT")</f>
        <v/>
      </c>
      <c r="M197">
        <v>1650</v>
      </c>
      <c r="N197" t="s">
        <v>268</v>
      </c>
      <c r="O197" t="s">
        <v>1711</v>
      </c>
      <c r="P197" s="243">
        <f t="shared" ref="P197:P260" si="33">D197+(J197*0.8)</f>
        <v>79024091.521504998</v>
      </c>
      <c r="S197">
        <v>1650</v>
      </c>
      <c r="T197" t="s">
        <v>268</v>
      </c>
      <c r="U197" t="s">
        <v>1711</v>
      </c>
      <c r="V197" s="176">
        <v>23607841.495554999</v>
      </c>
      <c r="W197" s="176">
        <v>88000725.518864006</v>
      </c>
      <c r="X197">
        <v>0</v>
      </c>
      <c r="Y197" s="176">
        <v>4337052.7</v>
      </c>
      <c r="Z197" s="176"/>
      <c r="AA197">
        <v>1650</v>
      </c>
      <c r="AB197" s="176" t="s">
        <v>268</v>
      </c>
      <c r="AC197" s="176" t="s">
        <v>1711</v>
      </c>
      <c r="AD197" s="176">
        <v>23607841.495554999</v>
      </c>
      <c r="AE197" s="176">
        <v>88000725.518864006</v>
      </c>
      <c r="AF197">
        <v>0</v>
      </c>
      <c r="AG197" s="176">
        <v>4337052.7</v>
      </c>
      <c r="AH197" s="342" t="str">
        <f t="shared" si="27"/>
        <v/>
      </c>
      <c r="AI197">
        <v>1650</v>
      </c>
      <c r="AJ197" t="s">
        <v>268</v>
      </c>
      <c r="AK197" t="s">
        <v>1711</v>
      </c>
      <c r="AL197" s="245">
        <f t="shared" si="28"/>
        <v>42494114.691999003</v>
      </c>
      <c r="AM197" s="245">
        <f t="shared" si="29"/>
        <v>158401305.93395519</v>
      </c>
      <c r="AN197" s="245">
        <f t="shared" si="30"/>
        <v>0</v>
      </c>
      <c r="AO197" s="245">
        <f t="shared" si="31"/>
        <v>7806694.8600000003</v>
      </c>
      <c r="AP197" s="176"/>
      <c r="AQ197" s="176"/>
      <c r="AR197">
        <v>1650</v>
      </c>
      <c r="AS197" t="s">
        <v>268</v>
      </c>
      <c r="AT197" t="s">
        <v>1711</v>
      </c>
      <c r="AU197" s="176">
        <v>2455366.2455520001</v>
      </c>
      <c r="AW197">
        <v>1650</v>
      </c>
      <c r="AX197" t="s">
        <v>268</v>
      </c>
      <c r="AY197" t="s">
        <v>1711</v>
      </c>
      <c r="AZ197" s="176">
        <v>1956064.4588880001</v>
      </c>
      <c r="BA197" s="342" t="str">
        <f t="shared" ref="BA197:BA260" si="34">IF(AND(AR197 = AW197, AT197 = AY197), "", "ATT")</f>
        <v/>
      </c>
      <c r="BB197">
        <v>1650</v>
      </c>
      <c r="BC197" t="s">
        <v>268</v>
      </c>
      <c r="BD197" t="s">
        <v>1711</v>
      </c>
      <c r="BE197" s="243">
        <f t="shared" ref="BE197:BE260" si="35">AU197+(0.8*AZ197)</f>
        <v>4020217.8126624003</v>
      </c>
    </row>
    <row r="198" spans="1:57">
      <c r="A198">
        <v>1660</v>
      </c>
      <c r="B198" t="s">
        <v>269</v>
      </c>
      <c r="C198" t="s">
        <v>1016</v>
      </c>
      <c r="D198" s="176">
        <v>126422538.289924</v>
      </c>
      <c r="E198">
        <v>0</v>
      </c>
      <c r="G198">
        <v>1660</v>
      </c>
      <c r="H198" t="s">
        <v>269</v>
      </c>
      <c r="I198" t="s">
        <v>1016</v>
      </c>
      <c r="J198" s="176">
        <v>122759668.49442001</v>
      </c>
      <c r="K198">
        <v>0</v>
      </c>
      <c r="L198" s="342" t="str">
        <f t="shared" si="32"/>
        <v/>
      </c>
      <c r="M198">
        <v>1660</v>
      </c>
      <c r="N198" t="s">
        <v>269</v>
      </c>
      <c r="O198" t="s">
        <v>1016</v>
      </c>
      <c r="P198" s="243">
        <f t="shared" si="33"/>
        <v>224630273.08546001</v>
      </c>
      <c r="S198">
        <v>1660</v>
      </c>
      <c r="T198" t="s">
        <v>269</v>
      </c>
      <c r="U198" t="s">
        <v>1016</v>
      </c>
      <c r="V198" s="176">
        <v>103002709.699999</v>
      </c>
      <c r="W198" s="176">
        <v>184211632.94107801</v>
      </c>
      <c r="X198" s="176">
        <v>0</v>
      </c>
      <c r="Y198" s="176">
        <v>10344533.333333001</v>
      </c>
      <c r="Z198" s="176"/>
      <c r="AA198">
        <v>1660</v>
      </c>
      <c r="AB198" s="176" t="s">
        <v>269</v>
      </c>
      <c r="AC198" s="176" t="s">
        <v>1016</v>
      </c>
      <c r="AD198" s="176">
        <v>103002709.699999</v>
      </c>
      <c r="AE198" s="176">
        <v>184211632.94107801</v>
      </c>
      <c r="AF198" s="176">
        <v>0</v>
      </c>
      <c r="AG198" s="176">
        <v>10344533.333333001</v>
      </c>
      <c r="AH198" s="342" t="str">
        <f t="shared" si="27"/>
        <v/>
      </c>
      <c r="AI198">
        <v>1660</v>
      </c>
      <c r="AJ198" t="s">
        <v>269</v>
      </c>
      <c r="AK198" t="s">
        <v>1016</v>
      </c>
      <c r="AL198" s="245">
        <f t="shared" si="28"/>
        <v>185404877.45999822</v>
      </c>
      <c r="AM198" s="245">
        <f t="shared" si="29"/>
        <v>331580939.29394042</v>
      </c>
      <c r="AN198" s="245">
        <f t="shared" si="30"/>
        <v>0</v>
      </c>
      <c r="AO198" s="245">
        <f t="shared" si="31"/>
        <v>18620159.9999994</v>
      </c>
      <c r="AP198" s="176"/>
      <c r="AQ198" s="176"/>
      <c r="AR198">
        <v>1660</v>
      </c>
      <c r="AS198" t="s">
        <v>269</v>
      </c>
      <c r="AT198" t="s">
        <v>1016</v>
      </c>
      <c r="AU198" s="176">
        <v>35101368.054435</v>
      </c>
      <c r="AW198">
        <v>1660</v>
      </c>
      <c r="AX198" t="s">
        <v>269</v>
      </c>
      <c r="AY198" t="s">
        <v>1016</v>
      </c>
      <c r="AZ198" s="176">
        <v>59506032.401101999</v>
      </c>
      <c r="BA198" s="342" t="str">
        <f t="shared" si="34"/>
        <v/>
      </c>
      <c r="BB198">
        <v>1660</v>
      </c>
      <c r="BC198" t="s">
        <v>269</v>
      </c>
      <c r="BD198" t="s">
        <v>1016</v>
      </c>
      <c r="BE198" s="243">
        <f t="shared" si="35"/>
        <v>82706193.975316599</v>
      </c>
    </row>
    <row r="199" spans="1:57">
      <c r="A199">
        <v>1660</v>
      </c>
      <c r="B199" t="s">
        <v>269</v>
      </c>
      <c r="C199" t="s">
        <v>1058</v>
      </c>
      <c r="D199" s="176">
        <v>300438715.80437499</v>
      </c>
      <c r="E199">
        <v>0</v>
      </c>
      <c r="G199">
        <v>1660</v>
      </c>
      <c r="H199" t="s">
        <v>269</v>
      </c>
      <c r="I199" t="s">
        <v>1058</v>
      </c>
      <c r="J199" s="176">
        <v>153885374.47442001</v>
      </c>
      <c r="K199">
        <v>0</v>
      </c>
      <c r="L199" s="342" t="str">
        <f t="shared" si="32"/>
        <v/>
      </c>
      <c r="M199">
        <v>1660</v>
      </c>
      <c r="N199" t="s">
        <v>269</v>
      </c>
      <c r="O199" t="s">
        <v>1058</v>
      </c>
      <c r="P199" s="243">
        <f t="shared" si="33"/>
        <v>423547015.38391101</v>
      </c>
      <c r="S199">
        <v>1660</v>
      </c>
      <c r="T199" t="s">
        <v>269</v>
      </c>
      <c r="U199" t="s">
        <v>1058</v>
      </c>
      <c r="V199" s="176">
        <v>87445711.018887997</v>
      </c>
      <c r="W199" s="176">
        <v>212915369.678875</v>
      </c>
      <c r="X199">
        <v>0</v>
      </c>
      <c r="Y199" s="176">
        <v>44643909</v>
      </c>
      <c r="Z199" s="176"/>
      <c r="AA199">
        <v>1660</v>
      </c>
      <c r="AB199" s="176" t="s">
        <v>269</v>
      </c>
      <c r="AC199" s="176" t="s">
        <v>1058</v>
      </c>
      <c r="AD199" s="176">
        <v>87445711.018887997</v>
      </c>
      <c r="AE199" s="176">
        <v>212915369.678875</v>
      </c>
      <c r="AF199">
        <v>0</v>
      </c>
      <c r="AG199" s="176">
        <v>44643909</v>
      </c>
      <c r="AH199" s="342" t="str">
        <f t="shared" si="27"/>
        <v/>
      </c>
      <c r="AI199">
        <v>1660</v>
      </c>
      <c r="AJ199" t="s">
        <v>269</v>
      </c>
      <c r="AK199" t="s">
        <v>1058</v>
      </c>
      <c r="AL199" s="245">
        <f t="shared" si="28"/>
        <v>157402279.83399838</v>
      </c>
      <c r="AM199" s="245">
        <f t="shared" si="29"/>
        <v>383247665.42197502</v>
      </c>
      <c r="AN199" s="245">
        <f t="shared" si="30"/>
        <v>0</v>
      </c>
      <c r="AO199" s="245">
        <f t="shared" si="31"/>
        <v>80359036.200000003</v>
      </c>
      <c r="AP199" s="176"/>
      <c r="AQ199" s="176"/>
      <c r="AR199">
        <v>1660</v>
      </c>
      <c r="AS199" t="s">
        <v>269</v>
      </c>
      <c r="AT199" t="s">
        <v>1058</v>
      </c>
      <c r="AU199" s="176">
        <v>389540019.35664302</v>
      </c>
      <c r="AW199">
        <v>1660</v>
      </c>
      <c r="AX199" t="s">
        <v>269</v>
      </c>
      <c r="AY199" t="s">
        <v>1058</v>
      </c>
      <c r="AZ199" s="176">
        <v>236325962.264433</v>
      </c>
      <c r="BA199" s="342" t="str">
        <f t="shared" si="34"/>
        <v/>
      </c>
      <c r="BB199">
        <v>1660</v>
      </c>
      <c r="BC199" t="s">
        <v>269</v>
      </c>
      <c r="BD199" t="s">
        <v>1058</v>
      </c>
      <c r="BE199" s="243">
        <f t="shared" si="35"/>
        <v>578600789.16818941</v>
      </c>
    </row>
    <row r="200" spans="1:57">
      <c r="A200">
        <v>1660</v>
      </c>
      <c r="B200" t="s">
        <v>269</v>
      </c>
      <c r="C200" t="s">
        <v>1945</v>
      </c>
      <c r="D200" s="176">
        <v>75506695.851037994</v>
      </c>
      <c r="E200">
        <v>0</v>
      </c>
      <c r="G200">
        <v>1660</v>
      </c>
      <c r="H200" t="s">
        <v>269</v>
      </c>
      <c r="I200" t="s">
        <v>1945</v>
      </c>
      <c r="J200" s="176">
        <v>34335490.946649998</v>
      </c>
      <c r="K200">
        <v>0</v>
      </c>
      <c r="L200" s="342" t="str">
        <f t="shared" si="32"/>
        <v/>
      </c>
      <c r="M200">
        <v>1660</v>
      </c>
      <c r="N200" t="s">
        <v>269</v>
      </c>
      <c r="O200" t="s">
        <v>1945</v>
      </c>
      <c r="P200" s="243">
        <f t="shared" si="33"/>
        <v>102975088.608358</v>
      </c>
      <c r="S200">
        <v>1660</v>
      </c>
      <c r="T200" t="s">
        <v>269</v>
      </c>
      <c r="U200" t="s">
        <v>1945</v>
      </c>
      <c r="V200" s="176">
        <v>47053323.689999998</v>
      </c>
      <c r="W200" s="176">
        <v>107128662.654424</v>
      </c>
      <c r="X200" s="176">
        <v>0</v>
      </c>
      <c r="Y200" s="176">
        <v>6391943.8888879996</v>
      </c>
      <c r="Z200" s="176"/>
      <c r="AA200">
        <v>1660</v>
      </c>
      <c r="AB200" s="176" t="s">
        <v>269</v>
      </c>
      <c r="AC200" s="176" t="s">
        <v>1945</v>
      </c>
      <c r="AD200" s="176">
        <v>47053323.689999998</v>
      </c>
      <c r="AE200" s="176">
        <v>107128662.654424</v>
      </c>
      <c r="AF200" s="176">
        <v>0</v>
      </c>
      <c r="AG200" s="176">
        <v>6391943.8888879996</v>
      </c>
      <c r="AH200" s="342" t="str">
        <f t="shared" si="27"/>
        <v/>
      </c>
      <c r="AI200">
        <v>1660</v>
      </c>
      <c r="AJ200" t="s">
        <v>269</v>
      </c>
      <c r="AK200" t="s">
        <v>1945</v>
      </c>
      <c r="AL200" s="245">
        <f t="shared" si="28"/>
        <v>84695982.64199999</v>
      </c>
      <c r="AM200" s="245">
        <f t="shared" si="29"/>
        <v>192831592.77796322</v>
      </c>
      <c r="AN200" s="245">
        <f t="shared" si="30"/>
        <v>0</v>
      </c>
      <c r="AO200" s="245">
        <f t="shared" si="31"/>
        <v>11505498.9999984</v>
      </c>
      <c r="AP200" s="176"/>
      <c r="AQ200" s="176"/>
      <c r="AR200">
        <v>1660</v>
      </c>
      <c r="AS200" t="s">
        <v>269</v>
      </c>
      <c r="AT200" t="s">
        <v>1945</v>
      </c>
      <c r="AU200" s="176">
        <v>15950656.748881999</v>
      </c>
      <c r="AW200">
        <v>1660</v>
      </c>
      <c r="AX200" t="s">
        <v>269</v>
      </c>
      <c r="AY200" t="s">
        <v>1945</v>
      </c>
      <c r="AZ200" s="176">
        <v>19918693.137775999</v>
      </c>
      <c r="BA200" s="342" t="str">
        <f t="shared" si="34"/>
        <v/>
      </c>
      <c r="BB200">
        <v>1660</v>
      </c>
      <c r="BC200" t="s">
        <v>269</v>
      </c>
      <c r="BD200" t="s">
        <v>1945</v>
      </c>
      <c r="BE200" s="243">
        <f t="shared" si="35"/>
        <v>31885611.259102799</v>
      </c>
    </row>
    <row r="201" spans="1:57">
      <c r="A201">
        <v>1660</v>
      </c>
      <c r="B201" t="s">
        <v>269</v>
      </c>
      <c r="C201" t="s">
        <v>1712</v>
      </c>
      <c r="D201" s="176">
        <v>152955613.894373</v>
      </c>
      <c r="E201">
        <v>0</v>
      </c>
      <c r="G201">
        <v>1660</v>
      </c>
      <c r="H201" t="s">
        <v>269</v>
      </c>
      <c r="I201" t="s">
        <v>1712</v>
      </c>
      <c r="J201" s="176">
        <v>137972685.57664201</v>
      </c>
      <c r="K201">
        <v>0</v>
      </c>
      <c r="L201" s="342" t="str">
        <f t="shared" si="32"/>
        <v/>
      </c>
      <c r="M201">
        <v>1660</v>
      </c>
      <c r="N201" t="s">
        <v>269</v>
      </c>
      <c r="O201" t="s">
        <v>1712</v>
      </c>
      <c r="P201" s="243">
        <f t="shared" si="33"/>
        <v>263333762.3556866</v>
      </c>
      <c r="S201">
        <v>1660</v>
      </c>
      <c r="T201" t="s">
        <v>269</v>
      </c>
      <c r="U201" t="s">
        <v>1712</v>
      </c>
      <c r="V201" s="176">
        <v>84686787.735554993</v>
      </c>
      <c r="W201" s="176">
        <v>173472689.65664399</v>
      </c>
      <c r="X201">
        <v>2144800</v>
      </c>
      <c r="Y201" s="176">
        <v>17372223</v>
      </c>
      <c r="Z201" s="176"/>
      <c r="AA201">
        <v>1660</v>
      </c>
      <c r="AB201" s="176" t="s">
        <v>269</v>
      </c>
      <c r="AC201" s="176" t="s">
        <v>1712</v>
      </c>
      <c r="AD201" s="176">
        <v>84686787.735554993</v>
      </c>
      <c r="AE201" s="176">
        <v>173472689.65664399</v>
      </c>
      <c r="AF201">
        <v>2144800</v>
      </c>
      <c r="AG201" s="176">
        <v>17372223</v>
      </c>
      <c r="AH201" s="342" t="str">
        <f t="shared" si="27"/>
        <v/>
      </c>
      <c r="AI201">
        <v>1660</v>
      </c>
      <c r="AJ201" t="s">
        <v>269</v>
      </c>
      <c r="AK201" t="s">
        <v>1712</v>
      </c>
      <c r="AL201" s="245">
        <f t="shared" si="28"/>
        <v>152436217.92399901</v>
      </c>
      <c r="AM201" s="245">
        <f t="shared" si="29"/>
        <v>312250841.3819592</v>
      </c>
      <c r="AN201" s="245">
        <f t="shared" si="30"/>
        <v>3860640</v>
      </c>
      <c r="AO201" s="245">
        <f t="shared" si="31"/>
        <v>31270001.399999999</v>
      </c>
      <c r="AP201" s="176"/>
      <c r="AQ201" s="176"/>
      <c r="AR201">
        <v>1660</v>
      </c>
      <c r="AS201" t="s">
        <v>269</v>
      </c>
      <c r="AT201" t="s">
        <v>1712</v>
      </c>
      <c r="AU201" s="176">
        <v>45876252.872212</v>
      </c>
      <c r="AW201">
        <v>1660</v>
      </c>
      <c r="AX201" t="s">
        <v>269</v>
      </c>
      <c r="AY201" t="s">
        <v>1712</v>
      </c>
      <c r="AZ201" s="176">
        <v>14928628.262218</v>
      </c>
      <c r="BA201" s="342" t="str">
        <f t="shared" si="34"/>
        <v/>
      </c>
      <c r="BB201">
        <v>1660</v>
      </c>
      <c r="BC201" t="s">
        <v>269</v>
      </c>
      <c r="BD201" t="s">
        <v>1712</v>
      </c>
      <c r="BE201" s="243">
        <f t="shared" si="35"/>
        <v>57819155.481986403</v>
      </c>
    </row>
    <row r="202" spans="1:57">
      <c r="A202">
        <v>1670</v>
      </c>
      <c r="B202" t="s">
        <v>270</v>
      </c>
      <c r="C202" t="s">
        <v>912</v>
      </c>
      <c r="D202" s="176">
        <v>370000302.61439002</v>
      </c>
      <c r="E202">
        <v>0</v>
      </c>
      <c r="G202">
        <v>1670</v>
      </c>
      <c r="H202" t="s">
        <v>270</v>
      </c>
      <c r="I202" t="s">
        <v>912</v>
      </c>
      <c r="J202" s="176">
        <v>260832118.35441801</v>
      </c>
      <c r="K202">
        <v>0</v>
      </c>
      <c r="L202" s="342" t="str">
        <f t="shared" si="32"/>
        <v/>
      </c>
      <c r="M202">
        <v>1670</v>
      </c>
      <c r="N202" t="s">
        <v>270</v>
      </c>
      <c r="O202" t="s">
        <v>912</v>
      </c>
      <c r="P202" s="243">
        <f t="shared" si="33"/>
        <v>578665997.2979244</v>
      </c>
      <c r="S202">
        <v>1670</v>
      </c>
      <c r="T202" t="s">
        <v>270</v>
      </c>
      <c r="U202" t="s">
        <v>912</v>
      </c>
      <c r="V202" s="176">
        <v>89472738.517775998</v>
      </c>
      <c r="W202" s="176">
        <v>151727510.026651</v>
      </c>
      <c r="X202" s="176">
        <v>0</v>
      </c>
      <c r="Y202" s="176">
        <v>17334434.666666001</v>
      </c>
      <c r="Z202" s="176"/>
      <c r="AA202">
        <v>1670</v>
      </c>
      <c r="AB202" s="176" t="s">
        <v>270</v>
      </c>
      <c r="AC202" s="176" t="s">
        <v>912</v>
      </c>
      <c r="AD202" s="176">
        <v>89472738.517775998</v>
      </c>
      <c r="AE202" s="176">
        <v>151727510.026651</v>
      </c>
      <c r="AF202">
        <v>0</v>
      </c>
      <c r="AG202" s="176">
        <v>17334434.666666001</v>
      </c>
      <c r="AH202" s="342" t="str">
        <f t="shared" si="27"/>
        <v/>
      </c>
      <c r="AI202">
        <v>1670</v>
      </c>
      <c r="AJ202" t="s">
        <v>270</v>
      </c>
      <c r="AK202" t="s">
        <v>912</v>
      </c>
      <c r="AL202" s="245">
        <f t="shared" si="28"/>
        <v>161050929.3319968</v>
      </c>
      <c r="AM202" s="245">
        <f t="shared" si="29"/>
        <v>273109518.04797179</v>
      </c>
      <c r="AN202" s="245">
        <f t="shared" si="30"/>
        <v>0</v>
      </c>
      <c r="AO202" s="245">
        <f t="shared" si="31"/>
        <v>31201982.399998803</v>
      </c>
      <c r="AP202" s="176"/>
      <c r="AQ202" s="176"/>
      <c r="AR202">
        <v>1670</v>
      </c>
      <c r="AS202" t="s">
        <v>270</v>
      </c>
      <c r="AT202" t="s">
        <v>912</v>
      </c>
      <c r="AU202" s="176">
        <v>135102330.53776401</v>
      </c>
      <c r="AW202">
        <v>1670</v>
      </c>
      <c r="AX202" t="s">
        <v>270</v>
      </c>
      <c r="AY202" t="s">
        <v>912</v>
      </c>
      <c r="AZ202" s="176">
        <v>176570696.85665199</v>
      </c>
      <c r="BA202" s="342" t="str">
        <f t="shared" si="34"/>
        <v/>
      </c>
      <c r="BB202">
        <v>1670</v>
      </c>
      <c r="BC202" t="s">
        <v>270</v>
      </c>
      <c r="BD202" t="s">
        <v>912</v>
      </c>
      <c r="BE202" s="243">
        <f t="shared" si="35"/>
        <v>276358888.02308559</v>
      </c>
    </row>
    <row r="203" spans="1:57" s="246" customFormat="1">
      <c r="A203">
        <v>1670</v>
      </c>
      <c r="B203" t="s">
        <v>270</v>
      </c>
      <c r="C203" t="s">
        <v>1019</v>
      </c>
      <c r="D203" s="176">
        <v>253857108.267645</v>
      </c>
      <c r="E203">
        <v>0</v>
      </c>
      <c r="G203">
        <v>1670</v>
      </c>
      <c r="H203" t="s">
        <v>270</v>
      </c>
      <c r="I203" t="s">
        <v>1019</v>
      </c>
      <c r="J203" s="176">
        <v>92474528.597756997</v>
      </c>
      <c r="K203">
        <v>0</v>
      </c>
      <c r="L203" s="342" t="str">
        <f t="shared" si="32"/>
        <v/>
      </c>
      <c r="M203">
        <v>1670</v>
      </c>
      <c r="N203" t="s">
        <v>270</v>
      </c>
      <c r="O203" t="s">
        <v>1019</v>
      </c>
      <c r="P203" s="243">
        <f t="shared" si="33"/>
        <v>327836731.1458506</v>
      </c>
      <c r="S203" s="246">
        <v>1670</v>
      </c>
      <c r="T203" s="246" t="s">
        <v>270</v>
      </c>
      <c r="U203" s="246" t="s">
        <v>1019</v>
      </c>
      <c r="V203" s="247">
        <v>60629207.413328998</v>
      </c>
      <c r="W203" s="247">
        <v>192288771.83553001</v>
      </c>
      <c r="X203" s="246">
        <v>0</v>
      </c>
      <c r="Y203" s="247">
        <v>26481655.277775001</v>
      </c>
      <c r="Z203" s="247"/>
      <c r="AA203" s="246">
        <v>1670</v>
      </c>
      <c r="AB203" s="247" t="s">
        <v>270</v>
      </c>
      <c r="AC203" s="247" t="s">
        <v>1019</v>
      </c>
      <c r="AD203" s="247">
        <v>60629207.413328998</v>
      </c>
      <c r="AE203" s="247">
        <v>192288771.83553001</v>
      </c>
      <c r="AF203" s="246">
        <v>0</v>
      </c>
      <c r="AG203" s="247">
        <v>26481655.277775001</v>
      </c>
      <c r="AH203" s="342" t="str">
        <f t="shared" si="27"/>
        <v/>
      </c>
      <c r="AI203">
        <v>1670</v>
      </c>
      <c r="AJ203" t="s">
        <v>270</v>
      </c>
      <c r="AK203" t="s">
        <v>1019</v>
      </c>
      <c r="AL203" s="245">
        <f t="shared" si="28"/>
        <v>109132573.3439922</v>
      </c>
      <c r="AM203" s="245">
        <f t="shared" si="29"/>
        <v>346119789.30395401</v>
      </c>
      <c r="AN203" s="245">
        <f t="shared" si="30"/>
        <v>0</v>
      </c>
      <c r="AO203" s="245">
        <f t="shared" si="31"/>
        <v>47666979.499995008</v>
      </c>
      <c r="AP203" s="247"/>
      <c r="AQ203" s="247"/>
      <c r="AR203" s="246">
        <v>1670</v>
      </c>
      <c r="AS203" s="246" t="s">
        <v>270</v>
      </c>
      <c r="AT203" s="246" t="s">
        <v>1019</v>
      </c>
      <c r="AU203" s="247">
        <v>28521222.859983001</v>
      </c>
      <c r="AW203" s="246">
        <v>1670</v>
      </c>
      <c r="AX203" s="246" t="s">
        <v>270</v>
      </c>
      <c r="AY203" s="246" t="s">
        <v>1019</v>
      </c>
      <c r="AZ203" s="247">
        <v>14018098.608883001</v>
      </c>
      <c r="BA203" s="342" t="str">
        <f t="shared" si="34"/>
        <v/>
      </c>
      <c r="BB203">
        <v>1670</v>
      </c>
      <c r="BC203" t="s">
        <v>270</v>
      </c>
      <c r="BD203" t="s">
        <v>1019</v>
      </c>
      <c r="BE203" s="243">
        <f t="shared" si="35"/>
        <v>39735701.747089401</v>
      </c>
    </row>
    <row r="204" spans="1:57" s="246" customFormat="1">
      <c r="A204">
        <v>1670</v>
      </c>
      <c r="B204" t="s">
        <v>270</v>
      </c>
      <c r="C204" t="s">
        <v>975</v>
      </c>
      <c r="D204" s="176">
        <v>51471015.036633</v>
      </c>
      <c r="E204">
        <v>0</v>
      </c>
      <c r="G204">
        <v>1670</v>
      </c>
      <c r="H204" t="s">
        <v>270</v>
      </c>
      <c r="I204" t="s">
        <v>975</v>
      </c>
      <c r="J204" s="176">
        <v>48588321.744436003</v>
      </c>
      <c r="K204">
        <v>0</v>
      </c>
      <c r="L204" s="342" t="str">
        <f t="shared" si="32"/>
        <v/>
      </c>
      <c r="M204">
        <v>1670</v>
      </c>
      <c r="N204" t="s">
        <v>270</v>
      </c>
      <c r="O204" t="s">
        <v>975</v>
      </c>
      <c r="P204" s="243">
        <f t="shared" si="33"/>
        <v>90341672.432181805</v>
      </c>
      <c r="S204" s="246">
        <v>1670</v>
      </c>
      <c r="T204" s="246" t="s">
        <v>270</v>
      </c>
      <c r="U204" s="246" t="s">
        <v>975</v>
      </c>
      <c r="V204" s="247">
        <v>39308420.755553998</v>
      </c>
      <c r="W204" s="247">
        <v>98467536.895548001</v>
      </c>
      <c r="X204" s="246">
        <v>0</v>
      </c>
      <c r="Y204" s="247">
        <v>3002583.3333330001</v>
      </c>
      <c r="Z204" s="247"/>
      <c r="AA204" s="246">
        <v>1670</v>
      </c>
      <c r="AB204" s="247" t="s">
        <v>270</v>
      </c>
      <c r="AC204" s="247" t="s">
        <v>975</v>
      </c>
      <c r="AD204" s="247">
        <v>39308420.755553998</v>
      </c>
      <c r="AE204" s="247">
        <v>98467536.895548001</v>
      </c>
      <c r="AF204" s="246">
        <v>0</v>
      </c>
      <c r="AG204" s="247">
        <v>3002583.3333330001</v>
      </c>
      <c r="AH204" s="342" t="str">
        <f t="shared" si="27"/>
        <v/>
      </c>
      <c r="AI204">
        <v>1670</v>
      </c>
      <c r="AJ204" t="s">
        <v>270</v>
      </c>
      <c r="AK204" t="s">
        <v>975</v>
      </c>
      <c r="AL204" s="245">
        <f t="shared" si="28"/>
        <v>70755157.359997198</v>
      </c>
      <c r="AM204" s="245">
        <f t="shared" si="29"/>
        <v>177241566.41198641</v>
      </c>
      <c r="AN204" s="245">
        <f t="shared" si="30"/>
        <v>0</v>
      </c>
      <c r="AO204" s="245">
        <f t="shared" si="31"/>
        <v>5404649.9999994002</v>
      </c>
      <c r="AP204" s="247"/>
      <c r="AQ204" s="247"/>
      <c r="AR204" s="246">
        <v>1670</v>
      </c>
      <c r="AS204" s="246" t="s">
        <v>270</v>
      </c>
      <c r="AT204" s="246" t="s">
        <v>975</v>
      </c>
      <c r="AU204" s="247">
        <v>5983117.0999959996</v>
      </c>
      <c r="AW204" s="246">
        <v>1670</v>
      </c>
      <c r="AX204" s="246" t="s">
        <v>270</v>
      </c>
      <c r="AY204" s="246" t="s">
        <v>975</v>
      </c>
      <c r="AZ204" s="247">
        <v>8295315.6866650004</v>
      </c>
      <c r="BA204" s="342" t="str">
        <f t="shared" si="34"/>
        <v/>
      </c>
      <c r="BB204">
        <v>1670</v>
      </c>
      <c r="BC204" t="s">
        <v>270</v>
      </c>
      <c r="BD204" t="s">
        <v>975</v>
      </c>
      <c r="BE204" s="243">
        <f t="shared" si="35"/>
        <v>12619369.649328001</v>
      </c>
    </row>
    <row r="205" spans="1:57">
      <c r="A205">
        <v>1670</v>
      </c>
      <c r="B205" t="s">
        <v>270</v>
      </c>
      <c r="C205" t="s">
        <v>1713</v>
      </c>
      <c r="D205" s="176">
        <v>253186003.834351</v>
      </c>
      <c r="E205">
        <v>0</v>
      </c>
      <c r="G205">
        <v>1670</v>
      </c>
      <c r="H205" t="s">
        <v>270</v>
      </c>
      <c r="I205" t="s">
        <v>1713</v>
      </c>
      <c r="J205" s="176">
        <v>139283892.68998</v>
      </c>
      <c r="K205">
        <v>0</v>
      </c>
      <c r="L205" s="342" t="str">
        <f t="shared" si="32"/>
        <v/>
      </c>
      <c r="M205">
        <v>1670</v>
      </c>
      <c r="N205" t="s">
        <v>270</v>
      </c>
      <c r="O205" t="s">
        <v>1713</v>
      </c>
      <c r="P205" s="243">
        <f t="shared" si="33"/>
        <v>364613117.98633504</v>
      </c>
      <c r="S205">
        <v>1670</v>
      </c>
      <c r="T205" t="s">
        <v>270</v>
      </c>
      <c r="U205" t="s">
        <v>1713</v>
      </c>
      <c r="V205" s="176">
        <v>58857239.835552998</v>
      </c>
      <c r="W205" s="176">
        <v>152365092.974415</v>
      </c>
      <c r="X205" s="176">
        <v>0</v>
      </c>
      <c r="Y205" s="176">
        <v>5504061</v>
      </c>
      <c r="Z205" s="176"/>
      <c r="AA205">
        <v>1670</v>
      </c>
      <c r="AB205" s="176" t="s">
        <v>270</v>
      </c>
      <c r="AC205" s="176" t="s">
        <v>1713</v>
      </c>
      <c r="AD205" s="176">
        <v>58857239.835552998</v>
      </c>
      <c r="AE205" s="176">
        <v>152365092.974415</v>
      </c>
      <c r="AF205">
        <v>0</v>
      </c>
      <c r="AG205" s="176">
        <v>5504061</v>
      </c>
      <c r="AH205" s="342" t="str">
        <f t="shared" si="27"/>
        <v/>
      </c>
      <c r="AI205">
        <v>1670</v>
      </c>
      <c r="AJ205" t="s">
        <v>270</v>
      </c>
      <c r="AK205" t="s">
        <v>1713</v>
      </c>
      <c r="AL205" s="245">
        <f t="shared" si="28"/>
        <v>105943031.70399541</v>
      </c>
      <c r="AM205" s="245">
        <f t="shared" si="29"/>
        <v>274257167.35394704</v>
      </c>
      <c r="AN205" s="245">
        <f t="shared" si="30"/>
        <v>0</v>
      </c>
      <c r="AO205" s="245">
        <f t="shared" si="31"/>
        <v>9907309.8000000007</v>
      </c>
      <c r="AP205" s="176"/>
      <c r="AQ205" s="176"/>
      <c r="AR205">
        <v>1670</v>
      </c>
      <c r="AS205" t="s">
        <v>270</v>
      </c>
      <c r="AT205" t="s">
        <v>1713</v>
      </c>
      <c r="AU205" s="176">
        <v>28958342.219985001</v>
      </c>
      <c r="AW205">
        <v>1670</v>
      </c>
      <c r="AX205" t="s">
        <v>270</v>
      </c>
      <c r="AY205" t="s">
        <v>1713</v>
      </c>
      <c r="AZ205" s="176">
        <v>23284443.003327999</v>
      </c>
      <c r="BA205" s="342" t="str">
        <f t="shared" si="34"/>
        <v/>
      </c>
      <c r="BB205">
        <v>1670</v>
      </c>
      <c r="BC205" t="s">
        <v>270</v>
      </c>
      <c r="BD205" t="s">
        <v>1713</v>
      </c>
      <c r="BE205" s="243">
        <f t="shared" si="35"/>
        <v>47585896.622647405</v>
      </c>
    </row>
    <row r="206" spans="1:57">
      <c r="A206">
        <v>1670</v>
      </c>
      <c r="B206" t="s">
        <v>270</v>
      </c>
      <c r="C206" t="s">
        <v>1946</v>
      </c>
      <c r="D206" s="176">
        <v>74018823.893296003</v>
      </c>
      <c r="E206">
        <v>0</v>
      </c>
      <c r="G206">
        <v>1670</v>
      </c>
      <c r="H206" t="s">
        <v>270</v>
      </c>
      <c r="I206" t="s">
        <v>1946</v>
      </c>
      <c r="J206" s="176">
        <v>65823076.468870997</v>
      </c>
      <c r="K206">
        <v>0</v>
      </c>
      <c r="L206" s="342" t="str">
        <f t="shared" si="32"/>
        <v/>
      </c>
      <c r="M206">
        <v>1670</v>
      </c>
      <c r="N206" t="s">
        <v>270</v>
      </c>
      <c r="O206" t="s">
        <v>1946</v>
      </c>
      <c r="P206" s="243">
        <f t="shared" si="33"/>
        <v>126677285.06839281</v>
      </c>
      <c r="S206">
        <v>1670</v>
      </c>
      <c r="T206" t="s">
        <v>270</v>
      </c>
      <c r="U206" t="s">
        <v>1946</v>
      </c>
      <c r="V206" s="176">
        <v>45796205.134443</v>
      </c>
      <c r="W206" s="176">
        <v>86948002.304427996</v>
      </c>
      <c r="X206">
        <v>0</v>
      </c>
      <c r="Y206" s="176">
        <v>8950000</v>
      </c>
      <c r="Z206" s="176"/>
      <c r="AA206">
        <v>1670</v>
      </c>
      <c r="AB206" s="176" t="s">
        <v>270</v>
      </c>
      <c r="AC206" s="176" t="s">
        <v>1946</v>
      </c>
      <c r="AD206" s="176">
        <v>45796205.134443</v>
      </c>
      <c r="AE206" s="176">
        <v>86948002.304427996</v>
      </c>
      <c r="AF206">
        <v>0</v>
      </c>
      <c r="AG206" s="176">
        <v>8950000</v>
      </c>
      <c r="AH206" s="342" t="str">
        <f t="shared" si="27"/>
        <v/>
      </c>
      <c r="AI206">
        <v>1670</v>
      </c>
      <c r="AJ206" t="s">
        <v>270</v>
      </c>
      <c r="AK206" t="s">
        <v>1946</v>
      </c>
      <c r="AL206" s="245">
        <f t="shared" si="28"/>
        <v>82433169.241997391</v>
      </c>
      <c r="AM206" s="245">
        <f t="shared" si="29"/>
        <v>156506404.14797038</v>
      </c>
      <c r="AN206" s="245">
        <f t="shared" si="30"/>
        <v>0</v>
      </c>
      <c r="AO206" s="245">
        <f t="shared" si="31"/>
        <v>16110000</v>
      </c>
      <c r="AP206" s="176"/>
      <c r="AQ206" s="176"/>
      <c r="AR206">
        <v>1670</v>
      </c>
      <c r="AS206" t="s">
        <v>270</v>
      </c>
      <c r="AT206" t="s">
        <v>1946</v>
      </c>
      <c r="AU206" s="176">
        <v>20943254.717771001</v>
      </c>
      <c r="AW206">
        <v>1670</v>
      </c>
      <c r="AX206" t="s">
        <v>270</v>
      </c>
      <c r="AY206" t="s">
        <v>1946</v>
      </c>
      <c r="AZ206" s="176">
        <v>28541738.607771002</v>
      </c>
      <c r="BA206" s="342" t="str">
        <f t="shared" si="34"/>
        <v/>
      </c>
      <c r="BB206">
        <v>1670</v>
      </c>
      <c r="BC206" t="s">
        <v>270</v>
      </c>
      <c r="BD206" t="s">
        <v>1946</v>
      </c>
      <c r="BE206" s="243">
        <f t="shared" si="35"/>
        <v>43776645.603987806</v>
      </c>
    </row>
    <row r="207" spans="1:57">
      <c r="A207">
        <v>1680</v>
      </c>
      <c r="B207" t="s">
        <v>271</v>
      </c>
      <c r="C207" t="s">
        <v>1020</v>
      </c>
      <c r="D207" s="176">
        <v>124116460.4155</v>
      </c>
      <c r="E207">
        <v>0</v>
      </c>
      <c r="G207">
        <v>1680</v>
      </c>
      <c r="H207" t="s">
        <v>271</v>
      </c>
      <c r="I207" t="s">
        <v>1020</v>
      </c>
      <c r="J207" s="176">
        <v>49012830.184430003</v>
      </c>
      <c r="K207">
        <v>0</v>
      </c>
      <c r="L207" s="342" t="str">
        <f t="shared" si="32"/>
        <v/>
      </c>
      <c r="M207">
        <v>1680</v>
      </c>
      <c r="N207" t="s">
        <v>271</v>
      </c>
      <c r="O207" t="s">
        <v>1020</v>
      </c>
      <c r="P207" s="243">
        <f t="shared" si="33"/>
        <v>163326724.56304401</v>
      </c>
      <c r="S207">
        <v>1680</v>
      </c>
      <c r="T207" t="s">
        <v>271</v>
      </c>
      <c r="U207" t="s">
        <v>1020</v>
      </c>
      <c r="V207" s="176">
        <v>77610794.556664005</v>
      </c>
      <c r="W207" s="176">
        <v>115904876.39553399</v>
      </c>
      <c r="X207" s="176">
        <v>4666666.6666660002</v>
      </c>
      <c r="Y207" s="176">
        <v>4004166.6666660002</v>
      </c>
      <c r="Z207" s="176"/>
      <c r="AA207">
        <v>1680</v>
      </c>
      <c r="AB207" s="176" t="s">
        <v>271</v>
      </c>
      <c r="AC207" s="176" t="s">
        <v>1020</v>
      </c>
      <c r="AD207" s="176">
        <v>77610794.556664005</v>
      </c>
      <c r="AE207" s="176">
        <v>115904876.39553399</v>
      </c>
      <c r="AF207">
        <v>4666666.6666660002</v>
      </c>
      <c r="AG207" s="176">
        <v>4004166.6666660002</v>
      </c>
      <c r="AH207" s="342" t="str">
        <f t="shared" si="27"/>
        <v/>
      </c>
      <c r="AI207">
        <v>1680</v>
      </c>
      <c r="AJ207" t="s">
        <v>271</v>
      </c>
      <c r="AK207" t="s">
        <v>1020</v>
      </c>
      <c r="AL207" s="245">
        <f t="shared" si="28"/>
        <v>139699430.20199519</v>
      </c>
      <c r="AM207" s="245">
        <f t="shared" si="29"/>
        <v>208628777.51196119</v>
      </c>
      <c r="AN207" s="245">
        <f t="shared" si="30"/>
        <v>8399999.9999988005</v>
      </c>
      <c r="AO207" s="245">
        <f t="shared" si="31"/>
        <v>7207499.9999988005</v>
      </c>
      <c r="AP207" s="176"/>
      <c r="AQ207" s="176"/>
      <c r="AR207">
        <v>1680</v>
      </c>
      <c r="AS207" t="s">
        <v>271</v>
      </c>
      <c r="AT207" t="s">
        <v>1020</v>
      </c>
      <c r="AU207" s="176">
        <v>4840291.6688829996</v>
      </c>
      <c r="AW207">
        <v>1680</v>
      </c>
      <c r="AX207" t="s">
        <v>271</v>
      </c>
      <c r="AY207" t="s">
        <v>1020</v>
      </c>
      <c r="AZ207" s="176">
        <v>126201.46</v>
      </c>
      <c r="BA207" s="342" t="str">
        <f t="shared" si="34"/>
        <v/>
      </c>
      <c r="BB207">
        <v>1680</v>
      </c>
      <c r="BC207" t="s">
        <v>271</v>
      </c>
      <c r="BD207" t="s">
        <v>1020</v>
      </c>
      <c r="BE207" s="243">
        <f t="shared" si="35"/>
        <v>4941252.8368829992</v>
      </c>
    </row>
    <row r="208" spans="1:57">
      <c r="A208">
        <v>1680</v>
      </c>
      <c r="B208" t="s">
        <v>271</v>
      </c>
      <c r="C208" t="s">
        <v>1021</v>
      </c>
      <c r="D208" s="176">
        <v>119697642.176569</v>
      </c>
      <c r="E208">
        <v>0</v>
      </c>
      <c r="G208">
        <v>1680</v>
      </c>
      <c r="H208" t="s">
        <v>271</v>
      </c>
      <c r="I208" t="s">
        <v>1021</v>
      </c>
      <c r="J208" s="176">
        <v>37561988.677762002</v>
      </c>
      <c r="K208">
        <v>0</v>
      </c>
      <c r="L208" s="342" t="str">
        <f t="shared" si="32"/>
        <v/>
      </c>
      <c r="M208">
        <v>1680</v>
      </c>
      <c r="N208" t="s">
        <v>271</v>
      </c>
      <c r="O208" t="s">
        <v>1021</v>
      </c>
      <c r="P208" s="243">
        <f t="shared" si="33"/>
        <v>149747233.11877859</v>
      </c>
      <c r="S208">
        <v>1680</v>
      </c>
      <c r="T208" t="s">
        <v>271</v>
      </c>
      <c r="U208" t="s">
        <v>1021</v>
      </c>
      <c r="V208" s="176">
        <v>90512081.278883994</v>
      </c>
      <c r="W208" s="176">
        <v>179684666.17552099</v>
      </c>
      <c r="X208" s="176">
        <v>1100000</v>
      </c>
      <c r="Y208" s="176">
        <v>10321622.222222</v>
      </c>
      <c r="Z208" s="176"/>
      <c r="AA208">
        <v>1680</v>
      </c>
      <c r="AB208" s="176" t="s">
        <v>271</v>
      </c>
      <c r="AC208" s="176" t="s">
        <v>1021</v>
      </c>
      <c r="AD208" s="176">
        <v>90512081.278883994</v>
      </c>
      <c r="AE208" s="176">
        <v>179684666.17552099</v>
      </c>
      <c r="AF208" s="176">
        <v>1100000</v>
      </c>
      <c r="AG208" s="176">
        <v>10321622.222222</v>
      </c>
      <c r="AH208" s="342" t="str">
        <f t="shared" si="27"/>
        <v/>
      </c>
      <c r="AI208">
        <v>1680</v>
      </c>
      <c r="AJ208" t="s">
        <v>271</v>
      </c>
      <c r="AK208" t="s">
        <v>1021</v>
      </c>
      <c r="AL208" s="245">
        <f t="shared" si="28"/>
        <v>162921746.30199119</v>
      </c>
      <c r="AM208" s="245">
        <f t="shared" si="29"/>
        <v>323432399.11593777</v>
      </c>
      <c r="AN208" s="245">
        <f t="shared" si="30"/>
        <v>1980000</v>
      </c>
      <c r="AO208" s="245">
        <f t="shared" si="31"/>
        <v>18578919.999999601</v>
      </c>
      <c r="AP208" s="176"/>
      <c r="AQ208" s="176"/>
      <c r="AR208">
        <v>1680</v>
      </c>
      <c r="AS208" t="s">
        <v>271</v>
      </c>
      <c r="AT208" t="s">
        <v>1021</v>
      </c>
      <c r="AU208" s="176">
        <v>8511123.3088850006</v>
      </c>
      <c r="AW208">
        <v>1680</v>
      </c>
      <c r="AX208" t="s">
        <v>271</v>
      </c>
      <c r="AY208" t="s">
        <v>1021</v>
      </c>
      <c r="AZ208" s="176">
        <v>1287891.4499989999</v>
      </c>
      <c r="BA208" s="342" t="str">
        <f t="shared" si="34"/>
        <v/>
      </c>
      <c r="BB208">
        <v>1680</v>
      </c>
      <c r="BC208" t="s">
        <v>271</v>
      </c>
      <c r="BD208" t="s">
        <v>1021</v>
      </c>
      <c r="BE208" s="243">
        <f t="shared" si="35"/>
        <v>9541436.4688841999</v>
      </c>
    </row>
    <row r="209" spans="1:57">
      <c r="A209">
        <v>1680</v>
      </c>
      <c r="B209" t="s">
        <v>271</v>
      </c>
      <c r="C209" t="s">
        <v>1714</v>
      </c>
      <c r="D209" s="176">
        <v>37859488.259961002</v>
      </c>
      <c r="E209">
        <v>0</v>
      </c>
      <c r="G209">
        <v>1680</v>
      </c>
      <c r="H209" t="s">
        <v>271</v>
      </c>
      <c r="I209" t="s">
        <v>1714</v>
      </c>
      <c r="J209" s="176">
        <v>22608164.891102001</v>
      </c>
      <c r="K209">
        <v>0</v>
      </c>
      <c r="L209" s="342" t="str">
        <f t="shared" si="32"/>
        <v/>
      </c>
      <c r="M209">
        <v>1680</v>
      </c>
      <c r="N209" t="s">
        <v>271</v>
      </c>
      <c r="O209" t="s">
        <v>1714</v>
      </c>
      <c r="P209" s="243">
        <f t="shared" si="33"/>
        <v>55946020.172842607</v>
      </c>
      <c r="S209">
        <v>1680</v>
      </c>
      <c r="T209" t="s">
        <v>271</v>
      </c>
      <c r="U209" t="s">
        <v>1714</v>
      </c>
      <c r="V209" s="176">
        <v>40421113.652217999</v>
      </c>
      <c r="W209" s="176">
        <v>91131715.702191994</v>
      </c>
      <c r="X209" s="176">
        <v>1656200</v>
      </c>
      <c r="Y209" s="176">
        <v>6716666.6666660002</v>
      </c>
      <c r="Z209" s="176"/>
      <c r="AA209">
        <v>1680</v>
      </c>
      <c r="AB209" s="176" t="s">
        <v>271</v>
      </c>
      <c r="AC209" s="176" t="s">
        <v>1714</v>
      </c>
      <c r="AD209" s="176">
        <v>40421113.652217999</v>
      </c>
      <c r="AE209" s="176">
        <v>91131715.702191994</v>
      </c>
      <c r="AF209" s="176">
        <v>1656200</v>
      </c>
      <c r="AG209" s="176">
        <v>6716666.6666660002</v>
      </c>
      <c r="AH209" s="342" t="str">
        <f t="shared" si="27"/>
        <v/>
      </c>
      <c r="AI209">
        <v>1680</v>
      </c>
      <c r="AJ209" t="s">
        <v>271</v>
      </c>
      <c r="AK209" t="s">
        <v>1714</v>
      </c>
      <c r="AL209" s="245">
        <f t="shared" si="28"/>
        <v>72758004.573992401</v>
      </c>
      <c r="AM209" s="245">
        <f t="shared" si="29"/>
        <v>164037088.26394558</v>
      </c>
      <c r="AN209" s="245">
        <f t="shared" si="30"/>
        <v>2981160</v>
      </c>
      <c r="AO209" s="245">
        <f t="shared" si="31"/>
        <v>12089999.9999988</v>
      </c>
      <c r="AP209" s="176"/>
      <c r="AQ209" s="176"/>
      <c r="AR209">
        <v>1680</v>
      </c>
      <c r="AS209" t="s">
        <v>271</v>
      </c>
      <c r="AT209" t="s">
        <v>1714</v>
      </c>
      <c r="AU209" s="176">
        <v>21923292.173328001</v>
      </c>
      <c r="AW209">
        <v>1680</v>
      </c>
      <c r="AX209" t="s">
        <v>271</v>
      </c>
      <c r="AY209" t="s">
        <v>1714</v>
      </c>
      <c r="AZ209" s="176">
        <v>20496190.132220998</v>
      </c>
      <c r="BA209" s="342" t="str">
        <f t="shared" si="34"/>
        <v/>
      </c>
      <c r="BB209">
        <v>1680</v>
      </c>
      <c r="BC209" t="s">
        <v>271</v>
      </c>
      <c r="BD209" t="s">
        <v>1714</v>
      </c>
      <c r="BE209" s="243">
        <f t="shared" si="35"/>
        <v>38320244.279104799</v>
      </c>
    </row>
    <row r="210" spans="1:57">
      <c r="A210">
        <v>1680</v>
      </c>
      <c r="B210" t="s">
        <v>271</v>
      </c>
      <c r="C210" t="s">
        <v>1022</v>
      </c>
      <c r="D210" s="176">
        <v>327300616.66772401</v>
      </c>
      <c r="E210">
        <v>0</v>
      </c>
      <c r="G210">
        <v>1680</v>
      </c>
      <c r="H210" t="s">
        <v>271</v>
      </c>
      <c r="I210" t="s">
        <v>1022</v>
      </c>
      <c r="J210" s="176">
        <v>148576103.162202</v>
      </c>
      <c r="K210">
        <v>0</v>
      </c>
      <c r="L210" s="342" t="str">
        <f t="shared" si="32"/>
        <v/>
      </c>
      <c r="M210">
        <v>1680</v>
      </c>
      <c r="N210" t="s">
        <v>271</v>
      </c>
      <c r="O210" t="s">
        <v>1022</v>
      </c>
      <c r="P210" s="243">
        <f t="shared" si="33"/>
        <v>446161499.19748563</v>
      </c>
      <c r="S210">
        <v>1680</v>
      </c>
      <c r="T210" t="s">
        <v>271</v>
      </c>
      <c r="U210" t="s">
        <v>1022</v>
      </c>
      <c r="V210" s="176">
        <v>221581712.74444199</v>
      </c>
      <c r="W210" s="176">
        <v>559346060.36553895</v>
      </c>
      <c r="X210" s="176">
        <v>2666666.6666660002</v>
      </c>
      <c r="Y210" s="176">
        <v>8395382.2222210001</v>
      </c>
      <c r="Z210" s="176"/>
      <c r="AA210">
        <v>1680</v>
      </c>
      <c r="AB210" s="176" t="s">
        <v>271</v>
      </c>
      <c r="AC210" s="176" t="s">
        <v>1022</v>
      </c>
      <c r="AD210" s="176">
        <v>221581712.74444199</v>
      </c>
      <c r="AE210" s="176">
        <v>559346060.36553895</v>
      </c>
      <c r="AF210" s="176">
        <v>2666666.6666660002</v>
      </c>
      <c r="AG210" s="176">
        <v>8395382.2222210001</v>
      </c>
      <c r="AH210" s="342" t="str">
        <f t="shared" si="27"/>
        <v/>
      </c>
      <c r="AI210">
        <v>1680</v>
      </c>
      <c r="AJ210" t="s">
        <v>271</v>
      </c>
      <c r="AK210" t="s">
        <v>1022</v>
      </c>
      <c r="AL210" s="245">
        <f t="shared" si="28"/>
        <v>398847082.93999559</v>
      </c>
      <c r="AM210" s="245">
        <f t="shared" si="29"/>
        <v>1006822908.6579702</v>
      </c>
      <c r="AN210" s="245">
        <f t="shared" si="30"/>
        <v>4799999.9999988005</v>
      </c>
      <c r="AO210" s="245">
        <f t="shared" si="31"/>
        <v>15111687.9999978</v>
      </c>
      <c r="AP210" s="176"/>
      <c r="AQ210" s="176"/>
      <c r="AR210">
        <v>1680</v>
      </c>
      <c r="AS210" t="s">
        <v>271</v>
      </c>
      <c r="AT210" t="s">
        <v>1022</v>
      </c>
      <c r="AU210" s="176">
        <v>80612352.452215001</v>
      </c>
      <c r="AW210">
        <v>1680</v>
      </c>
      <c r="AX210" t="s">
        <v>271</v>
      </c>
      <c r="AY210" t="s">
        <v>1022</v>
      </c>
      <c r="AZ210" s="176">
        <v>72225802.816660002</v>
      </c>
      <c r="BA210" s="342" t="str">
        <f t="shared" si="34"/>
        <v/>
      </c>
      <c r="BB210">
        <v>1680</v>
      </c>
      <c r="BC210" t="s">
        <v>271</v>
      </c>
      <c r="BD210" t="s">
        <v>1022</v>
      </c>
      <c r="BE210" s="243">
        <f t="shared" si="35"/>
        <v>138392994.70554301</v>
      </c>
    </row>
    <row r="211" spans="1:57">
      <c r="A211">
        <v>1680</v>
      </c>
      <c r="B211" t="s">
        <v>271</v>
      </c>
      <c r="C211" t="s">
        <v>1023</v>
      </c>
      <c r="D211" s="176">
        <v>217689315.12439099</v>
      </c>
      <c r="E211">
        <v>0</v>
      </c>
      <c r="G211">
        <v>1680</v>
      </c>
      <c r="H211" t="s">
        <v>271</v>
      </c>
      <c r="I211" t="s">
        <v>1023</v>
      </c>
      <c r="J211" s="176">
        <v>149623495.30442399</v>
      </c>
      <c r="K211">
        <v>0</v>
      </c>
      <c r="L211" s="342" t="str">
        <f t="shared" si="32"/>
        <v/>
      </c>
      <c r="M211">
        <v>1680</v>
      </c>
      <c r="N211" t="s">
        <v>271</v>
      </c>
      <c r="O211" t="s">
        <v>1023</v>
      </c>
      <c r="P211" s="243">
        <f t="shared" si="33"/>
        <v>337388111.36793017</v>
      </c>
      <c r="S211">
        <v>1680</v>
      </c>
      <c r="T211" t="s">
        <v>271</v>
      </c>
      <c r="U211" t="s">
        <v>1023</v>
      </c>
      <c r="V211" s="176">
        <v>114188157.963331</v>
      </c>
      <c r="W211" s="176">
        <v>188470820.46331</v>
      </c>
      <c r="X211" s="176">
        <v>2100000</v>
      </c>
      <c r="Y211" s="176">
        <v>8034218.9999989998</v>
      </c>
      <c r="Z211" s="176"/>
      <c r="AA211">
        <v>1680</v>
      </c>
      <c r="AB211" s="176" t="s">
        <v>271</v>
      </c>
      <c r="AC211" s="176" t="s">
        <v>1023</v>
      </c>
      <c r="AD211" s="176">
        <v>114188157.963331</v>
      </c>
      <c r="AE211" s="176">
        <v>188470820.46331</v>
      </c>
      <c r="AF211" s="176">
        <v>2100000</v>
      </c>
      <c r="AG211" s="176">
        <v>8034218.9999989998</v>
      </c>
      <c r="AH211" s="342" t="str">
        <f t="shared" si="27"/>
        <v/>
      </c>
      <c r="AI211">
        <v>1680</v>
      </c>
      <c r="AJ211" t="s">
        <v>271</v>
      </c>
      <c r="AK211" t="s">
        <v>1023</v>
      </c>
      <c r="AL211" s="245">
        <f t="shared" si="28"/>
        <v>205538684.33399582</v>
      </c>
      <c r="AM211" s="245">
        <f t="shared" si="29"/>
        <v>339247476.83395803</v>
      </c>
      <c r="AN211" s="245">
        <f t="shared" si="30"/>
        <v>3780000</v>
      </c>
      <c r="AO211" s="245">
        <f t="shared" si="31"/>
        <v>14461594.1999982</v>
      </c>
      <c r="AP211" s="176"/>
      <c r="AQ211" s="176"/>
      <c r="AR211">
        <v>1680</v>
      </c>
      <c r="AS211" t="s">
        <v>271</v>
      </c>
      <c r="AT211" t="s">
        <v>1023</v>
      </c>
      <c r="AU211" s="176">
        <v>4268408.0966630001</v>
      </c>
      <c r="AW211">
        <v>1680</v>
      </c>
      <c r="AX211" t="s">
        <v>271</v>
      </c>
      <c r="AY211" t="s">
        <v>1023</v>
      </c>
      <c r="AZ211" s="176">
        <v>2529583.5199989998</v>
      </c>
      <c r="BA211" s="342" t="str">
        <f t="shared" si="34"/>
        <v/>
      </c>
      <c r="BB211">
        <v>1680</v>
      </c>
      <c r="BC211" t="s">
        <v>271</v>
      </c>
      <c r="BD211" t="s">
        <v>1023</v>
      </c>
      <c r="BE211" s="243">
        <f t="shared" si="35"/>
        <v>6292074.9126621997</v>
      </c>
    </row>
    <row r="212" spans="1:57">
      <c r="A212">
        <v>1690</v>
      </c>
      <c r="B212" t="s">
        <v>272</v>
      </c>
      <c r="C212" t="s">
        <v>1026</v>
      </c>
      <c r="D212" s="176">
        <v>151567559.22882199</v>
      </c>
      <c r="E212">
        <v>0</v>
      </c>
      <c r="G212">
        <v>1690</v>
      </c>
      <c r="H212" t="s">
        <v>272</v>
      </c>
      <c r="I212" t="s">
        <v>1026</v>
      </c>
      <c r="J212" s="176">
        <v>164443836.43330401</v>
      </c>
      <c r="K212">
        <v>0</v>
      </c>
      <c r="L212" s="342" t="str">
        <f t="shared" si="32"/>
        <v/>
      </c>
      <c r="M212">
        <v>1690</v>
      </c>
      <c r="N212" t="s">
        <v>272</v>
      </c>
      <c r="O212" t="s">
        <v>1026</v>
      </c>
      <c r="P212" s="243">
        <f t="shared" si="33"/>
        <v>283122628.37546521</v>
      </c>
      <c r="S212">
        <v>1690</v>
      </c>
      <c r="T212" t="s">
        <v>272</v>
      </c>
      <c r="U212" t="s">
        <v>1026</v>
      </c>
      <c r="V212" s="176">
        <v>50482697.463331997</v>
      </c>
      <c r="W212" s="176">
        <v>147719646.299968</v>
      </c>
      <c r="X212" s="176">
        <v>0</v>
      </c>
      <c r="Y212" s="176">
        <v>23306728.053332001</v>
      </c>
      <c r="Z212" s="176"/>
      <c r="AA212">
        <v>1690</v>
      </c>
      <c r="AB212" s="176" t="s">
        <v>272</v>
      </c>
      <c r="AC212" s="176" t="s">
        <v>1026</v>
      </c>
      <c r="AD212" s="176">
        <v>50482697.463331997</v>
      </c>
      <c r="AE212" s="176">
        <v>147719646.299968</v>
      </c>
      <c r="AF212" s="176">
        <v>0</v>
      </c>
      <c r="AG212" s="176">
        <v>23306728.053332001</v>
      </c>
      <c r="AH212" s="342" t="str">
        <f t="shared" si="27"/>
        <v/>
      </c>
      <c r="AI212">
        <v>1690</v>
      </c>
      <c r="AJ212" t="s">
        <v>272</v>
      </c>
      <c r="AK212" t="s">
        <v>1026</v>
      </c>
      <c r="AL212" s="245">
        <f t="shared" si="28"/>
        <v>90868855.433997601</v>
      </c>
      <c r="AM212" s="245">
        <f t="shared" si="29"/>
        <v>265895363.3399424</v>
      </c>
      <c r="AN212" s="245">
        <f t="shared" si="30"/>
        <v>0</v>
      </c>
      <c r="AO212" s="245">
        <f t="shared" si="31"/>
        <v>41952110.495997608</v>
      </c>
      <c r="AP212" s="176"/>
      <c r="AQ212" s="176"/>
      <c r="AR212">
        <v>1690</v>
      </c>
      <c r="AS212" t="s">
        <v>272</v>
      </c>
      <c r="AT212" t="s">
        <v>1026</v>
      </c>
      <c r="AU212" s="176">
        <v>42423768.521103002</v>
      </c>
      <c r="AW212">
        <v>1690</v>
      </c>
      <c r="AX212" t="s">
        <v>272</v>
      </c>
      <c r="AY212" t="s">
        <v>1026</v>
      </c>
      <c r="AZ212" s="176">
        <v>10970579.963328</v>
      </c>
      <c r="BA212" s="342" t="str">
        <f t="shared" si="34"/>
        <v/>
      </c>
      <c r="BB212">
        <v>1690</v>
      </c>
      <c r="BC212" t="s">
        <v>272</v>
      </c>
      <c r="BD212" t="s">
        <v>1026</v>
      </c>
      <c r="BE212" s="243">
        <f t="shared" si="35"/>
        <v>51200232.491765402</v>
      </c>
    </row>
    <row r="213" spans="1:57">
      <c r="A213">
        <v>1690</v>
      </c>
      <c r="B213" t="s">
        <v>272</v>
      </c>
      <c r="C213" t="s">
        <v>1025</v>
      </c>
      <c r="D213" s="176">
        <v>250108297.615473</v>
      </c>
      <c r="E213">
        <v>0</v>
      </c>
      <c r="G213">
        <v>1690</v>
      </c>
      <c r="H213" t="s">
        <v>272</v>
      </c>
      <c r="I213" t="s">
        <v>1025</v>
      </c>
      <c r="J213" s="176">
        <v>110593101.357751</v>
      </c>
      <c r="K213">
        <v>0</v>
      </c>
      <c r="L213" s="342" t="str">
        <f t="shared" si="32"/>
        <v/>
      </c>
      <c r="M213">
        <v>1690</v>
      </c>
      <c r="N213" t="s">
        <v>272</v>
      </c>
      <c r="O213" t="s">
        <v>1025</v>
      </c>
      <c r="P213" s="243">
        <f t="shared" si="33"/>
        <v>338582778.70167381</v>
      </c>
      <c r="S213">
        <v>1690</v>
      </c>
      <c r="T213" t="s">
        <v>272</v>
      </c>
      <c r="U213" t="s">
        <v>1025</v>
      </c>
      <c r="V213" s="176">
        <v>106099964.278888</v>
      </c>
      <c r="W213" s="176">
        <v>162712582.666641</v>
      </c>
      <c r="X213">
        <v>2200000</v>
      </c>
      <c r="Y213" s="176">
        <v>19186380.854442999</v>
      </c>
      <c r="Z213" s="176"/>
      <c r="AA213">
        <v>1690</v>
      </c>
      <c r="AB213" s="176" t="s">
        <v>272</v>
      </c>
      <c r="AC213" s="176" t="s">
        <v>1025</v>
      </c>
      <c r="AD213" s="176">
        <v>106099964.278888</v>
      </c>
      <c r="AE213" s="176">
        <v>162712582.666641</v>
      </c>
      <c r="AF213">
        <v>2200000</v>
      </c>
      <c r="AG213" s="176">
        <v>19186380.854442999</v>
      </c>
      <c r="AH213" s="342" t="str">
        <f t="shared" si="27"/>
        <v/>
      </c>
      <c r="AI213">
        <v>1690</v>
      </c>
      <c r="AJ213" t="s">
        <v>272</v>
      </c>
      <c r="AK213" t="s">
        <v>1025</v>
      </c>
      <c r="AL213" s="245">
        <f t="shared" si="28"/>
        <v>190979935.70199841</v>
      </c>
      <c r="AM213" s="245">
        <f t="shared" si="29"/>
        <v>292882648.79995382</v>
      </c>
      <c r="AN213" s="245">
        <f t="shared" si="30"/>
        <v>3960000</v>
      </c>
      <c r="AO213" s="245">
        <f t="shared" si="31"/>
        <v>34535485.537997395</v>
      </c>
      <c r="AP213" s="176"/>
      <c r="AQ213" s="176"/>
      <c r="AR213">
        <v>1690</v>
      </c>
      <c r="AS213" t="s">
        <v>272</v>
      </c>
      <c r="AT213" t="s">
        <v>1025</v>
      </c>
      <c r="AU213" s="176">
        <v>57208794.841105998</v>
      </c>
      <c r="AW213">
        <v>1690</v>
      </c>
      <c r="AX213" t="s">
        <v>272</v>
      </c>
      <c r="AY213" t="s">
        <v>1025</v>
      </c>
      <c r="AZ213" s="176">
        <v>51966328.215553999</v>
      </c>
      <c r="BA213" s="342" t="str">
        <f t="shared" si="34"/>
        <v/>
      </c>
      <c r="BB213">
        <v>1690</v>
      </c>
      <c r="BC213" t="s">
        <v>272</v>
      </c>
      <c r="BD213" t="s">
        <v>1025</v>
      </c>
      <c r="BE213" s="243">
        <f t="shared" si="35"/>
        <v>98781857.4135492</v>
      </c>
    </row>
    <row r="214" spans="1:57">
      <c r="A214">
        <v>1690</v>
      </c>
      <c r="B214" t="s">
        <v>272</v>
      </c>
      <c r="C214" t="s">
        <v>1716</v>
      </c>
      <c r="D214" s="176">
        <v>81776396.882185996</v>
      </c>
      <c r="E214">
        <v>0</v>
      </c>
      <c r="G214">
        <v>1690</v>
      </c>
      <c r="H214" t="s">
        <v>272</v>
      </c>
      <c r="I214" t="s">
        <v>1716</v>
      </c>
      <c r="J214" s="176">
        <v>35550971.027769998</v>
      </c>
      <c r="K214">
        <v>0</v>
      </c>
      <c r="L214" s="342" t="str">
        <f t="shared" si="32"/>
        <v/>
      </c>
      <c r="M214">
        <v>1690</v>
      </c>
      <c r="N214" t="s">
        <v>272</v>
      </c>
      <c r="O214" t="s">
        <v>1716</v>
      </c>
      <c r="P214" s="243">
        <f t="shared" si="33"/>
        <v>110217173.704402</v>
      </c>
      <c r="S214">
        <v>1690</v>
      </c>
      <c r="T214" t="s">
        <v>272</v>
      </c>
      <c r="U214" t="s">
        <v>1716</v>
      </c>
      <c r="V214" s="176">
        <v>24702843.924442999</v>
      </c>
      <c r="W214" s="176">
        <v>70547973.628875002</v>
      </c>
      <c r="X214" s="176">
        <v>566800</v>
      </c>
      <c r="Y214" s="176">
        <v>2280320</v>
      </c>
      <c r="Z214" s="176"/>
      <c r="AA214">
        <v>1690</v>
      </c>
      <c r="AB214" s="176" t="s">
        <v>272</v>
      </c>
      <c r="AC214" s="176" t="s">
        <v>1716</v>
      </c>
      <c r="AD214" s="176">
        <v>24702843.924442999</v>
      </c>
      <c r="AE214" s="176">
        <v>70547973.628875002</v>
      </c>
      <c r="AF214">
        <v>566800</v>
      </c>
      <c r="AG214" s="176">
        <v>2280320</v>
      </c>
      <c r="AH214" s="342" t="str">
        <f t="shared" si="27"/>
        <v/>
      </c>
      <c r="AI214">
        <v>1690</v>
      </c>
      <c r="AJ214" t="s">
        <v>272</v>
      </c>
      <c r="AK214" t="s">
        <v>1716</v>
      </c>
      <c r="AL214" s="245">
        <f t="shared" si="28"/>
        <v>44465119.063997403</v>
      </c>
      <c r="AM214" s="245">
        <f t="shared" si="29"/>
        <v>126986352.531975</v>
      </c>
      <c r="AN214" s="245">
        <f t="shared" si="30"/>
        <v>1020240</v>
      </c>
      <c r="AO214" s="245">
        <f t="shared" si="31"/>
        <v>4104576</v>
      </c>
      <c r="AP214" s="176"/>
      <c r="AQ214" s="176"/>
      <c r="AR214">
        <v>1690</v>
      </c>
      <c r="AS214" t="s">
        <v>272</v>
      </c>
      <c r="AT214" t="s">
        <v>1716</v>
      </c>
      <c r="AU214" s="176">
        <v>3454769.746665</v>
      </c>
      <c r="AW214">
        <v>1690</v>
      </c>
      <c r="AX214" t="s">
        <v>272</v>
      </c>
      <c r="AY214" t="s">
        <v>1716</v>
      </c>
      <c r="AZ214" s="176">
        <v>2910652.9533310002</v>
      </c>
      <c r="BA214" s="342" t="str">
        <f t="shared" si="34"/>
        <v/>
      </c>
      <c r="BB214">
        <v>1690</v>
      </c>
      <c r="BC214" t="s">
        <v>272</v>
      </c>
      <c r="BD214" t="s">
        <v>1716</v>
      </c>
      <c r="BE214" s="243">
        <f t="shared" si="35"/>
        <v>5783292.1093298001</v>
      </c>
    </row>
    <row r="215" spans="1:57">
      <c r="A215">
        <v>1690</v>
      </c>
      <c r="B215" t="s">
        <v>272</v>
      </c>
      <c r="C215" t="s">
        <v>1715</v>
      </c>
      <c r="D215" s="176">
        <v>103492936.663284</v>
      </c>
      <c r="E215">
        <v>0</v>
      </c>
      <c r="G215">
        <v>1690</v>
      </c>
      <c r="H215" t="s">
        <v>272</v>
      </c>
      <c r="I215" t="s">
        <v>1715</v>
      </c>
      <c r="J215" s="176">
        <v>53839267.583319001</v>
      </c>
      <c r="K215">
        <v>0</v>
      </c>
      <c r="L215" s="342" t="str">
        <f t="shared" si="32"/>
        <v/>
      </c>
      <c r="M215">
        <v>1690</v>
      </c>
      <c r="N215" t="s">
        <v>272</v>
      </c>
      <c r="O215" t="s">
        <v>1715</v>
      </c>
      <c r="P215" s="243">
        <f t="shared" si="33"/>
        <v>146564350.72993922</v>
      </c>
      <c r="S215">
        <v>1690</v>
      </c>
      <c r="T215" t="s">
        <v>272</v>
      </c>
      <c r="U215" t="s">
        <v>1715</v>
      </c>
      <c r="V215" s="176">
        <v>20059266.587776002</v>
      </c>
      <c r="W215" s="176">
        <v>125190101.33664</v>
      </c>
      <c r="X215" s="176">
        <v>0</v>
      </c>
      <c r="Y215" s="176">
        <v>13452369.166665999</v>
      </c>
      <c r="Z215" s="176"/>
      <c r="AA215">
        <v>1690</v>
      </c>
      <c r="AB215" s="176" t="s">
        <v>272</v>
      </c>
      <c r="AC215" s="176" t="s">
        <v>1715</v>
      </c>
      <c r="AD215" s="176">
        <v>20059266.587776002</v>
      </c>
      <c r="AE215" s="176">
        <v>125190101.33664</v>
      </c>
      <c r="AF215">
        <v>0</v>
      </c>
      <c r="AG215" s="176">
        <v>13452369.166665999</v>
      </c>
      <c r="AH215" s="342" t="str">
        <f t="shared" si="27"/>
        <v/>
      </c>
      <c r="AI215">
        <v>1690</v>
      </c>
      <c r="AJ215" t="s">
        <v>272</v>
      </c>
      <c r="AK215" t="s">
        <v>1715</v>
      </c>
      <c r="AL215" s="245">
        <f t="shared" si="28"/>
        <v>36106679.857996807</v>
      </c>
      <c r="AM215" s="245">
        <f t="shared" si="29"/>
        <v>225342182.40595201</v>
      </c>
      <c r="AN215" s="245">
        <f t="shared" si="30"/>
        <v>0</v>
      </c>
      <c r="AO215" s="245">
        <f t="shared" si="31"/>
        <v>24214264.4999988</v>
      </c>
      <c r="AP215" s="176"/>
      <c r="AQ215" s="176"/>
      <c r="AR215">
        <v>1690</v>
      </c>
      <c r="AS215" t="s">
        <v>272</v>
      </c>
      <c r="AT215" t="s">
        <v>1715</v>
      </c>
      <c r="AU215" s="176">
        <v>16824214.763328001</v>
      </c>
      <c r="AW215">
        <v>1690</v>
      </c>
      <c r="AX215" t="s">
        <v>272</v>
      </c>
      <c r="AY215" t="s">
        <v>1715</v>
      </c>
      <c r="AZ215" s="176">
        <v>3355700.434442</v>
      </c>
      <c r="BA215" s="342" t="str">
        <f t="shared" si="34"/>
        <v/>
      </c>
      <c r="BB215">
        <v>1690</v>
      </c>
      <c r="BC215" t="s">
        <v>272</v>
      </c>
      <c r="BD215" t="s">
        <v>1715</v>
      </c>
      <c r="BE215" s="243">
        <f t="shared" si="35"/>
        <v>19508775.110881601</v>
      </c>
    </row>
    <row r="216" spans="1:57">
      <c r="A216">
        <v>1690</v>
      </c>
      <c r="B216" t="s">
        <v>272</v>
      </c>
      <c r="C216" t="s">
        <v>1024</v>
      </c>
      <c r="D216" s="176">
        <v>241507691.73439199</v>
      </c>
      <c r="E216">
        <v>0</v>
      </c>
      <c r="G216">
        <v>1690</v>
      </c>
      <c r="H216" t="s">
        <v>272</v>
      </c>
      <c r="I216" t="s">
        <v>1024</v>
      </c>
      <c r="J216" s="176">
        <v>175480285.45775199</v>
      </c>
      <c r="K216">
        <v>0</v>
      </c>
      <c r="L216" s="342" t="str">
        <f t="shared" si="32"/>
        <v/>
      </c>
      <c r="M216">
        <v>1690</v>
      </c>
      <c r="N216" t="s">
        <v>272</v>
      </c>
      <c r="O216" t="s">
        <v>1024</v>
      </c>
      <c r="P216" s="243">
        <f t="shared" si="33"/>
        <v>381891920.10059357</v>
      </c>
      <c r="S216">
        <v>1690</v>
      </c>
      <c r="T216" t="s">
        <v>272</v>
      </c>
      <c r="U216" t="s">
        <v>1024</v>
      </c>
      <c r="V216" s="176">
        <v>83658230.377774999</v>
      </c>
      <c r="W216" s="176">
        <v>132905803.184429</v>
      </c>
      <c r="X216">
        <v>5412000</v>
      </c>
      <c r="Y216" s="176">
        <v>32658875.655554</v>
      </c>
      <c r="Z216" s="176"/>
      <c r="AA216">
        <v>1690</v>
      </c>
      <c r="AB216" s="176" t="s">
        <v>272</v>
      </c>
      <c r="AC216" s="176" t="s">
        <v>1024</v>
      </c>
      <c r="AD216" s="176">
        <v>83658230.377774999</v>
      </c>
      <c r="AE216" s="176">
        <v>132905803.184429</v>
      </c>
      <c r="AF216">
        <v>5412000</v>
      </c>
      <c r="AG216" s="176">
        <v>32658875.655554</v>
      </c>
      <c r="AH216" s="342" t="str">
        <f t="shared" si="27"/>
        <v/>
      </c>
      <c r="AI216">
        <v>1690</v>
      </c>
      <c r="AJ216" t="s">
        <v>272</v>
      </c>
      <c r="AK216" t="s">
        <v>1024</v>
      </c>
      <c r="AL216" s="245">
        <f t="shared" si="28"/>
        <v>150584814.679995</v>
      </c>
      <c r="AM216" s="245">
        <f t="shared" si="29"/>
        <v>239230445.73197222</v>
      </c>
      <c r="AN216" s="245">
        <f t="shared" si="30"/>
        <v>9741600</v>
      </c>
      <c r="AO216" s="245">
        <f t="shared" si="31"/>
        <v>58785976.179997206</v>
      </c>
      <c r="AP216" s="176"/>
      <c r="AQ216" s="176"/>
      <c r="AR216">
        <v>1690</v>
      </c>
      <c r="AS216" t="s">
        <v>272</v>
      </c>
      <c r="AT216" t="s">
        <v>1024</v>
      </c>
      <c r="AU216" s="176">
        <v>3781364.1399980001</v>
      </c>
      <c r="AW216">
        <v>1690</v>
      </c>
      <c r="AX216" t="s">
        <v>272</v>
      </c>
      <c r="AY216" t="s">
        <v>1024</v>
      </c>
      <c r="AZ216" s="176">
        <v>6250852.9111099998</v>
      </c>
      <c r="BA216" s="342" t="str">
        <f t="shared" si="34"/>
        <v/>
      </c>
      <c r="BB216">
        <v>1690</v>
      </c>
      <c r="BC216" t="s">
        <v>272</v>
      </c>
      <c r="BD216" t="s">
        <v>1024</v>
      </c>
      <c r="BE216" s="243">
        <f t="shared" si="35"/>
        <v>8782046.4688859992</v>
      </c>
    </row>
    <row r="217" spans="1:57">
      <c r="A217">
        <v>1700</v>
      </c>
      <c r="B217" t="s">
        <v>273</v>
      </c>
      <c r="C217" t="s">
        <v>1718</v>
      </c>
      <c r="D217" s="176">
        <v>203528739.466616</v>
      </c>
      <c r="E217">
        <v>0</v>
      </c>
      <c r="G217">
        <v>1700</v>
      </c>
      <c r="H217" t="s">
        <v>273</v>
      </c>
      <c r="I217" t="s">
        <v>1718</v>
      </c>
      <c r="J217" s="176">
        <v>51880227.481098004</v>
      </c>
      <c r="K217">
        <v>0</v>
      </c>
      <c r="L217" s="342" t="str">
        <f t="shared" si="32"/>
        <v/>
      </c>
      <c r="M217">
        <v>1700</v>
      </c>
      <c r="N217" t="s">
        <v>273</v>
      </c>
      <c r="O217" t="s">
        <v>1718</v>
      </c>
      <c r="P217" s="243">
        <f t="shared" si="33"/>
        <v>245032921.4514944</v>
      </c>
      <c r="S217">
        <v>1700</v>
      </c>
      <c r="T217" t="s">
        <v>273</v>
      </c>
      <c r="U217" t="s">
        <v>1718</v>
      </c>
      <c r="V217" s="176">
        <v>75230111.211107999</v>
      </c>
      <c r="W217" s="176">
        <v>232436231.78219399</v>
      </c>
      <c r="X217" s="176">
        <v>904500</v>
      </c>
      <c r="Y217" s="176">
        <v>73051855.088885993</v>
      </c>
      <c r="Z217" s="176"/>
      <c r="AA217">
        <v>1700</v>
      </c>
      <c r="AB217" s="176" t="s">
        <v>273</v>
      </c>
      <c r="AC217" s="176" t="s">
        <v>1718</v>
      </c>
      <c r="AD217" s="176">
        <v>75230111.211107999</v>
      </c>
      <c r="AE217" s="176">
        <v>232436231.78219399</v>
      </c>
      <c r="AF217" s="176">
        <v>904500</v>
      </c>
      <c r="AG217" s="176">
        <v>73051855.088885993</v>
      </c>
      <c r="AH217" s="342" t="str">
        <f t="shared" si="27"/>
        <v/>
      </c>
      <c r="AI217">
        <v>1700</v>
      </c>
      <c r="AJ217" t="s">
        <v>273</v>
      </c>
      <c r="AK217" t="s">
        <v>1718</v>
      </c>
      <c r="AL217" s="245">
        <f t="shared" si="28"/>
        <v>135414200.1799944</v>
      </c>
      <c r="AM217" s="245">
        <f t="shared" si="29"/>
        <v>418385217.20794916</v>
      </c>
      <c r="AN217" s="245">
        <f t="shared" si="30"/>
        <v>1628100</v>
      </c>
      <c r="AO217" s="245">
        <f t="shared" si="31"/>
        <v>131493339.15999478</v>
      </c>
      <c r="AP217" s="176"/>
      <c r="AQ217" s="176"/>
      <c r="AR217">
        <v>1700</v>
      </c>
      <c r="AS217" t="s">
        <v>273</v>
      </c>
      <c r="AT217" t="s">
        <v>1718</v>
      </c>
      <c r="AU217" s="176">
        <v>35190250.228876002</v>
      </c>
      <c r="AW217">
        <v>1700</v>
      </c>
      <c r="AX217" t="s">
        <v>273</v>
      </c>
      <c r="AY217" t="s">
        <v>1718</v>
      </c>
      <c r="AZ217" s="176">
        <v>7899572.0411080001</v>
      </c>
      <c r="BA217" s="342" t="str">
        <f t="shared" si="34"/>
        <v/>
      </c>
      <c r="BB217">
        <v>1700</v>
      </c>
      <c r="BC217" t="s">
        <v>273</v>
      </c>
      <c r="BD217" t="s">
        <v>1718</v>
      </c>
      <c r="BE217" s="243">
        <f t="shared" si="35"/>
        <v>41509907.861762404</v>
      </c>
    </row>
    <row r="218" spans="1:57">
      <c r="A218">
        <v>1700</v>
      </c>
      <c r="B218" t="s">
        <v>273</v>
      </c>
      <c r="C218" t="s">
        <v>1717</v>
      </c>
      <c r="D218" s="176">
        <v>188347717.44206101</v>
      </c>
      <c r="E218">
        <v>0</v>
      </c>
      <c r="G218">
        <v>1700</v>
      </c>
      <c r="H218" t="s">
        <v>273</v>
      </c>
      <c r="I218" t="s">
        <v>1717</v>
      </c>
      <c r="J218" s="176">
        <v>67571846.682205006</v>
      </c>
      <c r="K218">
        <v>0</v>
      </c>
      <c r="L218" s="342" t="str">
        <f t="shared" si="32"/>
        <v/>
      </c>
      <c r="M218">
        <v>1700</v>
      </c>
      <c r="N218" t="s">
        <v>273</v>
      </c>
      <c r="O218" t="s">
        <v>1717</v>
      </c>
      <c r="P218" s="243">
        <f t="shared" si="33"/>
        <v>242405194.78782502</v>
      </c>
      <c r="S218">
        <v>1700</v>
      </c>
      <c r="T218" t="s">
        <v>273</v>
      </c>
      <c r="U218" t="s">
        <v>1717</v>
      </c>
      <c r="V218" s="176">
        <v>76062864.492219999</v>
      </c>
      <c r="W218" s="176">
        <v>327324217.28328103</v>
      </c>
      <c r="X218" s="176">
        <v>0</v>
      </c>
      <c r="Y218" s="176">
        <v>15564014.666665001</v>
      </c>
      <c r="Z218" s="176"/>
      <c r="AA218">
        <v>1700</v>
      </c>
      <c r="AB218" s="176" t="s">
        <v>273</v>
      </c>
      <c r="AC218" s="176" t="s">
        <v>1717</v>
      </c>
      <c r="AD218" s="176">
        <v>76062864.492219999</v>
      </c>
      <c r="AE218" s="176">
        <v>327324217.28328103</v>
      </c>
      <c r="AF218" s="176">
        <v>0</v>
      </c>
      <c r="AG218" s="176">
        <v>15564014.666665001</v>
      </c>
      <c r="AH218" s="342" t="str">
        <f t="shared" si="27"/>
        <v/>
      </c>
      <c r="AI218">
        <v>1700</v>
      </c>
      <c r="AJ218" t="s">
        <v>273</v>
      </c>
      <c r="AK218" t="s">
        <v>1717</v>
      </c>
      <c r="AL218" s="245">
        <f t="shared" si="28"/>
        <v>136913156.085996</v>
      </c>
      <c r="AM218" s="245">
        <f t="shared" si="29"/>
        <v>589183591.10990584</v>
      </c>
      <c r="AN218" s="245">
        <f t="shared" si="30"/>
        <v>0</v>
      </c>
      <c r="AO218" s="245">
        <f t="shared" si="31"/>
        <v>28015226.399997003</v>
      </c>
      <c r="AP218" s="176"/>
      <c r="AQ218" s="176"/>
      <c r="AR218">
        <v>1700</v>
      </c>
      <c r="AS218" t="s">
        <v>273</v>
      </c>
      <c r="AT218" t="s">
        <v>1717</v>
      </c>
      <c r="AU218" s="176">
        <v>36860270.294432998</v>
      </c>
      <c r="AW218">
        <v>1700</v>
      </c>
      <c r="AX218" t="s">
        <v>273</v>
      </c>
      <c r="AY218" t="s">
        <v>1717</v>
      </c>
      <c r="AZ218" s="176">
        <v>12184222.113329999</v>
      </c>
      <c r="BA218" s="342" t="str">
        <f t="shared" si="34"/>
        <v/>
      </c>
      <c r="BB218">
        <v>1700</v>
      </c>
      <c r="BC218" t="s">
        <v>273</v>
      </c>
      <c r="BD218" t="s">
        <v>1717</v>
      </c>
      <c r="BE218" s="243">
        <f t="shared" si="35"/>
        <v>46607647.985096999</v>
      </c>
    </row>
    <row r="219" spans="1:57">
      <c r="A219">
        <v>1700</v>
      </c>
      <c r="B219" t="s">
        <v>273</v>
      </c>
      <c r="C219" t="s">
        <v>1028</v>
      </c>
      <c r="D219" s="176">
        <v>149431503.05773601</v>
      </c>
      <c r="E219">
        <v>0</v>
      </c>
      <c r="G219">
        <v>1700</v>
      </c>
      <c r="H219" t="s">
        <v>273</v>
      </c>
      <c r="I219" t="s">
        <v>1028</v>
      </c>
      <c r="J219" s="176">
        <v>128576296.532204</v>
      </c>
      <c r="K219">
        <v>0</v>
      </c>
      <c r="L219" s="342" t="str">
        <f t="shared" si="32"/>
        <v/>
      </c>
      <c r="M219">
        <v>1700</v>
      </c>
      <c r="N219" t="s">
        <v>273</v>
      </c>
      <c r="O219" t="s">
        <v>1028</v>
      </c>
      <c r="P219" s="243">
        <f t="shared" si="33"/>
        <v>252292540.28349921</v>
      </c>
      <c r="S219">
        <v>1700</v>
      </c>
      <c r="T219" t="s">
        <v>273</v>
      </c>
      <c r="U219" t="s">
        <v>1028</v>
      </c>
      <c r="V219" s="176">
        <v>100821451.217776</v>
      </c>
      <c r="W219" s="176">
        <v>255919270.352198</v>
      </c>
      <c r="X219" s="176">
        <v>0</v>
      </c>
      <c r="Y219" s="176">
        <v>26990631.833331998</v>
      </c>
      <c r="Z219" s="176"/>
      <c r="AA219">
        <v>1700</v>
      </c>
      <c r="AB219" s="176" t="s">
        <v>273</v>
      </c>
      <c r="AC219" s="176" t="s">
        <v>1028</v>
      </c>
      <c r="AD219" s="176">
        <v>100821451.217776</v>
      </c>
      <c r="AE219" s="176">
        <v>255919270.352198</v>
      </c>
      <c r="AF219" s="176">
        <v>0</v>
      </c>
      <c r="AG219" s="176">
        <v>26990631.833331998</v>
      </c>
      <c r="AH219" s="342" t="str">
        <f t="shared" si="27"/>
        <v/>
      </c>
      <c r="AI219">
        <v>1700</v>
      </c>
      <c r="AJ219" t="s">
        <v>273</v>
      </c>
      <c r="AK219" t="s">
        <v>1028</v>
      </c>
      <c r="AL219" s="245">
        <f t="shared" si="28"/>
        <v>181478612.19199681</v>
      </c>
      <c r="AM219" s="245">
        <f t="shared" si="29"/>
        <v>460654686.63395643</v>
      </c>
      <c r="AN219" s="245">
        <f t="shared" si="30"/>
        <v>0</v>
      </c>
      <c r="AO219" s="245">
        <f t="shared" si="31"/>
        <v>48583137.299997598</v>
      </c>
      <c r="AP219" s="176"/>
      <c r="AQ219" s="176"/>
      <c r="AR219">
        <v>1700</v>
      </c>
      <c r="AS219" t="s">
        <v>273</v>
      </c>
      <c r="AT219" t="s">
        <v>1028</v>
      </c>
      <c r="AU219" s="176">
        <v>26321388.144439999</v>
      </c>
      <c r="AW219">
        <v>1700</v>
      </c>
      <c r="AX219" t="s">
        <v>273</v>
      </c>
      <c r="AY219" t="s">
        <v>1028</v>
      </c>
      <c r="AZ219" s="176">
        <v>33218378.511107001</v>
      </c>
      <c r="BA219" s="342" t="str">
        <f t="shared" si="34"/>
        <v/>
      </c>
      <c r="BB219">
        <v>1700</v>
      </c>
      <c r="BC219" t="s">
        <v>273</v>
      </c>
      <c r="BD219" t="s">
        <v>1028</v>
      </c>
      <c r="BE219" s="243">
        <f t="shared" si="35"/>
        <v>52896090.953325599</v>
      </c>
    </row>
    <row r="220" spans="1:57">
      <c r="A220">
        <v>1710</v>
      </c>
      <c r="B220" t="s">
        <v>274</v>
      </c>
      <c r="C220" t="s">
        <v>1031</v>
      </c>
      <c r="D220" s="176">
        <v>473366726.33881098</v>
      </c>
      <c r="E220">
        <v>0</v>
      </c>
      <c r="G220">
        <v>1710</v>
      </c>
      <c r="H220" t="s">
        <v>274</v>
      </c>
      <c r="I220" t="s">
        <v>1031</v>
      </c>
      <c r="J220" s="176">
        <v>144340478.239986</v>
      </c>
      <c r="K220">
        <v>0</v>
      </c>
      <c r="L220" s="342" t="str">
        <f t="shared" si="32"/>
        <v/>
      </c>
      <c r="M220">
        <v>1710</v>
      </c>
      <c r="N220" t="s">
        <v>274</v>
      </c>
      <c r="O220" t="s">
        <v>1031</v>
      </c>
      <c r="P220" s="243">
        <f t="shared" si="33"/>
        <v>588839108.93079972</v>
      </c>
      <c r="S220">
        <v>1710</v>
      </c>
      <c r="T220" t="s">
        <v>274</v>
      </c>
      <c r="U220" t="s">
        <v>1031</v>
      </c>
      <c r="V220" s="176">
        <v>420823540.33777601</v>
      </c>
      <c r="W220" s="176">
        <v>340749709.23882002</v>
      </c>
      <c r="X220" s="176">
        <v>1400000</v>
      </c>
      <c r="Y220" s="176">
        <v>27357215</v>
      </c>
      <c r="Z220" s="176"/>
      <c r="AA220">
        <v>1710</v>
      </c>
      <c r="AB220" s="176" t="s">
        <v>274</v>
      </c>
      <c r="AC220" s="176" t="s">
        <v>1031</v>
      </c>
      <c r="AD220" s="176">
        <v>420823540.33777601</v>
      </c>
      <c r="AE220" s="176">
        <v>340749709.23882002</v>
      </c>
      <c r="AF220" s="176">
        <v>1400000</v>
      </c>
      <c r="AG220" s="176">
        <v>27357215</v>
      </c>
      <c r="AH220" s="342" t="str">
        <f t="shared" si="27"/>
        <v/>
      </c>
      <c r="AI220">
        <v>1710</v>
      </c>
      <c r="AJ220" t="s">
        <v>274</v>
      </c>
      <c r="AK220" t="s">
        <v>1031</v>
      </c>
      <c r="AL220" s="245">
        <f t="shared" si="28"/>
        <v>757482372.60799682</v>
      </c>
      <c r="AM220" s="245">
        <f t="shared" si="29"/>
        <v>613349476.62987602</v>
      </c>
      <c r="AN220" s="245">
        <f t="shared" si="30"/>
        <v>2520000</v>
      </c>
      <c r="AO220" s="245">
        <f t="shared" si="31"/>
        <v>49242987</v>
      </c>
      <c r="AP220" s="176"/>
      <c r="AQ220" s="176"/>
      <c r="AR220">
        <v>1710</v>
      </c>
      <c r="AS220" t="s">
        <v>274</v>
      </c>
      <c r="AT220" t="s">
        <v>1031</v>
      </c>
      <c r="AU220" s="176">
        <v>38836148.071102999</v>
      </c>
      <c r="AW220">
        <v>1710</v>
      </c>
      <c r="AX220" t="s">
        <v>274</v>
      </c>
      <c r="AY220" t="s">
        <v>1031</v>
      </c>
      <c r="AZ220" s="176">
        <v>57003894.141105004</v>
      </c>
      <c r="BA220" s="342" t="str">
        <f t="shared" si="34"/>
        <v/>
      </c>
      <c r="BB220">
        <v>1710</v>
      </c>
      <c r="BC220" t="s">
        <v>274</v>
      </c>
      <c r="BD220" t="s">
        <v>1031</v>
      </c>
      <c r="BE220" s="243">
        <f t="shared" si="35"/>
        <v>84439263.38398701</v>
      </c>
    </row>
    <row r="221" spans="1:57">
      <c r="A221">
        <v>1710</v>
      </c>
      <c r="B221" t="s">
        <v>274</v>
      </c>
      <c r="C221" t="s">
        <v>1048</v>
      </c>
      <c r="D221" s="176">
        <v>50801954.141079001</v>
      </c>
      <c r="E221">
        <v>0</v>
      </c>
      <c r="G221">
        <v>1710</v>
      </c>
      <c r="H221" t="s">
        <v>274</v>
      </c>
      <c r="I221" t="s">
        <v>1048</v>
      </c>
      <c r="J221" s="176">
        <v>40871335.698877998</v>
      </c>
      <c r="K221">
        <v>0</v>
      </c>
      <c r="L221" s="342" t="str">
        <f t="shared" si="32"/>
        <v/>
      </c>
      <c r="M221">
        <v>1710</v>
      </c>
      <c r="N221" t="s">
        <v>274</v>
      </c>
      <c r="O221" t="s">
        <v>1048</v>
      </c>
      <c r="P221" s="243">
        <f t="shared" si="33"/>
        <v>83499022.700181395</v>
      </c>
      <c r="S221">
        <v>1710</v>
      </c>
      <c r="T221" t="s">
        <v>274</v>
      </c>
      <c r="U221" t="s">
        <v>1048</v>
      </c>
      <c r="V221" s="176">
        <v>86312003.977774993</v>
      </c>
      <c r="W221" s="176">
        <v>88458182.242203996</v>
      </c>
      <c r="X221" s="176">
        <v>0</v>
      </c>
      <c r="Y221" s="176">
        <v>8719667.1233329996</v>
      </c>
      <c r="Z221" s="176"/>
      <c r="AA221">
        <v>1710</v>
      </c>
      <c r="AB221" s="176" t="s">
        <v>274</v>
      </c>
      <c r="AC221" s="176" t="s">
        <v>1048</v>
      </c>
      <c r="AD221" s="176">
        <v>86312003.977774993</v>
      </c>
      <c r="AE221" s="176">
        <v>88458182.242203996</v>
      </c>
      <c r="AF221" s="176">
        <v>0</v>
      </c>
      <c r="AG221" s="176">
        <v>8719667.1233329996</v>
      </c>
      <c r="AH221" s="342" t="str">
        <f t="shared" si="27"/>
        <v/>
      </c>
      <c r="AI221">
        <v>1710</v>
      </c>
      <c r="AJ221" t="s">
        <v>274</v>
      </c>
      <c r="AK221" t="s">
        <v>1048</v>
      </c>
      <c r="AL221" s="245">
        <f t="shared" si="28"/>
        <v>155361607.15999499</v>
      </c>
      <c r="AM221" s="245">
        <f t="shared" si="29"/>
        <v>159224728.0359672</v>
      </c>
      <c r="AN221" s="245">
        <f t="shared" si="30"/>
        <v>0</v>
      </c>
      <c r="AO221" s="245">
        <f t="shared" si="31"/>
        <v>15695400.821999401</v>
      </c>
      <c r="AP221" s="176"/>
      <c r="AQ221" s="176"/>
      <c r="AR221">
        <v>1710</v>
      </c>
      <c r="AS221" t="s">
        <v>274</v>
      </c>
      <c r="AT221" t="s">
        <v>1048</v>
      </c>
      <c r="AU221" s="176">
        <v>8464747.407776</v>
      </c>
      <c r="AW221">
        <v>1710</v>
      </c>
      <c r="AX221" t="s">
        <v>274</v>
      </c>
      <c r="AY221" t="s">
        <v>1048</v>
      </c>
      <c r="AZ221" s="176">
        <v>15490930.501110001</v>
      </c>
      <c r="BA221" s="342" t="str">
        <f t="shared" si="34"/>
        <v/>
      </c>
      <c r="BB221">
        <v>1710</v>
      </c>
      <c r="BC221" t="s">
        <v>274</v>
      </c>
      <c r="BD221" t="s">
        <v>1048</v>
      </c>
      <c r="BE221" s="243">
        <f t="shared" si="35"/>
        <v>20857491.808664002</v>
      </c>
    </row>
    <row r="222" spans="1:57">
      <c r="A222">
        <v>1710</v>
      </c>
      <c r="B222" t="s">
        <v>274</v>
      </c>
      <c r="C222" t="s">
        <v>1719</v>
      </c>
      <c r="D222" s="176">
        <v>77352913.634402007</v>
      </c>
      <c r="E222">
        <v>0</v>
      </c>
      <c r="G222">
        <v>1710</v>
      </c>
      <c r="H222" t="s">
        <v>274</v>
      </c>
      <c r="I222" t="s">
        <v>1719</v>
      </c>
      <c r="J222" s="176">
        <v>66355047.727767996</v>
      </c>
      <c r="K222">
        <v>0</v>
      </c>
      <c r="L222" s="342" t="str">
        <f t="shared" si="32"/>
        <v/>
      </c>
      <c r="M222">
        <v>1710</v>
      </c>
      <c r="N222" t="s">
        <v>274</v>
      </c>
      <c r="O222" t="s">
        <v>1719</v>
      </c>
      <c r="P222" s="243">
        <f t="shared" si="33"/>
        <v>130436951.81661642</v>
      </c>
      <c r="S222">
        <v>1710</v>
      </c>
      <c r="T222" t="s">
        <v>274</v>
      </c>
      <c r="U222" t="s">
        <v>1719</v>
      </c>
      <c r="V222" s="176">
        <v>41272335.207777001</v>
      </c>
      <c r="W222" s="176">
        <v>148557857.635524</v>
      </c>
      <c r="X222" s="176">
        <v>0</v>
      </c>
      <c r="Y222" s="176">
        <v>19975673</v>
      </c>
      <c r="Z222" s="176"/>
      <c r="AA222">
        <v>1710</v>
      </c>
      <c r="AB222" s="176" t="s">
        <v>274</v>
      </c>
      <c r="AC222" s="176" t="s">
        <v>1719</v>
      </c>
      <c r="AD222" s="176">
        <v>41272335.207777001</v>
      </c>
      <c r="AE222" s="176">
        <v>148557857.635524</v>
      </c>
      <c r="AF222">
        <v>0</v>
      </c>
      <c r="AG222" s="176">
        <v>19975673</v>
      </c>
      <c r="AH222" s="342" t="str">
        <f t="shared" si="27"/>
        <v/>
      </c>
      <c r="AI222">
        <v>1710</v>
      </c>
      <c r="AJ222" t="s">
        <v>274</v>
      </c>
      <c r="AK222" t="s">
        <v>1719</v>
      </c>
      <c r="AL222" s="245">
        <f t="shared" si="28"/>
        <v>74290203.373998612</v>
      </c>
      <c r="AM222" s="245">
        <f t="shared" si="29"/>
        <v>267404143.74394321</v>
      </c>
      <c r="AN222" s="245">
        <f t="shared" si="30"/>
        <v>0</v>
      </c>
      <c r="AO222" s="245">
        <f t="shared" si="31"/>
        <v>35956211.399999999</v>
      </c>
      <c r="AP222" s="176"/>
      <c r="AQ222" s="176"/>
      <c r="AR222">
        <v>1710</v>
      </c>
      <c r="AS222" t="s">
        <v>274</v>
      </c>
      <c r="AT222" t="s">
        <v>1719</v>
      </c>
      <c r="AU222" s="176">
        <v>3122831.0233280002</v>
      </c>
      <c r="AW222">
        <v>1710</v>
      </c>
      <c r="AX222" t="s">
        <v>274</v>
      </c>
      <c r="AY222" t="s">
        <v>1719</v>
      </c>
      <c r="AZ222" s="176">
        <v>33829595.861110002</v>
      </c>
      <c r="BA222" s="342" t="str">
        <f t="shared" si="34"/>
        <v/>
      </c>
      <c r="BB222">
        <v>1710</v>
      </c>
      <c r="BC222" t="s">
        <v>274</v>
      </c>
      <c r="BD222" t="s">
        <v>1719</v>
      </c>
      <c r="BE222" s="243">
        <f t="shared" si="35"/>
        <v>30186507.712216001</v>
      </c>
    </row>
    <row r="223" spans="1:57">
      <c r="A223">
        <v>1710</v>
      </c>
      <c r="B223" t="s">
        <v>274</v>
      </c>
      <c r="C223" t="s">
        <v>1030</v>
      </c>
      <c r="D223" s="176">
        <v>91683907.771060005</v>
      </c>
      <c r="E223">
        <v>0</v>
      </c>
      <c r="G223">
        <v>1710</v>
      </c>
      <c r="H223" t="s">
        <v>274</v>
      </c>
      <c r="I223" t="s">
        <v>1030</v>
      </c>
      <c r="J223" s="176">
        <v>28106401.806653999</v>
      </c>
      <c r="K223">
        <v>0</v>
      </c>
      <c r="L223" s="342" t="str">
        <f t="shared" si="32"/>
        <v/>
      </c>
      <c r="M223">
        <v>1710</v>
      </c>
      <c r="N223" t="s">
        <v>274</v>
      </c>
      <c r="O223" t="s">
        <v>1030</v>
      </c>
      <c r="P223" s="243">
        <f t="shared" si="33"/>
        <v>114169029.2163832</v>
      </c>
      <c r="S223">
        <v>1710</v>
      </c>
      <c r="T223" t="s">
        <v>274</v>
      </c>
      <c r="U223" t="s">
        <v>1030</v>
      </c>
      <c r="V223" s="176">
        <v>32896713.474443998</v>
      </c>
      <c r="W223" s="176">
        <v>103536686.981093</v>
      </c>
      <c r="X223" s="176">
        <v>0</v>
      </c>
      <c r="Y223" s="176">
        <v>10325182.355554</v>
      </c>
      <c r="Z223" s="176"/>
      <c r="AA223">
        <v>1710</v>
      </c>
      <c r="AB223" s="176" t="s">
        <v>274</v>
      </c>
      <c r="AC223" s="176" t="s">
        <v>1030</v>
      </c>
      <c r="AD223" s="176">
        <v>32896713.474443998</v>
      </c>
      <c r="AE223" s="176">
        <v>103536686.981093</v>
      </c>
      <c r="AF223">
        <v>0</v>
      </c>
      <c r="AG223" s="176">
        <v>10325182.355554</v>
      </c>
      <c r="AH223" s="342" t="str">
        <f t="shared" si="27"/>
        <v/>
      </c>
      <c r="AI223">
        <v>1710</v>
      </c>
      <c r="AJ223" t="s">
        <v>274</v>
      </c>
      <c r="AK223" t="s">
        <v>1030</v>
      </c>
      <c r="AL223" s="245">
        <f t="shared" si="28"/>
        <v>59214084.253999203</v>
      </c>
      <c r="AM223" s="245">
        <f t="shared" si="29"/>
        <v>186366036.56596741</v>
      </c>
      <c r="AN223" s="245">
        <f t="shared" si="30"/>
        <v>0</v>
      </c>
      <c r="AO223" s="245">
        <f t="shared" si="31"/>
        <v>18585328.239997201</v>
      </c>
      <c r="AP223" s="176"/>
      <c r="AQ223" s="176"/>
      <c r="AR223">
        <v>1710</v>
      </c>
      <c r="AS223" t="s">
        <v>274</v>
      </c>
      <c r="AT223" t="s">
        <v>1030</v>
      </c>
      <c r="AU223" s="176">
        <v>15459393.594439</v>
      </c>
      <c r="AW223">
        <v>1710</v>
      </c>
      <c r="AX223" t="s">
        <v>274</v>
      </c>
      <c r="AY223" t="s">
        <v>1030</v>
      </c>
      <c r="AZ223" s="176">
        <v>13659812.915553</v>
      </c>
      <c r="BA223" s="342" t="str">
        <f t="shared" si="34"/>
        <v/>
      </c>
      <c r="BB223">
        <v>1710</v>
      </c>
      <c r="BC223" t="s">
        <v>274</v>
      </c>
      <c r="BD223" t="s">
        <v>1030</v>
      </c>
      <c r="BE223" s="243">
        <f t="shared" si="35"/>
        <v>26387243.926881403</v>
      </c>
    </row>
    <row r="224" spans="1:57">
      <c r="A224">
        <v>1720</v>
      </c>
      <c r="B224" t="s">
        <v>275</v>
      </c>
      <c r="C224" t="s">
        <v>1013</v>
      </c>
      <c r="D224" s="176">
        <v>160122709.368815</v>
      </c>
      <c r="E224">
        <v>0</v>
      </c>
      <c r="G224">
        <v>1720</v>
      </c>
      <c r="H224" t="s">
        <v>275</v>
      </c>
      <c r="I224" t="s">
        <v>1013</v>
      </c>
      <c r="J224" s="176">
        <v>127941550.778873</v>
      </c>
      <c r="K224">
        <v>0</v>
      </c>
      <c r="L224" s="342" t="str">
        <f t="shared" si="32"/>
        <v/>
      </c>
      <c r="M224">
        <v>1720</v>
      </c>
      <c r="N224" t="s">
        <v>275</v>
      </c>
      <c r="O224" t="s">
        <v>1013</v>
      </c>
      <c r="P224" s="243">
        <f t="shared" si="33"/>
        <v>262475949.99191341</v>
      </c>
      <c r="S224">
        <v>1720</v>
      </c>
      <c r="T224" t="s">
        <v>275</v>
      </c>
      <c r="U224" t="s">
        <v>1013</v>
      </c>
      <c r="V224" s="176">
        <v>53937503.395553999</v>
      </c>
      <c r="W224" s="176">
        <v>90219038.361093</v>
      </c>
      <c r="X224">
        <v>0</v>
      </c>
      <c r="Y224" s="176">
        <v>11444402.22222</v>
      </c>
      <c r="Z224" s="176"/>
      <c r="AA224">
        <v>1720</v>
      </c>
      <c r="AB224" s="176" t="s">
        <v>275</v>
      </c>
      <c r="AC224" s="176" t="s">
        <v>1013</v>
      </c>
      <c r="AD224" s="176">
        <v>53937503.395553999</v>
      </c>
      <c r="AE224" s="176">
        <v>90219038.361093</v>
      </c>
      <c r="AF224">
        <v>0</v>
      </c>
      <c r="AG224" s="176">
        <v>11444402.22222</v>
      </c>
      <c r="AH224" s="342" t="str">
        <f t="shared" si="27"/>
        <v/>
      </c>
      <c r="AI224">
        <v>1720</v>
      </c>
      <c r="AJ224" t="s">
        <v>275</v>
      </c>
      <c r="AK224" t="s">
        <v>1013</v>
      </c>
      <c r="AL224" s="245">
        <f t="shared" si="28"/>
        <v>97087506.111997202</v>
      </c>
      <c r="AM224" s="245">
        <f t="shared" si="29"/>
        <v>162394269.04996741</v>
      </c>
      <c r="AN224" s="245">
        <f t="shared" si="30"/>
        <v>0</v>
      </c>
      <c r="AO224" s="245">
        <f t="shared" si="31"/>
        <v>20599923.999995999</v>
      </c>
      <c r="AP224" s="176"/>
      <c r="AQ224" s="176"/>
      <c r="AR224">
        <v>1720</v>
      </c>
      <c r="AS224" t="s">
        <v>275</v>
      </c>
      <c r="AT224" t="s">
        <v>1013</v>
      </c>
      <c r="AU224" s="176">
        <v>12208707.441104</v>
      </c>
      <c r="AW224">
        <v>1720</v>
      </c>
      <c r="AX224" t="s">
        <v>275</v>
      </c>
      <c r="AY224" t="s">
        <v>1013</v>
      </c>
      <c r="AZ224">
        <v>2139152.4655530001</v>
      </c>
      <c r="BA224" s="342" t="str">
        <f t="shared" si="34"/>
        <v/>
      </c>
      <c r="BB224">
        <v>1720</v>
      </c>
      <c r="BC224" t="s">
        <v>275</v>
      </c>
      <c r="BD224" t="s">
        <v>1013</v>
      </c>
      <c r="BE224" s="243">
        <f t="shared" si="35"/>
        <v>13920029.4135464</v>
      </c>
    </row>
    <row r="225" spans="1:57">
      <c r="A225">
        <v>1720</v>
      </c>
      <c r="B225" t="s">
        <v>275</v>
      </c>
      <c r="C225" t="s">
        <v>1721</v>
      </c>
      <c r="D225" s="176">
        <v>348705031.53102398</v>
      </c>
      <c r="E225">
        <v>0</v>
      </c>
      <c r="G225">
        <v>1720</v>
      </c>
      <c r="H225" t="s">
        <v>275</v>
      </c>
      <c r="I225" t="s">
        <v>1721</v>
      </c>
      <c r="J225" s="176">
        <v>95013066.579978004</v>
      </c>
      <c r="K225">
        <v>0</v>
      </c>
      <c r="L225" s="342" t="str">
        <f t="shared" si="32"/>
        <v/>
      </c>
      <c r="M225">
        <v>1720</v>
      </c>
      <c r="N225" t="s">
        <v>275</v>
      </c>
      <c r="O225" t="s">
        <v>1721</v>
      </c>
      <c r="P225" s="243">
        <f t="shared" si="33"/>
        <v>424715484.79500639</v>
      </c>
      <c r="S225">
        <v>1720</v>
      </c>
      <c r="T225" t="s">
        <v>275</v>
      </c>
      <c r="U225" t="s">
        <v>1721</v>
      </c>
      <c r="V225" s="176">
        <v>58880966.030000001</v>
      </c>
      <c r="W225" s="176">
        <v>105477598.63996699</v>
      </c>
      <c r="X225">
        <v>580800</v>
      </c>
      <c r="Y225" s="176">
        <v>15732694.555555001</v>
      </c>
      <c r="Z225" s="176"/>
      <c r="AA225">
        <v>1720</v>
      </c>
      <c r="AB225" s="176" t="s">
        <v>275</v>
      </c>
      <c r="AC225" s="176" t="s">
        <v>1721</v>
      </c>
      <c r="AD225" s="176">
        <v>58880966.030000001</v>
      </c>
      <c r="AE225" s="176">
        <v>105477598.63996699</v>
      </c>
      <c r="AF225">
        <v>580800</v>
      </c>
      <c r="AG225" s="176">
        <v>15732694.555555001</v>
      </c>
      <c r="AH225" s="342" t="str">
        <f t="shared" si="27"/>
        <v/>
      </c>
      <c r="AI225">
        <v>1720</v>
      </c>
      <c r="AJ225" t="s">
        <v>275</v>
      </c>
      <c r="AK225" t="s">
        <v>1721</v>
      </c>
      <c r="AL225" s="245">
        <f t="shared" si="28"/>
        <v>105985738.854</v>
      </c>
      <c r="AM225" s="245">
        <f t="shared" si="29"/>
        <v>189859677.55194059</v>
      </c>
      <c r="AN225" s="245">
        <f t="shared" si="30"/>
        <v>1045440</v>
      </c>
      <c r="AO225" s="245">
        <f t="shared" si="31"/>
        <v>28318850.199999005</v>
      </c>
      <c r="AP225" s="176"/>
      <c r="AQ225" s="176"/>
      <c r="AR225">
        <v>1720</v>
      </c>
      <c r="AS225" t="s">
        <v>275</v>
      </c>
      <c r="AT225" t="s">
        <v>1721</v>
      </c>
      <c r="AU225" s="176">
        <v>22817020.212214999</v>
      </c>
      <c r="AW225">
        <v>1720</v>
      </c>
      <c r="AX225" t="s">
        <v>275</v>
      </c>
      <c r="AY225" t="s">
        <v>1721</v>
      </c>
      <c r="AZ225" s="176">
        <v>9158567.1433310006</v>
      </c>
      <c r="BA225" s="342" t="str">
        <f t="shared" si="34"/>
        <v/>
      </c>
      <c r="BB225">
        <v>1720</v>
      </c>
      <c r="BC225" t="s">
        <v>275</v>
      </c>
      <c r="BD225" t="s">
        <v>1721</v>
      </c>
      <c r="BE225" s="243">
        <f t="shared" si="35"/>
        <v>30143873.926879801</v>
      </c>
    </row>
    <row r="226" spans="1:57">
      <c r="A226">
        <v>1720</v>
      </c>
      <c r="B226" t="s">
        <v>275</v>
      </c>
      <c r="C226" t="s">
        <v>1720</v>
      </c>
      <c r="D226" s="176">
        <v>222089689.19661701</v>
      </c>
      <c r="E226">
        <v>0</v>
      </c>
      <c r="G226">
        <v>1720</v>
      </c>
      <c r="H226" t="s">
        <v>275</v>
      </c>
      <c r="I226" t="s">
        <v>1720</v>
      </c>
      <c r="J226" s="176">
        <v>146539657.94553301</v>
      </c>
      <c r="K226">
        <v>0</v>
      </c>
      <c r="L226" s="342" t="str">
        <f t="shared" si="32"/>
        <v/>
      </c>
      <c r="M226">
        <v>1720</v>
      </c>
      <c r="N226" t="s">
        <v>275</v>
      </c>
      <c r="O226" t="s">
        <v>1720</v>
      </c>
      <c r="P226" s="243">
        <f t="shared" si="33"/>
        <v>339321415.55304343</v>
      </c>
      <c r="S226">
        <v>1720</v>
      </c>
      <c r="T226" t="s">
        <v>275</v>
      </c>
      <c r="U226" t="s">
        <v>1720</v>
      </c>
      <c r="V226" s="176">
        <v>69092796.215553001</v>
      </c>
      <c r="W226" s="176">
        <v>123915579.159989</v>
      </c>
      <c r="X226">
        <v>0</v>
      </c>
      <c r="Y226" s="176">
        <v>16872395.555553</v>
      </c>
      <c r="Z226" s="176"/>
      <c r="AA226">
        <v>1720</v>
      </c>
      <c r="AB226" s="176" t="s">
        <v>275</v>
      </c>
      <c r="AC226" s="176" t="s">
        <v>1720</v>
      </c>
      <c r="AD226" s="176">
        <v>69092796.215553001</v>
      </c>
      <c r="AE226" s="176">
        <v>123915579.159989</v>
      </c>
      <c r="AF226">
        <v>0</v>
      </c>
      <c r="AG226" s="176">
        <v>16872395.555553</v>
      </c>
      <c r="AH226" s="342" t="str">
        <f t="shared" si="27"/>
        <v/>
      </c>
      <c r="AI226">
        <v>1720</v>
      </c>
      <c r="AJ226" t="s">
        <v>275</v>
      </c>
      <c r="AK226" t="s">
        <v>1720</v>
      </c>
      <c r="AL226" s="245">
        <f t="shared" si="28"/>
        <v>124367033.1879954</v>
      </c>
      <c r="AM226" s="245">
        <f t="shared" si="29"/>
        <v>223048042.48798019</v>
      </c>
      <c r="AN226" s="245">
        <f t="shared" si="30"/>
        <v>0</v>
      </c>
      <c r="AO226" s="245">
        <f t="shared" si="31"/>
        <v>30370311.999995403</v>
      </c>
      <c r="AP226" s="176"/>
      <c r="AQ226" s="176"/>
      <c r="AR226">
        <v>1720</v>
      </c>
      <c r="AS226" t="s">
        <v>275</v>
      </c>
      <c r="AT226" t="s">
        <v>1720</v>
      </c>
      <c r="AU226" s="176">
        <v>58902755.948885001</v>
      </c>
      <c r="AW226">
        <v>1720</v>
      </c>
      <c r="AX226" t="s">
        <v>275</v>
      </c>
      <c r="AY226" t="s">
        <v>1720</v>
      </c>
      <c r="AZ226" s="176">
        <v>88871094.404439002</v>
      </c>
      <c r="BA226" s="342" t="str">
        <f t="shared" si="34"/>
        <v/>
      </c>
      <c r="BB226">
        <v>1720</v>
      </c>
      <c r="BC226" t="s">
        <v>275</v>
      </c>
      <c r="BD226" t="s">
        <v>1720</v>
      </c>
      <c r="BE226" s="243">
        <f t="shared" si="35"/>
        <v>129999631.47243622</v>
      </c>
    </row>
    <row r="227" spans="1:57">
      <c r="A227">
        <v>1730</v>
      </c>
      <c r="B227" t="s">
        <v>276</v>
      </c>
      <c r="C227" t="s">
        <v>1722</v>
      </c>
      <c r="D227" s="176">
        <v>52988910.096615002</v>
      </c>
      <c r="E227">
        <v>0</v>
      </c>
      <c r="G227">
        <v>1730</v>
      </c>
      <c r="H227" t="s">
        <v>276</v>
      </c>
      <c r="I227" t="s">
        <v>1722</v>
      </c>
      <c r="J227" s="176">
        <v>6177307.6622200003</v>
      </c>
      <c r="K227">
        <v>0</v>
      </c>
      <c r="L227" s="342" t="str">
        <f t="shared" si="32"/>
        <v/>
      </c>
      <c r="M227">
        <v>1730</v>
      </c>
      <c r="N227" t="s">
        <v>276</v>
      </c>
      <c r="O227" t="s">
        <v>1722</v>
      </c>
      <c r="P227" s="243">
        <f t="shared" si="33"/>
        <v>57930756.226391003</v>
      </c>
      <c r="S227">
        <v>1730</v>
      </c>
      <c r="T227" t="s">
        <v>276</v>
      </c>
      <c r="U227" t="s">
        <v>1722</v>
      </c>
      <c r="V227" s="176">
        <v>29398439.431109998</v>
      </c>
      <c r="W227" s="176">
        <v>48187432.188873</v>
      </c>
      <c r="X227">
        <v>0</v>
      </c>
      <c r="Y227" s="176">
        <v>4927733.3333320003</v>
      </c>
      <c r="Z227" s="176"/>
      <c r="AA227">
        <v>1730</v>
      </c>
      <c r="AB227" s="176" t="s">
        <v>276</v>
      </c>
      <c r="AC227" s="176" t="s">
        <v>1722</v>
      </c>
      <c r="AD227" s="176">
        <v>29398439.431109998</v>
      </c>
      <c r="AE227" s="176">
        <v>48187432.188873</v>
      </c>
      <c r="AF227">
        <v>0</v>
      </c>
      <c r="AG227" s="176">
        <v>4927733.3333320003</v>
      </c>
      <c r="AH227" s="342" t="str">
        <f t="shared" si="27"/>
        <v/>
      </c>
      <c r="AI227">
        <v>1730</v>
      </c>
      <c r="AJ227" t="s">
        <v>276</v>
      </c>
      <c r="AK227" t="s">
        <v>1722</v>
      </c>
      <c r="AL227" s="245">
        <f t="shared" si="28"/>
        <v>52917190.975997999</v>
      </c>
      <c r="AM227" s="245">
        <f t="shared" si="29"/>
        <v>86737377.939971402</v>
      </c>
      <c r="AN227" s="245">
        <f t="shared" si="30"/>
        <v>0</v>
      </c>
      <c r="AO227" s="245">
        <f t="shared" si="31"/>
        <v>8869919.9999976009</v>
      </c>
      <c r="AP227" s="176"/>
      <c r="AQ227" s="176"/>
      <c r="AR227">
        <v>1730</v>
      </c>
      <c r="AS227" t="s">
        <v>276</v>
      </c>
      <c r="AT227" t="s">
        <v>1722</v>
      </c>
      <c r="AU227" s="176">
        <v>709770.07888699998</v>
      </c>
      <c r="AW227">
        <v>1730</v>
      </c>
      <c r="AX227" t="s">
        <v>276</v>
      </c>
      <c r="AY227" t="s">
        <v>1722</v>
      </c>
      <c r="AZ227" s="176">
        <v>0</v>
      </c>
      <c r="BA227" s="342" t="str">
        <f t="shared" si="34"/>
        <v/>
      </c>
      <c r="BB227">
        <v>1730</v>
      </c>
      <c r="BC227" t="s">
        <v>276</v>
      </c>
      <c r="BD227" t="s">
        <v>1722</v>
      </c>
      <c r="BE227" s="243">
        <f t="shared" si="35"/>
        <v>709770.07888699998</v>
      </c>
    </row>
    <row r="228" spans="1:57">
      <c r="A228">
        <v>1730</v>
      </c>
      <c r="B228" t="s">
        <v>276</v>
      </c>
      <c r="C228" t="s">
        <v>1033</v>
      </c>
      <c r="D228" s="176">
        <v>244757639.96436101</v>
      </c>
      <c r="E228">
        <v>0</v>
      </c>
      <c r="G228">
        <v>1730</v>
      </c>
      <c r="H228" t="s">
        <v>276</v>
      </c>
      <c r="I228" t="s">
        <v>1033</v>
      </c>
      <c r="J228" s="176">
        <v>254477745.412202</v>
      </c>
      <c r="K228">
        <v>0</v>
      </c>
      <c r="L228" s="342" t="str">
        <f t="shared" si="32"/>
        <v/>
      </c>
      <c r="M228">
        <v>1730</v>
      </c>
      <c r="N228" t="s">
        <v>276</v>
      </c>
      <c r="O228" t="s">
        <v>1033</v>
      </c>
      <c r="P228" s="243">
        <f t="shared" si="33"/>
        <v>448339836.29412264</v>
      </c>
      <c r="S228">
        <v>1730</v>
      </c>
      <c r="T228" t="s">
        <v>276</v>
      </c>
      <c r="U228" t="s">
        <v>1033</v>
      </c>
      <c r="V228" s="176">
        <v>41752633.344443001</v>
      </c>
      <c r="W228" s="176">
        <v>159365044.95775199</v>
      </c>
      <c r="X228">
        <v>0</v>
      </c>
      <c r="Y228" s="176">
        <v>30264830.778887</v>
      </c>
      <c r="Z228" s="176"/>
      <c r="AA228">
        <v>1730</v>
      </c>
      <c r="AB228" s="176" t="s">
        <v>276</v>
      </c>
      <c r="AC228" s="176" t="s">
        <v>1033</v>
      </c>
      <c r="AD228" s="176">
        <v>41752633.344443001</v>
      </c>
      <c r="AE228" s="176">
        <v>159365044.95775199</v>
      </c>
      <c r="AF228">
        <v>0</v>
      </c>
      <c r="AG228" s="176">
        <v>30264830.778887</v>
      </c>
      <c r="AH228" s="342" t="str">
        <f t="shared" si="27"/>
        <v/>
      </c>
      <c r="AI228">
        <v>1730</v>
      </c>
      <c r="AJ228" t="s">
        <v>276</v>
      </c>
      <c r="AK228" t="s">
        <v>1033</v>
      </c>
      <c r="AL228" s="245">
        <f t="shared" si="28"/>
        <v>75154740.019997403</v>
      </c>
      <c r="AM228" s="245">
        <f t="shared" si="29"/>
        <v>286857080.92395359</v>
      </c>
      <c r="AN228" s="245">
        <f t="shared" si="30"/>
        <v>0</v>
      </c>
      <c r="AO228" s="245">
        <f t="shared" si="31"/>
        <v>54476695.401996598</v>
      </c>
      <c r="AP228" s="176"/>
      <c r="AQ228" s="176"/>
      <c r="AR228">
        <v>1730</v>
      </c>
      <c r="AS228" t="s">
        <v>276</v>
      </c>
      <c r="AT228" t="s">
        <v>1033</v>
      </c>
      <c r="AU228" s="176">
        <v>33721458.771100998</v>
      </c>
      <c r="AW228">
        <v>1730</v>
      </c>
      <c r="AX228" t="s">
        <v>276</v>
      </c>
      <c r="AY228" t="s">
        <v>1033</v>
      </c>
      <c r="AZ228" s="176">
        <v>32550610.913327999</v>
      </c>
      <c r="BA228" s="342" t="str">
        <f t="shared" si="34"/>
        <v/>
      </c>
      <c r="BB228">
        <v>1730</v>
      </c>
      <c r="BC228" t="s">
        <v>276</v>
      </c>
      <c r="BD228" t="s">
        <v>1033</v>
      </c>
      <c r="BE228" s="243">
        <f t="shared" si="35"/>
        <v>59761947.501763403</v>
      </c>
    </row>
    <row r="229" spans="1:57">
      <c r="A229">
        <v>1730</v>
      </c>
      <c r="B229" t="s">
        <v>276</v>
      </c>
      <c r="C229" t="s">
        <v>1035</v>
      </c>
      <c r="D229" s="176">
        <v>285887058.48994303</v>
      </c>
      <c r="E229">
        <v>0</v>
      </c>
      <c r="G229">
        <v>1730</v>
      </c>
      <c r="H229" t="s">
        <v>276</v>
      </c>
      <c r="I229" t="s">
        <v>1035</v>
      </c>
      <c r="J229" s="176">
        <v>178524935.37886199</v>
      </c>
      <c r="K229">
        <v>0</v>
      </c>
      <c r="L229" s="342" t="str">
        <f t="shared" si="32"/>
        <v/>
      </c>
      <c r="M229">
        <v>1730</v>
      </c>
      <c r="N229" t="s">
        <v>276</v>
      </c>
      <c r="O229" t="s">
        <v>1035</v>
      </c>
      <c r="P229" s="243">
        <f t="shared" si="33"/>
        <v>428707006.79303265</v>
      </c>
      <c r="S229">
        <v>1730</v>
      </c>
      <c r="T229" t="s">
        <v>276</v>
      </c>
      <c r="U229" t="s">
        <v>1035</v>
      </c>
      <c r="V229" s="176">
        <v>49980916.311109997</v>
      </c>
      <c r="W229" s="176">
        <v>174816632.06776199</v>
      </c>
      <c r="X229" s="176">
        <v>1000000</v>
      </c>
      <c r="Y229" s="176">
        <v>26821394.933332</v>
      </c>
      <c r="Z229" s="176"/>
      <c r="AA229">
        <v>1730</v>
      </c>
      <c r="AB229" s="176" t="s">
        <v>276</v>
      </c>
      <c r="AC229" s="176" t="s">
        <v>1035</v>
      </c>
      <c r="AD229" s="176">
        <v>49980916.311109997</v>
      </c>
      <c r="AE229" s="176">
        <v>174816632.06776199</v>
      </c>
      <c r="AF229">
        <v>1000000</v>
      </c>
      <c r="AG229" s="176">
        <v>26821394.933332</v>
      </c>
      <c r="AH229" s="342" t="str">
        <f t="shared" si="27"/>
        <v/>
      </c>
      <c r="AI229">
        <v>1730</v>
      </c>
      <c r="AJ229" t="s">
        <v>276</v>
      </c>
      <c r="AK229" t="s">
        <v>1035</v>
      </c>
      <c r="AL229" s="245">
        <f t="shared" si="28"/>
        <v>89965649.359997988</v>
      </c>
      <c r="AM229" s="245">
        <f t="shared" si="29"/>
        <v>314669937.72197157</v>
      </c>
      <c r="AN229" s="245">
        <f t="shared" si="30"/>
        <v>1800000</v>
      </c>
      <c r="AO229" s="245">
        <f t="shared" si="31"/>
        <v>48278510.879997596</v>
      </c>
      <c r="AP229" s="176"/>
      <c r="AQ229" s="176"/>
      <c r="AR229">
        <v>1730</v>
      </c>
      <c r="AS229" t="s">
        <v>276</v>
      </c>
      <c r="AT229" t="s">
        <v>1035</v>
      </c>
      <c r="AU229" s="176">
        <v>62582441.347767003</v>
      </c>
      <c r="AW229">
        <v>1730</v>
      </c>
      <c r="AX229" t="s">
        <v>276</v>
      </c>
      <c r="AY229" t="s">
        <v>1035</v>
      </c>
      <c r="AZ229" s="176">
        <v>49619660.818879999</v>
      </c>
      <c r="BA229" s="342" t="str">
        <f t="shared" si="34"/>
        <v/>
      </c>
      <c r="BB229">
        <v>1730</v>
      </c>
      <c r="BC229" t="s">
        <v>276</v>
      </c>
      <c r="BD229" t="s">
        <v>1035</v>
      </c>
      <c r="BE229" s="243">
        <f t="shared" si="35"/>
        <v>102278170.00287101</v>
      </c>
    </row>
    <row r="230" spans="1:57">
      <c r="A230">
        <v>1730</v>
      </c>
      <c r="B230" t="s">
        <v>276</v>
      </c>
      <c r="C230" t="s">
        <v>1034</v>
      </c>
      <c r="D230" s="176">
        <v>62509377.697738998</v>
      </c>
      <c r="E230">
        <v>0</v>
      </c>
      <c r="G230">
        <v>1730</v>
      </c>
      <c r="H230" t="s">
        <v>276</v>
      </c>
      <c r="I230" t="s">
        <v>1034</v>
      </c>
      <c r="J230" s="176">
        <v>24356110.498877998</v>
      </c>
      <c r="K230">
        <v>0</v>
      </c>
      <c r="L230" s="342" t="str">
        <f t="shared" si="32"/>
        <v/>
      </c>
      <c r="M230">
        <v>1730</v>
      </c>
      <c r="N230" t="s">
        <v>276</v>
      </c>
      <c r="O230" t="s">
        <v>1034</v>
      </c>
      <c r="P230" s="243">
        <f t="shared" si="33"/>
        <v>81994266.096841395</v>
      </c>
      <c r="S230">
        <v>1730</v>
      </c>
      <c r="T230" t="s">
        <v>276</v>
      </c>
      <c r="U230" t="s">
        <v>1034</v>
      </c>
      <c r="V230" s="176">
        <v>25192170.718887001</v>
      </c>
      <c r="W230" s="176">
        <v>43785532.408876002</v>
      </c>
      <c r="X230" s="176">
        <v>0</v>
      </c>
      <c r="Y230" s="176">
        <v>8891865.5555540007</v>
      </c>
      <c r="Z230" s="176"/>
      <c r="AA230">
        <v>1730</v>
      </c>
      <c r="AB230" s="176" t="s">
        <v>276</v>
      </c>
      <c r="AC230" s="176" t="s">
        <v>1034</v>
      </c>
      <c r="AD230" s="176">
        <v>25192170.718887001</v>
      </c>
      <c r="AE230" s="176">
        <v>43785532.408876002</v>
      </c>
      <c r="AF230">
        <v>0</v>
      </c>
      <c r="AG230" s="176">
        <v>8891865.5555540007</v>
      </c>
      <c r="AH230" s="342" t="str">
        <f t="shared" si="27"/>
        <v/>
      </c>
      <c r="AI230">
        <v>1730</v>
      </c>
      <c r="AJ230" t="s">
        <v>276</v>
      </c>
      <c r="AK230" t="s">
        <v>1034</v>
      </c>
      <c r="AL230" s="245">
        <f t="shared" si="28"/>
        <v>45345907.293996602</v>
      </c>
      <c r="AM230" s="245">
        <f t="shared" si="29"/>
        <v>78813958.335976809</v>
      </c>
      <c r="AN230" s="245">
        <f t="shared" si="30"/>
        <v>0</v>
      </c>
      <c r="AO230" s="245">
        <f t="shared" si="31"/>
        <v>16005357.999997202</v>
      </c>
      <c r="AP230" s="176"/>
      <c r="AQ230" s="176"/>
      <c r="AR230">
        <v>1730</v>
      </c>
      <c r="AS230" t="s">
        <v>276</v>
      </c>
      <c r="AT230" t="s">
        <v>1034</v>
      </c>
      <c r="AU230" s="176">
        <v>12774714.015548</v>
      </c>
      <c r="AW230">
        <v>1730</v>
      </c>
      <c r="AX230" t="s">
        <v>276</v>
      </c>
      <c r="AY230" t="s">
        <v>1034</v>
      </c>
      <c r="AZ230" s="176">
        <v>7418753.9077749997</v>
      </c>
      <c r="BA230" s="342" t="str">
        <f t="shared" si="34"/>
        <v/>
      </c>
      <c r="BB230">
        <v>1730</v>
      </c>
      <c r="BC230" t="s">
        <v>276</v>
      </c>
      <c r="BD230" t="s">
        <v>1034</v>
      </c>
      <c r="BE230" s="243">
        <f t="shared" si="35"/>
        <v>18709717.141768001</v>
      </c>
    </row>
    <row r="231" spans="1:57">
      <c r="A231">
        <v>1740</v>
      </c>
      <c r="B231" t="s">
        <v>277</v>
      </c>
      <c r="C231" t="s">
        <v>1038</v>
      </c>
      <c r="D231" s="176">
        <v>298506763.953242</v>
      </c>
      <c r="E231">
        <v>0</v>
      </c>
      <c r="G231">
        <v>1740</v>
      </c>
      <c r="H231" t="s">
        <v>277</v>
      </c>
      <c r="I231" t="s">
        <v>1038</v>
      </c>
      <c r="J231" s="176">
        <v>68850291.208875</v>
      </c>
      <c r="K231">
        <v>0</v>
      </c>
      <c r="L231" s="342" t="str">
        <f t="shared" si="32"/>
        <v/>
      </c>
      <c r="M231">
        <v>1740</v>
      </c>
      <c r="N231" t="s">
        <v>277</v>
      </c>
      <c r="O231" t="s">
        <v>1038</v>
      </c>
      <c r="P231" s="243">
        <f t="shared" si="33"/>
        <v>353586996.92034203</v>
      </c>
      <c r="S231">
        <v>1740</v>
      </c>
      <c r="T231" t="s">
        <v>277</v>
      </c>
      <c r="U231" t="s">
        <v>1038</v>
      </c>
      <c r="V231" s="176">
        <v>99464761.097773001</v>
      </c>
      <c r="W231" s="176">
        <v>264877369.53997001</v>
      </c>
      <c r="X231">
        <v>500000</v>
      </c>
      <c r="Y231" s="176">
        <v>26192730</v>
      </c>
      <c r="Z231" s="176"/>
      <c r="AA231">
        <v>1740</v>
      </c>
      <c r="AB231" s="176" t="s">
        <v>277</v>
      </c>
      <c r="AC231" s="176" t="s">
        <v>1038</v>
      </c>
      <c r="AD231" s="176">
        <v>99464761.097773001</v>
      </c>
      <c r="AE231" s="176">
        <v>264877369.53997001</v>
      </c>
      <c r="AF231">
        <v>500000</v>
      </c>
      <c r="AG231" s="176">
        <v>26192730</v>
      </c>
      <c r="AH231" s="342" t="str">
        <f t="shared" si="27"/>
        <v/>
      </c>
      <c r="AI231">
        <v>1740</v>
      </c>
      <c r="AJ231" t="s">
        <v>277</v>
      </c>
      <c r="AK231" t="s">
        <v>1038</v>
      </c>
      <c r="AL231" s="245">
        <f t="shared" si="28"/>
        <v>179036569.9759914</v>
      </c>
      <c r="AM231" s="245">
        <f t="shared" si="29"/>
        <v>476779265.17194605</v>
      </c>
      <c r="AN231" s="245">
        <f t="shared" si="30"/>
        <v>900000</v>
      </c>
      <c r="AO231" s="245">
        <f t="shared" si="31"/>
        <v>47146914</v>
      </c>
      <c r="AP231" s="176"/>
      <c r="AQ231" s="176"/>
      <c r="AR231">
        <v>1740</v>
      </c>
      <c r="AS231" t="s">
        <v>277</v>
      </c>
      <c r="AT231" t="s">
        <v>1038</v>
      </c>
      <c r="AU231" s="176">
        <v>53564181.396659002</v>
      </c>
      <c r="AW231">
        <v>1740</v>
      </c>
      <c r="AX231" t="s">
        <v>277</v>
      </c>
      <c r="AY231" t="s">
        <v>1038</v>
      </c>
      <c r="AZ231" s="176">
        <v>15731049.638885999</v>
      </c>
      <c r="BA231" s="342" t="str">
        <f t="shared" si="34"/>
        <v/>
      </c>
      <c r="BB231">
        <v>1740</v>
      </c>
      <c r="BC231" t="s">
        <v>277</v>
      </c>
      <c r="BD231" t="s">
        <v>1038</v>
      </c>
      <c r="BE231" s="243">
        <f t="shared" si="35"/>
        <v>66149021.107767805</v>
      </c>
    </row>
    <row r="232" spans="1:57">
      <c r="A232">
        <v>1740</v>
      </c>
      <c r="B232" t="s">
        <v>277</v>
      </c>
      <c r="C232" t="s">
        <v>1036</v>
      </c>
      <c r="D232" s="176">
        <v>207977017.69104901</v>
      </c>
      <c r="E232">
        <v>0</v>
      </c>
      <c r="G232">
        <v>1740</v>
      </c>
      <c r="H232" t="s">
        <v>277</v>
      </c>
      <c r="I232" t="s">
        <v>1036</v>
      </c>
      <c r="J232" s="176">
        <v>228816779.642205</v>
      </c>
      <c r="K232">
        <v>0</v>
      </c>
      <c r="L232" s="342" t="str">
        <f t="shared" si="32"/>
        <v/>
      </c>
      <c r="M232">
        <v>1740</v>
      </c>
      <c r="N232" t="s">
        <v>277</v>
      </c>
      <c r="O232" t="s">
        <v>1036</v>
      </c>
      <c r="P232" s="243">
        <f t="shared" si="33"/>
        <v>391030441.40481305</v>
      </c>
      <c r="S232">
        <v>1740</v>
      </c>
      <c r="T232" t="s">
        <v>277</v>
      </c>
      <c r="U232" t="s">
        <v>1036</v>
      </c>
      <c r="V232" s="176">
        <v>73938399.742221996</v>
      </c>
      <c r="W232" s="176">
        <v>256770141.36220399</v>
      </c>
      <c r="X232" s="176">
        <v>0</v>
      </c>
      <c r="Y232" s="176">
        <v>44543523</v>
      </c>
      <c r="Z232" s="176"/>
      <c r="AA232">
        <v>1740</v>
      </c>
      <c r="AB232" s="176" t="s">
        <v>277</v>
      </c>
      <c r="AC232" s="176" t="s">
        <v>1036</v>
      </c>
      <c r="AD232" s="176">
        <v>73938399.742221996</v>
      </c>
      <c r="AE232" s="176">
        <v>256770141.36220399</v>
      </c>
      <c r="AF232" s="176">
        <v>0</v>
      </c>
      <c r="AG232" s="176">
        <v>44543523</v>
      </c>
      <c r="AH232" s="342" t="str">
        <f t="shared" si="27"/>
        <v/>
      </c>
      <c r="AI232">
        <v>1740</v>
      </c>
      <c r="AJ232" t="s">
        <v>277</v>
      </c>
      <c r="AK232" t="s">
        <v>1036</v>
      </c>
      <c r="AL232" s="245">
        <f t="shared" si="28"/>
        <v>133089119.5359996</v>
      </c>
      <c r="AM232" s="245">
        <f t="shared" si="29"/>
        <v>462186254.45196718</v>
      </c>
      <c r="AN232" s="245">
        <f t="shared" si="30"/>
        <v>0</v>
      </c>
      <c r="AO232" s="245">
        <f t="shared" si="31"/>
        <v>80178341.400000006</v>
      </c>
      <c r="AP232" s="176"/>
      <c r="AQ232" s="176"/>
      <c r="AR232">
        <v>1740</v>
      </c>
      <c r="AS232" t="s">
        <v>277</v>
      </c>
      <c r="AT232" t="s">
        <v>1036</v>
      </c>
      <c r="AU232" s="176">
        <v>63338227.919987999</v>
      </c>
      <c r="AW232">
        <v>1740</v>
      </c>
      <c r="AX232" t="s">
        <v>277</v>
      </c>
      <c r="AY232" t="s">
        <v>1036</v>
      </c>
      <c r="AZ232" s="176">
        <v>82341505.109993994</v>
      </c>
      <c r="BA232" s="342" t="str">
        <f t="shared" si="34"/>
        <v/>
      </c>
      <c r="BB232">
        <v>1740</v>
      </c>
      <c r="BC232" t="s">
        <v>277</v>
      </c>
      <c r="BD232" t="s">
        <v>1036</v>
      </c>
      <c r="BE232" s="243">
        <f t="shared" si="35"/>
        <v>129211432.00798321</v>
      </c>
    </row>
    <row r="233" spans="1:57">
      <c r="A233">
        <v>1740</v>
      </c>
      <c r="B233" t="s">
        <v>277</v>
      </c>
      <c r="C233" t="s">
        <v>1007</v>
      </c>
      <c r="D233" s="176">
        <v>394799644.41772699</v>
      </c>
      <c r="E233">
        <v>0</v>
      </c>
      <c r="G233">
        <v>1740</v>
      </c>
      <c r="H233" t="s">
        <v>277</v>
      </c>
      <c r="I233" t="s">
        <v>1007</v>
      </c>
      <c r="J233" s="176">
        <v>154214743.26664901</v>
      </c>
      <c r="K233">
        <v>0</v>
      </c>
      <c r="L233" s="342" t="str">
        <f t="shared" si="32"/>
        <v/>
      </c>
      <c r="M233">
        <v>1740</v>
      </c>
      <c r="N233" t="s">
        <v>277</v>
      </c>
      <c r="O233" t="s">
        <v>1007</v>
      </c>
      <c r="P233" s="243">
        <f t="shared" si="33"/>
        <v>518171439.03104621</v>
      </c>
      <c r="S233">
        <v>1740</v>
      </c>
      <c r="T233" t="s">
        <v>277</v>
      </c>
      <c r="U233" t="s">
        <v>1007</v>
      </c>
      <c r="V233" s="176">
        <v>303579758.302221</v>
      </c>
      <c r="W233" s="176">
        <v>534301325.43553698</v>
      </c>
      <c r="X233" s="176">
        <v>9000000</v>
      </c>
      <c r="Y233" s="176">
        <v>72047946.955553994</v>
      </c>
      <c r="Z233" s="176"/>
      <c r="AA233">
        <v>1740</v>
      </c>
      <c r="AB233" s="176" t="s">
        <v>277</v>
      </c>
      <c r="AC233" s="176" t="s">
        <v>1007</v>
      </c>
      <c r="AD233" s="176">
        <v>303579758.302221</v>
      </c>
      <c r="AE233" s="176">
        <v>534301325.43553698</v>
      </c>
      <c r="AF233" s="176">
        <v>9000000</v>
      </c>
      <c r="AG233" s="176">
        <v>72047946.955553994</v>
      </c>
      <c r="AH233" s="342" t="str">
        <f t="shared" si="27"/>
        <v/>
      </c>
      <c r="AI233">
        <v>1740</v>
      </c>
      <c r="AJ233" t="s">
        <v>277</v>
      </c>
      <c r="AK233" t="s">
        <v>1007</v>
      </c>
      <c r="AL233" s="245">
        <f t="shared" si="28"/>
        <v>546443564.94399786</v>
      </c>
      <c r="AM233" s="245">
        <f t="shared" si="29"/>
        <v>961742385.78396654</v>
      </c>
      <c r="AN233" s="245">
        <f t="shared" si="30"/>
        <v>16200000</v>
      </c>
      <c r="AO233" s="245">
        <f t="shared" si="31"/>
        <v>129686304.51999719</v>
      </c>
      <c r="AP233" s="176"/>
      <c r="AQ233" s="176"/>
      <c r="AR233">
        <v>1740</v>
      </c>
      <c r="AS233" t="s">
        <v>277</v>
      </c>
      <c r="AT233" t="s">
        <v>1007</v>
      </c>
      <c r="AU233" s="176">
        <v>140600359.316654</v>
      </c>
      <c r="AW233">
        <v>1740</v>
      </c>
      <c r="AX233" t="s">
        <v>277</v>
      </c>
      <c r="AY233" t="s">
        <v>1007</v>
      </c>
      <c r="AZ233" s="176">
        <v>54310275.533329003</v>
      </c>
      <c r="BA233" s="342" t="str">
        <f t="shared" si="34"/>
        <v/>
      </c>
      <c r="BB233">
        <v>1740</v>
      </c>
      <c r="BC233" t="s">
        <v>277</v>
      </c>
      <c r="BD233" t="s">
        <v>1007</v>
      </c>
      <c r="BE233" s="243">
        <f t="shared" si="35"/>
        <v>184048579.74331719</v>
      </c>
    </row>
    <row r="234" spans="1:57">
      <c r="A234">
        <v>1740</v>
      </c>
      <c r="B234" t="s">
        <v>277</v>
      </c>
      <c r="C234" t="s">
        <v>1723</v>
      </c>
      <c r="D234" s="176">
        <v>189626677.009929</v>
      </c>
      <c r="E234">
        <v>0</v>
      </c>
      <c r="G234">
        <v>1740</v>
      </c>
      <c r="H234" t="s">
        <v>277</v>
      </c>
      <c r="I234" t="s">
        <v>1723</v>
      </c>
      <c r="J234" s="176">
        <v>62173382.816652</v>
      </c>
      <c r="K234">
        <v>0</v>
      </c>
      <c r="L234" s="342" t="str">
        <f t="shared" si="32"/>
        <v/>
      </c>
      <c r="M234">
        <v>1740</v>
      </c>
      <c r="N234" t="s">
        <v>277</v>
      </c>
      <c r="O234" t="s">
        <v>1723</v>
      </c>
      <c r="P234" s="243">
        <f t="shared" si="33"/>
        <v>239365383.26325059</v>
      </c>
      <c r="S234">
        <v>1740</v>
      </c>
      <c r="T234" t="s">
        <v>277</v>
      </c>
      <c r="U234" t="s">
        <v>1723</v>
      </c>
      <c r="V234" s="176">
        <v>64913925.364442997</v>
      </c>
      <c r="W234" s="176">
        <v>126940220.16552199</v>
      </c>
      <c r="X234">
        <v>4000000</v>
      </c>
      <c r="Y234" s="176">
        <v>15814968.888888</v>
      </c>
      <c r="Z234" s="176"/>
      <c r="AA234">
        <v>1740</v>
      </c>
      <c r="AB234" s="176" t="s">
        <v>277</v>
      </c>
      <c r="AC234" s="176" t="s">
        <v>1723</v>
      </c>
      <c r="AD234" s="176">
        <v>64913925.364442997</v>
      </c>
      <c r="AE234" s="176">
        <v>126940220.16552199</v>
      </c>
      <c r="AF234">
        <v>4000000</v>
      </c>
      <c r="AG234" s="176">
        <v>15814968.888888</v>
      </c>
      <c r="AH234" s="342" t="str">
        <f t="shared" si="27"/>
        <v/>
      </c>
      <c r="AI234">
        <v>1740</v>
      </c>
      <c r="AJ234" t="s">
        <v>277</v>
      </c>
      <c r="AK234" t="s">
        <v>1723</v>
      </c>
      <c r="AL234" s="245">
        <f t="shared" si="28"/>
        <v>116845065.6559974</v>
      </c>
      <c r="AM234" s="245">
        <f t="shared" si="29"/>
        <v>228492396.2979396</v>
      </c>
      <c r="AN234" s="245">
        <f t="shared" si="30"/>
        <v>7200000</v>
      </c>
      <c r="AO234" s="245">
        <f t="shared" si="31"/>
        <v>28466943.999998398</v>
      </c>
      <c r="AP234" s="176"/>
      <c r="AQ234" s="176"/>
      <c r="AR234">
        <v>1740</v>
      </c>
      <c r="AS234" t="s">
        <v>277</v>
      </c>
      <c r="AT234" t="s">
        <v>1723</v>
      </c>
      <c r="AU234" s="176">
        <v>123004641.097772</v>
      </c>
      <c r="AW234">
        <v>1740</v>
      </c>
      <c r="AX234" t="s">
        <v>277</v>
      </c>
      <c r="AY234" t="s">
        <v>1723</v>
      </c>
      <c r="AZ234" s="176">
        <v>11828572.603329999</v>
      </c>
      <c r="BA234" s="342" t="str">
        <f t="shared" si="34"/>
        <v/>
      </c>
      <c r="BB234">
        <v>1740</v>
      </c>
      <c r="BC234" t="s">
        <v>277</v>
      </c>
      <c r="BD234" t="s">
        <v>1723</v>
      </c>
      <c r="BE234" s="243">
        <f t="shared" si="35"/>
        <v>132467499.180436</v>
      </c>
    </row>
    <row r="235" spans="1:57">
      <c r="A235">
        <v>1750</v>
      </c>
      <c r="B235" t="s">
        <v>278</v>
      </c>
      <c r="C235" t="s">
        <v>1724</v>
      </c>
      <c r="D235" s="176">
        <v>107572928.041052</v>
      </c>
      <c r="E235">
        <v>0</v>
      </c>
      <c r="G235">
        <v>1750</v>
      </c>
      <c r="H235" t="s">
        <v>278</v>
      </c>
      <c r="I235" t="s">
        <v>1724</v>
      </c>
      <c r="J235" s="176">
        <v>94449252.066645995</v>
      </c>
      <c r="K235">
        <v>0</v>
      </c>
      <c r="L235" s="342" t="str">
        <f t="shared" si="32"/>
        <v/>
      </c>
      <c r="M235">
        <v>1750</v>
      </c>
      <c r="N235" t="s">
        <v>278</v>
      </c>
      <c r="O235" t="s">
        <v>1724</v>
      </c>
      <c r="P235" s="243">
        <f t="shared" si="33"/>
        <v>183132329.69436878</v>
      </c>
      <c r="S235">
        <v>1750</v>
      </c>
      <c r="T235" t="s">
        <v>278</v>
      </c>
      <c r="U235" t="s">
        <v>1724</v>
      </c>
      <c r="V235" s="176">
        <v>81243405.518887997</v>
      </c>
      <c r="W235" s="176">
        <v>161359795.38885099</v>
      </c>
      <c r="X235" s="176">
        <v>0</v>
      </c>
      <c r="Y235" s="176">
        <v>62503630.555554003</v>
      </c>
      <c r="Z235" s="176"/>
      <c r="AA235">
        <v>1750</v>
      </c>
      <c r="AB235" s="176" t="s">
        <v>278</v>
      </c>
      <c r="AC235" s="176" t="s">
        <v>1724</v>
      </c>
      <c r="AD235" s="176">
        <v>81243405.518887997</v>
      </c>
      <c r="AE235" s="176">
        <v>161359795.38885099</v>
      </c>
      <c r="AF235" s="176">
        <v>0</v>
      </c>
      <c r="AG235" s="176">
        <v>62503630.555554003</v>
      </c>
      <c r="AH235" s="342" t="str">
        <f t="shared" si="27"/>
        <v/>
      </c>
      <c r="AI235">
        <v>1750</v>
      </c>
      <c r="AJ235" t="s">
        <v>278</v>
      </c>
      <c r="AK235" t="s">
        <v>1724</v>
      </c>
      <c r="AL235" s="245">
        <f t="shared" si="28"/>
        <v>146238129.93399841</v>
      </c>
      <c r="AM235" s="245">
        <f t="shared" si="29"/>
        <v>290447631.6999318</v>
      </c>
      <c r="AN235" s="245">
        <f t="shared" si="30"/>
        <v>0</v>
      </c>
      <c r="AO235" s="245">
        <f t="shared" si="31"/>
        <v>112506534.9999972</v>
      </c>
      <c r="AP235" s="176"/>
      <c r="AQ235" s="176"/>
      <c r="AR235">
        <v>1750</v>
      </c>
      <c r="AS235" t="s">
        <v>278</v>
      </c>
      <c r="AT235" t="s">
        <v>1724</v>
      </c>
      <c r="AU235" s="176">
        <v>9926935.0277689993</v>
      </c>
      <c r="AW235">
        <v>1750</v>
      </c>
      <c r="AX235" t="s">
        <v>278</v>
      </c>
      <c r="AY235" t="s">
        <v>1724</v>
      </c>
      <c r="AZ235" s="176">
        <v>17101579.209996998</v>
      </c>
      <c r="BA235" s="342" t="str">
        <f t="shared" si="34"/>
        <v/>
      </c>
      <c r="BB235">
        <v>1750</v>
      </c>
      <c r="BC235" t="s">
        <v>278</v>
      </c>
      <c r="BD235" t="s">
        <v>1724</v>
      </c>
      <c r="BE235" s="243">
        <f t="shared" si="35"/>
        <v>23608198.395766601</v>
      </c>
    </row>
    <row r="236" spans="1:57">
      <c r="A236">
        <v>1750</v>
      </c>
      <c r="B236" t="s">
        <v>278</v>
      </c>
      <c r="C236" t="s">
        <v>1039</v>
      </c>
      <c r="D236" s="176">
        <v>237746163.172104</v>
      </c>
      <c r="E236">
        <v>0</v>
      </c>
      <c r="G236">
        <v>1750</v>
      </c>
      <c r="H236" t="s">
        <v>278</v>
      </c>
      <c r="I236" t="s">
        <v>1039</v>
      </c>
      <c r="J236" s="176">
        <v>205624144.803305</v>
      </c>
      <c r="K236">
        <v>0</v>
      </c>
      <c r="L236" s="342" t="str">
        <f t="shared" si="32"/>
        <v/>
      </c>
      <c r="M236">
        <v>1750</v>
      </c>
      <c r="N236" t="s">
        <v>278</v>
      </c>
      <c r="O236" t="s">
        <v>1039</v>
      </c>
      <c r="P236" s="243">
        <f t="shared" si="33"/>
        <v>402245479.01474798</v>
      </c>
      <c r="S236">
        <v>1750</v>
      </c>
      <c r="T236" t="s">
        <v>278</v>
      </c>
      <c r="U236" t="s">
        <v>1039</v>
      </c>
      <c r="V236" s="176">
        <v>53988040.259998001</v>
      </c>
      <c r="W236" s="176">
        <v>201047034.22997299</v>
      </c>
      <c r="X236" s="176">
        <v>0</v>
      </c>
      <c r="Y236" s="176">
        <v>56399914.188883997</v>
      </c>
      <c r="Z236" s="176"/>
      <c r="AA236">
        <v>1750</v>
      </c>
      <c r="AB236" s="176" t="s">
        <v>278</v>
      </c>
      <c r="AC236" s="176" t="s">
        <v>1039</v>
      </c>
      <c r="AD236" s="176">
        <v>53988040.259998001</v>
      </c>
      <c r="AE236" s="176">
        <v>201047034.22997299</v>
      </c>
      <c r="AF236">
        <v>0</v>
      </c>
      <c r="AG236" s="176">
        <v>56399914.188883997</v>
      </c>
      <c r="AH236" s="342" t="str">
        <f t="shared" si="27"/>
        <v/>
      </c>
      <c r="AI236">
        <v>1750</v>
      </c>
      <c r="AJ236" t="s">
        <v>278</v>
      </c>
      <c r="AK236" t="s">
        <v>1039</v>
      </c>
      <c r="AL236" s="245">
        <f t="shared" si="28"/>
        <v>97178472.467996404</v>
      </c>
      <c r="AM236" s="245">
        <f t="shared" si="29"/>
        <v>361884661.61395139</v>
      </c>
      <c r="AN236" s="245">
        <f t="shared" si="30"/>
        <v>0</v>
      </c>
      <c r="AO236" s="245">
        <f t="shared" si="31"/>
        <v>101519845.5399912</v>
      </c>
      <c r="AP236" s="176"/>
      <c r="AQ236" s="176"/>
      <c r="AR236">
        <v>1750</v>
      </c>
      <c r="AS236" t="s">
        <v>278</v>
      </c>
      <c r="AT236" t="s">
        <v>1039</v>
      </c>
      <c r="AU236" s="176">
        <v>72291748.877749994</v>
      </c>
      <c r="AW236">
        <v>1750</v>
      </c>
      <c r="AX236" t="s">
        <v>278</v>
      </c>
      <c r="AY236" t="s">
        <v>1039</v>
      </c>
      <c r="AZ236" s="176">
        <v>72110315.297766998</v>
      </c>
      <c r="BA236" s="342" t="str">
        <f t="shared" si="34"/>
        <v/>
      </c>
      <c r="BB236">
        <v>1750</v>
      </c>
      <c r="BC236" t="s">
        <v>278</v>
      </c>
      <c r="BD236" t="s">
        <v>1039</v>
      </c>
      <c r="BE236" s="243">
        <f t="shared" si="35"/>
        <v>129980001.11596359</v>
      </c>
    </row>
    <row r="237" spans="1:57">
      <c r="A237">
        <v>1750</v>
      </c>
      <c r="B237" t="s">
        <v>278</v>
      </c>
      <c r="C237" t="s">
        <v>974</v>
      </c>
      <c r="D237" s="176">
        <v>238179353.205504</v>
      </c>
      <c r="E237">
        <v>0</v>
      </c>
      <c r="G237">
        <v>1750</v>
      </c>
      <c r="H237" t="s">
        <v>278</v>
      </c>
      <c r="I237" t="s">
        <v>974</v>
      </c>
      <c r="J237" s="176">
        <v>99470745.709984004</v>
      </c>
      <c r="K237">
        <v>0</v>
      </c>
      <c r="L237" s="342" t="str">
        <f t="shared" si="32"/>
        <v/>
      </c>
      <c r="M237">
        <v>1750</v>
      </c>
      <c r="N237" t="s">
        <v>278</v>
      </c>
      <c r="O237" t="s">
        <v>974</v>
      </c>
      <c r="P237" s="243">
        <f t="shared" si="33"/>
        <v>317755949.7734912</v>
      </c>
      <c r="S237">
        <v>1750</v>
      </c>
      <c r="T237" t="s">
        <v>278</v>
      </c>
      <c r="U237" t="s">
        <v>974</v>
      </c>
      <c r="V237" s="176">
        <v>72566189.847774997</v>
      </c>
      <c r="W237" s="176">
        <v>238511598.498862</v>
      </c>
      <c r="X237" s="176">
        <v>461850</v>
      </c>
      <c r="Y237" s="176">
        <v>18712513.777775001</v>
      </c>
      <c r="Z237" s="176"/>
      <c r="AA237">
        <v>1750</v>
      </c>
      <c r="AB237" s="176" t="s">
        <v>278</v>
      </c>
      <c r="AC237" s="176" t="s">
        <v>974</v>
      </c>
      <c r="AD237" s="176">
        <v>72566189.847774997</v>
      </c>
      <c r="AE237" s="176">
        <v>238511598.498862</v>
      </c>
      <c r="AF237">
        <v>461850</v>
      </c>
      <c r="AG237" s="176">
        <v>18712513.777775001</v>
      </c>
      <c r="AH237" s="342" t="str">
        <f t="shared" si="27"/>
        <v/>
      </c>
      <c r="AI237">
        <v>1750</v>
      </c>
      <c r="AJ237" t="s">
        <v>278</v>
      </c>
      <c r="AK237" t="s">
        <v>974</v>
      </c>
      <c r="AL237" s="245">
        <f t="shared" si="28"/>
        <v>130619141.725995</v>
      </c>
      <c r="AM237" s="245">
        <f t="shared" si="29"/>
        <v>429320877.29795158</v>
      </c>
      <c r="AN237" s="245">
        <f t="shared" si="30"/>
        <v>831330</v>
      </c>
      <c r="AO237" s="245">
        <f t="shared" si="31"/>
        <v>33682524.799995005</v>
      </c>
      <c r="AP237" s="176"/>
      <c r="AQ237" s="176"/>
      <c r="AR237">
        <v>1750</v>
      </c>
      <c r="AS237" t="s">
        <v>278</v>
      </c>
      <c r="AT237" t="s">
        <v>974</v>
      </c>
      <c r="AU237" s="176">
        <v>44878072.326656997</v>
      </c>
      <c r="AW237">
        <v>1750</v>
      </c>
      <c r="AX237" t="s">
        <v>278</v>
      </c>
      <c r="AY237" t="s">
        <v>974</v>
      </c>
      <c r="AZ237" s="176">
        <v>15533471.151102999</v>
      </c>
      <c r="BA237" s="342" t="str">
        <f t="shared" si="34"/>
        <v/>
      </c>
      <c r="BB237">
        <v>1750</v>
      </c>
      <c r="BC237" t="s">
        <v>278</v>
      </c>
      <c r="BD237" t="s">
        <v>974</v>
      </c>
      <c r="BE237" s="243">
        <f t="shared" si="35"/>
        <v>57304849.247539401</v>
      </c>
    </row>
    <row r="238" spans="1:57">
      <c r="A238">
        <v>1750</v>
      </c>
      <c r="B238" t="s">
        <v>278</v>
      </c>
      <c r="C238" t="s">
        <v>1947</v>
      </c>
      <c r="D238" s="176">
        <v>29917257.48553</v>
      </c>
      <c r="E238">
        <v>0</v>
      </c>
      <c r="G238">
        <v>1750</v>
      </c>
      <c r="H238" t="s">
        <v>278</v>
      </c>
      <c r="I238" t="s">
        <v>1947</v>
      </c>
      <c r="J238" s="176">
        <v>10781482.891106</v>
      </c>
      <c r="K238">
        <v>0</v>
      </c>
      <c r="L238" s="342" t="str">
        <f t="shared" si="32"/>
        <v/>
      </c>
      <c r="M238">
        <v>1750</v>
      </c>
      <c r="N238" t="s">
        <v>278</v>
      </c>
      <c r="O238" t="s">
        <v>1947</v>
      </c>
      <c r="P238" s="243">
        <f t="shared" si="33"/>
        <v>38542443.798414797</v>
      </c>
      <c r="S238">
        <v>1750</v>
      </c>
      <c r="T238" t="s">
        <v>278</v>
      </c>
      <c r="U238" t="s">
        <v>1947</v>
      </c>
      <c r="V238" s="176">
        <v>11943587.01</v>
      </c>
      <c r="W238" s="176">
        <v>58220443.505548</v>
      </c>
      <c r="X238" s="176">
        <v>2000000</v>
      </c>
      <c r="Y238" s="176">
        <v>2628884.444443</v>
      </c>
      <c r="Z238" s="176"/>
      <c r="AA238">
        <v>1750</v>
      </c>
      <c r="AB238" s="176" t="s">
        <v>278</v>
      </c>
      <c r="AC238" s="176" t="s">
        <v>1947</v>
      </c>
      <c r="AD238" s="176">
        <v>11943587.01</v>
      </c>
      <c r="AE238" s="176">
        <v>58220443.505548</v>
      </c>
      <c r="AF238">
        <v>2000000</v>
      </c>
      <c r="AG238" s="176">
        <v>2628884.444443</v>
      </c>
      <c r="AH238" s="342" t="str">
        <f t="shared" si="27"/>
        <v/>
      </c>
      <c r="AI238">
        <v>1750</v>
      </c>
      <c r="AJ238" t="s">
        <v>278</v>
      </c>
      <c r="AK238" t="s">
        <v>1947</v>
      </c>
      <c r="AL238" s="245">
        <f t="shared" si="28"/>
        <v>21498456.618000001</v>
      </c>
      <c r="AM238" s="245">
        <f t="shared" si="29"/>
        <v>104796798.30998641</v>
      </c>
      <c r="AN238" s="245">
        <f t="shared" si="30"/>
        <v>3600000</v>
      </c>
      <c r="AO238" s="245">
        <f t="shared" si="31"/>
        <v>4731991.9999973997</v>
      </c>
      <c r="AP238" s="176"/>
      <c r="AQ238" s="176"/>
      <c r="AR238">
        <v>1750</v>
      </c>
      <c r="AS238" t="s">
        <v>278</v>
      </c>
      <c r="AT238" t="s">
        <v>1947</v>
      </c>
      <c r="AU238" s="176">
        <v>257285.56444099999</v>
      </c>
      <c r="AW238">
        <v>1750</v>
      </c>
      <c r="AX238" t="s">
        <v>278</v>
      </c>
      <c r="AY238" t="s">
        <v>1947</v>
      </c>
      <c r="AZ238" s="176">
        <v>0</v>
      </c>
      <c r="BA238" s="342" t="str">
        <f t="shared" si="34"/>
        <v/>
      </c>
      <c r="BB238">
        <v>1750</v>
      </c>
      <c r="BC238" t="s">
        <v>278</v>
      </c>
      <c r="BD238" t="s">
        <v>1947</v>
      </c>
      <c r="BE238" s="243">
        <f t="shared" si="35"/>
        <v>257285.56444099999</v>
      </c>
    </row>
    <row r="239" spans="1:57">
      <c r="A239">
        <v>1760</v>
      </c>
      <c r="B239" t="s">
        <v>279</v>
      </c>
      <c r="C239" t="s">
        <v>1557</v>
      </c>
      <c r="D239" s="176">
        <v>68351889.558831006</v>
      </c>
      <c r="E239">
        <v>0</v>
      </c>
      <c r="G239">
        <v>1760</v>
      </c>
      <c r="H239" t="s">
        <v>279</v>
      </c>
      <c r="I239" t="s">
        <v>1557</v>
      </c>
      <c r="J239" s="176">
        <v>26997802.081103001</v>
      </c>
      <c r="K239">
        <v>0</v>
      </c>
      <c r="L239" s="342" t="str">
        <f t="shared" si="32"/>
        <v/>
      </c>
      <c r="M239">
        <v>1760</v>
      </c>
      <c r="N239" t="s">
        <v>279</v>
      </c>
      <c r="O239" t="s">
        <v>1557</v>
      </c>
      <c r="P239" s="243">
        <f t="shared" si="33"/>
        <v>89950131.223713413</v>
      </c>
      <c r="S239">
        <v>1760</v>
      </c>
      <c r="T239" t="s">
        <v>279</v>
      </c>
      <c r="U239" t="s">
        <v>1557</v>
      </c>
      <c r="V239" s="176">
        <v>35451103.647776999</v>
      </c>
      <c r="W239" s="176">
        <v>127337814.781073</v>
      </c>
      <c r="X239" s="176">
        <v>0</v>
      </c>
      <c r="Y239" s="176">
        <v>3295569.3333319998</v>
      </c>
      <c r="Z239" s="176"/>
      <c r="AA239">
        <v>1760</v>
      </c>
      <c r="AB239" s="176" t="s">
        <v>279</v>
      </c>
      <c r="AC239" s="176" t="s">
        <v>1557</v>
      </c>
      <c r="AD239" s="176">
        <v>35451103.647776999</v>
      </c>
      <c r="AE239" s="176">
        <v>127337814.781073</v>
      </c>
      <c r="AF239">
        <v>0</v>
      </c>
      <c r="AG239" s="176">
        <v>3295569.3333319998</v>
      </c>
      <c r="AH239" s="342" t="str">
        <f t="shared" si="27"/>
        <v/>
      </c>
      <c r="AI239">
        <v>1760</v>
      </c>
      <c r="AJ239" t="s">
        <v>279</v>
      </c>
      <c r="AK239" t="s">
        <v>1557</v>
      </c>
      <c r="AL239" s="245">
        <f t="shared" si="28"/>
        <v>63811986.565998599</v>
      </c>
      <c r="AM239" s="245">
        <f t="shared" si="29"/>
        <v>229208066.6059314</v>
      </c>
      <c r="AN239" s="245">
        <f t="shared" si="30"/>
        <v>0</v>
      </c>
      <c r="AO239" s="245">
        <f t="shared" si="31"/>
        <v>5932024.7999975998</v>
      </c>
      <c r="AP239" s="176"/>
      <c r="AQ239" s="176"/>
      <c r="AR239">
        <v>1760</v>
      </c>
      <c r="AS239" t="s">
        <v>279</v>
      </c>
      <c r="AT239" t="s">
        <v>1557</v>
      </c>
      <c r="AU239" s="176">
        <v>12598494.543323999</v>
      </c>
      <c r="AW239">
        <v>1760</v>
      </c>
      <c r="AX239" t="s">
        <v>279</v>
      </c>
      <c r="AY239" t="s">
        <v>1557</v>
      </c>
      <c r="AZ239" s="176">
        <v>7306250.5222199997</v>
      </c>
      <c r="BA239" s="342" t="str">
        <f t="shared" si="34"/>
        <v/>
      </c>
      <c r="BB239">
        <v>1760</v>
      </c>
      <c r="BC239" t="s">
        <v>279</v>
      </c>
      <c r="BD239" t="s">
        <v>1557</v>
      </c>
      <c r="BE239" s="243">
        <f t="shared" si="35"/>
        <v>18443494.961099997</v>
      </c>
    </row>
    <row r="240" spans="1:57">
      <c r="A240">
        <v>1760</v>
      </c>
      <c r="B240" t="s">
        <v>279</v>
      </c>
      <c r="C240" t="s">
        <v>1726</v>
      </c>
      <c r="D240" s="176">
        <v>41450235.807752997</v>
      </c>
      <c r="E240">
        <v>0</v>
      </c>
      <c r="G240">
        <v>1760</v>
      </c>
      <c r="H240" t="s">
        <v>279</v>
      </c>
      <c r="I240" t="s">
        <v>1726</v>
      </c>
      <c r="J240" s="176">
        <v>9471294.7933290005</v>
      </c>
      <c r="K240">
        <v>0</v>
      </c>
      <c r="L240" s="342" t="str">
        <f t="shared" si="32"/>
        <v/>
      </c>
      <c r="M240">
        <v>1760</v>
      </c>
      <c r="N240" t="s">
        <v>279</v>
      </c>
      <c r="O240" t="s">
        <v>1726</v>
      </c>
      <c r="P240" s="243">
        <f t="shared" si="33"/>
        <v>49027271.642416194</v>
      </c>
      <c r="S240">
        <v>1760</v>
      </c>
      <c r="T240" t="s">
        <v>279</v>
      </c>
      <c r="U240" t="s">
        <v>1726</v>
      </c>
      <c r="V240" s="176">
        <v>4521276.0366660003</v>
      </c>
      <c r="W240" s="176">
        <v>25401727.008871999</v>
      </c>
      <c r="X240" s="176">
        <v>0</v>
      </c>
      <c r="Y240" s="176">
        <v>1722222.2222209999</v>
      </c>
      <c r="Z240" s="176"/>
      <c r="AA240">
        <v>1760</v>
      </c>
      <c r="AB240" s="176" t="s">
        <v>279</v>
      </c>
      <c r="AC240" s="176" t="s">
        <v>1726</v>
      </c>
      <c r="AD240" s="176">
        <v>4521276.0366660003</v>
      </c>
      <c r="AE240" s="176">
        <v>25401727.008871999</v>
      </c>
      <c r="AF240">
        <v>0</v>
      </c>
      <c r="AG240" s="176">
        <v>1722222.2222209999</v>
      </c>
      <c r="AH240" s="342" t="str">
        <f t="shared" si="27"/>
        <v/>
      </c>
      <c r="AI240">
        <v>1760</v>
      </c>
      <c r="AJ240" t="s">
        <v>279</v>
      </c>
      <c r="AK240" t="s">
        <v>1726</v>
      </c>
      <c r="AL240" s="245">
        <f t="shared" si="28"/>
        <v>8138296.8659988008</v>
      </c>
      <c r="AM240" s="245">
        <f t="shared" si="29"/>
        <v>45723108.615969598</v>
      </c>
      <c r="AN240" s="245">
        <f t="shared" si="30"/>
        <v>0</v>
      </c>
      <c r="AO240" s="245">
        <f t="shared" si="31"/>
        <v>3099999.9999978002</v>
      </c>
      <c r="AP240" s="176"/>
      <c r="AQ240" s="176"/>
      <c r="AR240">
        <v>1760</v>
      </c>
      <c r="AS240" t="s">
        <v>279</v>
      </c>
      <c r="AT240" t="s">
        <v>1726</v>
      </c>
      <c r="AU240" s="176">
        <v>1689728.5255499999</v>
      </c>
      <c r="AW240">
        <v>1760</v>
      </c>
      <c r="AX240" t="s">
        <v>279</v>
      </c>
      <c r="AY240" t="s">
        <v>1726</v>
      </c>
      <c r="AZ240" s="176">
        <v>4668595.34</v>
      </c>
      <c r="BA240" s="342" t="str">
        <f t="shared" si="34"/>
        <v/>
      </c>
      <c r="BB240">
        <v>1760</v>
      </c>
      <c r="BC240" t="s">
        <v>279</v>
      </c>
      <c r="BD240" t="s">
        <v>1726</v>
      </c>
      <c r="BE240" s="243">
        <f t="shared" si="35"/>
        <v>5424604.7975500003</v>
      </c>
    </row>
    <row r="241" spans="1:57">
      <c r="A241">
        <v>1760</v>
      </c>
      <c r="B241" t="s">
        <v>279</v>
      </c>
      <c r="C241" t="s">
        <v>1041</v>
      </c>
      <c r="D241" s="176">
        <v>287604669.571015</v>
      </c>
      <c r="E241">
        <v>0</v>
      </c>
      <c r="G241">
        <v>1760</v>
      </c>
      <c r="H241" t="s">
        <v>279</v>
      </c>
      <c r="I241" t="s">
        <v>1041</v>
      </c>
      <c r="J241" s="176">
        <v>135564052.85331899</v>
      </c>
      <c r="K241">
        <v>0</v>
      </c>
      <c r="L241" s="342" t="str">
        <f t="shared" si="32"/>
        <v/>
      </c>
      <c r="M241">
        <v>1760</v>
      </c>
      <c r="N241" t="s">
        <v>279</v>
      </c>
      <c r="O241" t="s">
        <v>1041</v>
      </c>
      <c r="P241" s="243">
        <f t="shared" si="33"/>
        <v>396055911.85367018</v>
      </c>
      <c r="S241">
        <v>1760</v>
      </c>
      <c r="T241" t="s">
        <v>279</v>
      </c>
      <c r="U241" t="s">
        <v>1041</v>
      </c>
      <c r="V241" s="176">
        <v>69104710.533332005</v>
      </c>
      <c r="W241" s="176">
        <v>244870104.17107999</v>
      </c>
      <c r="X241">
        <v>0</v>
      </c>
      <c r="Y241" s="176">
        <v>36227843.199997</v>
      </c>
      <c r="Z241" s="176"/>
      <c r="AA241">
        <v>1760</v>
      </c>
      <c r="AB241" s="176" t="s">
        <v>279</v>
      </c>
      <c r="AC241" s="176" t="s">
        <v>1041</v>
      </c>
      <c r="AD241" s="176">
        <v>69104710.533332005</v>
      </c>
      <c r="AE241" s="176">
        <v>244870104.17107999</v>
      </c>
      <c r="AF241">
        <v>0</v>
      </c>
      <c r="AG241" s="176">
        <v>36227843.199997</v>
      </c>
      <c r="AH241" s="342" t="str">
        <f t="shared" si="27"/>
        <v/>
      </c>
      <c r="AI241">
        <v>1760</v>
      </c>
      <c r="AJ241" t="s">
        <v>279</v>
      </c>
      <c r="AK241" t="s">
        <v>1041</v>
      </c>
      <c r="AL241" s="245">
        <f t="shared" si="28"/>
        <v>124388478.95999761</v>
      </c>
      <c r="AM241" s="245">
        <f t="shared" si="29"/>
        <v>440766187.50794399</v>
      </c>
      <c r="AN241" s="245">
        <f t="shared" si="30"/>
        <v>0</v>
      </c>
      <c r="AO241" s="245">
        <f t="shared" si="31"/>
        <v>65210117.759994604</v>
      </c>
      <c r="AP241" s="176"/>
      <c r="AQ241" s="176"/>
      <c r="AR241">
        <v>1760</v>
      </c>
      <c r="AS241" t="s">
        <v>279</v>
      </c>
      <c r="AT241" t="s">
        <v>1041</v>
      </c>
      <c r="AU241" s="176">
        <v>49170154.806656003</v>
      </c>
      <c r="AW241">
        <v>1760</v>
      </c>
      <c r="AX241" t="s">
        <v>279</v>
      </c>
      <c r="AY241" t="s">
        <v>1041</v>
      </c>
      <c r="AZ241">
        <v>53148721.046663001</v>
      </c>
      <c r="BA241" s="342" t="str">
        <f t="shared" si="34"/>
        <v/>
      </c>
      <c r="BB241">
        <v>1760</v>
      </c>
      <c r="BC241" t="s">
        <v>279</v>
      </c>
      <c r="BD241" t="s">
        <v>1041</v>
      </c>
      <c r="BE241" s="243">
        <f t="shared" si="35"/>
        <v>91689131.643986404</v>
      </c>
    </row>
    <row r="242" spans="1:57">
      <c r="A242">
        <v>1760</v>
      </c>
      <c r="B242" t="s">
        <v>279</v>
      </c>
      <c r="C242" t="s">
        <v>1725</v>
      </c>
      <c r="D242" s="176">
        <v>26625943.931084</v>
      </c>
      <c r="E242">
        <v>0</v>
      </c>
      <c r="G242">
        <v>1760</v>
      </c>
      <c r="H242" t="s">
        <v>279</v>
      </c>
      <c r="I242" t="s">
        <v>1725</v>
      </c>
      <c r="J242" s="176">
        <v>20899936.119996</v>
      </c>
      <c r="K242">
        <v>0</v>
      </c>
      <c r="L242" s="342" t="str">
        <f t="shared" si="32"/>
        <v/>
      </c>
      <c r="M242">
        <v>1760</v>
      </c>
      <c r="N242" t="s">
        <v>279</v>
      </c>
      <c r="O242" t="s">
        <v>1725</v>
      </c>
      <c r="P242" s="243">
        <f t="shared" si="33"/>
        <v>43345892.827080801</v>
      </c>
      <c r="S242">
        <v>1760</v>
      </c>
      <c r="T242" t="s">
        <v>279</v>
      </c>
      <c r="U242" t="s">
        <v>1725</v>
      </c>
      <c r="V242" s="176">
        <v>13670276.869999999</v>
      </c>
      <c r="W242" s="176">
        <v>61340787.223315999</v>
      </c>
      <c r="X242" s="176">
        <v>0</v>
      </c>
      <c r="Y242" s="176">
        <v>1138125</v>
      </c>
      <c r="Z242" s="176"/>
      <c r="AA242">
        <v>1760</v>
      </c>
      <c r="AB242" s="176" t="s">
        <v>279</v>
      </c>
      <c r="AC242" s="176" t="s">
        <v>1725</v>
      </c>
      <c r="AD242" s="176">
        <v>13670276.869999999</v>
      </c>
      <c r="AE242" s="176">
        <v>61340787.223315999</v>
      </c>
      <c r="AF242" s="176">
        <v>0</v>
      </c>
      <c r="AG242" s="176">
        <v>1138125</v>
      </c>
      <c r="AH242" s="342" t="str">
        <f t="shared" si="27"/>
        <v/>
      </c>
      <c r="AI242">
        <v>1760</v>
      </c>
      <c r="AJ242" t="s">
        <v>279</v>
      </c>
      <c r="AK242" t="s">
        <v>1725</v>
      </c>
      <c r="AL242" s="245">
        <f t="shared" si="28"/>
        <v>24606498.365999997</v>
      </c>
      <c r="AM242" s="245">
        <f t="shared" si="29"/>
        <v>110413417.0019688</v>
      </c>
      <c r="AN242" s="245">
        <f t="shared" si="30"/>
        <v>0</v>
      </c>
      <c r="AO242" s="245">
        <f t="shared" si="31"/>
        <v>2048625</v>
      </c>
      <c r="AP242" s="176"/>
      <c r="AQ242" s="176"/>
      <c r="AR242">
        <v>1760</v>
      </c>
      <c r="AS242" t="s">
        <v>279</v>
      </c>
      <c r="AT242" t="s">
        <v>1725</v>
      </c>
      <c r="AU242" s="176">
        <v>5389563.269994</v>
      </c>
      <c r="AW242">
        <v>1760</v>
      </c>
      <c r="AX242" t="s">
        <v>279</v>
      </c>
      <c r="AY242" t="s">
        <v>1725</v>
      </c>
      <c r="AZ242" s="176">
        <v>591315.99555500003</v>
      </c>
      <c r="BA242" s="342" t="str">
        <f t="shared" si="34"/>
        <v/>
      </c>
      <c r="BB242">
        <v>1760</v>
      </c>
      <c r="BC242" t="s">
        <v>279</v>
      </c>
      <c r="BD242" t="s">
        <v>1725</v>
      </c>
      <c r="BE242" s="243">
        <f t="shared" si="35"/>
        <v>5862616.0664379997</v>
      </c>
    </row>
    <row r="243" spans="1:57">
      <c r="A243">
        <v>1770</v>
      </c>
      <c r="B243" t="s">
        <v>896</v>
      </c>
      <c r="C243" t="s">
        <v>1042</v>
      </c>
      <c r="D243" s="176">
        <v>87152999.677723005</v>
      </c>
      <c r="E243">
        <v>0</v>
      </c>
      <c r="G243">
        <v>1770</v>
      </c>
      <c r="H243" t="s">
        <v>896</v>
      </c>
      <c r="I243" t="s">
        <v>1042</v>
      </c>
      <c r="J243" s="176">
        <v>32153319.324434999</v>
      </c>
      <c r="K243">
        <v>0</v>
      </c>
      <c r="L243" s="342" t="str">
        <f t="shared" si="32"/>
        <v/>
      </c>
      <c r="M243">
        <v>1770</v>
      </c>
      <c r="N243" t="s">
        <v>896</v>
      </c>
      <c r="O243" t="s">
        <v>1042</v>
      </c>
      <c r="P243" s="243">
        <f t="shared" si="33"/>
        <v>112875655.137271</v>
      </c>
      <c r="S243">
        <v>1770</v>
      </c>
      <c r="T243" t="s">
        <v>896</v>
      </c>
      <c r="U243" t="s">
        <v>1042</v>
      </c>
      <c r="V243" s="176">
        <v>8446219.2400000002</v>
      </c>
      <c r="W243" s="176">
        <v>106618014.915535</v>
      </c>
      <c r="X243" s="176">
        <v>0</v>
      </c>
      <c r="Y243" s="176">
        <v>5055333.3333320003</v>
      </c>
      <c r="Z243" s="176"/>
      <c r="AA243">
        <v>1770</v>
      </c>
      <c r="AB243" s="176" t="s">
        <v>896</v>
      </c>
      <c r="AC243" s="176" t="s">
        <v>1042</v>
      </c>
      <c r="AD243" s="176">
        <v>8446219.2400000002</v>
      </c>
      <c r="AE243" s="176">
        <v>106618014.915535</v>
      </c>
      <c r="AF243" s="176">
        <v>0</v>
      </c>
      <c r="AG243" s="176">
        <v>5055333.3333320003</v>
      </c>
      <c r="AH243" s="342" t="str">
        <f t="shared" si="27"/>
        <v/>
      </c>
      <c r="AI243">
        <v>1770</v>
      </c>
      <c r="AJ243" t="s">
        <v>896</v>
      </c>
      <c r="AK243" t="s">
        <v>1042</v>
      </c>
      <c r="AL243" s="245">
        <f t="shared" si="28"/>
        <v>15203194.632000001</v>
      </c>
      <c r="AM243" s="245">
        <f t="shared" si="29"/>
        <v>191912426.84796301</v>
      </c>
      <c r="AN243" s="245">
        <f t="shared" si="30"/>
        <v>0</v>
      </c>
      <c r="AO243" s="245">
        <f t="shared" si="31"/>
        <v>9099599.9999976009</v>
      </c>
      <c r="AP243" s="176"/>
      <c r="AQ243" s="176"/>
      <c r="AR243">
        <v>1770</v>
      </c>
      <c r="AS243" t="s">
        <v>896</v>
      </c>
      <c r="AT243" t="s">
        <v>1042</v>
      </c>
      <c r="AU243" s="176">
        <v>34689933.441100001</v>
      </c>
      <c r="AW243">
        <v>1770</v>
      </c>
      <c r="AX243" t="s">
        <v>896</v>
      </c>
      <c r="AY243" t="s">
        <v>1042</v>
      </c>
      <c r="AZ243" s="176">
        <v>5942073.226663</v>
      </c>
      <c r="BA243" s="342" t="str">
        <f t="shared" si="34"/>
        <v/>
      </c>
      <c r="BB243">
        <v>1770</v>
      </c>
      <c r="BC243" t="s">
        <v>896</v>
      </c>
      <c r="BD243" t="s">
        <v>1042</v>
      </c>
      <c r="BE243" s="243">
        <f t="shared" si="35"/>
        <v>39443592.022430405</v>
      </c>
    </row>
    <row r="244" spans="1:57">
      <c r="A244">
        <v>1770</v>
      </c>
      <c r="B244" t="s">
        <v>896</v>
      </c>
      <c r="C244" t="s">
        <v>1948</v>
      </c>
      <c r="D244" s="176">
        <v>34183870.949975997</v>
      </c>
      <c r="E244">
        <v>0</v>
      </c>
      <c r="G244">
        <v>1770</v>
      </c>
      <c r="H244" t="s">
        <v>896</v>
      </c>
      <c r="I244" t="s">
        <v>1948</v>
      </c>
      <c r="J244" s="176">
        <v>9184332.2811069991</v>
      </c>
      <c r="K244">
        <v>0</v>
      </c>
      <c r="L244" s="342" t="str">
        <f t="shared" si="32"/>
        <v/>
      </c>
      <c r="M244">
        <v>1770</v>
      </c>
      <c r="N244" t="s">
        <v>896</v>
      </c>
      <c r="O244" t="s">
        <v>1948</v>
      </c>
      <c r="P244" s="243">
        <f t="shared" si="33"/>
        <v>41531336.774861597</v>
      </c>
      <c r="S244">
        <v>1770</v>
      </c>
      <c r="T244" t="s">
        <v>896</v>
      </c>
      <c r="U244" t="s">
        <v>1948</v>
      </c>
      <c r="V244" s="176">
        <v>0</v>
      </c>
      <c r="W244" s="176">
        <v>1664527.066665</v>
      </c>
      <c r="X244" s="176">
        <v>0</v>
      </c>
      <c r="Y244" s="176">
        <v>0</v>
      </c>
      <c r="Z244" s="176"/>
      <c r="AA244">
        <v>1770</v>
      </c>
      <c r="AB244" s="176" t="s">
        <v>896</v>
      </c>
      <c r="AC244" s="176" t="s">
        <v>1948</v>
      </c>
      <c r="AD244" s="176">
        <v>0</v>
      </c>
      <c r="AE244" s="176">
        <v>1664527.066665</v>
      </c>
      <c r="AF244" s="176">
        <v>0</v>
      </c>
      <c r="AG244" s="176">
        <v>0</v>
      </c>
      <c r="AH244" s="342" t="str">
        <f t="shared" si="27"/>
        <v/>
      </c>
      <c r="AI244">
        <v>1770</v>
      </c>
      <c r="AJ244" t="s">
        <v>896</v>
      </c>
      <c r="AK244" t="s">
        <v>1948</v>
      </c>
      <c r="AL244" s="245">
        <f t="shared" si="28"/>
        <v>0</v>
      </c>
      <c r="AM244" s="245">
        <f t="shared" si="29"/>
        <v>2996148.7199969999</v>
      </c>
      <c r="AN244" s="245">
        <f t="shared" si="30"/>
        <v>0</v>
      </c>
      <c r="AO244" s="245">
        <f t="shared" si="31"/>
        <v>0</v>
      </c>
      <c r="AP244" s="176"/>
      <c r="AQ244" s="176"/>
      <c r="AR244">
        <v>1770</v>
      </c>
      <c r="AS244" t="s">
        <v>896</v>
      </c>
      <c r="AT244" t="s">
        <v>1948</v>
      </c>
      <c r="AU244" s="176">
        <v>6267786.2222210001</v>
      </c>
      <c r="AW244">
        <v>1770</v>
      </c>
      <c r="AX244" t="s">
        <v>896</v>
      </c>
      <c r="AY244" t="s">
        <v>1948</v>
      </c>
      <c r="AZ244" s="176">
        <v>0</v>
      </c>
      <c r="BA244" s="342" t="str">
        <f t="shared" si="34"/>
        <v/>
      </c>
      <c r="BB244">
        <v>1770</v>
      </c>
      <c r="BC244" t="s">
        <v>896</v>
      </c>
      <c r="BD244" t="s">
        <v>1948</v>
      </c>
      <c r="BE244" s="243">
        <f t="shared" si="35"/>
        <v>6267786.2222210001</v>
      </c>
    </row>
    <row r="245" spans="1:57">
      <c r="A245">
        <v>1780</v>
      </c>
      <c r="B245" t="s">
        <v>280</v>
      </c>
      <c r="C245" t="s">
        <v>1558</v>
      </c>
      <c r="D245" s="176">
        <v>283540417.90993899</v>
      </c>
      <c r="E245">
        <v>0</v>
      </c>
      <c r="G245">
        <v>1780</v>
      </c>
      <c r="H245" t="s">
        <v>280</v>
      </c>
      <c r="I245" t="s">
        <v>1558</v>
      </c>
      <c r="J245" s="176">
        <v>189161590.56775701</v>
      </c>
      <c r="K245">
        <v>0</v>
      </c>
      <c r="L245" s="342" t="str">
        <f t="shared" si="32"/>
        <v/>
      </c>
      <c r="M245">
        <v>1780</v>
      </c>
      <c r="N245" t="s">
        <v>280</v>
      </c>
      <c r="O245" t="s">
        <v>1558</v>
      </c>
      <c r="P245" s="243">
        <f t="shared" si="33"/>
        <v>434869690.36414456</v>
      </c>
      <c r="S245">
        <v>1780</v>
      </c>
      <c r="T245" t="s">
        <v>280</v>
      </c>
      <c r="U245" t="s">
        <v>1558</v>
      </c>
      <c r="V245" s="176">
        <v>101396688.104443</v>
      </c>
      <c r="W245" s="176">
        <v>261049605.45776299</v>
      </c>
      <c r="X245">
        <v>13911644.444444001</v>
      </c>
      <c r="Y245" s="176">
        <v>34620291.944443002</v>
      </c>
      <c r="Z245" s="176"/>
      <c r="AA245">
        <v>1780</v>
      </c>
      <c r="AB245" s="176" t="s">
        <v>280</v>
      </c>
      <c r="AC245" s="176" t="s">
        <v>1558</v>
      </c>
      <c r="AD245" s="176">
        <v>101396688.104443</v>
      </c>
      <c r="AE245" s="176">
        <v>261049605.45776299</v>
      </c>
      <c r="AF245">
        <v>13911644.444444001</v>
      </c>
      <c r="AG245" s="176">
        <v>34620291.944443002</v>
      </c>
      <c r="AH245" s="342" t="str">
        <f t="shared" si="27"/>
        <v/>
      </c>
      <c r="AI245">
        <v>1780</v>
      </c>
      <c r="AJ245" t="s">
        <v>280</v>
      </c>
      <c r="AK245" t="s">
        <v>1558</v>
      </c>
      <c r="AL245" s="245">
        <f t="shared" si="28"/>
        <v>182514038.58799741</v>
      </c>
      <c r="AM245" s="245">
        <f t="shared" si="29"/>
        <v>469889289.82397342</v>
      </c>
      <c r="AN245" s="245">
        <f t="shared" si="30"/>
        <v>25040959.999999203</v>
      </c>
      <c r="AO245" s="245">
        <f t="shared" si="31"/>
        <v>62316525.499997407</v>
      </c>
      <c r="AP245" s="176"/>
      <c r="AQ245" s="176"/>
      <c r="AR245">
        <v>1780</v>
      </c>
      <c r="AS245" t="s">
        <v>280</v>
      </c>
      <c r="AT245" t="s">
        <v>1558</v>
      </c>
      <c r="AU245" s="176">
        <v>10175047.787773</v>
      </c>
      <c r="AW245">
        <v>1780</v>
      </c>
      <c r="AX245" t="s">
        <v>280</v>
      </c>
      <c r="AY245" t="s">
        <v>1558</v>
      </c>
      <c r="AZ245" s="176">
        <v>6909355.8799980003</v>
      </c>
      <c r="BA245" s="342" t="str">
        <f t="shared" si="34"/>
        <v/>
      </c>
      <c r="BB245">
        <v>1780</v>
      </c>
      <c r="BC245" t="s">
        <v>280</v>
      </c>
      <c r="BD245" t="s">
        <v>1558</v>
      </c>
      <c r="BE245" s="243">
        <f t="shared" si="35"/>
        <v>15702532.4917714</v>
      </c>
    </row>
    <row r="246" spans="1:57">
      <c r="A246">
        <v>1780</v>
      </c>
      <c r="B246" t="s">
        <v>280</v>
      </c>
      <c r="C246" t="s">
        <v>1044</v>
      </c>
      <c r="D246" s="176">
        <v>691807011.97981906</v>
      </c>
      <c r="E246">
        <v>0</v>
      </c>
      <c r="G246">
        <v>1780</v>
      </c>
      <c r="H246" t="s">
        <v>280</v>
      </c>
      <c r="I246" t="s">
        <v>1044</v>
      </c>
      <c r="J246" s="176">
        <v>628330604.66551006</v>
      </c>
      <c r="K246">
        <v>0</v>
      </c>
      <c r="L246" s="342" t="str">
        <f t="shared" si="32"/>
        <v/>
      </c>
      <c r="M246">
        <v>1780</v>
      </c>
      <c r="N246" t="s">
        <v>280</v>
      </c>
      <c r="O246" t="s">
        <v>1044</v>
      </c>
      <c r="P246" s="243">
        <f t="shared" si="33"/>
        <v>1194471495.7122271</v>
      </c>
      <c r="S246">
        <v>1780</v>
      </c>
      <c r="T246" t="s">
        <v>280</v>
      </c>
      <c r="U246" t="s">
        <v>1044</v>
      </c>
      <c r="V246" s="176">
        <v>94251334.374440998</v>
      </c>
      <c r="W246" s="176">
        <v>393174002.04330599</v>
      </c>
      <c r="X246">
        <v>0</v>
      </c>
      <c r="Y246" s="176">
        <v>37886920.888888001</v>
      </c>
      <c r="Z246" s="176"/>
      <c r="AA246">
        <v>1780</v>
      </c>
      <c r="AB246" s="176" t="s">
        <v>280</v>
      </c>
      <c r="AC246" s="176" t="s">
        <v>1044</v>
      </c>
      <c r="AD246" s="176">
        <v>94251334.374440998</v>
      </c>
      <c r="AE246" s="176">
        <v>393174002.04330599</v>
      </c>
      <c r="AF246">
        <v>0</v>
      </c>
      <c r="AG246" s="176">
        <v>37886920.888888001</v>
      </c>
      <c r="AH246" s="342" t="str">
        <f t="shared" si="27"/>
        <v/>
      </c>
      <c r="AI246">
        <v>1780</v>
      </c>
      <c r="AJ246" t="s">
        <v>280</v>
      </c>
      <c r="AK246" t="s">
        <v>1044</v>
      </c>
      <c r="AL246" s="245">
        <f t="shared" si="28"/>
        <v>169652401.87399381</v>
      </c>
      <c r="AM246" s="245">
        <f t="shared" si="29"/>
        <v>707713203.67795086</v>
      </c>
      <c r="AN246" s="245">
        <f t="shared" si="30"/>
        <v>0</v>
      </c>
      <c r="AO246" s="245">
        <f t="shared" si="31"/>
        <v>68196457.5999984</v>
      </c>
      <c r="AP246" s="176"/>
      <c r="AQ246" s="176"/>
      <c r="AR246">
        <v>1780</v>
      </c>
      <c r="AS246" t="s">
        <v>280</v>
      </c>
      <c r="AT246" t="s">
        <v>1044</v>
      </c>
      <c r="AU246" s="176">
        <v>37859891.544428997</v>
      </c>
      <c r="AW246">
        <v>1780</v>
      </c>
      <c r="AX246" t="s">
        <v>280</v>
      </c>
      <c r="AY246" t="s">
        <v>1044</v>
      </c>
      <c r="AZ246" s="176">
        <v>27091056.774441</v>
      </c>
      <c r="BA246" s="342" t="str">
        <f t="shared" si="34"/>
        <v/>
      </c>
      <c r="BB246">
        <v>1780</v>
      </c>
      <c r="BC246" t="s">
        <v>280</v>
      </c>
      <c r="BD246" t="s">
        <v>1044</v>
      </c>
      <c r="BE246" s="243">
        <f t="shared" si="35"/>
        <v>59532736.9639818</v>
      </c>
    </row>
    <row r="247" spans="1:57">
      <c r="A247">
        <v>1780</v>
      </c>
      <c r="B247" t="s">
        <v>280</v>
      </c>
      <c r="C247" t="s">
        <v>1727</v>
      </c>
      <c r="D247" s="176">
        <v>204069484.45657799</v>
      </c>
      <c r="E247">
        <v>0</v>
      </c>
      <c r="G247">
        <v>1780</v>
      </c>
      <c r="H247" t="s">
        <v>280</v>
      </c>
      <c r="I247" t="s">
        <v>1727</v>
      </c>
      <c r="J247" s="176">
        <v>67266942.466647997</v>
      </c>
      <c r="K247">
        <v>0</v>
      </c>
      <c r="L247" s="342" t="str">
        <f t="shared" si="32"/>
        <v/>
      </c>
      <c r="M247">
        <v>1780</v>
      </c>
      <c r="N247" t="s">
        <v>280</v>
      </c>
      <c r="O247" t="s">
        <v>1727</v>
      </c>
      <c r="P247" s="243">
        <f t="shared" si="33"/>
        <v>257883038.42989638</v>
      </c>
      <c r="S247">
        <v>1780</v>
      </c>
      <c r="T247" t="s">
        <v>280</v>
      </c>
      <c r="U247" t="s">
        <v>1727</v>
      </c>
      <c r="V247" s="176">
        <v>42413865.527774997</v>
      </c>
      <c r="W247" s="176">
        <v>171604010.99442101</v>
      </c>
      <c r="X247" s="176">
        <v>0</v>
      </c>
      <c r="Y247" s="176">
        <v>21618977.777775999</v>
      </c>
      <c r="Z247" s="176"/>
      <c r="AA247">
        <v>1780</v>
      </c>
      <c r="AB247" s="176" t="s">
        <v>280</v>
      </c>
      <c r="AC247" s="176" t="s">
        <v>1727</v>
      </c>
      <c r="AD247" s="176">
        <v>42413865.527774997</v>
      </c>
      <c r="AE247" s="176">
        <v>171604010.99442101</v>
      </c>
      <c r="AF247" s="176">
        <v>0</v>
      </c>
      <c r="AG247" s="176">
        <v>21618977.777775999</v>
      </c>
      <c r="AH247" s="342" t="str">
        <f t="shared" si="27"/>
        <v/>
      </c>
      <c r="AI247">
        <v>1780</v>
      </c>
      <c r="AJ247" t="s">
        <v>280</v>
      </c>
      <c r="AK247" t="s">
        <v>1727</v>
      </c>
      <c r="AL247" s="245">
        <f t="shared" si="28"/>
        <v>76344957.949994996</v>
      </c>
      <c r="AM247" s="245">
        <f t="shared" si="29"/>
        <v>308887219.78995782</v>
      </c>
      <c r="AN247" s="245">
        <f t="shared" si="30"/>
        <v>0</v>
      </c>
      <c r="AO247" s="245">
        <f t="shared" si="31"/>
        <v>38914159.999996796</v>
      </c>
      <c r="AP247" s="176"/>
      <c r="AQ247" s="176"/>
      <c r="AR247">
        <v>1780</v>
      </c>
      <c r="AS247" t="s">
        <v>280</v>
      </c>
      <c r="AT247" t="s">
        <v>1727</v>
      </c>
      <c r="AU247" s="176">
        <v>27655047.397762001</v>
      </c>
      <c r="AW247">
        <v>1780</v>
      </c>
      <c r="AX247" t="s">
        <v>280</v>
      </c>
      <c r="AY247" t="s">
        <v>1727</v>
      </c>
      <c r="AZ247" s="176">
        <v>4226226.5233309995</v>
      </c>
      <c r="BA247" s="342" t="str">
        <f t="shared" si="34"/>
        <v/>
      </c>
      <c r="BB247">
        <v>1780</v>
      </c>
      <c r="BC247" t="s">
        <v>280</v>
      </c>
      <c r="BD247" t="s">
        <v>1727</v>
      </c>
      <c r="BE247" s="243">
        <f t="shared" si="35"/>
        <v>31036028.616426799</v>
      </c>
    </row>
    <row r="248" spans="1:57" s="246" customFormat="1">
      <c r="A248">
        <v>1790</v>
      </c>
      <c r="B248" t="s">
        <v>281</v>
      </c>
      <c r="C248" t="s">
        <v>1045</v>
      </c>
      <c r="D248" s="176">
        <v>200904289.62546799</v>
      </c>
      <c r="E248">
        <v>0</v>
      </c>
      <c r="G248">
        <v>1790</v>
      </c>
      <c r="H248" t="s">
        <v>281</v>
      </c>
      <c r="I248" t="s">
        <v>1045</v>
      </c>
      <c r="J248" s="176">
        <v>122329253.52664401</v>
      </c>
      <c r="K248">
        <v>0</v>
      </c>
      <c r="L248" s="342" t="str">
        <f t="shared" si="32"/>
        <v/>
      </c>
      <c r="M248">
        <v>1790</v>
      </c>
      <c r="N248" t="s">
        <v>281</v>
      </c>
      <c r="O248" t="s">
        <v>1045</v>
      </c>
      <c r="P248" s="243">
        <f t="shared" si="33"/>
        <v>298767692.44678319</v>
      </c>
      <c r="S248" s="246">
        <v>1790</v>
      </c>
      <c r="T248" s="246" t="s">
        <v>281</v>
      </c>
      <c r="U248" s="246" t="s">
        <v>1045</v>
      </c>
      <c r="V248" s="247">
        <v>51945295.277776003</v>
      </c>
      <c r="W248" s="247">
        <v>152151140.27663401</v>
      </c>
      <c r="X248" s="246">
        <v>1000000</v>
      </c>
      <c r="Y248" s="247">
        <v>10224146.727777001</v>
      </c>
      <c r="Z248" s="247"/>
      <c r="AA248" s="246">
        <v>1790</v>
      </c>
      <c r="AB248" s="247" t="s">
        <v>281</v>
      </c>
      <c r="AC248" s="247" t="s">
        <v>1045</v>
      </c>
      <c r="AD248" s="247">
        <v>51945295.277776003</v>
      </c>
      <c r="AE248" s="247">
        <v>152151140.27663401</v>
      </c>
      <c r="AF248" s="246">
        <v>1000000</v>
      </c>
      <c r="AG248" s="247">
        <v>10224146.727777001</v>
      </c>
      <c r="AH248" s="342" t="str">
        <f t="shared" si="27"/>
        <v/>
      </c>
      <c r="AI248">
        <v>1790</v>
      </c>
      <c r="AJ248" t="s">
        <v>281</v>
      </c>
      <c r="AK248" t="s">
        <v>1045</v>
      </c>
      <c r="AL248" s="245">
        <f t="shared" si="28"/>
        <v>93501531.499996811</v>
      </c>
      <c r="AM248" s="245">
        <f t="shared" si="29"/>
        <v>273872052.49794126</v>
      </c>
      <c r="AN248" s="245">
        <f t="shared" si="30"/>
        <v>1800000</v>
      </c>
      <c r="AO248" s="245">
        <f t="shared" si="31"/>
        <v>18403464.109998602</v>
      </c>
      <c r="AP248" s="247"/>
      <c r="AQ248" s="247"/>
      <c r="AR248" s="246">
        <v>1790</v>
      </c>
      <c r="AS248" s="246" t="s">
        <v>281</v>
      </c>
      <c r="AT248" s="246" t="s">
        <v>1045</v>
      </c>
      <c r="AU248" s="247">
        <v>55556582.718873002</v>
      </c>
      <c r="AW248" s="246">
        <v>1790</v>
      </c>
      <c r="AX248" s="246" t="s">
        <v>281</v>
      </c>
      <c r="AY248" s="246" t="s">
        <v>1045</v>
      </c>
      <c r="AZ248" s="247">
        <v>32616105.474438</v>
      </c>
      <c r="BA248" s="342" t="str">
        <f t="shared" si="34"/>
        <v/>
      </c>
      <c r="BB248">
        <v>1790</v>
      </c>
      <c r="BC248" t="s">
        <v>281</v>
      </c>
      <c r="BD248" t="s">
        <v>1045</v>
      </c>
      <c r="BE248" s="243">
        <f t="shared" si="35"/>
        <v>81649467.098423406</v>
      </c>
    </row>
    <row r="249" spans="1:57" s="246" customFormat="1">
      <c r="A249">
        <v>1790</v>
      </c>
      <c r="B249" t="s">
        <v>281</v>
      </c>
      <c r="C249" t="s">
        <v>1046</v>
      </c>
      <c r="D249" s="176">
        <v>345828417.79323202</v>
      </c>
      <c r="E249">
        <v>0</v>
      </c>
      <c r="G249">
        <v>1790</v>
      </c>
      <c r="H249" t="s">
        <v>281</v>
      </c>
      <c r="I249" t="s">
        <v>1046</v>
      </c>
      <c r="J249" s="176">
        <v>279202254.39440399</v>
      </c>
      <c r="K249">
        <v>0</v>
      </c>
      <c r="L249" s="342" t="str">
        <f t="shared" si="32"/>
        <v/>
      </c>
      <c r="M249">
        <v>1790</v>
      </c>
      <c r="N249" t="s">
        <v>281</v>
      </c>
      <c r="O249" t="s">
        <v>1046</v>
      </c>
      <c r="P249" s="243">
        <f t="shared" si="33"/>
        <v>569190221.30875516</v>
      </c>
      <c r="S249" s="246">
        <v>1790</v>
      </c>
      <c r="T249" s="246" t="s">
        <v>281</v>
      </c>
      <c r="U249" s="246" t="s">
        <v>1046</v>
      </c>
      <c r="V249" s="247">
        <v>58985719.387774996</v>
      </c>
      <c r="W249" s="247">
        <v>310141315.88886201</v>
      </c>
      <c r="X249" s="246">
        <v>6584050</v>
      </c>
      <c r="Y249" s="247">
        <v>34316684.803332001</v>
      </c>
      <c r="Z249" s="247"/>
      <c r="AA249" s="246">
        <v>1790</v>
      </c>
      <c r="AB249" s="247" t="s">
        <v>281</v>
      </c>
      <c r="AC249" s="247" t="s">
        <v>1046</v>
      </c>
      <c r="AD249" s="247">
        <v>58985719.387774996</v>
      </c>
      <c r="AE249" s="247">
        <v>310141315.88886201</v>
      </c>
      <c r="AF249" s="246">
        <v>6584050</v>
      </c>
      <c r="AG249" s="247">
        <v>34316684.803332001</v>
      </c>
      <c r="AH249" s="342" t="str">
        <f t="shared" si="27"/>
        <v/>
      </c>
      <c r="AI249">
        <v>1790</v>
      </c>
      <c r="AJ249" t="s">
        <v>281</v>
      </c>
      <c r="AK249" t="s">
        <v>1046</v>
      </c>
      <c r="AL249" s="245">
        <f t="shared" si="28"/>
        <v>106174294.897995</v>
      </c>
      <c r="AM249" s="245">
        <f t="shared" si="29"/>
        <v>558254368.59995162</v>
      </c>
      <c r="AN249" s="245">
        <f t="shared" si="30"/>
        <v>11851290</v>
      </c>
      <c r="AO249" s="245">
        <f t="shared" si="31"/>
        <v>61770032.645997599</v>
      </c>
      <c r="AP249" s="247"/>
      <c r="AQ249" s="247"/>
      <c r="AR249" s="246">
        <v>1790</v>
      </c>
      <c r="AS249" s="246" t="s">
        <v>281</v>
      </c>
      <c r="AT249" s="246" t="s">
        <v>1046</v>
      </c>
      <c r="AU249" s="247">
        <v>178576712.68553999</v>
      </c>
      <c r="AW249" s="246">
        <v>1790</v>
      </c>
      <c r="AX249" s="246" t="s">
        <v>281</v>
      </c>
      <c r="AY249" s="246" t="s">
        <v>1046</v>
      </c>
      <c r="AZ249" s="247">
        <v>184122325.81443501</v>
      </c>
      <c r="BA249" s="342" t="str">
        <f t="shared" si="34"/>
        <v/>
      </c>
      <c r="BB249">
        <v>1790</v>
      </c>
      <c r="BC249" t="s">
        <v>281</v>
      </c>
      <c r="BD249" t="s">
        <v>1046</v>
      </c>
      <c r="BE249" s="243">
        <f t="shared" si="35"/>
        <v>325874573.33708799</v>
      </c>
    </row>
    <row r="250" spans="1:57" s="246" customFormat="1">
      <c r="A250">
        <v>1790</v>
      </c>
      <c r="B250" t="s">
        <v>281</v>
      </c>
      <c r="C250" t="s">
        <v>1559</v>
      </c>
      <c r="D250" s="176">
        <v>388297604.50215399</v>
      </c>
      <c r="E250">
        <v>0</v>
      </c>
      <c r="G250">
        <v>1790</v>
      </c>
      <c r="H250" t="s">
        <v>281</v>
      </c>
      <c r="I250" t="s">
        <v>1559</v>
      </c>
      <c r="J250" s="176">
        <v>264744845.022199</v>
      </c>
      <c r="K250">
        <v>0</v>
      </c>
      <c r="L250" s="342" t="str">
        <f t="shared" si="32"/>
        <v/>
      </c>
      <c r="M250">
        <v>1790</v>
      </c>
      <c r="N250" t="s">
        <v>281</v>
      </c>
      <c r="O250" t="s">
        <v>1559</v>
      </c>
      <c r="P250" s="243">
        <f t="shared" si="33"/>
        <v>600093480.5199132</v>
      </c>
      <c r="S250" s="246">
        <v>1790</v>
      </c>
      <c r="T250" s="246" t="s">
        <v>281</v>
      </c>
      <c r="U250" s="246" t="s">
        <v>1559</v>
      </c>
      <c r="V250" s="247">
        <v>72716388.979996994</v>
      </c>
      <c r="W250" s="247">
        <v>227763662.44330499</v>
      </c>
      <c r="X250" s="246">
        <v>1500000</v>
      </c>
      <c r="Y250" s="247">
        <v>14162631.666665999</v>
      </c>
      <c r="Z250" s="247"/>
      <c r="AA250" s="246">
        <v>1790</v>
      </c>
      <c r="AB250" s="247" t="s">
        <v>281</v>
      </c>
      <c r="AC250" s="247" t="s">
        <v>1559</v>
      </c>
      <c r="AD250" s="247">
        <v>72716388.979996994</v>
      </c>
      <c r="AE250" s="247">
        <v>227763662.44330499</v>
      </c>
      <c r="AF250" s="246">
        <v>1500000</v>
      </c>
      <c r="AG250" s="247">
        <v>14162631.666665999</v>
      </c>
      <c r="AH250" s="342" t="str">
        <f t="shared" si="27"/>
        <v/>
      </c>
      <c r="AI250">
        <v>1790</v>
      </c>
      <c r="AJ250" t="s">
        <v>281</v>
      </c>
      <c r="AK250" t="s">
        <v>1559</v>
      </c>
      <c r="AL250" s="245">
        <f t="shared" si="28"/>
        <v>130889500.1639946</v>
      </c>
      <c r="AM250" s="245">
        <f t="shared" si="29"/>
        <v>409974592.39794898</v>
      </c>
      <c r="AN250" s="245">
        <f t="shared" si="30"/>
        <v>2700000</v>
      </c>
      <c r="AO250" s="245">
        <f t="shared" si="31"/>
        <v>25492736.9999988</v>
      </c>
      <c r="AP250" s="247"/>
      <c r="AQ250" s="247"/>
      <c r="AR250" s="246">
        <v>1790</v>
      </c>
      <c r="AS250" s="246" t="s">
        <v>281</v>
      </c>
      <c r="AT250" s="246" t="s">
        <v>1559</v>
      </c>
      <c r="AU250" s="247">
        <v>50996144.073324002</v>
      </c>
      <c r="AW250" s="246">
        <v>1790</v>
      </c>
      <c r="AX250" s="246" t="s">
        <v>281</v>
      </c>
      <c r="AY250" s="246" t="s">
        <v>1559</v>
      </c>
      <c r="AZ250" s="247">
        <v>110070800.491107</v>
      </c>
      <c r="BA250" s="342" t="str">
        <f t="shared" si="34"/>
        <v/>
      </c>
      <c r="BB250">
        <v>1790</v>
      </c>
      <c r="BC250" t="s">
        <v>281</v>
      </c>
      <c r="BD250" t="s">
        <v>1559</v>
      </c>
      <c r="BE250" s="243">
        <f t="shared" si="35"/>
        <v>139052784.46620962</v>
      </c>
    </row>
    <row r="251" spans="1:57">
      <c r="A251">
        <v>1790</v>
      </c>
      <c r="B251" t="s">
        <v>281</v>
      </c>
      <c r="C251" t="s">
        <v>1728</v>
      </c>
      <c r="D251" s="176">
        <v>111008044.223288</v>
      </c>
      <c r="E251">
        <v>0</v>
      </c>
      <c r="G251">
        <v>1790</v>
      </c>
      <c r="H251" t="s">
        <v>281</v>
      </c>
      <c r="I251" t="s">
        <v>1728</v>
      </c>
      <c r="J251" s="176">
        <v>60328585.028876998</v>
      </c>
      <c r="K251">
        <v>0</v>
      </c>
      <c r="L251" s="342" t="str">
        <f t="shared" si="32"/>
        <v/>
      </c>
      <c r="M251">
        <v>1790</v>
      </c>
      <c r="N251" t="s">
        <v>281</v>
      </c>
      <c r="O251" t="s">
        <v>1728</v>
      </c>
      <c r="P251" s="243">
        <f t="shared" si="33"/>
        <v>159270912.2463896</v>
      </c>
      <c r="S251">
        <v>1790</v>
      </c>
      <c r="T251" t="s">
        <v>281</v>
      </c>
      <c r="U251" t="s">
        <v>1728</v>
      </c>
      <c r="V251" s="176">
        <v>17231917.227777001</v>
      </c>
      <c r="W251" s="176">
        <v>70971209.369981006</v>
      </c>
      <c r="X251" s="176">
        <v>0</v>
      </c>
      <c r="Y251" s="176">
        <v>11349083.52</v>
      </c>
      <c r="Z251" s="176"/>
      <c r="AA251">
        <v>1790</v>
      </c>
      <c r="AB251" s="176" t="s">
        <v>281</v>
      </c>
      <c r="AC251" s="176" t="s">
        <v>1728</v>
      </c>
      <c r="AD251" s="176">
        <v>17231917.227777001</v>
      </c>
      <c r="AE251" s="176">
        <v>70971209.369981006</v>
      </c>
      <c r="AF251" s="176">
        <v>0</v>
      </c>
      <c r="AG251" s="176">
        <v>11349083.52</v>
      </c>
      <c r="AH251" s="342" t="str">
        <f t="shared" si="27"/>
        <v/>
      </c>
      <c r="AI251">
        <v>1790</v>
      </c>
      <c r="AJ251" t="s">
        <v>281</v>
      </c>
      <c r="AK251" t="s">
        <v>1728</v>
      </c>
      <c r="AL251" s="245">
        <f t="shared" si="28"/>
        <v>31017451.009998601</v>
      </c>
      <c r="AM251" s="245">
        <f t="shared" si="29"/>
        <v>127748176.86596581</v>
      </c>
      <c r="AN251" s="245">
        <f t="shared" si="30"/>
        <v>0</v>
      </c>
      <c r="AO251" s="245">
        <f t="shared" si="31"/>
        <v>20428350.335999999</v>
      </c>
      <c r="AP251" s="176"/>
      <c r="AQ251" s="176"/>
      <c r="AR251">
        <v>1790</v>
      </c>
      <c r="AS251" t="s">
        <v>281</v>
      </c>
      <c r="AT251" t="s">
        <v>1728</v>
      </c>
      <c r="AU251" s="176">
        <v>4648820.2188839996</v>
      </c>
      <c r="AW251">
        <v>1790</v>
      </c>
      <c r="AX251" t="s">
        <v>281</v>
      </c>
      <c r="AY251" t="s">
        <v>1728</v>
      </c>
      <c r="AZ251" s="176">
        <v>4371302.1922199996</v>
      </c>
      <c r="BA251" s="342" t="str">
        <f t="shared" si="34"/>
        <v/>
      </c>
      <c r="BB251">
        <v>1790</v>
      </c>
      <c r="BC251" t="s">
        <v>281</v>
      </c>
      <c r="BD251" t="s">
        <v>1728</v>
      </c>
      <c r="BE251" s="243">
        <f t="shared" si="35"/>
        <v>8145861.9726599995</v>
      </c>
    </row>
    <row r="252" spans="1:57">
      <c r="A252">
        <v>1800</v>
      </c>
      <c r="B252" t="s">
        <v>282</v>
      </c>
      <c r="C252" t="s">
        <v>1561</v>
      </c>
      <c r="D252" s="176">
        <v>184485246.97325301</v>
      </c>
      <c r="E252">
        <v>0</v>
      </c>
      <c r="G252">
        <v>1800</v>
      </c>
      <c r="H252" t="s">
        <v>282</v>
      </c>
      <c r="I252" t="s">
        <v>1561</v>
      </c>
      <c r="J252" s="176">
        <v>166352536.00775</v>
      </c>
      <c r="K252">
        <v>0</v>
      </c>
      <c r="L252" s="342" t="str">
        <f t="shared" si="32"/>
        <v/>
      </c>
      <c r="M252">
        <v>1800</v>
      </c>
      <c r="N252" t="s">
        <v>282</v>
      </c>
      <c r="O252" t="s">
        <v>1561</v>
      </c>
      <c r="P252" s="243">
        <f t="shared" si="33"/>
        <v>317567275.77945304</v>
      </c>
      <c r="S252">
        <v>1800</v>
      </c>
      <c r="T252" t="s">
        <v>282</v>
      </c>
      <c r="U252" t="s">
        <v>1561</v>
      </c>
      <c r="V252" s="176">
        <v>48988194.238885</v>
      </c>
      <c r="W252" s="176">
        <v>170050688.19442099</v>
      </c>
      <c r="X252" s="176">
        <v>1000000</v>
      </c>
      <c r="Y252" s="176">
        <v>34935794.444444001</v>
      </c>
      <c r="Z252" s="176"/>
      <c r="AA252">
        <v>1800</v>
      </c>
      <c r="AB252" s="176" t="s">
        <v>282</v>
      </c>
      <c r="AC252" s="176" t="s">
        <v>1561</v>
      </c>
      <c r="AD252" s="176">
        <v>48988194.238885</v>
      </c>
      <c r="AE252" s="176">
        <v>170050688.19442099</v>
      </c>
      <c r="AF252" s="176">
        <v>1000000</v>
      </c>
      <c r="AG252" s="176">
        <v>34935794.444444001</v>
      </c>
      <c r="AH252" s="342" t="str">
        <f t="shared" si="27"/>
        <v/>
      </c>
      <c r="AI252">
        <v>1800</v>
      </c>
      <c r="AJ252" t="s">
        <v>282</v>
      </c>
      <c r="AK252" t="s">
        <v>1561</v>
      </c>
      <c r="AL252" s="245">
        <f t="shared" si="28"/>
        <v>88178749.629992992</v>
      </c>
      <c r="AM252" s="245">
        <f t="shared" si="29"/>
        <v>306091238.7499578</v>
      </c>
      <c r="AN252" s="245">
        <f t="shared" si="30"/>
        <v>1800000</v>
      </c>
      <c r="AO252" s="245">
        <f t="shared" si="31"/>
        <v>62884429.999999203</v>
      </c>
      <c r="AP252" s="176"/>
      <c r="AQ252" s="176"/>
      <c r="AR252">
        <v>1800</v>
      </c>
      <c r="AS252" t="s">
        <v>282</v>
      </c>
      <c r="AT252" t="s">
        <v>1561</v>
      </c>
      <c r="AU252" s="176">
        <v>16573625.958883001</v>
      </c>
      <c r="AW252">
        <v>1800</v>
      </c>
      <c r="AX252" t="s">
        <v>282</v>
      </c>
      <c r="AY252" t="s">
        <v>1561</v>
      </c>
      <c r="AZ252" s="176">
        <v>8758200.7266649995</v>
      </c>
      <c r="BA252" s="342" t="str">
        <f t="shared" si="34"/>
        <v/>
      </c>
      <c r="BB252">
        <v>1800</v>
      </c>
      <c r="BC252" t="s">
        <v>282</v>
      </c>
      <c r="BD252" t="s">
        <v>1561</v>
      </c>
      <c r="BE252" s="243">
        <f t="shared" si="35"/>
        <v>23580186.540215001</v>
      </c>
    </row>
    <row r="253" spans="1:57">
      <c r="A253">
        <v>1800</v>
      </c>
      <c r="B253" t="s">
        <v>282</v>
      </c>
      <c r="C253" t="s">
        <v>1029</v>
      </c>
      <c r="D253" s="176">
        <v>117930929.065495</v>
      </c>
      <c r="E253">
        <v>0</v>
      </c>
      <c r="G253">
        <v>1800</v>
      </c>
      <c r="H253" t="s">
        <v>282</v>
      </c>
      <c r="I253" t="s">
        <v>1029</v>
      </c>
      <c r="J253" s="176">
        <v>24009406.573322002</v>
      </c>
      <c r="K253">
        <v>0</v>
      </c>
      <c r="L253" s="342" t="str">
        <f t="shared" si="32"/>
        <v/>
      </c>
      <c r="M253">
        <v>1800</v>
      </c>
      <c r="N253" t="s">
        <v>282</v>
      </c>
      <c r="O253" t="s">
        <v>1029</v>
      </c>
      <c r="P253" s="243">
        <f t="shared" si="33"/>
        <v>137138454.32415259</v>
      </c>
      <c r="S253">
        <v>1800</v>
      </c>
      <c r="T253" t="s">
        <v>282</v>
      </c>
      <c r="U253" t="s">
        <v>1029</v>
      </c>
      <c r="V253" s="176">
        <v>174455765.78999701</v>
      </c>
      <c r="W253" s="176">
        <v>162875353.88664699</v>
      </c>
      <c r="X253" s="176">
        <v>1503100</v>
      </c>
      <c r="Y253" s="176">
        <v>18274383.333333001</v>
      </c>
      <c r="Z253" s="176"/>
      <c r="AA253">
        <v>1800</v>
      </c>
      <c r="AB253" s="176" t="s">
        <v>282</v>
      </c>
      <c r="AC253" s="176" t="s">
        <v>1029</v>
      </c>
      <c r="AD253" s="176">
        <v>174455765.78999701</v>
      </c>
      <c r="AE253" s="176">
        <v>162875353.88664699</v>
      </c>
      <c r="AF253" s="176">
        <v>1503100</v>
      </c>
      <c r="AG253" s="176">
        <v>18274383.333333001</v>
      </c>
      <c r="AH253" s="342" t="str">
        <f t="shared" si="27"/>
        <v/>
      </c>
      <c r="AI253">
        <v>1800</v>
      </c>
      <c r="AJ253" t="s">
        <v>282</v>
      </c>
      <c r="AK253" t="s">
        <v>1029</v>
      </c>
      <c r="AL253" s="245">
        <f t="shared" si="28"/>
        <v>314020378.42199463</v>
      </c>
      <c r="AM253" s="245">
        <f t="shared" si="29"/>
        <v>293175636.99596459</v>
      </c>
      <c r="AN253" s="245">
        <f t="shared" si="30"/>
        <v>2705580</v>
      </c>
      <c r="AO253" s="245">
        <f t="shared" si="31"/>
        <v>32893889.999999404</v>
      </c>
      <c r="AP253" s="176"/>
      <c r="AQ253" s="176"/>
      <c r="AR253">
        <v>1800</v>
      </c>
      <c r="AS253" t="s">
        <v>282</v>
      </c>
      <c r="AT253" t="s">
        <v>1029</v>
      </c>
      <c r="AU253" s="176">
        <v>0</v>
      </c>
      <c r="AW253">
        <v>1800</v>
      </c>
      <c r="AX253" t="s">
        <v>282</v>
      </c>
      <c r="AY253" t="s">
        <v>1029</v>
      </c>
      <c r="AZ253" s="176">
        <v>713820.81444300001</v>
      </c>
      <c r="BA253" s="342" t="str">
        <f t="shared" si="34"/>
        <v/>
      </c>
      <c r="BB253">
        <v>1800</v>
      </c>
      <c r="BC253" t="s">
        <v>282</v>
      </c>
      <c r="BD253" t="s">
        <v>1029</v>
      </c>
      <c r="BE253" s="243">
        <f t="shared" si="35"/>
        <v>571056.65155439998</v>
      </c>
    </row>
    <row r="254" spans="1:57">
      <c r="A254">
        <v>1800</v>
      </c>
      <c r="B254" t="s">
        <v>282</v>
      </c>
      <c r="C254" t="s">
        <v>1729</v>
      </c>
      <c r="D254" s="176">
        <v>150959744.13217101</v>
      </c>
      <c r="E254">
        <v>0</v>
      </c>
      <c r="G254">
        <v>1800</v>
      </c>
      <c r="H254" t="s">
        <v>282</v>
      </c>
      <c r="I254" t="s">
        <v>1729</v>
      </c>
      <c r="J254" s="176">
        <v>24527876.481100999</v>
      </c>
      <c r="K254">
        <v>0</v>
      </c>
      <c r="L254" s="342" t="str">
        <f t="shared" si="32"/>
        <v/>
      </c>
      <c r="M254">
        <v>1800</v>
      </c>
      <c r="N254" t="s">
        <v>282</v>
      </c>
      <c r="O254" t="s">
        <v>1729</v>
      </c>
      <c r="P254" s="243">
        <f t="shared" si="33"/>
        <v>170582045.3170518</v>
      </c>
      <c r="S254">
        <v>1800</v>
      </c>
      <c r="T254" t="s">
        <v>282</v>
      </c>
      <c r="U254" t="s">
        <v>1729</v>
      </c>
      <c r="V254" s="176">
        <v>66828926.484439999</v>
      </c>
      <c r="W254" s="176">
        <v>71948420.473305002</v>
      </c>
      <c r="X254" s="176">
        <v>0</v>
      </c>
      <c r="Y254" s="176">
        <v>9327888.8888859991</v>
      </c>
      <c r="Z254" s="176"/>
      <c r="AA254">
        <v>1800</v>
      </c>
      <c r="AB254" s="176" t="s">
        <v>282</v>
      </c>
      <c r="AC254" s="176" t="s">
        <v>1729</v>
      </c>
      <c r="AD254" s="176">
        <v>66828926.484439999</v>
      </c>
      <c r="AE254" s="176">
        <v>71948420.473305002</v>
      </c>
      <c r="AF254" s="176">
        <v>0</v>
      </c>
      <c r="AG254" s="176">
        <v>9327888.8888859991</v>
      </c>
      <c r="AH254" s="342" t="str">
        <f t="shared" si="27"/>
        <v/>
      </c>
      <c r="AI254">
        <v>1800</v>
      </c>
      <c r="AJ254" t="s">
        <v>282</v>
      </c>
      <c r="AK254" t="s">
        <v>1729</v>
      </c>
      <c r="AL254" s="245">
        <f t="shared" si="28"/>
        <v>120292067.671992</v>
      </c>
      <c r="AM254" s="245">
        <f t="shared" si="29"/>
        <v>129507156.85194901</v>
      </c>
      <c r="AN254" s="245">
        <f t="shared" si="30"/>
        <v>0</v>
      </c>
      <c r="AO254" s="245">
        <f t="shared" si="31"/>
        <v>16790199.999994799</v>
      </c>
      <c r="AP254" s="176"/>
      <c r="AQ254" s="176"/>
      <c r="AR254">
        <v>1800</v>
      </c>
      <c r="AS254" t="s">
        <v>282</v>
      </c>
      <c r="AT254" t="s">
        <v>1729</v>
      </c>
      <c r="AU254" s="176">
        <v>6119398.9566639997</v>
      </c>
      <c r="AW254">
        <v>1800</v>
      </c>
      <c r="AX254" t="s">
        <v>282</v>
      </c>
      <c r="AY254" t="s">
        <v>1729</v>
      </c>
      <c r="AZ254" s="176">
        <v>0</v>
      </c>
      <c r="BA254" s="342" t="str">
        <f t="shared" si="34"/>
        <v/>
      </c>
      <c r="BB254">
        <v>1800</v>
      </c>
      <c r="BC254" t="s">
        <v>282</v>
      </c>
      <c r="BD254" t="s">
        <v>1729</v>
      </c>
      <c r="BE254" s="243">
        <f t="shared" si="35"/>
        <v>6119398.9566639997</v>
      </c>
    </row>
    <row r="255" spans="1:57">
      <c r="A255">
        <v>1800</v>
      </c>
      <c r="B255" t="s">
        <v>282</v>
      </c>
      <c r="C255" t="s">
        <v>1949</v>
      </c>
      <c r="D255" s="176">
        <v>54335600.119960003</v>
      </c>
      <c r="E255">
        <v>0</v>
      </c>
      <c r="G255">
        <v>1800</v>
      </c>
      <c r="H255" t="s">
        <v>282</v>
      </c>
      <c r="I255" t="s">
        <v>1949</v>
      </c>
      <c r="J255" s="176">
        <v>54239958.042212002</v>
      </c>
      <c r="K255">
        <v>0</v>
      </c>
      <c r="L255" s="342" t="str">
        <f t="shared" si="32"/>
        <v/>
      </c>
      <c r="M255">
        <v>1800</v>
      </c>
      <c r="N255" t="s">
        <v>282</v>
      </c>
      <c r="O255" t="s">
        <v>1949</v>
      </c>
      <c r="P255" s="243">
        <f t="shared" si="33"/>
        <v>97727566.553729609</v>
      </c>
      <c r="S255">
        <v>1800</v>
      </c>
      <c r="T255" t="s">
        <v>282</v>
      </c>
      <c r="U255" t="s">
        <v>1949</v>
      </c>
      <c r="V255" s="176">
        <v>72365156.667777002</v>
      </c>
      <c r="W255" s="176">
        <v>57340713.364426002</v>
      </c>
      <c r="X255" s="176">
        <v>1000000</v>
      </c>
      <c r="Y255" s="176">
        <v>18732222.222220998</v>
      </c>
      <c r="Z255" s="176"/>
      <c r="AA255">
        <v>1800</v>
      </c>
      <c r="AB255" s="176" t="s">
        <v>282</v>
      </c>
      <c r="AC255" s="176" t="s">
        <v>1949</v>
      </c>
      <c r="AD255" s="176">
        <v>72365156.667777002</v>
      </c>
      <c r="AE255" s="176">
        <v>57340713.364426002</v>
      </c>
      <c r="AF255" s="176">
        <v>1000000</v>
      </c>
      <c r="AG255" s="176">
        <v>18732222.222220998</v>
      </c>
      <c r="AH255" s="342" t="str">
        <f t="shared" si="27"/>
        <v/>
      </c>
      <c r="AI255">
        <v>1800</v>
      </c>
      <c r="AJ255" t="s">
        <v>282</v>
      </c>
      <c r="AK255" t="s">
        <v>1949</v>
      </c>
      <c r="AL255" s="245">
        <f t="shared" si="28"/>
        <v>130257282.0019986</v>
      </c>
      <c r="AM255" s="245">
        <f t="shared" si="29"/>
        <v>103213284.05596681</v>
      </c>
      <c r="AN255" s="245">
        <f t="shared" si="30"/>
        <v>1800000</v>
      </c>
      <c r="AO255" s="245">
        <f t="shared" si="31"/>
        <v>33717999.999997795</v>
      </c>
      <c r="AP255" s="176"/>
      <c r="AQ255" s="176"/>
      <c r="AR255">
        <v>1800</v>
      </c>
      <c r="AS255" t="s">
        <v>282</v>
      </c>
      <c r="AT255" t="s">
        <v>1949</v>
      </c>
      <c r="AU255" s="176">
        <v>5035964.6866640002</v>
      </c>
      <c r="AW255">
        <v>1800</v>
      </c>
      <c r="AX255" t="s">
        <v>282</v>
      </c>
      <c r="AY255" t="s">
        <v>1949</v>
      </c>
      <c r="AZ255" s="176">
        <v>159513.49333299999</v>
      </c>
      <c r="BA255" s="342" t="str">
        <f t="shared" si="34"/>
        <v/>
      </c>
      <c r="BB255">
        <v>1800</v>
      </c>
      <c r="BC255" t="s">
        <v>282</v>
      </c>
      <c r="BD255" t="s">
        <v>1949</v>
      </c>
      <c r="BE255" s="243">
        <f t="shared" si="35"/>
        <v>5163575.4813304003</v>
      </c>
    </row>
    <row r="256" spans="1:57">
      <c r="A256">
        <v>1800</v>
      </c>
      <c r="B256" t="s">
        <v>282</v>
      </c>
      <c r="C256" t="s">
        <v>1047</v>
      </c>
      <c r="D256" s="176">
        <v>331352204.11883903</v>
      </c>
      <c r="E256">
        <v>0</v>
      </c>
      <c r="G256">
        <v>1800</v>
      </c>
      <c r="H256" t="s">
        <v>282</v>
      </c>
      <c r="I256" t="s">
        <v>1047</v>
      </c>
      <c r="J256" s="176">
        <v>316769409.50553203</v>
      </c>
      <c r="K256">
        <v>0</v>
      </c>
      <c r="L256" s="342" t="str">
        <f t="shared" si="32"/>
        <v/>
      </c>
      <c r="M256">
        <v>1800</v>
      </c>
      <c r="N256" t="s">
        <v>282</v>
      </c>
      <c r="O256" t="s">
        <v>1047</v>
      </c>
      <c r="P256" s="243">
        <f t="shared" si="33"/>
        <v>584767731.72326469</v>
      </c>
      <c r="S256">
        <v>1800</v>
      </c>
      <c r="T256" t="s">
        <v>282</v>
      </c>
      <c r="U256" t="s">
        <v>1047</v>
      </c>
      <c r="V256" s="176">
        <v>111876387.906666</v>
      </c>
      <c r="W256" s="176">
        <v>411304875.18886602</v>
      </c>
      <c r="X256" s="176">
        <v>500000</v>
      </c>
      <c r="Y256" s="176">
        <v>25882330.449999999</v>
      </c>
      <c r="Z256" s="176"/>
      <c r="AA256">
        <v>1800</v>
      </c>
      <c r="AB256" s="176" t="s">
        <v>282</v>
      </c>
      <c r="AC256" s="176" t="s">
        <v>1047</v>
      </c>
      <c r="AD256" s="176">
        <v>111876387.906666</v>
      </c>
      <c r="AE256" s="176">
        <v>411304875.18886602</v>
      </c>
      <c r="AF256" s="176">
        <v>500000</v>
      </c>
      <c r="AG256" s="176">
        <v>25882330.449999999</v>
      </c>
      <c r="AH256" s="342" t="str">
        <f t="shared" si="27"/>
        <v/>
      </c>
      <c r="AI256">
        <v>1800</v>
      </c>
      <c r="AJ256" t="s">
        <v>282</v>
      </c>
      <c r="AK256" t="s">
        <v>1047</v>
      </c>
      <c r="AL256" s="245">
        <f t="shared" si="28"/>
        <v>201377498.2319988</v>
      </c>
      <c r="AM256" s="245">
        <f t="shared" si="29"/>
        <v>740348775.33995891</v>
      </c>
      <c r="AN256" s="245">
        <f t="shared" si="30"/>
        <v>900000</v>
      </c>
      <c r="AO256" s="245">
        <f t="shared" si="31"/>
        <v>46588194.810000002</v>
      </c>
      <c r="AP256" s="176"/>
      <c r="AQ256" s="176"/>
      <c r="AR256">
        <v>1800</v>
      </c>
      <c r="AS256" t="s">
        <v>282</v>
      </c>
      <c r="AT256" t="s">
        <v>1047</v>
      </c>
      <c r="AU256" s="176">
        <v>45457504.173325002</v>
      </c>
      <c r="AW256">
        <v>1800</v>
      </c>
      <c r="AX256" t="s">
        <v>282</v>
      </c>
      <c r="AY256" t="s">
        <v>1047</v>
      </c>
      <c r="AZ256" s="176">
        <v>53260570.497772999</v>
      </c>
      <c r="BA256" s="342" t="str">
        <f t="shared" si="34"/>
        <v/>
      </c>
      <c r="BB256">
        <v>1800</v>
      </c>
      <c r="BC256" t="s">
        <v>282</v>
      </c>
      <c r="BD256" t="s">
        <v>1047</v>
      </c>
      <c r="BE256" s="243">
        <f t="shared" si="35"/>
        <v>88065960.571543396</v>
      </c>
    </row>
    <row r="257" spans="1:57">
      <c r="A257">
        <v>1820</v>
      </c>
      <c r="B257" t="s">
        <v>283</v>
      </c>
      <c r="C257" t="s">
        <v>1050</v>
      </c>
      <c r="D257" s="176">
        <v>312324416.814349</v>
      </c>
      <c r="E257">
        <v>0</v>
      </c>
      <c r="G257">
        <v>1820</v>
      </c>
      <c r="H257" t="s">
        <v>283</v>
      </c>
      <c r="I257" t="s">
        <v>1050</v>
      </c>
      <c r="J257" s="176">
        <v>139145260.927746</v>
      </c>
      <c r="K257">
        <v>0</v>
      </c>
      <c r="L257" s="342" t="str">
        <f t="shared" si="32"/>
        <v/>
      </c>
      <c r="M257">
        <v>1820</v>
      </c>
      <c r="N257" t="s">
        <v>283</v>
      </c>
      <c r="O257" t="s">
        <v>1050</v>
      </c>
      <c r="P257" s="243">
        <f t="shared" si="33"/>
        <v>423640625.55654579</v>
      </c>
      <c r="S257">
        <v>1820</v>
      </c>
      <c r="T257" t="s">
        <v>283</v>
      </c>
      <c r="U257" t="s">
        <v>1050</v>
      </c>
      <c r="V257" s="176">
        <v>65996931.404439002</v>
      </c>
      <c r="W257" s="176">
        <v>345717731.84663302</v>
      </c>
      <c r="X257" s="176">
        <v>0</v>
      </c>
      <c r="Y257" s="176">
        <v>20241655.334442999</v>
      </c>
      <c r="Z257" s="176"/>
      <c r="AA257">
        <v>1820</v>
      </c>
      <c r="AB257" s="176" t="s">
        <v>283</v>
      </c>
      <c r="AC257" s="176" t="s">
        <v>1050</v>
      </c>
      <c r="AD257" s="176">
        <v>65996931.404439002</v>
      </c>
      <c r="AE257" s="176">
        <v>345717731.84663302</v>
      </c>
      <c r="AF257" s="176">
        <v>0</v>
      </c>
      <c r="AG257" s="176">
        <v>20241655.334442999</v>
      </c>
      <c r="AH257" s="342" t="str">
        <f t="shared" si="27"/>
        <v/>
      </c>
      <c r="AI257">
        <v>1820</v>
      </c>
      <c r="AJ257" t="s">
        <v>283</v>
      </c>
      <c r="AK257" t="s">
        <v>1050</v>
      </c>
      <c r="AL257" s="245">
        <f t="shared" si="28"/>
        <v>118794476.52799021</v>
      </c>
      <c r="AM257" s="245">
        <f t="shared" si="29"/>
        <v>622291917.32393944</v>
      </c>
      <c r="AN257" s="245">
        <f t="shared" si="30"/>
        <v>0</v>
      </c>
      <c r="AO257" s="245">
        <f t="shared" si="31"/>
        <v>36434979.601997398</v>
      </c>
      <c r="AP257" s="176"/>
      <c r="AQ257" s="176"/>
      <c r="AR257">
        <v>1820</v>
      </c>
      <c r="AS257" t="s">
        <v>283</v>
      </c>
      <c r="AT257" t="s">
        <v>1050</v>
      </c>
      <c r="AU257" s="176">
        <v>183972459.21776301</v>
      </c>
      <c r="AW257">
        <v>1820</v>
      </c>
      <c r="AX257" t="s">
        <v>283</v>
      </c>
      <c r="AY257" t="s">
        <v>1050</v>
      </c>
      <c r="AZ257" s="176">
        <v>92910288.553322002</v>
      </c>
      <c r="BA257" s="342" t="str">
        <f t="shared" si="34"/>
        <v/>
      </c>
      <c r="BB257">
        <v>1820</v>
      </c>
      <c r="BC257" t="s">
        <v>283</v>
      </c>
      <c r="BD257" t="s">
        <v>1050</v>
      </c>
      <c r="BE257" s="243">
        <f t="shared" si="35"/>
        <v>258300690.06042063</v>
      </c>
    </row>
    <row r="258" spans="1:57">
      <c r="A258">
        <v>1820</v>
      </c>
      <c r="B258" t="s">
        <v>283</v>
      </c>
      <c r="C258" t="s">
        <v>1950</v>
      </c>
      <c r="D258" s="176">
        <v>60450726.743271999</v>
      </c>
      <c r="E258">
        <v>0</v>
      </c>
      <c r="G258">
        <v>1820</v>
      </c>
      <c r="H258" t="s">
        <v>283</v>
      </c>
      <c r="I258" t="s">
        <v>1950</v>
      </c>
      <c r="J258" s="176">
        <v>74903815.278871998</v>
      </c>
      <c r="K258">
        <v>0</v>
      </c>
      <c r="L258" s="342" t="str">
        <f t="shared" si="32"/>
        <v/>
      </c>
      <c r="M258">
        <v>1820</v>
      </c>
      <c r="N258" t="s">
        <v>283</v>
      </c>
      <c r="O258" t="s">
        <v>1950</v>
      </c>
      <c r="P258" s="243">
        <f t="shared" si="33"/>
        <v>120373778.9663696</v>
      </c>
      <c r="S258">
        <v>1820</v>
      </c>
      <c r="T258" t="s">
        <v>283</v>
      </c>
      <c r="U258" t="s">
        <v>1950</v>
      </c>
      <c r="V258" s="176">
        <v>22524440.866666</v>
      </c>
      <c r="W258" s="176">
        <v>101554096.367745</v>
      </c>
      <c r="X258" s="176">
        <v>0</v>
      </c>
      <c r="Y258" s="176">
        <v>7091740</v>
      </c>
      <c r="Z258" s="176"/>
      <c r="AA258">
        <v>1820</v>
      </c>
      <c r="AB258" s="176" t="s">
        <v>283</v>
      </c>
      <c r="AC258" s="176" t="s">
        <v>1950</v>
      </c>
      <c r="AD258" s="176">
        <v>22524440.866666</v>
      </c>
      <c r="AE258" s="176">
        <v>101554096.367745</v>
      </c>
      <c r="AF258">
        <v>0</v>
      </c>
      <c r="AG258" s="176">
        <v>7091740</v>
      </c>
      <c r="AH258" s="342" t="str">
        <f t="shared" si="27"/>
        <v/>
      </c>
      <c r="AI258">
        <v>1820</v>
      </c>
      <c r="AJ258" t="s">
        <v>283</v>
      </c>
      <c r="AK258" t="s">
        <v>1950</v>
      </c>
      <c r="AL258" s="245">
        <f t="shared" si="28"/>
        <v>40543993.559998803</v>
      </c>
      <c r="AM258" s="245">
        <f t="shared" si="29"/>
        <v>182797373.461941</v>
      </c>
      <c r="AN258" s="245">
        <f t="shared" si="30"/>
        <v>0</v>
      </c>
      <c r="AO258" s="245">
        <f t="shared" si="31"/>
        <v>12765132</v>
      </c>
      <c r="AP258" s="176"/>
      <c r="AQ258" s="176"/>
      <c r="AR258">
        <v>1820</v>
      </c>
      <c r="AS258" t="s">
        <v>283</v>
      </c>
      <c r="AT258" t="s">
        <v>1950</v>
      </c>
      <c r="AU258" s="176">
        <v>21450833.717772</v>
      </c>
      <c r="AW258">
        <v>1820</v>
      </c>
      <c r="AX258" t="s">
        <v>283</v>
      </c>
      <c r="AY258" t="s">
        <v>1950</v>
      </c>
      <c r="AZ258" s="176">
        <v>5176120.2077749996</v>
      </c>
      <c r="BA258" s="342" t="str">
        <f t="shared" si="34"/>
        <v/>
      </c>
      <c r="BB258">
        <v>1820</v>
      </c>
      <c r="BC258" t="s">
        <v>283</v>
      </c>
      <c r="BD258" t="s">
        <v>1950</v>
      </c>
      <c r="BE258" s="243">
        <f t="shared" si="35"/>
        <v>25591729.883992001</v>
      </c>
    </row>
    <row r="259" spans="1:57">
      <c r="A259">
        <v>1830</v>
      </c>
      <c r="B259" t="s">
        <v>284</v>
      </c>
      <c r="C259" t="s">
        <v>1562</v>
      </c>
      <c r="D259" s="176">
        <v>98001622.746611997</v>
      </c>
      <c r="E259">
        <v>0</v>
      </c>
      <c r="G259">
        <v>1830</v>
      </c>
      <c r="H259" t="s">
        <v>284</v>
      </c>
      <c r="I259" t="s">
        <v>1562</v>
      </c>
      <c r="J259" s="176">
        <v>37056285.174428001</v>
      </c>
      <c r="K259">
        <v>0</v>
      </c>
      <c r="L259" s="342" t="str">
        <f t="shared" si="32"/>
        <v/>
      </c>
      <c r="M259">
        <v>1830</v>
      </c>
      <c r="N259" t="s">
        <v>284</v>
      </c>
      <c r="O259" t="s">
        <v>1562</v>
      </c>
      <c r="P259" s="243">
        <f t="shared" si="33"/>
        <v>127646650.8861544</v>
      </c>
      <c r="S259">
        <v>1830</v>
      </c>
      <c r="T259" t="s">
        <v>284</v>
      </c>
      <c r="U259" t="s">
        <v>1562</v>
      </c>
      <c r="V259" s="176">
        <v>26614923.573332999</v>
      </c>
      <c r="W259" s="176">
        <v>88453343.826656997</v>
      </c>
      <c r="X259" s="176">
        <v>0</v>
      </c>
      <c r="Y259" s="176">
        <v>4248099.1666660002</v>
      </c>
      <c r="Z259" s="176"/>
      <c r="AA259">
        <v>1830</v>
      </c>
      <c r="AB259" s="176" t="s">
        <v>284</v>
      </c>
      <c r="AC259" s="176" t="s">
        <v>1562</v>
      </c>
      <c r="AD259" s="176">
        <v>26614923.573332999</v>
      </c>
      <c r="AE259" s="176">
        <v>88453343.826656997</v>
      </c>
      <c r="AF259" s="176">
        <v>0</v>
      </c>
      <c r="AG259" s="176">
        <v>4248099.1666660002</v>
      </c>
      <c r="AH259" s="342" t="str">
        <f t="shared" si="27"/>
        <v/>
      </c>
      <c r="AI259">
        <v>1830</v>
      </c>
      <c r="AJ259" t="s">
        <v>284</v>
      </c>
      <c r="AK259" t="s">
        <v>1562</v>
      </c>
      <c r="AL259" s="245">
        <f t="shared" si="28"/>
        <v>47906862.4319994</v>
      </c>
      <c r="AM259" s="245">
        <f t="shared" si="29"/>
        <v>159216018.88798261</v>
      </c>
      <c r="AN259" s="245">
        <f t="shared" si="30"/>
        <v>0</v>
      </c>
      <c r="AO259" s="245">
        <f t="shared" si="31"/>
        <v>7646578.4999988005</v>
      </c>
      <c r="AP259" s="176"/>
      <c r="AQ259" s="176"/>
      <c r="AR259">
        <v>1830</v>
      </c>
      <c r="AS259" t="s">
        <v>284</v>
      </c>
      <c r="AT259" t="s">
        <v>1562</v>
      </c>
      <c r="AU259" s="176">
        <v>761589.19110900001</v>
      </c>
      <c r="AW259">
        <v>1830</v>
      </c>
      <c r="AX259" t="s">
        <v>284</v>
      </c>
      <c r="AY259" t="s">
        <v>1562</v>
      </c>
      <c r="AZ259" s="176">
        <v>3112113.2544430001</v>
      </c>
      <c r="BA259" s="342" t="str">
        <f t="shared" si="34"/>
        <v/>
      </c>
      <c r="BB259">
        <v>1830</v>
      </c>
      <c r="BC259" t="s">
        <v>284</v>
      </c>
      <c r="BD259" t="s">
        <v>1562</v>
      </c>
      <c r="BE259" s="243">
        <f t="shared" si="35"/>
        <v>3251279.7946634004</v>
      </c>
    </row>
    <row r="260" spans="1:57">
      <c r="A260">
        <v>1830</v>
      </c>
      <c r="B260" t="s">
        <v>284</v>
      </c>
      <c r="C260" t="s">
        <v>1951</v>
      </c>
      <c r="D260" s="176">
        <v>121112591.414369</v>
      </c>
      <c r="E260">
        <v>0</v>
      </c>
      <c r="G260">
        <v>1830</v>
      </c>
      <c r="H260" t="s">
        <v>284</v>
      </c>
      <c r="I260" t="s">
        <v>1951</v>
      </c>
      <c r="J260" s="176">
        <v>49143890.171088003</v>
      </c>
      <c r="K260">
        <v>0</v>
      </c>
      <c r="L260" s="342" t="str">
        <f t="shared" si="32"/>
        <v/>
      </c>
      <c r="M260">
        <v>1830</v>
      </c>
      <c r="N260" t="s">
        <v>284</v>
      </c>
      <c r="O260" t="s">
        <v>1951</v>
      </c>
      <c r="P260" s="243">
        <f t="shared" si="33"/>
        <v>160427703.5512394</v>
      </c>
      <c r="S260">
        <v>1830</v>
      </c>
      <c r="T260" t="s">
        <v>284</v>
      </c>
      <c r="U260" t="s">
        <v>1951</v>
      </c>
      <c r="V260" s="176">
        <v>47871184.973330997</v>
      </c>
      <c r="W260" s="176">
        <v>136398054.78441101</v>
      </c>
      <c r="X260" s="176">
        <v>0</v>
      </c>
      <c r="Y260" s="176">
        <v>14611437.777775999</v>
      </c>
      <c r="Z260" s="176"/>
      <c r="AA260">
        <v>1830</v>
      </c>
      <c r="AB260" s="176" t="s">
        <v>284</v>
      </c>
      <c r="AC260" s="176" t="s">
        <v>1951</v>
      </c>
      <c r="AD260" s="176">
        <v>47871184.973330997</v>
      </c>
      <c r="AE260" s="176">
        <v>136398054.78441101</v>
      </c>
      <c r="AF260" s="176">
        <v>0</v>
      </c>
      <c r="AG260" s="176">
        <v>14611437.777775999</v>
      </c>
      <c r="AH260" s="342" t="str">
        <f t="shared" ref="AH260:AH323" si="36">IF(AND(M260 = S260, O260 = U260), "", "ATT")</f>
        <v/>
      </c>
      <c r="AI260">
        <v>1830</v>
      </c>
      <c r="AJ260" t="s">
        <v>284</v>
      </c>
      <c r="AK260" t="s">
        <v>1951</v>
      </c>
      <c r="AL260" s="245">
        <f t="shared" ref="AL260:AL323" si="37">V260+(AD260*0.8)</f>
        <v>86168132.95199579</v>
      </c>
      <c r="AM260" s="245">
        <f t="shared" ref="AM260:AM323" si="38">W260+(AE260*0.8)</f>
        <v>245516498.61193985</v>
      </c>
      <c r="AN260" s="245">
        <f t="shared" ref="AN260:AN323" si="39">X260+(AF260*0.8)</f>
        <v>0</v>
      </c>
      <c r="AO260" s="245">
        <f t="shared" ref="AO260:AO323" si="40">Y260+(AG260*0.8)</f>
        <v>26300587.9999968</v>
      </c>
      <c r="AP260" s="176"/>
      <c r="AQ260" s="176"/>
      <c r="AR260">
        <v>1830</v>
      </c>
      <c r="AS260" t="s">
        <v>284</v>
      </c>
      <c r="AT260" t="s">
        <v>1951</v>
      </c>
      <c r="AU260" s="176">
        <v>4173190.1399969999</v>
      </c>
      <c r="AW260">
        <v>1830</v>
      </c>
      <c r="AX260" t="s">
        <v>284</v>
      </c>
      <c r="AY260" t="s">
        <v>1951</v>
      </c>
      <c r="AZ260" s="176">
        <v>0</v>
      </c>
      <c r="BA260" s="342" t="str">
        <f t="shared" si="34"/>
        <v/>
      </c>
      <c r="BB260">
        <v>1830</v>
      </c>
      <c r="BC260" t="s">
        <v>284</v>
      </c>
      <c r="BD260" t="s">
        <v>1951</v>
      </c>
      <c r="BE260" s="243">
        <f t="shared" si="35"/>
        <v>4173190.1399969999</v>
      </c>
    </row>
    <row r="261" spans="1:57">
      <c r="A261">
        <v>1830</v>
      </c>
      <c r="B261" t="s">
        <v>284</v>
      </c>
      <c r="C261" t="s">
        <v>1051</v>
      </c>
      <c r="D261" s="176">
        <v>218652994.24551201</v>
      </c>
      <c r="E261">
        <v>0</v>
      </c>
      <c r="G261">
        <v>1830</v>
      </c>
      <c r="H261" t="s">
        <v>284</v>
      </c>
      <c r="I261" t="s">
        <v>1051</v>
      </c>
      <c r="J261" s="176">
        <v>199740222.86776</v>
      </c>
      <c r="K261">
        <v>0</v>
      </c>
      <c r="L261" s="342" t="str">
        <f t="shared" ref="L261:L324" si="41">IF(AND(A261 = G261, C261 = I261), "", "ATT")</f>
        <v/>
      </c>
      <c r="M261">
        <v>1830</v>
      </c>
      <c r="N261" t="s">
        <v>284</v>
      </c>
      <c r="O261" t="s">
        <v>1051</v>
      </c>
      <c r="P261" s="243">
        <f t="shared" ref="P261:P324" si="42">D261+(J261*0.8)</f>
        <v>378445172.53972006</v>
      </c>
      <c r="S261">
        <v>1830</v>
      </c>
      <c r="T261" t="s">
        <v>284</v>
      </c>
      <c r="U261" t="s">
        <v>1051</v>
      </c>
      <c r="V261" s="176">
        <v>51768485.889997996</v>
      </c>
      <c r="W261" s="176">
        <v>139428265.022201</v>
      </c>
      <c r="X261" s="176">
        <v>0</v>
      </c>
      <c r="Y261" s="176">
        <v>17556757</v>
      </c>
      <c r="Z261" s="176"/>
      <c r="AA261">
        <v>1830</v>
      </c>
      <c r="AB261" s="176" t="s">
        <v>284</v>
      </c>
      <c r="AC261" s="176" t="s">
        <v>1051</v>
      </c>
      <c r="AD261" s="176">
        <v>51768485.889997996</v>
      </c>
      <c r="AE261" s="176">
        <v>139428265.022201</v>
      </c>
      <c r="AF261" s="176">
        <v>0</v>
      </c>
      <c r="AG261" s="176">
        <v>17556757</v>
      </c>
      <c r="AH261" s="342" t="str">
        <f t="shared" si="36"/>
        <v/>
      </c>
      <c r="AI261">
        <v>1830</v>
      </c>
      <c r="AJ261" t="s">
        <v>284</v>
      </c>
      <c r="AK261" t="s">
        <v>1051</v>
      </c>
      <c r="AL261" s="245">
        <f t="shared" si="37"/>
        <v>93183274.601996392</v>
      </c>
      <c r="AM261" s="245">
        <f t="shared" si="38"/>
        <v>250970877.03996181</v>
      </c>
      <c r="AN261" s="245">
        <f t="shared" si="39"/>
        <v>0</v>
      </c>
      <c r="AO261" s="245">
        <f t="shared" si="40"/>
        <v>31602162.600000001</v>
      </c>
      <c r="AP261" s="176"/>
      <c r="AQ261" s="176"/>
      <c r="AR261">
        <v>1830</v>
      </c>
      <c r="AS261" t="s">
        <v>284</v>
      </c>
      <c r="AT261" t="s">
        <v>1051</v>
      </c>
      <c r="AU261" s="176">
        <v>211502.94222200001</v>
      </c>
      <c r="AW261">
        <v>1830</v>
      </c>
      <c r="AX261" t="s">
        <v>284</v>
      </c>
      <c r="AY261" t="s">
        <v>1051</v>
      </c>
      <c r="AZ261" s="176">
        <v>3030146.02</v>
      </c>
      <c r="BA261" s="342" t="str">
        <f t="shared" ref="BA261:BA324" si="43">IF(AND(AR261 = AW261, AT261 = AY261), "", "ATT")</f>
        <v/>
      </c>
      <c r="BB261">
        <v>1830</v>
      </c>
      <c r="BC261" t="s">
        <v>284</v>
      </c>
      <c r="BD261" t="s">
        <v>1051</v>
      </c>
      <c r="BE261" s="243">
        <f t="shared" ref="BE261:BE324" si="44">AU261+(0.8*AZ261)</f>
        <v>2635619.7582220002</v>
      </c>
    </row>
    <row r="262" spans="1:57">
      <c r="A262">
        <v>1840</v>
      </c>
      <c r="B262" t="s">
        <v>285</v>
      </c>
      <c r="C262" t="s">
        <v>980</v>
      </c>
      <c r="D262" s="176">
        <v>140322879.60664099</v>
      </c>
      <c r="E262">
        <v>0</v>
      </c>
      <c r="G262">
        <v>1840</v>
      </c>
      <c r="H262" t="s">
        <v>285</v>
      </c>
      <c r="I262" t="s">
        <v>980</v>
      </c>
      <c r="J262" s="176">
        <v>51665075.041102998</v>
      </c>
      <c r="K262">
        <v>0</v>
      </c>
      <c r="L262" s="342" t="str">
        <f t="shared" si="41"/>
        <v/>
      </c>
      <c r="M262">
        <v>1840</v>
      </c>
      <c r="N262" t="s">
        <v>285</v>
      </c>
      <c r="O262" t="s">
        <v>980</v>
      </c>
      <c r="P262" s="243">
        <f t="shared" si="42"/>
        <v>181654939.63952339</v>
      </c>
      <c r="S262">
        <v>1840</v>
      </c>
      <c r="T262" t="s">
        <v>285</v>
      </c>
      <c r="U262" t="s">
        <v>980</v>
      </c>
      <c r="V262" s="176">
        <v>92850291.588887006</v>
      </c>
      <c r="W262" s="176">
        <v>107488630.577769</v>
      </c>
      <c r="X262" s="176">
        <v>0</v>
      </c>
      <c r="Y262" s="176">
        <v>32253982.444444001</v>
      </c>
      <c r="Z262" s="176"/>
      <c r="AA262">
        <v>1840</v>
      </c>
      <c r="AB262" s="176" t="s">
        <v>285</v>
      </c>
      <c r="AC262" s="176" t="s">
        <v>980</v>
      </c>
      <c r="AD262" s="176">
        <v>92850291.588887006</v>
      </c>
      <c r="AE262" s="176">
        <v>107488630.577769</v>
      </c>
      <c r="AF262">
        <v>0</v>
      </c>
      <c r="AG262" s="176">
        <v>32253982.444444001</v>
      </c>
      <c r="AH262" s="342" t="str">
        <f t="shared" si="36"/>
        <v/>
      </c>
      <c r="AI262">
        <v>1840</v>
      </c>
      <c r="AJ262" t="s">
        <v>285</v>
      </c>
      <c r="AK262" t="s">
        <v>980</v>
      </c>
      <c r="AL262" s="245">
        <f t="shared" si="37"/>
        <v>167130524.85999662</v>
      </c>
      <c r="AM262" s="245">
        <f t="shared" si="38"/>
        <v>193479535.0399842</v>
      </c>
      <c r="AN262" s="245">
        <f t="shared" si="39"/>
        <v>0</v>
      </c>
      <c r="AO262" s="245">
        <f t="shared" si="40"/>
        <v>58057168.399999201</v>
      </c>
      <c r="AP262" s="176"/>
      <c r="AQ262" s="176"/>
      <c r="AR262">
        <v>1840</v>
      </c>
      <c r="AS262" t="s">
        <v>285</v>
      </c>
      <c r="AT262" t="s">
        <v>980</v>
      </c>
      <c r="AU262" s="176">
        <v>39474937.123324998</v>
      </c>
      <c r="AW262">
        <v>1840</v>
      </c>
      <c r="AX262" t="s">
        <v>285</v>
      </c>
      <c r="AY262" t="s">
        <v>980</v>
      </c>
      <c r="AZ262" s="176">
        <v>1572717.1199990001</v>
      </c>
      <c r="BA262" s="342" t="str">
        <f t="shared" si="43"/>
        <v/>
      </c>
      <c r="BB262">
        <v>1840</v>
      </c>
      <c r="BC262" t="s">
        <v>285</v>
      </c>
      <c r="BD262" t="s">
        <v>980</v>
      </c>
      <c r="BE262" s="243">
        <f t="shared" si="44"/>
        <v>40733110.819324195</v>
      </c>
    </row>
    <row r="263" spans="1:57">
      <c r="A263">
        <v>1840</v>
      </c>
      <c r="B263" t="s">
        <v>285</v>
      </c>
      <c r="C263" t="s">
        <v>1053</v>
      </c>
      <c r="D263" s="176">
        <v>300614360.28436202</v>
      </c>
      <c r="E263">
        <v>0</v>
      </c>
      <c r="G263">
        <v>1840</v>
      </c>
      <c r="H263" t="s">
        <v>285</v>
      </c>
      <c r="I263" t="s">
        <v>1053</v>
      </c>
      <c r="J263" s="176">
        <v>288663645.75554299</v>
      </c>
      <c r="K263">
        <v>0</v>
      </c>
      <c r="L263" s="342" t="str">
        <f t="shared" si="41"/>
        <v/>
      </c>
      <c r="M263">
        <v>1840</v>
      </c>
      <c r="N263" t="s">
        <v>285</v>
      </c>
      <c r="O263" t="s">
        <v>1053</v>
      </c>
      <c r="P263" s="243">
        <f t="shared" si="42"/>
        <v>531545276.88879645</v>
      </c>
      <c r="S263">
        <v>1840</v>
      </c>
      <c r="T263" t="s">
        <v>285</v>
      </c>
      <c r="U263" t="s">
        <v>1053</v>
      </c>
      <c r="V263" s="176">
        <v>171475798.267777</v>
      </c>
      <c r="W263" s="176">
        <v>397448771.63108402</v>
      </c>
      <c r="X263" s="176">
        <v>0</v>
      </c>
      <c r="Y263" s="176">
        <v>64144861.271109998</v>
      </c>
      <c r="Z263" s="176"/>
      <c r="AA263">
        <v>1840</v>
      </c>
      <c r="AB263" s="176" t="s">
        <v>285</v>
      </c>
      <c r="AC263" s="176" t="s">
        <v>1053</v>
      </c>
      <c r="AD263" s="176">
        <v>171475798.267777</v>
      </c>
      <c r="AE263" s="176">
        <v>397448771.63108402</v>
      </c>
      <c r="AF263" s="176">
        <v>0</v>
      </c>
      <c r="AG263" s="176">
        <v>64144861.271109998</v>
      </c>
      <c r="AH263" s="342" t="str">
        <f t="shared" si="36"/>
        <v/>
      </c>
      <c r="AI263">
        <v>1840</v>
      </c>
      <c r="AJ263" t="s">
        <v>285</v>
      </c>
      <c r="AK263" t="s">
        <v>1053</v>
      </c>
      <c r="AL263" s="245">
        <f t="shared" si="37"/>
        <v>308656436.8819986</v>
      </c>
      <c r="AM263" s="245">
        <f t="shared" si="38"/>
        <v>715407788.93595123</v>
      </c>
      <c r="AN263" s="245">
        <f t="shared" si="39"/>
        <v>0</v>
      </c>
      <c r="AO263" s="245">
        <f t="shared" si="40"/>
        <v>115460750.28799799</v>
      </c>
      <c r="AP263" s="176"/>
      <c r="AQ263" s="176"/>
      <c r="AR263">
        <v>1840</v>
      </c>
      <c r="AS263" t="s">
        <v>285</v>
      </c>
      <c r="AT263" t="s">
        <v>1053</v>
      </c>
      <c r="AU263" s="176">
        <v>251642120.771099</v>
      </c>
      <c r="AW263">
        <v>1840</v>
      </c>
      <c r="AX263" t="s">
        <v>285</v>
      </c>
      <c r="AY263" t="s">
        <v>1053</v>
      </c>
      <c r="AZ263" s="176">
        <v>201121795.87999901</v>
      </c>
      <c r="BA263" s="342" t="str">
        <f t="shared" si="43"/>
        <v/>
      </c>
      <c r="BB263">
        <v>1840</v>
      </c>
      <c r="BC263" t="s">
        <v>285</v>
      </c>
      <c r="BD263" t="s">
        <v>1053</v>
      </c>
      <c r="BE263" s="243">
        <f t="shared" si="44"/>
        <v>412539557.47509825</v>
      </c>
    </row>
    <row r="264" spans="1:57">
      <c r="A264">
        <v>1840</v>
      </c>
      <c r="B264" t="s">
        <v>285</v>
      </c>
      <c r="C264" t="s">
        <v>1730</v>
      </c>
      <c r="D264" s="176">
        <v>90400406.406627998</v>
      </c>
      <c r="E264">
        <v>0</v>
      </c>
      <c r="G264">
        <v>1840</v>
      </c>
      <c r="H264" t="s">
        <v>285</v>
      </c>
      <c r="I264" t="s">
        <v>1730</v>
      </c>
      <c r="J264" s="176">
        <v>61763896.351103999</v>
      </c>
      <c r="K264">
        <v>0</v>
      </c>
      <c r="L264" s="342" t="str">
        <f t="shared" si="41"/>
        <v/>
      </c>
      <c r="M264">
        <v>1840</v>
      </c>
      <c r="N264" t="s">
        <v>285</v>
      </c>
      <c r="O264" t="s">
        <v>1730</v>
      </c>
      <c r="P264" s="243">
        <f t="shared" si="42"/>
        <v>139811523.48751122</v>
      </c>
      <c r="S264">
        <v>1840</v>
      </c>
      <c r="T264" t="s">
        <v>285</v>
      </c>
      <c r="U264" t="s">
        <v>1730</v>
      </c>
      <c r="V264" s="176">
        <v>14311557.550000001</v>
      </c>
      <c r="W264" s="176">
        <v>87517322.773313999</v>
      </c>
      <c r="X264" s="176">
        <v>0</v>
      </c>
      <c r="Y264" s="176">
        <v>8764814.3511110004</v>
      </c>
      <c r="Z264" s="176"/>
      <c r="AA264">
        <v>1840</v>
      </c>
      <c r="AB264" s="176" t="s">
        <v>285</v>
      </c>
      <c r="AC264" s="176" t="s">
        <v>1730</v>
      </c>
      <c r="AD264" s="176">
        <v>14311557.550000001</v>
      </c>
      <c r="AE264" s="176">
        <v>87517322.773313999</v>
      </c>
      <c r="AF264" s="176">
        <v>0</v>
      </c>
      <c r="AG264" s="176">
        <v>8764814.3511110004</v>
      </c>
      <c r="AH264" s="342" t="str">
        <f t="shared" si="36"/>
        <v/>
      </c>
      <c r="AI264">
        <v>1840</v>
      </c>
      <c r="AJ264" t="s">
        <v>285</v>
      </c>
      <c r="AK264" t="s">
        <v>1730</v>
      </c>
      <c r="AL264" s="245">
        <f t="shared" si="37"/>
        <v>25760803.590000004</v>
      </c>
      <c r="AM264" s="245">
        <f t="shared" si="38"/>
        <v>157531180.9919652</v>
      </c>
      <c r="AN264" s="245">
        <f t="shared" si="39"/>
        <v>0</v>
      </c>
      <c r="AO264" s="245">
        <f t="shared" si="40"/>
        <v>15776665.831999801</v>
      </c>
      <c r="AP264" s="176"/>
      <c r="AQ264" s="176"/>
      <c r="AR264">
        <v>1840</v>
      </c>
      <c r="AS264" t="s">
        <v>285</v>
      </c>
      <c r="AT264" t="s">
        <v>1730</v>
      </c>
      <c r="AU264" s="176">
        <v>7961317.1422110004</v>
      </c>
      <c r="AW264">
        <v>1840</v>
      </c>
      <c r="AX264" t="s">
        <v>285</v>
      </c>
      <c r="AY264" t="s">
        <v>1730</v>
      </c>
      <c r="AZ264" s="176">
        <v>1937853.885555</v>
      </c>
      <c r="BA264" s="342" t="str">
        <f t="shared" si="43"/>
        <v/>
      </c>
      <c r="BB264">
        <v>1840</v>
      </c>
      <c r="BC264" t="s">
        <v>285</v>
      </c>
      <c r="BD264" t="s">
        <v>1730</v>
      </c>
      <c r="BE264" s="243">
        <f t="shared" si="44"/>
        <v>9511600.250655001</v>
      </c>
    </row>
    <row r="265" spans="1:57">
      <c r="A265">
        <v>1850</v>
      </c>
      <c r="B265" t="s">
        <v>286</v>
      </c>
      <c r="C265" t="s">
        <v>1037</v>
      </c>
      <c r="D265" s="176">
        <v>182141489.40217599</v>
      </c>
      <c r="E265">
        <v>0</v>
      </c>
      <c r="G265">
        <v>1850</v>
      </c>
      <c r="H265" t="s">
        <v>286</v>
      </c>
      <c r="I265" t="s">
        <v>1037</v>
      </c>
      <c r="J265" s="176">
        <v>147897940.43553901</v>
      </c>
      <c r="K265">
        <v>0</v>
      </c>
      <c r="L265" s="342" t="str">
        <f t="shared" si="41"/>
        <v/>
      </c>
      <c r="M265">
        <v>1850</v>
      </c>
      <c r="N265" t="s">
        <v>286</v>
      </c>
      <c r="O265" t="s">
        <v>1037</v>
      </c>
      <c r="P265" s="243">
        <f t="shared" si="42"/>
        <v>300459841.75060719</v>
      </c>
      <c r="S265">
        <v>1850</v>
      </c>
      <c r="T265" t="s">
        <v>286</v>
      </c>
      <c r="U265" t="s">
        <v>1037</v>
      </c>
      <c r="V265" s="176">
        <v>62352361.121110998</v>
      </c>
      <c r="W265" s="176">
        <v>193942158.766646</v>
      </c>
      <c r="X265">
        <v>555800</v>
      </c>
      <c r="Y265" s="176">
        <v>8236602.9333319999</v>
      </c>
      <c r="Z265" s="176"/>
      <c r="AA265">
        <v>1850</v>
      </c>
      <c r="AB265" s="176" t="s">
        <v>286</v>
      </c>
      <c r="AC265" s="176" t="s">
        <v>1037</v>
      </c>
      <c r="AD265" s="176">
        <v>62352361.121110998</v>
      </c>
      <c r="AE265" s="176">
        <v>193942158.766646</v>
      </c>
      <c r="AF265">
        <v>555800</v>
      </c>
      <c r="AG265" s="176">
        <v>8236602.9333319999</v>
      </c>
      <c r="AH265" s="342" t="str">
        <f t="shared" si="36"/>
        <v/>
      </c>
      <c r="AI265">
        <v>1850</v>
      </c>
      <c r="AJ265" t="s">
        <v>286</v>
      </c>
      <c r="AK265" t="s">
        <v>1037</v>
      </c>
      <c r="AL265" s="245">
        <f t="shared" si="37"/>
        <v>112234250.0179998</v>
      </c>
      <c r="AM265" s="245">
        <f t="shared" si="38"/>
        <v>349095885.77996278</v>
      </c>
      <c r="AN265" s="245">
        <f t="shared" si="39"/>
        <v>1000440</v>
      </c>
      <c r="AO265" s="245">
        <f t="shared" si="40"/>
        <v>14825885.2799976</v>
      </c>
      <c r="AP265" s="176"/>
      <c r="AQ265" s="176"/>
      <c r="AR265">
        <v>1850</v>
      </c>
      <c r="AS265" t="s">
        <v>286</v>
      </c>
      <c r="AT265" t="s">
        <v>1037</v>
      </c>
      <c r="AU265" s="176">
        <v>43970254.507770002</v>
      </c>
      <c r="AW265">
        <v>1850</v>
      </c>
      <c r="AX265" t="s">
        <v>286</v>
      </c>
      <c r="AY265" t="s">
        <v>1037</v>
      </c>
      <c r="AZ265" s="176">
        <v>75791461.734440997</v>
      </c>
      <c r="BA265" s="342" t="str">
        <f t="shared" si="43"/>
        <v/>
      </c>
      <c r="BB265">
        <v>1850</v>
      </c>
      <c r="BC265" t="s">
        <v>286</v>
      </c>
      <c r="BD265" t="s">
        <v>1037</v>
      </c>
      <c r="BE265" s="243">
        <f t="shared" si="44"/>
        <v>104603423.8953228</v>
      </c>
    </row>
    <row r="266" spans="1:57">
      <c r="A266">
        <v>1850</v>
      </c>
      <c r="B266" t="s">
        <v>286</v>
      </c>
      <c r="C266" t="s">
        <v>1731</v>
      </c>
      <c r="D266" s="176">
        <v>347469349.15440601</v>
      </c>
      <c r="E266">
        <v>0</v>
      </c>
      <c r="G266">
        <v>1850</v>
      </c>
      <c r="H266" t="s">
        <v>286</v>
      </c>
      <c r="I266" t="s">
        <v>1731</v>
      </c>
      <c r="J266" s="176">
        <v>92801817.985544994</v>
      </c>
      <c r="K266">
        <v>0</v>
      </c>
      <c r="L266" s="342" t="str">
        <f t="shared" si="41"/>
        <v/>
      </c>
      <c r="M266">
        <v>1850</v>
      </c>
      <c r="N266" t="s">
        <v>286</v>
      </c>
      <c r="O266" t="s">
        <v>1731</v>
      </c>
      <c r="P266" s="243">
        <f t="shared" si="42"/>
        <v>421710803.54284203</v>
      </c>
      <c r="S266">
        <v>1850</v>
      </c>
      <c r="T266" t="s">
        <v>286</v>
      </c>
      <c r="U266" t="s">
        <v>1731</v>
      </c>
      <c r="V266" s="176">
        <v>151627199.455553</v>
      </c>
      <c r="W266" s="176">
        <v>131888923.623309</v>
      </c>
      <c r="X266" s="176">
        <v>0</v>
      </c>
      <c r="Y266" s="176">
        <v>16044044.444443</v>
      </c>
      <c r="Z266" s="176"/>
      <c r="AA266">
        <v>1850</v>
      </c>
      <c r="AB266" s="176" t="s">
        <v>286</v>
      </c>
      <c r="AC266" s="176" t="s">
        <v>1731</v>
      </c>
      <c r="AD266" s="176">
        <v>151627199.455553</v>
      </c>
      <c r="AE266" s="176">
        <v>131888923.623309</v>
      </c>
      <c r="AF266" s="176">
        <v>0</v>
      </c>
      <c r="AG266" s="176">
        <v>16044044.444443</v>
      </c>
      <c r="AH266" s="342" t="str">
        <f t="shared" si="36"/>
        <v/>
      </c>
      <c r="AI266">
        <v>1850</v>
      </c>
      <c r="AJ266" t="s">
        <v>286</v>
      </c>
      <c r="AK266" t="s">
        <v>1731</v>
      </c>
      <c r="AL266" s="245">
        <f t="shared" si="37"/>
        <v>272928959.01999539</v>
      </c>
      <c r="AM266" s="245">
        <f t="shared" si="38"/>
        <v>237400062.52195621</v>
      </c>
      <c r="AN266" s="245">
        <f t="shared" si="39"/>
        <v>0</v>
      </c>
      <c r="AO266" s="245">
        <f t="shared" si="40"/>
        <v>28879279.9999974</v>
      </c>
      <c r="AP266" s="176"/>
      <c r="AQ266" s="176"/>
      <c r="AR266">
        <v>1850</v>
      </c>
      <c r="AS266" t="s">
        <v>286</v>
      </c>
      <c r="AT266" t="s">
        <v>1731</v>
      </c>
      <c r="AU266" s="176">
        <v>16548752.578880999</v>
      </c>
      <c r="AW266">
        <v>1850</v>
      </c>
      <c r="AX266" t="s">
        <v>286</v>
      </c>
      <c r="AY266" t="s">
        <v>1731</v>
      </c>
      <c r="AZ266" s="176">
        <v>8327730.1933319997</v>
      </c>
      <c r="BA266" s="342" t="str">
        <f t="shared" si="43"/>
        <v/>
      </c>
      <c r="BB266">
        <v>1850</v>
      </c>
      <c r="BC266" t="s">
        <v>286</v>
      </c>
      <c r="BD266" t="s">
        <v>1731</v>
      </c>
      <c r="BE266" s="243">
        <f t="shared" si="44"/>
        <v>23210936.7335466</v>
      </c>
    </row>
    <row r="267" spans="1:57">
      <c r="A267">
        <v>1850</v>
      </c>
      <c r="B267" t="s">
        <v>286</v>
      </c>
      <c r="C267" t="s">
        <v>1056</v>
      </c>
      <c r="D267" s="176">
        <v>415675758.53656501</v>
      </c>
      <c r="E267">
        <v>0</v>
      </c>
      <c r="G267">
        <v>1850</v>
      </c>
      <c r="H267" t="s">
        <v>286</v>
      </c>
      <c r="I267" t="s">
        <v>1056</v>
      </c>
      <c r="J267" s="176">
        <v>103244987.432208</v>
      </c>
      <c r="K267">
        <v>0</v>
      </c>
      <c r="L267" s="342" t="str">
        <f t="shared" si="41"/>
        <v/>
      </c>
      <c r="M267">
        <v>1850</v>
      </c>
      <c r="N267" t="s">
        <v>286</v>
      </c>
      <c r="O267" t="s">
        <v>1056</v>
      </c>
      <c r="P267" s="243">
        <f t="shared" si="42"/>
        <v>498271748.4823314</v>
      </c>
      <c r="S267">
        <v>1850</v>
      </c>
      <c r="T267" t="s">
        <v>286</v>
      </c>
      <c r="U267" t="s">
        <v>1056</v>
      </c>
      <c r="V267" s="176">
        <v>61000936.028887004</v>
      </c>
      <c r="W267" s="176">
        <v>232328883.13552099</v>
      </c>
      <c r="X267" s="176">
        <v>479475</v>
      </c>
      <c r="Y267" s="176">
        <v>11298603.333332</v>
      </c>
      <c r="Z267" s="176"/>
      <c r="AA267">
        <v>1850</v>
      </c>
      <c r="AB267" s="176" t="s">
        <v>286</v>
      </c>
      <c r="AC267" s="176" t="s">
        <v>1056</v>
      </c>
      <c r="AD267" s="176">
        <v>61000936.028887004</v>
      </c>
      <c r="AE267" s="176">
        <v>232328883.13552099</v>
      </c>
      <c r="AF267">
        <v>479475</v>
      </c>
      <c r="AG267" s="176">
        <v>11298603.333332</v>
      </c>
      <c r="AH267" s="342" t="str">
        <f t="shared" si="36"/>
        <v/>
      </c>
      <c r="AI267">
        <v>1850</v>
      </c>
      <c r="AJ267" t="s">
        <v>286</v>
      </c>
      <c r="AK267" t="s">
        <v>1056</v>
      </c>
      <c r="AL267" s="245">
        <f t="shared" si="37"/>
        <v>109801684.8519966</v>
      </c>
      <c r="AM267" s="245">
        <f t="shared" si="38"/>
        <v>418191989.64393783</v>
      </c>
      <c r="AN267" s="245">
        <f t="shared" si="39"/>
        <v>863055</v>
      </c>
      <c r="AO267" s="245">
        <f t="shared" si="40"/>
        <v>20337485.999997601</v>
      </c>
      <c r="AP267" s="176"/>
      <c r="AQ267" s="176"/>
      <c r="AR267">
        <v>1850</v>
      </c>
      <c r="AS267" t="s">
        <v>286</v>
      </c>
      <c r="AT267" t="s">
        <v>1056</v>
      </c>
      <c r="AU267" s="176">
        <v>2661832.6188849998</v>
      </c>
      <c r="AW267">
        <v>1850</v>
      </c>
      <c r="AX267" t="s">
        <v>286</v>
      </c>
      <c r="AY267" t="s">
        <v>1056</v>
      </c>
      <c r="AZ267" s="176">
        <v>1486511.7055540001</v>
      </c>
      <c r="BA267" s="342" t="str">
        <f t="shared" si="43"/>
        <v/>
      </c>
      <c r="BB267">
        <v>1850</v>
      </c>
      <c r="BC267" t="s">
        <v>286</v>
      </c>
      <c r="BD267" t="s">
        <v>1056</v>
      </c>
      <c r="BE267" s="243">
        <f t="shared" si="44"/>
        <v>3851041.9833281999</v>
      </c>
    </row>
    <row r="268" spans="1:57">
      <c r="A268">
        <v>1850</v>
      </c>
      <c r="B268" t="s">
        <v>286</v>
      </c>
      <c r="C268" t="s">
        <v>1055</v>
      </c>
      <c r="D268" s="176">
        <v>431875425.31102902</v>
      </c>
      <c r="E268">
        <v>0</v>
      </c>
      <c r="G268">
        <v>1850</v>
      </c>
      <c r="H268" t="s">
        <v>286</v>
      </c>
      <c r="I268" t="s">
        <v>1055</v>
      </c>
      <c r="J268" s="176">
        <v>271010066.029957</v>
      </c>
      <c r="K268">
        <v>0</v>
      </c>
      <c r="L268" s="342" t="str">
        <f t="shared" si="41"/>
        <v/>
      </c>
      <c r="M268">
        <v>1850</v>
      </c>
      <c r="N268" t="s">
        <v>286</v>
      </c>
      <c r="O268" t="s">
        <v>1055</v>
      </c>
      <c r="P268" s="243">
        <f t="shared" si="42"/>
        <v>648683478.13499463</v>
      </c>
      <c r="S268">
        <v>1850</v>
      </c>
      <c r="T268" t="s">
        <v>286</v>
      </c>
      <c r="U268" t="s">
        <v>1055</v>
      </c>
      <c r="V268" s="176">
        <v>108835923.356664</v>
      </c>
      <c r="W268" s="176">
        <v>424304508.87663502</v>
      </c>
      <c r="X268" s="176">
        <v>1300000</v>
      </c>
      <c r="Y268" s="176">
        <v>51693086.206664003</v>
      </c>
      <c r="Z268" s="176"/>
      <c r="AA268">
        <v>1850</v>
      </c>
      <c r="AB268" s="176" t="s">
        <v>286</v>
      </c>
      <c r="AC268" s="176" t="s">
        <v>1055</v>
      </c>
      <c r="AD268" s="176">
        <v>108835923.356664</v>
      </c>
      <c r="AE268" s="176">
        <v>424304508.87663502</v>
      </c>
      <c r="AF268">
        <v>1300000</v>
      </c>
      <c r="AG268" s="176">
        <v>51693086.206664003</v>
      </c>
      <c r="AH268" s="342" t="str">
        <f t="shared" si="36"/>
        <v/>
      </c>
      <c r="AI268">
        <v>1850</v>
      </c>
      <c r="AJ268" t="s">
        <v>286</v>
      </c>
      <c r="AK268" t="s">
        <v>1055</v>
      </c>
      <c r="AL268" s="245">
        <f t="shared" si="37"/>
        <v>195904662.04199523</v>
      </c>
      <c r="AM268" s="245">
        <f t="shared" si="38"/>
        <v>763748115.97794306</v>
      </c>
      <c r="AN268" s="245">
        <f t="shared" si="39"/>
        <v>2340000</v>
      </c>
      <c r="AO268" s="245">
        <f t="shared" si="40"/>
        <v>93047555.171995208</v>
      </c>
      <c r="AP268" s="176"/>
      <c r="AQ268" s="176"/>
      <c r="AR268">
        <v>1850</v>
      </c>
      <c r="AS268" t="s">
        <v>286</v>
      </c>
      <c r="AT268" t="s">
        <v>1055</v>
      </c>
      <c r="AU268" s="176">
        <v>57569640.842211001</v>
      </c>
      <c r="AW268">
        <v>1850</v>
      </c>
      <c r="AX268" t="s">
        <v>286</v>
      </c>
      <c r="AY268" t="s">
        <v>1055</v>
      </c>
      <c r="AZ268" s="176">
        <v>49088841.865548998</v>
      </c>
      <c r="BA268" s="342" t="str">
        <f t="shared" si="43"/>
        <v/>
      </c>
      <c r="BB268">
        <v>1850</v>
      </c>
      <c r="BC268" t="s">
        <v>286</v>
      </c>
      <c r="BD268" t="s">
        <v>1055</v>
      </c>
      <c r="BE268" s="243">
        <f t="shared" si="44"/>
        <v>96840714.334650204</v>
      </c>
    </row>
    <row r="269" spans="1:57">
      <c r="A269">
        <v>1860</v>
      </c>
      <c r="B269" t="s">
        <v>287</v>
      </c>
      <c r="C269" t="s">
        <v>1565</v>
      </c>
      <c r="D269" s="176">
        <v>207127439.215489</v>
      </c>
      <c r="E269">
        <v>0</v>
      </c>
      <c r="G269">
        <v>1860</v>
      </c>
      <c r="H269" t="s">
        <v>287</v>
      </c>
      <c r="I269" t="s">
        <v>1565</v>
      </c>
      <c r="J269" s="176">
        <v>154175203.546644</v>
      </c>
      <c r="K269">
        <v>0</v>
      </c>
      <c r="L269" s="342" t="str">
        <f t="shared" si="41"/>
        <v/>
      </c>
      <c r="M269">
        <v>1860</v>
      </c>
      <c r="N269" t="s">
        <v>287</v>
      </c>
      <c r="O269" t="s">
        <v>1565</v>
      </c>
      <c r="P269" s="243">
        <f t="shared" si="42"/>
        <v>330467602.05280423</v>
      </c>
      <c r="S269">
        <v>1860</v>
      </c>
      <c r="T269" t="s">
        <v>287</v>
      </c>
      <c r="U269" t="s">
        <v>1565</v>
      </c>
      <c r="V269" s="176">
        <v>99002113.407774001</v>
      </c>
      <c r="W269" s="176">
        <v>264814418.99218801</v>
      </c>
      <c r="X269">
        <v>1008000</v>
      </c>
      <c r="Y269" s="176">
        <v>14517399.999999</v>
      </c>
      <c r="Z269" s="176"/>
      <c r="AA269">
        <v>1860</v>
      </c>
      <c r="AB269" s="176" t="s">
        <v>287</v>
      </c>
      <c r="AC269" s="176" t="s">
        <v>1565</v>
      </c>
      <c r="AD269" s="176">
        <v>99002113.407774001</v>
      </c>
      <c r="AE269" s="176">
        <v>264814418.99218801</v>
      </c>
      <c r="AF269">
        <v>1008000</v>
      </c>
      <c r="AG269" s="176">
        <v>14517399.999999</v>
      </c>
      <c r="AH269" s="342" t="str">
        <f t="shared" si="36"/>
        <v/>
      </c>
      <c r="AI269">
        <v>1860</v>
      </c>
      <c r="AJ269" t="s">
        <v>287</v>
      </c>
      <c r="AK269" t="s">
        <v>1565</v>
      </c>
      <c r="AL269" s="245">
        <f t="shared" si="37"/>
        <v>178203804.13399321</v>
      </c>
      <c r="AM269" s="245">
        <f t="shared" si="38"/>
        <v>476665954.18593842</v>
      </c>
      <c r="AN269" s="245">
        <f t="shared" si="39"/>
        <v>1814400</v>
      </c>
      <c r="AO269" s="245">
        <f t="shared" si="40"/>
        <v>26131319.999998201</v>
      </c>
      <c r="AP269" s="176"/>
      <c r="AQ269" s="176"/>
      <c r="AR269">
        <v>1860</v>
      </c>
      <c r="AS269" t="s">
        <v>287</v>
      </c>
      <c r="AT269" t="s">
        <v>1565</v>
      </c>
      <c r="AU269" s="176">
        <v>51156564.074432001</v>
      </c>
      <c r="AW269">
        <v>1860</v>
      </c>
      <c r="AX269" t="s">
        <v>287</v>
      </c>
      <c r="AY269" t="s">
        <v>1565</v>
      </c>
      <c r="AZ269">
        <v>43443860.738883004</v>
      </c>
      <c r="BA269" s="342" t="str">
        <f t="shared" si="43"/>
        <v/>
      </c>
      <c r="BB269">
        <v>1860</v>
      </c>
      <c r="BC269" t="s">
        <v>287</v>
      </c>
      <c r="BD269" t="s">
        <v>1565</v>
      </c>
      <c r="BE269" s="243">
        <f t="shared" si="44"/>
        <v>85911652.6655384</v>
      </c>
    </row>
    <row r="270" spans="1:57">
      <c r="A270">
        <v>1860</v>
      </c>
      <c r="B270" t="s">
        <v>287</v>
      </c>
      <c r="C270" t="s">
        <v>1740</v>
      </c>
      <c r="D270" s="176">
        <v>167776386.968712</v>
      </c>
      <c r="E270">
        <v>0</v>
      </c>
      <c r="G270">
        <v>1860</v>
      </c>
      <c r="H270" t="s">
        <v>287</v>
      </c>
      <c r="I270" t="s">
        <v>1740</v>
      </c>
      <c r="J270" s="176">
        <v>45204581.836643003</v>
      </c>
      <c r="K270">
        <v>0</v>
      </c>
      <c r="L270" s="342" t="str">
        <f t="shared" si="41"/>
        <v/>
      </c>
      <c r="M270">
        <v>1860</v>
      </c>
      <c r="N270" t="s">
        <v>287</v>
      </c>
      <c r="O270" t="s">
        <v>1740</v>
      </c>
      <c r="P270" s="243">
        <f t="shared" si="42"/>
        <v>203940052.4380264</v>
      </c>
      <c r="S270">
        <v>1860</v>
      </c>
      <c r="T270" t="s">
        <v>287</v>
      </c>
      <c r="U270" t="s">
        <v>1740</v>
      </c>
      <c r="V270" s="176">
        <v>65590592.172219001</v>
      </c>
      <c r="W270" s="176">
        <v>203050355.86104301</v>
      </c>
      <c r="X270" s="176">
        <v>0</v>
      </c>
      <c r="Y270" s="176">
        <v>13248521.847777</v>
      </c>
      <c r="Z270" s="176"/>
      <c r="AA270">
        <v>1860</v>
      </c>
      <c r="AB270" s="176" t="s">
        <v>287</v>
      </c>
      <c r="AC270" s="176" t="s">
        <v>1740</v>
      </c>
      <c r="AD270" s="176">
        <v>65590592.172219001</v>
      </c>
      <c r="AE270" s="176">
        <v>203050355.86104301</v>
      </c>
      <c r="AF270" s="176">
        <v>0</v>
      </c>
      <c r="AG270" s="176">
        <v>13248521.847777</v>
      </c>
      <c r="AH270" s="342" t="str">
        <f t="shared" si="36"/>
        <v/>
      </c>
      <c r="AI270">
        <v>1860</v>
      </c>
      <c r="AJ270" t="s">
        <v>287</v>
      </c>
      <c r="AK270" t="s">
        <v>1740</v>
      </c>
      <c r="AL270" s="245">
        <f t="shared" si="37"/>
        <v>118063065.90999421</v>
      </c>
      <c r="AM270" s="245">
        <f t="shared" si="38"/>
        <v>365490640.54987741</v>
      </c>
      <c r="AN270" s="245">
        <f t="shared" si="39"/>
        <v>0</v>
      </c>
      <c r="AO270" s="245">
        <f t="shared" si="40"/>
        <v>23847339.325998601</v>
      </c>
      <c r="AP270" s="176"/>
      <c r="AQ270" s="176"/>
      <c r="AR270">
        <v>1860</v>
      </c>
      <c r="AS270" t="s">
        <v>287</v>
      </c>
      <c r="AT270" t="s">
        <v>1740</v>
      </c>
      <c r="AU270" s="176">
        <v>12914862.199984999</v>
      </c>
      <c r="AW270">
        <v>1860</v>
      </c>
      <c r="AX270" t="s">
        <v>287</v>
      </c>
      <c r="AY270" t="s">
        <v>1740</v>
      </c>
      <c r="AZ270" s="176">
        <v>14582411.155552</v>
      </c>
      <c r="BA270" s="342" t="str">
        <f t="shared" si="43"/>
        <v/>
      </c>
      <c r="BB270">
        <v>1860</v>
      </c>
      <c r="BC270" t="s">
        <v>287</v>
      </c>
      <c r="BD270" t="s">
        <v>1740</v>
      </c>
      <c r="BE270" s="243">
        <f t="shared" si="44"/>
        <v>24580791.1244266</v>
      </c>
    </row>
    <row r="271" spans="1:57">
      <c r="A271">
        <v>1860</v>
      </c>
      <c r="B271" t="s">
        <v>287</v>
      </c>
      <c r="C271" t="s">
        <v>1057</v>
      </c>
      <c r="D271" s="176">
        <v>189187525.67658499</v>
      </c>
      <c r="E271">
        <v>0</v>
      </c>
      <c r="G271">
        <v>1860</v>
      </c>
      <c r="H271" t="s">
        <v>287</v>
      </c>
      <c r="I271" t="s">
        <v>1057</v>
      </c>
      <c r="J271" s="176">
        <v>199394603.808864</v>
      </c>
      <c r="K271">
        <v>0</v>
      </c>
      <c r="L271" s="342" t="str">
        <f t="shared" si="41"/>
        <v/>
      </c>
      <c r="M271">
        <v>1860</v>
      </c>
      <c r="N271" t="s">
        <v>287</v>
      </c>
      <c r="O271" t="s">
        <v>1057</v>
      </c>
      <c r="P271" s="243">
        <f t="shared" si="42"/>
        <v>348703208.7236762</v>
      </c>
      <c r="S271">
        <v>1860</v>
      </c>
      <c r="T271" t="s">
        <v>287</v>
      </c>
      <c r="U271" t="s">
        <v>1057</v>
      </c>
      <c r="V271" s="176">
        <v>145721082.271106</v>
      </c>
      <c r="W271" s="176">
        <v>240655624.75219101</v>
      </c>
      <c r="X271" s="176">
        <v>520000</v>
      </c>
      <c r="Y271" s="176">
        <v>38543866.602222003</v>
      </c>
      <c r="Z271" s="176"/>
      <c r="AA271">
        <v>1860</v>
      </c>
      <c r="AB271" s="176" t="s">
        <v>287</v>
      </c>
      <c r="AC271" s="176" t="s">
        <v>1057</v>
      </c>
      <c r="AD271" s="176">
        <v>145721082.271106</v>
      </c>
      <c r="AE271" s="176">
        <v>240655624.75219101</v>
      </c>
      <c r="AF271" s="176">
        <v>520000</v>
      </c>
      <c r="AG271" s="176">
        <v>38543866.602222003</v>
      </c>
      <c r="AH271" s="342" t="str">
        <f t="shared" si="36"/>
        <v/>
      </c>
      <c r="AI271">
        <v>1860</v>
      </c>
      <c r="AJ271" t="s">
        <v>287</v>
      </c>
      <c r="AK271" t="s">
        <v>1057</v>
      </c>
      <c r="AL271" s="245">
        <f t="shared" si="37"/>
        <v>262297948.08799082</v>
      </c>
      <c r="AM271" s="245">
        <f t="shared" si="38"/>
        <v>433180124.55394381</v>
      </c>
      <c r="AN271" s="245">
        <f t="shared" si="39"/>
        <v>936000</v>
      </c>
      <c r="AO271" s="245">
        <f t="shared" si="40"/>
        <v>69378959.883999616</v>
      </c>
      <c r="AP271" s="176"/>
      <c r="AQ271" s="176"/>
      <c r="AR271">
        <v>1860</v>
      </c>
      <c r="AS271" t="s">
        <v>287</v>
      </c>
      <c r="AT271" t="s">
        <v>1057</v>
      </c>
      <c r="AU271" s="176">
        <v>92323485.29332</v>
      </c>
      <c r="AW271">
        <v>1860</v>
      </c>
      <c r="AX271" t="s">
        <v>287</v>
      </c>
      <c r="AY271" t="s">
        <v>1057</v>
      </c>
      <c r="AZ271" s="176">
        <v>88865869.106656998</v>
      </c>
      <c r="BA271" s="342" t="str">
        <f t="shared" si="43"/>
        <v/>
      </c>
      <c r="BB271">
        <v>1860</v>
      </c>
      <c r="BC271" t="s">
        <v>287</v>
      </c>
      <c r="BD271" t="s">
        <v>1057</v>
      </c>
      <c r="BE271" s="243">
        <f t="shared" si="44"/>
        <v>163416180.57864559</v>
      </c>
    </row>
    <row r="272" spans="1:57">
      <c r="A272">
        <v>1870</v>
      </c>
      <c r="B272" t="s">
        <v>288</v>
      </c>
      <c r="C272" t="s">
        <v>1017</v>
      </c>
      <c r="D272" s="176">
        <v>87226514.902172998</v>
      </c>
      <c r="E272">
        <v>0</v>
      </c>
      <c r="G272">
        <v>1870</v>
      </c>
      <c r="H272" t="s">
        <v>288</v>
      </c>
      <c r="I272" t="s">
        <v>1017</v>
      </c>
      <c r="J272" s="176">
        <v>52718649.062207997</v>
      </c>
      <c r="K272">
        <v>0</v>
      </c>
      <c r="L272" s="342" t="str">
        <f t="shared" si="41"/>
        <v/>
      </c>
      <c r="M272">
        <v>1870</v>
      </c>
      <c r="N272" t="s">
        <v>288</v>
      </c>
      <c r="O272" t="s">
        <v>1017</v>
      </c>
      <c r="P272" s="243">
        <f t="shared" si="42"/>
        <v>129401434.15193939</v>
      </c>
      <c r="S272">
        <v>1870</v>
      </c>
      <c r="T272" t="s">
        <v>288</v>
      </c>
      <c r="U272" t="s">
        <v>1017</v>
      </c>
      <c r="V272" s="176">
        <v>10770375.626666</v>
      </c>
      <c r="W272" s="176">
        <v>55930280.495541997</v>
      </c>
      <c r="X272" s="176">
        <v>0</v>
      </c>
      <c r="Y272" s="176">
        <v>9378116.8833319992</v>
      </c>
      <c r="Z272" s="176"/>
      <c r="AA272">
        <v>1870</v>
      </c>
      <c r="AB272" s="176" t="s">
        <v>288</v>
      </c>
      <c r="AC272" s="176" t="s">
        <v>1017</v>
      </c>
      <c r="AD272" s="176">
        <v>10770375.626666</v>
      </c>
      <c r="AE272" s="176">
        <v>55930280.495541997</v>
      </c>
      <c r="AF272" s="176">
        <v>0</v>
      </c>
      <c r="AG272" s="176">
        <v>9378116.8833319992</v>
      </c>
      <c r="AH272" s="342" t="str">
        <f t="shared" si="36"/>
        <v/>
      </c>
      <c r="AI272">
        <v>1870</v>
      </c>
      <c r="AJ272" t="s">
        <v>288</v>
      </c>
      <c r="AK272" t="s">
        <v>1017</v>
      </c>
      <c r="AL272" s="245">
        <f t="shared" si="37"/>
        <v>19386676.127998799</v>
      </c>
      <c r="AM272" s="245">
        <f t="shared" si="38"/>
        <v>100674504.8919756</v>
      </c>
      <c r="AN272" s="245">
        <f t="shared" si="39"/>
        <v>0</v>
      </c>
      <c r="AO272" s="245">
        <f t="shared" si="40"/>
        <v>16880610.389997598</v>
      </c>
      <c r="AP272" s="176"/>
      <c r="AQ272" s="176"/>
      <c r="AR272">
        <v>1870</v>
      </c>
      <c r="AS272" t="s">
        <v>288</v>
      </c>
      <c r="AT272" t="s">
        <v>1017</v>
      </c>
      <c r="AU272" s="176">
        <v>8884998.8255449999</v>
      </c>
      <c r="AW272">
        <v>1870</v>
      </c>
      <c r="AX272" t="s">
        <v>288</v>
      </c>
      <c r="AY272" t="s">
        <v>1017</v>
      </c>
      <c r="AZ272" s="176">
        <v>18060668.154442001</v>
      </c>
      <c r="BA272" s="342" t="str">
        <f t="shared" si="43"/>
        <v/>
      </c>
      <c r="BB272">
        <v>1870</v>
      </c>
      <c r="BC272" t="s">
        <v>288</v>
      </c>
      <c r="BD272" t="s">
        <v>1017</v>
      </c>
      <c r="BE272" s="243">
        <f t="shared" si="44"/>
        <v>23333533.3490986</v>
      </c>
    </row>
    <row r="273" spans="1:57">
      <c r="A273">
        <v>1870</v>
      </c>
      <c r="B273" t="s">
        <v>288</v>
      </c>
      <c r="C273" t="s">
        <v>1952</v>
      </c>
      <c r="D273" s="176">
        <v>58838271.899982996</v>
      </c>
      <c r="E273">
        <v>0</v>
      </c>
      <c r="G273">
        <v>1870</v>
      </c>
      <c r="H273" t="s">
        <v>288</v>
      </c>
      <c r="I273" t="s">
        <v>1952</v>
      </c>
      <c r="J273" s="176">
        <v>56700497.454433002</v>
      </c>
      <c r="K273">
        <v>0</v>
      </c>
      <c r="L273" s="342" t="str">
        <f t="shared" si="41"/>
        <v/>
      </c>
      <c r="M273">
        <v>1870</v>
      </c>
      <c r="N273" t="s">
        <v>288</v>
      </c>
      <c r="O273" t="s">
        <v>1952</v>
      </c>
      <c r="P273" s="243">
        <f t="shared" si="42"/>
        <v>104198669.8635294</v>
      </c>
      <c r="S273">
        <v>1870</v>
      </c>
      <c r="T273" t="s">
        <v>288</v>
      </c>
      <c r="U273" t="s">
        <v>1952</v>
      </c>
      <c r="V273" s="176">
        <v>23995295.902221002</v>
      </c>
      <c r="W273" s="176">
        <v>87773440.019991994</v>
      </c>
      <c r="X273" s="176">
        <v>0</v>
      </c>
      <c r="Y273" s="176">
        <v>3950450</v>
      </c>
      <c r="Z273" s="176"/>
      <c r="AA273">
        <v>1870</v>
      </c>
      <c r="AB273" s="176" t="s">
        <v>288</v>
      </c>
      <c r="AC273" s="176" t="s">
        <v>1952</v>
      </c>
      <c r="AD273" s="176">
        <v>23995295.902221002</v>
      </c>
      <c r="AE273" s="176">
        <v>87773440.019991994</v>
      </c>
      <c r="AF273" s="176">
        <v>0</v>
      </c>
      <c r="AG273" s="176">
        <v>3950450</v>
      </c>
      <c r="AH273" s="342" t="str">
        <f t="shared" si="36"/>
        <v/>
      </c>
      <c r="AI273">
        <v>1870</v>
      </c>
      <c r="AJ273" t="s">
        <v>288</v>
      </c>
      <c r="AK273" t="s">
        <v>1952</v>
      </c>
      <c r="AL273" s="245">
        <f t="shared" si="37"/>
        <v>43191532.623997808</v>
      </c>
      <c r="AM273" s="245">
        <f t="shared" si="38"/>
        <v>157992192.03598559</v>
      </c>
      <c r="AN273" s="245">
        <f t="shared" si="39"/>
        <v>0</v>
      </c>
      <c r="AO273" s="245">
        <f t="shared" si="40"/>
        <v>7110810</v>
      </c>
      <c r="AP273" s="176"/>
      <c r="AQ273" s="176"/>
      <c r="AR273">
        <v>1870</v>
      </c>
      <c r="AS273" t="s">
        <v>288</v>
      </c>
      <c r="AT273" t="s">
        <v>1952</v>
      </c>
      <c r="AU273" s="176">
        <v>20465350.537772</v>
      </c>
      <c r="AW273">
        <v>1870</v>
      </c>
      <c r="AX273" t="s">
        <v>288</v>
      </c>
      <c r="AY273" t="s">
        <v>1952</v>
      </c>
      <c r="AZ273" s="176">
        <v>13167282.15222</v>
      </c>
      <c r="BA273" s="342" t="str">
        <f t="shared" si="43"/>
        <v/>
      </c>
      <c r="BB273">
        <v>1870</v>
      </c>
      <c r="BC273" t="s">
        <v>288</v>
      </c>
      <c r="BD273" t="s">
        <v>1952</v>
      </c>
      <c r="BE273" s="243">
        <f t="shared" si="44"/>
        <v>30999176.259548001</v>
      </c>
    </row>
    <row r="274" spans="1:57">
      <c r="A274">
        <v>1870</v>
      </c>
      <c r="B274" t="s">
        <v>288</v>
      </c>
      <c r="C274" t="s">
        <v>1563</v>
      </c>
      <c r="D274" s="176">
        <v>126491824.62548099</v>
      </c>
      <c r="E274">
        <v>0</v>
      </c>
      <c r="G274">
        <v>1870</v>
      </c>
      <c r="H274" t="s">
        <v>288</v>
      </c>
      <c r="I274" t="s">
        <v>1563</v>
      </c>
      <c r="J274" s="176">
        <v>155941163.007759</v>
      </c>
      <c r="K274">
        <v>0</v>
      </c>
      <c r="L274" s="342" t="str">
        <f t="shared" si="41"/>
        <v/>
      </c>
      <c r="M274">
        <v>1870</v>
      </c>
      <c r="N274" t="s">
        <v>288</v>
      </c>
      <c r="O274" t="s">
        <v>1563</v>
      </c>
      <c r="P274" s="243">
        <f t="shared" si="42"/>
        <v>251244755.03168821</v>
      </c>
      <c r="S274">
        <v>1870</v>
      </c>
      <c r="T274" t="s">
        <v>288</v>
      </c>
      <c r="U274" t="s">
        <v>1563</v>
      </c>
      <c r="V274" s="176">
        <v>23816546.719997998</v>
      </c>
      <c r="W274" s="176">
        <v>101361737.853294</v>
      </c>
      <c r="X274" s="176">
        <v>0</v>
      </c>
      <c r="Y274" s="176">
        <v>2384678.888888</v>
      </c>
      <c r="Z274" s="176"/>
      <c r="AA274">
        <v>1870</v>
      </c>
      <c r="AB274" s="176" t="s">
        <v>288</v>
      </c>
      <c r="AC274" s="176" t="s">
        <v>1563</v>
      </c>
      <c r="AD274" s="176">
        <v>23816546.719997998</v>
      </c>
      <c r="AE274" s="176">
        <v>101361737.853294</v>
      </c>
      <c r="AF274" s="176">
        <v>0</v>
      </c>
      <c r="AG274" s="176">
        <v>2384678.888888</v>
      </c>
      <c r="AH274" s="342" t="str">
        <f t="shared" si="36"/>
        <v/>
      </c>
      <c r="AI274">
        <v>1870</v>
      </c>
      <c r="AJ274" t="s">
        <v>288</v>
      </c>
      <c r="AK274" t="s">
        <v>1563</v>
      </c>
      <c r="AL274" s="245">
        <f t="shared" si="37"/>
        <v>42869784.095996395</v>
      </c>
      <c r="AM274" s="245">
        <f t="shared" si="38"/>
        <v>182451128.13592923</v>
      </c>
      <c r="AN274" s="245">
        <f t="shared" si="39"/>
        <v>0</v>
      </c>
      <c r="AO274" s="245">
        <f t="shared" si="40"/>
        <v>4292421.9999984</v>
      </c>
      <c r="AP274" s="176"/>
      <c r="AQ274" s="176"/>
      <c r="AR274">
        <v>1870</v>
      </c>
      <c r="AS274" t="s">
        <v>288</v>
      </c>
      <c r="AT274" t="s">
        <v>1563</v>
      </c>
      <c r="AU274" s="176">
        <v>19426979.329984002</v>
      </c>
      <c r="AW274">
        <v>1870</v>
      </c>
      <c r="AX274" t="s">
        <v>288</v>
      </c>
      <c r="AY274" t="s">
        <v>1563</v>
      </c>
      <c r="AZ274" s="176">
        <v>5950516.3799959999</v>
      </c>
      <c r="BA274" s="342" t="str">
        <f t="shared" si="43"/>
        <v/>
      </c>
      <c r="BB274">
        <v>1870</v>
      </c>
      <c r="BC274" t="s">
        <v>288</v>
      </c>
      <c r="BD274" t="s">
        <v>1563</v>
      </c>
      <c r="BE274" s="243">
        <f t="shared" si="44"/>
        <v>24187392.4339808</v>
      </c>
    </row>
    <row r="275" spans="1:57">
      <c r="A275">
        <v>1870</v>
      </c>
      <c r="B275" t="s">
        <v>288</v>
      </c>
      <c r="C275" t="s">
        <v>1732</v>
      </c>
      <c r="D275" s="176">
        <v>112264736.74105699</v>
      </c>
      <c r="E275">
        <v>0</v>
      </c>
      <c r="G275">
        <v>1870</v>
      </c>
      <c r="H275" t="s">
        <v>288</v>
      </c>
      <c r="I275" t="s">
        <v>1732</v>
      </c>
      <c r="J275" s="176">
        <v>48386439.697768003</v>
      </c>
      <c r="K275">
        <v>0</v>
      </c>
      <c r="L275" s="342" t="str">
        <f t="shared" si="41"/>
        <v/>
      </c>
      <c r="M275">
        <v>1870</v>
      </c>
      <c r="N275" t="s">
        <v>288</v>
      </c>
      <c r="O275" t="s">
        <v>1732</v>
      </c>
      <c r="P275" s="243">
        <f t="shared" si="42"/>
        <v>150973888.49927139</v>
      </c>
      <c r="S275">
        <v>1870</v>
      </c>
      <c r="T275" t="s">
        <v>288</v>
      </c>
      <c r="U275" t="s">
        <v>1732</v>
      </c>
      <c r="V275" s="176">
        <v>19584378.365555</v>
      </c>
      <c r="W275" s="176">
        <v>86872923.052195996</v>
      </c>
      <c r="X275">
        <v>0</v>
      </c>
      <c r="Y275" s="176">
        <v>1827200</v>
      </c>
      <c r="Z275" s="176"/>
      <c r="AA275">
        <v>1870</v>
      </c>
      <c r="AB275" s="176" t="s">
        <v>288</v>
      </c>
      <c r="AC275" s="176" t="s">
        <v>1732</v>
      </c>
      <c r="AD275" s="176">
        <v>19584378.365555</v>
      </c>
      <c r="AE275" s="176">
        <v>86872923.052195996</v>
      </c>
      <c r="AF275">
        <v>0</v>
      </c>
      <c r="AG275" s="176">
        <v>1827200</v>
      </c>
      <c r="AH275" s="342" t="str">
        <f t="shared" si="36"/>
        <v/>
      </c>
      <c r="AI275">
        <v>1870</v>
      </c>
      <c r="AJ275" t="s">
        <v>288</v>
      </c>
      <c r="AK275" t="s">
        <v>1732</v>
      </c>
      <c r="AL275" s="245">
        <f t="shared" si="37"/>
        <v>35251881.057999</v>
      </c>
      <c r="AM275" s="245">
        <f t="shared" si="38"/>
        <v>156371261.49395281</v>
      </c>
      <c r="AN275" s="245">
        <f t="shared" si="39"/>
        <v>0</v>
      </c>
      <c r="AO275" s="245">
        <f t="shared" si="40"/>
        <v>3288960</v>
      </c>
      <c r="AP275" s="176"/>
      <c r="AQ275" s="176"/>
      <c r="AR275">
        <v>1870</v>
      </c>
      <c r="AS275" t="s">
        <v>288</v>
      </c>
      <c r="AT275" t="s">
        <v>1732</v>
      </c>
      <c r="AU275" s="176">
        <v>26370859.144428</v>
      </c>
      <c r="AW275">
        <v>1870</v>
      </c>
      <c r="AX275" t="s">
        <v>288</v>
      </c>
      <c r="AY275" t="s">
        <v>1732</v>
      </c>
      <c r="AZ275" s="176">
        <v>6832392.3077750001</v>
      </c>
      <c r="BA275" s="342" t="str">
        <f t="shared" si="43"/>
        <v/>
      </c>
      <c r="BB275">
        <v>1870</v>
      </c>
      <c r="BC275" t="s">
        <v>288</v>
      </c>
      <c r="BD275" t="s">
        <v>1732</v>
      </c>
      <c r="BE275" s="243">
        <f t="shared" si="44"/>
        <v>31836772.990648001</v>
      </c>
    </row>
    <row r="276" spans="1:57">
      <c r="A276">
        <v>1870</v>
      </c>
      <c r="B276" t="s">
        <v>288</v>
      </c>
      <c r="C276" t="s">
        <v>1059</v>
      </c>
      <c r="D276" s="176">
        <v>246167751.744387</v>
      </c>
      <c r="E276">
        <v>0</v>
      </c>
      <c r="G276">
        <v>1870</v>
      </c>
      <c r="H276" t="s">
        <v>288</v>
      </c>
      <c r="I276" t="s">
        <v>1059</v>
      </c>
      <c r="J276" s="176">
        <v>112878369.17332</v>
      </c>
      <c r="K276">
        <v>0</v>
      </c>
      <c r="L276" s="342" t="str">
        <f t="shared" si="41"/>
        <v/>
      </c>
      <c r="M276">
        <v>1870</v>
      </c>
      <c r="N276" t="s">
        <v>288</v>
      </c>
      <c r="O276" t="s">
        <v>1059</v>
      </c>
      <c r="P276" s="243">
        <f t="shared" si="42"/>
        <v>336470447.08304298</v>
      </c>
      <c r="S276">
        <v>1870</v>
      </c>
      <c r="T276" t="s">
        <v>288</v>
      </c>
      <c r="U276" t="s">
        <v>1059</v>
      </c>
      <c r="V276" s="176">
        <v>33848236.908887997</v>
      </c>
      <c r="W276" s="176">
        <v>116028419.325533</v>
      </c>
      <c r="X276" s="176">
        <v>0</v>
      </c>
      <c r="Y276" s="176">
        <v>26482014.166666001</v>
      </c>
      <c r="Z276" s="176"/>
      <c r="AA276">
        <v>1870</v>
      </c>
      <c r="AB276" s="176" t="s">
        <v>288</v>
      </c>
      <c r="AC276" s="176" t="s">
        <v>1059</v>
      </c>
      <c r="AD276" s="176">
        <v>33848236.908887997</v>
      </c>
      <c r="AE276" s="176">
        <v>116028419.325533</v>
      </c>
      <c r="AF276" s="176">
        <v>0</v>
      </c>
      <c r="AG276" s="176">
        <v>26482014.166666001</v>
      </c>
      <c r="AH276" s="342" t="str">
        <f t="shared" si="36"/>
        <v/>
      </c>
      <c r="AI276">
        <v>1870</v>
      </c>
      <c r="AJ276" t="s">
        <v>288</v>
      </c>
      <c r="AK276" t="s">
        <v>1059</v>
      </c>
      <c r="AL276" s="245">
        <f t="shared" si="37"/>
        <v>60926826.435998395</v>
      </c>
      <c r="AM276" s="245">
        <f t="shared" si="38"/>
        <v>208851154.78595942</v>
      </c>
      <c r="AN276" s="245">
        <f t="shared" si="39"/>
        <v>0</v>
      </c>
      <c r="AO276" s="245">
        <f t="shared" si="40"/>
        <v>47667625.499998808</v>
      </c>
      <c r="AP276" s="176"/>
      <c r="AQ276" s="176"/>
      <c r="AR276">
        <v>1870</v>
      </c>
      <c r="AS276" t="s">
        <v>288</v>
      </c>
      <c r="AT276" t="s">
        <v>1059</v>
      </c>
      <c r="AU276" s="176">
        <v>96623109.724427998</v>
      </c>
      <c r="AW276">
        <v>1870</v>
      </c>
      <c r="AX276" t="s">
        <v>288</v>
      </c>
      <c r="AY276" t="s">
        <v>1059</v>
      </c>
      <c r="AZ276" s="176">
        <v>43185027.571107</v>
      </c>
      <c r="BA276" s="342" t="str">
        <f t="shared" si="43"/>
        <v/>
      </c>
      <c r="BB276">
        <v>1870</v>
      </c>
      <c r="BC276" t="s">
        <v>288</v>
      </c>
      <c r="BD276" t="s">
        <v>1059</v>
      </c>
      <c r="BE276" s="243">
        <f t="shared" si="44"/>
        <v>131171131.7813136</v>
      </c>
    </row>
    <row r="277" spans="1:57">
      <c r="A277">
        <v>1890</v>
      </c>
      <c r="B277" t="s">
        <v>289</v>
      </c>
      <c r="C277" t="s">
        <v>1061</v>
      </c>
      <c r="D277" s="176">
        <v>159465276.30880401</v>
      </c>
      <c r="E277">
        <v>0</v>
      </c>
      <c r="G277">
        <v>1890</v>
      </c>
      <c r="H277" t="s">
        <v>289</v>
      </c>
      <c r="I277" t="s">
        <v>1061</v>
      </c>
      <c r="J277" s="176">
        <v>92625587.552196994</v>
      </c>
      <c r="K277">
        <v>0</v>
      </c>
      <c r="L277" s="342" t="str">
        <f t="shared" si="41"/>
        <v/>
      </c>
      <c r="M277">
        <v>1890</v>
      </c>
      <c r="N277" t="s">
        <v>289</v>
      </c>
      <c r="O277" t="s">
        <v>1061</v>
      </c>
      <c r="P277" s="243">
        <f t="shared" si="42"/>
        <v>233565746.35056162</v>
      </c>
      <c r="S277">
        <v>1890</v>
      </c>
      <c r="T277" t="s">
        <v>289</v>
      </c>
      <c r="U277" t="s">
        <v>1061</v>
      </c>
      <c r="V277" s="176">
        <v>41898920.636665002</v>
      </c>
      <c r="W277" s="176">
        <v>124203326.373309</v>
      </c>
      <c r="X277">
        <v>0</v>
      </c>
      <c r="Y277" s="176">
        <v>20897064.444442</v>
      </c>
      <c r="Z277" s="176"/>
      <c r="AA277">
        <v>1890</v>
      </c>
      <c r="AB277" s="176" t="s">
        <v>289</v>
      </c>
      <c r="AC277" s="176" t="s">
        <v>1061</v>
      </c>
      <c r="AD277" s="176">
        <v>41898920.636665002</v>
      </c>
      <c r="AE277" s="176">
        <v>124203326.373309</v>
      </c>
      <c r="AF277">
        <v>0</v>
      </c>
      <c r="AG277" s="176">
        <v>20897064.444442</v>
      </c>
      <c r="AH277" s="342" t="str">
        <f t="shared" si="36"/>
        <v/>
      </c>
      <c r="AI277">
        <v>1890</v>
      </c>
      <c r="AJ277" t="s">
        <v>289</v>
      </c>
      <c r="AK277" t="s">
        <v>1061</v>
      </c>
      <c r="AL277" s="245">
        <f t="shared" si="37"/>
        <v>75418057.145997003</v>
      </c>
      <c r="AM277" s="245">
        <f t="shared" si="38"/>
        <v>223565987.47195619</v>
      </c>
      <c r="AN277" s="245">
        <f t="shared" si="39"/>
        <v>0</v>
      </c>
      <c r="AO277" s="245">
        <f t="shared" si="40"/>
        <v>37614715.999995604</v>
      </c>
      <c r="AP277" s="176"/>
      <c r="AQ277" s="176"/>
      <c r="AR277">
        <v>1890</v>
      </c>
      <c r="AS277" t="s">
        <v>289</v>
      </c>
      <c r="AT277" t="s">
        <v>1061</v>
      </c>
      <c r="AU277" s="176">
        <v>22382037.847766999</v>
      </c>
      <c r="AW277">
        <v>1890</v>
      </c>
      <c r="AX277" t="s">
        <v>289</v>
      </c>
      <c r="AY277" t="s">
        <v>1061</v>
      </c>
      <c r="AZ277" s="176">
        <v>3696883.8844400002</v>
      </c>
      <c r="BA277" s="342" t="str">
        <f t="shared" si="43"/>
        <v/>
      </c>
      <c r="BB277">
        <v>1890</v>
      </c>
      <c r="BC277" t="s">
        <v>289</v>
      </c>
      <c r="BD277" t="s">
        <v>1061</v>
      </c>
      <c r="BE277" s="243">
        <f t="shared" si="44"/>
        <v>25339544.955318999</v>
      </c>
    </row>
    <row r="278" spans="1:57">
      <c r="A278">
        <v>1890</v>
      </c>
      <c r="B278" t="s">
        <v>289</v>
      </c>
      <c r="C278" t="s">
        <v>1060</v>
      </c>
      <c r="D278" s="176">
        <v>404220479.35773802</v>
      </c>
      <c r="E278">
        <v>0</v>
      </c>
      <c r="G278">
        <v>1890</v>
      </c>
      <c r="H278" t="s">
        <v>289</v>
      </c>
      <c r="I278" t="s">
        <v>1060</v>
      </c>
      <c r="J278" s="176">
        <v>660440065.53108597</v>
      </c>
      <c r="K278">
        <v>0</v>
      </c>
      <c r="L278" s="342" t="str">
        <f t="shared" si="41"/>
        <v/>
      </c>
      <c r="M278">
        <v>1890</v>
      </c>
      <c r="N278" t="s">
        <v>289</v>
      </c>
      <c r="O278" t="s">
        <v>1060</v>
      </c>
      <c r="P278" s="243">
        <f t="shared" si="42"/>
        <v>932572531.78260684</v>
      </c>
      <c r="S278">
        <v>1890</v>
      </c>
      <c r="T278" t="s">
        <v>289</v>
      </c>
      <c r="U278" t="s">
        <v>1060</v>
      </c>
      <c r="V278" s="176">
        <v>82522383.796665996</v>
      </c>
      <c r="W278" s="176">
        <v>319946381.487755</v>
      </c>
      <c r="X278" s="176">
        <v>0</v>
      </c>
      <c r="Y278" s="176">
        <v>21917719.444442999</v>
      </c>
      <c r="Z278" s="176"/>
      <c r="AA278">
        <v>1890</v>
      </c>
      <c r="AB278" s="176" t="s">
        <v>289</v>
      </c>
      <c r="AC278" s="176" t="s">
        <v>1060</v>
      </c>
      <c r="AD278" s="176">
        <v>82522383.796665996</v>
      </c>
      <c r="AE278" s="176">
        <v>319946381.487755</v>
      </c>
      <c r="AF278" s="176">
        <v>0</v>
      </c>
      <c r="AG278" s="176">
        <v>21917719.444442999</v>
      </c>
      <c r="AH278" s="342" t="str">
        <f t="shared" si="36"/>
        <v/>
      </c>
      <c r="AI278">
        <v>1890</v>
      </c>
      <c r="AJ278" t="s">
        <v>289</v>
      </c>
      <c r="AK278" t="s">
        <v>1060</v>
      </c>
      <c r="AL278" s="245">
        <f t="shared" si="37"/>
        <v>148540290.8339988</v>
      </c>
      <c r="AM278" s="245">
        <f t="shared" si="38"/>
        <v>575903486.67795897</v>
      </c>
      <c r="AN278" s="245">
        <f t="shared" si="39"/>
        <v>0</v>
      </c>
      <c r="AO278" s="245">
        <f t="shared" si="40"/>
        <v>39451894.9999974</v>
      </c>
      <c r="AP278" s="176"/>
      <c r="AQ278" s="176"/>
      <c r="AR278">
        <v>1890</v>
      </c>
      <c r="AS278" t="s">
        <v>289</v>
      </c>
      <c r="AT278" t="s">
        <v>1060</v>
      </c>
      <c r="AU278" s="176">
        <v>119792585.517763</v>
      </c>
      <c r="AW278">
        <v>1890</v>
      </c>
      <c r="AX278" t="s">
        <v>289</v>
      </c>
      <c r="AY278" t="s">
        <v>1060</v>
      </c>
      <c r="AZ278" s="176">
        <v>158722386.57443601</v>
      </c>
      <c r="BA278" s="342" t="str">
        <f t="shared" si="43"/>
        <v/>
      </c>
      <c r="BB278">
        <v>1890</v>
      </c>
      <c r="BC278" t="s">
        <v>289</v>
      </c>
      <c r="BD278" t="s">
        <v>1060</v>
      </c>
      <c r="BE278" s="243">
        <f t="shared" si="44"/>
        <v>246770494.7773118</v>
      </c>
    </row>
    <row r="279" spans="1:57">
      <c r="A279">
        <v>1890</v>
      </c>
      <c r="B279" t="s">
        <v>289</v>
      </c>
      <c r="C279" t="s">
        <v>1733</v>
      </c>
      <c r="D279" s="176">
        <v>98282712.734398007</v>
      </c>
      <c r="E279">
        <v>0</v>
      </c>
      <c r="G279">
        <v>1890</v>
      </c>
      <c r="H279" t="s">
        <v>289</v>
      </c>
      <c r="I279" t="s">
        <v>1733</v>
      </c>
      <c r="J279" s="176">
        <v>111706731.111083</v>
      </c>
      <c r="K279">
        <v>0</v>
      </c>
      <c r="L279" s="342" t="str">
        <f t="shared" si="41"/>
        <v/>
      </c>
      <c r="M279">
        <v>1890</v>
      </c>
      <c r="N279" t="s">
        <v>289</v>
      </c>
      <c r="O279" t="s">
        <v>1733</v>
      </c>
      <c r="P279" s="243">
        <f t="shared" si="42"/>
        <v>187648097.62326443</v>
      </c>
      <c r="S279">
        <v>1890</v>
      </c>
      <c r="T279" t="s">
        <v>289</v>
      </c>
      <c r="U279" t="s">
        <v>1733</v>
      </c>
      <c r="V279" s="176">
        <v>30242423.986666001</v>
      </c>
      <c r="W279" s="176">
        <v>94581274.822201997</v>
      </c>
      <c r="X279" s="176">
        <v>0</v>
      </c>
      <c r="Y279" s="176">
        <v>14459458.693333</v>
      </c>
      <c r="Z279" s="176"/>
      <c r="AA279">
        <v>1890</v>
      </c>
      <c r="AB279" s="176" t="s">
        <v>289</v>
      </c>
      <c r="AC279" s="176" t="s">
        <v>1733</v>
      </c>
      <c r="AD279" s="176">
        <v>30242423.986666001</v>
      </c>
      <c r="AE279" s="176">
        <v>94581274.822201997</v>
      </c>
      <c r="AF279" s="176">
        <v>0</v>
      </c>
      <c r="AG279" s="176">
        <v>14459458.693333</v>
      </c>
      <c r="AH279" s="342" t="str">
        <f t="shared" si="36"/>
        <v/>
      </c>
      <c r="AI279">
        <v>1890</v>
      </c>
      <c r="AJ279" t="s">
        <v>289</v>
      </c>
      <c r="AK279" t="s">
        <v>1733</v>
      </c>
      <c r="AL279" s="245">
        <f t="shared" si="37"/>
        <v>54436363.175998807</v>
      </c>
      <c r="AM279" s="245">
        <f t="shared" si="38"/>
        <v>170246294.67996359</v>
      </c>
      <c r="AN279" s="245">
        <f t="shared" si="39"/>
        <v>0</v>
      </c>
      <c r="AO279" s="245">
        <f t="shared" si="40"/>
        <v>26027025.647999398</v>
      </c>
      <c r="AP279" s="176"/>
      <c r="AQ279" s="176"/>
      <c r="AR279">
        <v>1890</v>
      </c>
      <c r="AS279" t="s">
        <v>289</v>
      </c>
      <c r="AT279" t="s">
        <v>1733</v>
      </c>
      <c r="AU279" s="176">
        <v>23784153.367768999</v>
      </c>
      <c r="AW279">
        <v>1890</v>
      </c>
      <c r="AX279" t="s">
        <v>289</v>
      </c>
      <c r="AY279" t="s">
        <v>1733</v>
      </c>
      <c r="AZ279" s="176">
        <v>10401954.245549999</v>
      </c>
      <c r="BA279" s="342" t="str">
        <f t="shared" si="43"/>
        <v/>
      </c>
      <c r="BB279">
        <v>1890</v>
      </c>
      <c r="BC279" t="s">
        <v>289</v>
      </c>
      <c r="BD279" t="s">
        <v>1733</v>
      </c>
      <c r="BE279" s="243">
        <f t="shared" si="44"/>
        <v>32105716.764208999</v>
      </c>
    </row>
    <row r="280" spans="1:57">
      <c r="A280">
        <v>1890</v>
      </c>
      <c r="B280" t="s">
        <v>289</v>
      </c>
      <c r="C280" t="s">
        <v>1953</v>
      </c>
      <c r="D280" s="176">
        <v>126049698.892178</v>
      </c>
      <c r="E280">
        <v>0</v>
      </c>
      <c r="G280">
        <v>1890</v>
      </c>
      <c r="H280" t="s">
        <v>289</v>
      </c>
      <c r="I280" t="s">
        <v>1953</v>
      </c>
      <c r="J280" s="176">
        <v>127540599.981093</v>
      </c>
      <c r="K280">
        <v>0</v>
      </c>
      <c r="L280" s="342" t="str">
        <f t="shared" si="41"/>
        <v/>
      </c>
      <c r="M280">
        <v>1890</v>
      </c>
      <c r="N280" t="s">
        <v>289</v>
      </c>
      <c r="O280" t="s">
        <v>1953</v>
      </c>
      <c r="P280" s="243">
        <f t="shared" si="42"/>
        <v>228082178.87705243</v>
      </c>
      <c r="S280">
        <v>1890</v>
      </c>
      <c r="T280" t="s">
        <v>289</v>
      </c>
      <c r="U280" t="s">
        <v>1953</v>
      </c>
      <c r="V280" s="176">
        <v>15336449.702222001</v>
      </c>
      <c r="W280" s="176">
        <v>58507139.249984004</v>
      </c>
      <c r="X280" s="176">
        <v>0</v>
      </c>
      <c r="Y280" s="176">
        <v>8934702.2222210001</v>
      </c>
      <c r="Z280" s="176"/>
      <c r="AA280">
        <v>1890</v>
      </c>
      <c r="AB280" s="176" t="s">
        <v>289</v>
      </c>
      <c r="AC280" s="176" t="s">
        <v>1953</v>
      </c>
      <c r="AD280" s="176">
        <v>15336449.702222001</v>
      </c>
      <c r="AE280" s="176">
        <v>58507139.249984004</v>
      </c>
      <c r="AF280" s="176">
        <v>0</v>
      </c>
      <c r="AG280" s="176">
        <v>8934702.2222210001</v>
      </c>
      <c r="AH280" s="342" t="str">
        <f t="shared" si="36"/>
        <v/>
      </c>
      <c r="AI280">
        <v>1890</v>
      </c>
      <c r="AJ280" t="s">
        <v>289</v>
      </c>
      <c r="AK280" t="s">
        <v>1953</v>
      </c>
      <c r="AL280" s="245">
        <f t="shared" si="37"/>
        <v>27605609.463999603</v>
      </c>
      <c r="AM280" s="245">
        <f t="shared" si="38"/>
        <v>105312850.64997122</v>
      </c>
      <c r="AN280" s="245">
        <f t="shared" si="39"/>
        <v>0</v>
      </c>
      <c r="AO280" s="245">
        <f t="shared" si="40"/>
        <v>16082463.9999978</v>
      </c>
      <c r="AP280" s="176"/>
      <c r="AQ280" s="176"/>
      <c r="AR280">
        <v>1890</v>
      </c>
      <c r="AS280" t="s">
        <v>289</v>
      </c>
      <c r="AT280" t="s">
        <v>1953</v>
      </c>
      <c r="AU280" s="176">
        <v>17372099.904435001</v>
      </c>
      <c r="AW280">
        <v>1890</v>
      </c>
      <c r="AX280" t="s">
        <v>289</v>
      </c>
      <c r="AY280" t="s">
        <v>1953</v>
      </c>
      <c r="AZ280" s="176">
        <v>11511062.941109</v>
      </c>
      <c r="BA280" s="342" t="str">
        <f t="shared" si="43"/>
        <v/>
      </c>
      <c r="BB280">
        <v>1890</v>
      </c>
      <c r="BC280" t="s">
        <v>289</v>
      </c>
      <c r="BD280" t="s">
        <v>1953</v>
      </c>
      <c r="BE280" s="243">
        <f t="shared" si="44"/>
        <v>26580950.2573222</v>
      </c>
    </row>
    <row r="281" spans="1:57">
      <c r="A281">
        <v>1900</v>
      </c>
      <c r="B281" t="s">
        <v>290</v>
      </c>
      <c r="C281" t="s">
        <v>970</v>
      </c>
      <c r="D281" s="176">
        <v>120682602.348804</v>
      </c>
      <c r="E281">
        <v>0</v>
      </c>
      <c r="G281">
        <v>1900</v>
      </c>
      <c r="H281" t="s">
        <v>290</v>
      </c>
      <c r="I281" t="s">
        <v>970</v>
      </c>
      <c r="J281" s="176">
        <v>72357663.424418002</v>
      </c>
      <c r="K281">
        <v>0</v>
      </c>
      <c r="L281" s="342" t="str">
        <f t="shared" si="41"/>
        <v/>
      </c>
      <c r="M281">
        <v>1900</v>
      </c>
      <c r="N281" t="s">
        <v>290</v>
      </c>
      <c r="O281" t="s">
        <v>970</v>
      </c>
      <c r="P281" s="243">
        <f t="shared" si="42"/>
        <v>178568733.0883384</v>
      </c>
      <c r="S281">
        <v>1900</v>
      </c>
      <c r="T281" t="s">
        <v>290</v>
      </c>
      <c r="U281" t="s">
        <v>970</v>
      </c>
      <c r="V281" s="176">
        <v>51296009.017775998</v>
      </c>
      <c r="W281" s="176">
        <v>109835844.283309</v>
      </c>
      <c r="X281">
        <v>0</v>
      </c>
      <c r="Y281" s="176">
        <v>7358880</v>
      </c>
      <c r="Z281" s="176"/>
      <c r="AA281">
        <v>1900</v>
      </c>
      <c r="AB281" s="176" t="s">
        <v>290</v>
      </c>
      <c r="AC281" s="176" t="s">
        <v>970</v>
      </c>
      <c r="AD281" s="176">
        <v>51296009.017775998</v>
      </c>
      <c r="AE281" s="176">
        <v>109835844.283309</v>
      </c>
      <c r="AF281">
        <v>0</v>
      </c>
      <c r="AG281" s="176">
        <v>7358880</v>
      </c>
      <c r="AH281" s="342" t="str">
        <f t="shared" si="36"/>
        <v/>
      </c>
      <c r="AI281">
        <v>1900</v>
      </c>
      <c r="AJ281" t="s">
        <v>290</v>
      </c>
      <c r="AK281" t="s">
        <v>970</v>
      </c>
      <c r="AL281" s="245">
        <f t="shared" si="37"/>
        <v>92332816.231996804</v>
      </c>
      <c r="AM281" s="245">
        <f t="shared" si="38"/>
        <v>197704519.7099562</v>
      </c>
      <c r="AN281" s="245">
        <f t="shared" si="39"/>
        <v>0</v>
      </c>
      <c r="AO281" s="245">
        <f t="shared" si="40"/>
        <v>13245984</v>
      </c>
      <c r="AP281" s="176"/>
      <c r="AQ281" s="176"/>
      <c r="AR281">
        <v>1900</v>
      </c>
      <c r="AS281" t="s">
        <v>290</v>
      </c>
      <c r="AT281" t="s">
        <v>970</v>
      </c>
      <c r="AU281" s="176">
        <v>3911942.0088860001</v>
      </c>
      <c r="AW281">
        <v>1900</v>
      </c>
      <c r="AX281" t="s">
        <v>290</v>
      </c>
      <c r="AY281" t="s">
        <v>970</v>
      </c>
      <c r="AZ281" s="176">
        <v>9075418.8277770001</v>
      </c>
      <c r="BA281" s="342" t="str">
        <f t="shared" si="43"/>
        <v/>
      </c>
      <c r="BB281">
        <v>1900</v>
      </c>
      <c r="BC281" t="s">
        <v>290</v>
      </c>
      <c r="BD281" t="s">
        <v>970</v>
      </c>
      <c r="BE281" s="243">
        <f t="shared" si="44"/>
        <v>11172277.0711076</v>
      </c>
    </row>
    <row r="282" spans="1:57">
      <c r="A282">
        <v>1900</v>
      </c>
      <c r="B282" t="s">
        <v>290</v>
      </c>
      <c r="C282" t="s">
        <v>1062</v>
      </c>
      <c r="D282" s="176">
        <v>278363704.37993598</v>
      </c>
      <c r="E282">
        <v>0</v>
      </c>
      <c r="G282">
        <v>1900</v>
      </c>
      <c r="H282" t="s">
        <v>290</v>
      </c>
      <c r="I282" t="s">
        <v>1062</v>
      </c>
      <c r="J282" s="176">
        <v>267715271.722175</v>
      </c>
      <c r="K282">
        <v>0</v>
      </c>
      <c r="L282" s="342" t="str">
        <f t="shared" si="41"/>
        <v/>
      </c>
      <c r="M282">
        <v>1900</v>
      </c>
      <c r="N282" t="s">
        <v>290</v>
      </c>
      <c r="O282" t="s">
        <v>1062</v>
      </c>
      <c r="P282" s="243">
        <f t="shared" si="42"/>
        <v>492535921.75767601</v>
      </c>
      <c r="S282">
        <v>1900</v>
      </c>
      <c r="T282" t="s">
        <v>290</v>
      </c>
      <c r="U282" t="s">
        <v>1062</v>
      </c>
      <c r="V282" s="176">
        <v>145737744.449999</v>
      </c>
      <c r="W282" s="176">
        <v>319964099.06108099</v>
      </c>
      <c r="X282" s="176">
        <v>0</v>
      </c>
      <c r="Y282" s="176">
        <v>34984715.277774997</v>
      </c>
      <c r="Z282" s="176"/>
      <c r="AA282">
        <v>1900</v>
      </c>
      <c r="AB282" s="176" t="s">
        <v>290</v>
      </c>
      <c r="AC282" s="176" t="s">
        <v>1062</v>
      </c>
      <c r="AD282" s="176">
        <v>145737744.449999</v>
      </c>
      <c r="AE282" s="176">
        <v>319964099.06108099</v>
      </c>
      <c r="AF282" s="176">
        <v>0</v>
      </c>
      <c r="AG282" s="176">
        <v>34984715.277774997</v>
      </c>
      <c r="AH282" s="342" t="str">
        <f t="shared" si="36"/>
        <v/>
      </c>
      <c r="AI282">
        <v>1900</v>
      </c>
      <c r="AJ282" t="s">
        <v>290</v>
      </c>
      <c r="AK282" t="s">
        <v>1062</v>
      </c>
      <c r="AL282" s="245">
        <f t="shared" si="37"/>
        <v>262327940.0099982</v>
      </c>
      <c r="AM282" s="245">
        <f t="shared" si="38"/>
        <v>575935378.30994582</v>
      </c>
      <c r="AN282" s="245">
        <f t="shared" si="39"/>
        <v>0</v>
      </c>
      <c r="AO282" s="245">
        <f t="shared" si="40"/>
        <v>62972487.499994993</v>
      </c>
      <c r="AP282" s="176"/>
      <c r="AQ282" s="176"/>
      <c r="AR282">
        <v>1900</v>
      </c>
      <c r="AS282" t="s">
        <v>290</v>
      </c>
      <c r="AT282" t="s">
        <v>1062</v>
      </c>
      <c r="AU282" s="176">
        <v>68471732.005540997</v>
      </c>
      <c r="AW282">
        <v>1900</v>
      </c>
      <c r="AX282" t="s">
        <v>290</v>
      </c>
      <c r="AY282" t="s">
        <v>1062</v>
      </c>
      <c r="AZ282" s="176">
        <v>39721208.073325999</v>
      </c>
      <c r="BA282" s="342" t="str">
        <f t="shared" si="43"/>
        <v/>
      </c>
      <c r="BB282">
        <v>1900</v>
      </c>
      <c r="BC282" t="s">
        <v>290</v>
      </c>
      <c r="BD282" t="s">
        <v>1062</v>
      </c>
      <c r="BE282" s="243">
        <f t="shared" si="44"/>
        <v>100248698.46420179</v>
      </c>
    </row>
    <row r="283" spans="1:57">
      <c r="A283">
        <v>1900</v>
      </c>
      <c r="B283" t="s">
        <v>290</v>
      </c>
      <c r="C283" t="s">
        <v>1564</v>
      </c>
      <c r="D283" s="176">
        <v>109369402.54106399</v>
      </c>
      <c r="E283">
        <v>0</v>
      </c>
      <c r="G283">
        <v>1900</v>
      </c>
      <c r="H283" t="s">
        <v>290</v>
      </c>
      <c r="I283" t="s">
        <v>1564</v>
      </c>
      <c r="J283" s="176">
        <v>74745234.274424002</v>
      </c>
      <c r="K283">
        <v>0</v>
      </c>
      <c r="L283" s="342" t="str">
        <f t="shared" si="41"/>
        <v/>
      </c>
      <c r="M283">
        <v>1900</v>
      </c>
      <c r="N283" t="s">
        <v>290</v>
      </c>
      <c r="O283" t="s">
        <v>1564</v>
      </c>
      <c r="P283" s="243">
        <f t="shared" si="42"/>
        <v>169165589.96060321</v>
      </c>
      <c r="S283">
        <v>1900</v>
      </c>
      <c r="T283" t="s">
        <v>290</v>
      </c>
      <c r="U283" t="s">
        <v>1564</v>
      </c>
      <c r="V283" s="176">
        <v>27719864.016665</v>
      </c>
      <c r="W283" s="176">
        <v>116629378.39886899</v>
      </c>
      <c r="X283" s="176">
        <v>0</v>
      </c>
      <c r="Y283" s="176">
        <v>16655029.223332999</v>
      </c>
      <c r="Z283" s="176"/>
      <c r="AA283">
        <v>1900</v>
      </c>
      <c r="AB283" s="176" t="s">
        <v>290</v>
      </c>
      <c r="AC283" s="176" t="s">
        <v>1564</v>
      </c>
      <c r="AD283" s="176">
        <v>27719864.016665</v>
      </c>
      <c r="AE283" s="176">
        <v>116629378.39886899</v>
      </c>
      <c r="AF283" s="176">
        <v>0</v>
      </c>
      <c r="AG283" s="176">
        <v>16655029.223332999</v>
      </c>
      <c r="AH283" s="342" t="str">
        <f t="shared" si="36"/>
        <v/>
      </c>
      <c r="AI283">
        <v>1900</v>
      </c>
      <c r="AJ283" t="s">
        <v>290</v>
      </c>
      <c r="AK283" t="s">
        <v>1564</v>
      </c>
      <c r="AL283" s="245">
        <f t="shared" si="37"/>
        <v>49895755.229997002</v>
      </c>
      <c r="AM283" s="245">
        <f t="shared" si="38"/>
        <v>209932881.11796421</v>
      </c>
      <c r="AN283" s="245">
        <f t="shared" si="39"/>
        <v>0</v>
      </c>
      <c r="AO283" s="245">
        <f t="shared" si="40"/>
        <v>29979052.601999402</v>
      </c>
      <c r="AP283" s="176"/>
      <c r="AQ283" s="176"/>
      <c r="AR283">
        <v>1900</v>
      </c>
      <c r="AS283" t="s">
        <v>290</v>
      </c>
      <c r="AT283" t="s">
        <v>1564</v>
      </c>
      <c r="AU283" s="176">
        <v>8322151.8999929996</v>
      </c>
      <c r="AW283">
        <v>1900</v>
      </c>
      <c r="AX283" t="s">
        <v>290</v>
      </c>
      <c r="AY283" t="s">
        <v>1564</v>
      </c>
      <c r="AZ283" s="176">
        <v>14957523.695552999</v>
      </c>
      <c r="BA283" s="342" t="str">
        <f t="shared" si="43"/>
        <v/>
      </c>
      <c r="BB283">
        <v>1900</v>
      </c>
      <c r="BC283" t="s">
        <v>290</v>
      </c>
      <c r="BD283" t="s">
        <v>1564</v>
      </c>
      <c r="BE283" s="243">
        <f t="shared" si="44"/>
        <v>20288170.8564354</v>
      </c>
    </row>
    <row r="284" spans="1:57">
      <c r="A284">
        <v>1910</v>
      </c>
      <c r="B284" t="s">
        <v>291</v>
      </c>
      <c r="C284" t="s">
        <v>1734</v>
      </c>
      <c r="D284" s="176">
        <v>141071316.99329001</v>
      </c>
      <c r="E284">
        <v>0</v>
      </c>
      <c r="G284">
        <v>1910</v>
      </c>
      <c r="H284" t="s">
        <v>291</v>
      </c>
      <c r="I284" t="s">
        <v>1734</v>
      </c>
      <c r="J284" s="176">
        <v>52865547.725539997</v>
      </c>
      <c r="K284">
        <v>0</v>
      </c>
      <c r="L284" s="342" t="str">
        <f t="shared" si="41"/>
        <v/>
      </c>
      <c r="M284">
        <v>1910</v>
      </c>
      <c r="N284" t="s">
        <v>291</v>
      </c>
      <c r="O284" t="s">
        <v>1734</v>
      </c>
      <c r="P284" s="243">
        <f t="shared" si="42"/>
        <v>183363755.173722</v>
      </c>
      <c r="S284">
        <v>1910</v>
      </c>
      <c r="T284" t="s">
        <v>291</v>
      </c>
      <c r="U284" t="s">
        <v>1734</v>
      </c>
      <c r="V284" s="176">
        <v>34488545.139999002</v>
      </c>
      <c r="W284" s="176">
        <v>114453771.039985</v>
      </c>
      <c r="X284" s="176">
        <v>0</v>
      </c>
      <c r="Y284" s="176">
        <v>27702951.728888001</v>
      </c>
      <c r="Z284" s="176"/>
      <c r="AA284">
        <v>1910</v>
      </c>
      <c r="AB284" s="176" t="s">
        <v>291</v>
      </c>
      <c r="AC284" s="176" t="s">
        <v>1734</v>
      </c>
      <c r="AD284" s="176">
        <v>34488545.139999002</v>
      </c>
      <c r="AE284" s="176">
        <v>114453771.039985</v>
      </c>
      <c r="AF284" s="176">
        <v>0</v>
      </c>
      <c r="AG284" s="176">
        <v>27702951.728888001</v>
      </c>
      <c r="AH284" s="342" t="str">
        <f t="shared" si="36"/>
        <v/>
      </c>
      <c r="AI284">
        <v>1910</v>
      </c>
      <c r="AJ284" t="s">
        <v>291</v>
      </c>
      <c r="AK284" t="s">
        <v>1734</v>
      </c>
      <c r="AL284" s="245">
        <f t="shared" si="37"/>
        <v>62079381.251998201</v>
      </c>
      <c r="AM284" s="245">
        <f t="shared" si="38"/>
        <v>206016787.87197301</v>
      </c>
      <c r="AN284" s="245">
        <f t="shared" si="39"/>
        <v>0</v>
      </c>
      <c r="AO284" s="245">
        <f t="shared" si="40"/>
        <v>49865313.111998409</v>
      </c>
      <c r="AP284" s="176"/>
      <c r="AQ284" s="176"/>
      <c r="AR284">
        <v>1910</v>
      </c>
      <c r="AS284" t="s">
        <v>291</v>
      </c>
      <c r="AT284" t="s">
        <v>1734</v>
      </c>
      <c r="AU284" s="176">
        <v>22645291.115550999</v>
      </c>
      <c r="AW284">
        <v>1910</v>
      </c>
      <c r="AX284" t="s">
        <v>291</v>
      </c>
      <c r="AY284" t="s">
        <v>1734</v>
      </c>
      <c r="AZ284" s="176">
        <v>21092256.019999001</v>
      </c>
      <c r="BA284" s="342" t="str">
        <f t="shared" si="43"/>
        <v/>
      </c>
      <c r="BB284">
        <v>1910</v>
      </c>
      <c r="BC284" t="s">
        <v>291</v>
      </c>
      <c r="BD284" t="s">
        <v>1734</v>
      </c>
      <c r="BE284" s="243">
        <f t="shared" si="44"/>
        <v>39519095.931550205</v>
      </c>
    </row>
    <row r="285" spans="1:57">
      <c r="A285">
        <v>1910</v>
      </c>
      <c r="B285" t="s">
        <v>291</v>
      </c>
      <c r="C285" t="s">
        <v>1065</v>
      </c>
      <c r="D285" s="176">
        <v>311172549.85545599</v>
      </c>
      <c r="E285">
        <v>0</v>
      </c>
      <c r="G285">
        <v>1910</v>
      </c>
      <c r="H285" t="s">
        <v>291</v>
      </c>
      <c r="I285" t="s">
        <v>1065</v>
      </c>
      <c r="J285" s="176">
        <v>146933846.91442299</v>
      </c>
      <c r="K285">
        <v>0</v>
      </c>
      <c r="L285" s="342" t="str">
        <f t="shared" si="41"/>
        <v/>
      </c>
      <c r="M285">
        <v>1910</v>
      </c>
      <c r="N285" t="s">
        <v>291</v>
      </c>
      <c r="O285" t="s">
        <v>1065</v>
      </c>
      <c r="P285" s="243">
        <f t="shared" si="42"/>
        <v>428719627.38699436</v>
      </c>
      <c r="S285">
        <v>1910</v>
      </c>
      <c r="T285" t="s">
        <v>291</v>
      </c>
      <c r="U285" t="s">
        <v>1065</v>
      </c>
      <c r="V285" s="176">
        <v>75581160.333333001</v>
      </c>
      <c r="W285" s="176">
        <v>299706726.676642</v>
      </c>
      <c r="X285" s="176">
        <v>0</v>
      </c>
      <c r="Y285" s="176">
        <v>74495613.234439999</v>
      </c>
      <c r="Z285" s="176"/>
      <c r="AA285">
        <v>1910</v>
      </c>
      <c r="AB285" s="176" t="s">
        <v>291</v>
      </c>
      <c r="AC285" s="176" t="s">
        <v>1065</v>
      </c>
      <c r="AD285" s="176">
        <v>75581160.333333001</v>
      </c>
      <c r="AE285" s="176">
        <v>299706726.676642</v>
      </c>
      <c r="AF285" s="176">
        <v>0</v>
      </c>
      <c r="AG285" s="176">
        <v>74495613.234439999</v>
      </c>
      <c r="AH285" s="342" t="str">
        <f t="shared" si="36"/>
        <v/>
      </c>
      <c r="AI285">
        <v>1910</v>
      </c>
      <c r="AJ285" t="s">
        <v>291</v>
      </c>
      <c r="AK285" t="s">
        <v>1065</v>
      </c>
      <c r="AL285" s="245">
        <f t="shared" si="37"/>
        <v>136046088.5999994</v>
      </c>
      <c r="AM285" s="245">
        <f t="shared" si="38"/>
        <v>539472108.01795554</v>
      </c>
      <c r="AN285" s="245">
        <f t="shared" si="39"/>
        <v>0</v>
      </c>
      <c r="AO285" s="245">
        <f t="shared" si="40"/>
        <v>134092103.82199201</v>
      </c>
      <c r="AP285" s="176"/>
      <c r="AQ285" s="176"/>
      <c r="AR285">
        <v>1910</v>
      </c>
      <c r="AS285" t="s">
        <v>291</v>
      </c>
      <c r="AT285" t="s">
        <v>1065</v>
      </c>
      <c r="AU285" s="176">
        <v>19811214.934439</v>
      </c>
      <c r="AW285">
        <v>1910</v>
      </c>
      <c r="AX285" t="s">
        <v>291</v>
      </c>
      <c r="AY285" t="s">
        <v>1065</v>
      </c>
      <c r="AZ285" s="176">
        <v>34837981.707774997</v>
      </c>
      <c r="BA285" s="342" t="str">
        <f t="shared" si="43"/>
        <v/>
      </c>
      <c r="BB285">
        <v>1910</v>
      </c>
      <c r="BC285" t="s">
        <v>291</v>
      </c>
      <c r="BD285" t="s">
        <v>1065</v>
      </c>
      <c r="BE285" s="243">
        <f t="shared" si="44"/>
        <v>47681600.300659001</v>
      </c>
    </row>
    <row r="286" spans="1:57">
      <c r="A286">
        <v>1910</v>
      </c>
      <c r="B286" t="s">
        <v>291</v>
      </c>
      <c r="C286" t="s">
        <v>1064</v>
      </c>
      <c r="D286" s="176">
        <v>206976911.454404</v>
      </c>
      <c r="E286">
        <v>0</v>
      </c>
      <c r="G286">
        <v>1910</v>
      </c>
      <c r="H286" t="s">
        <v>291</v>
      </c>
      <c r="I286" t="s">
        <v>1064</v>
      </c>
      <c r="J286" s="176">
        <v>71326743.208874002</v>
      </c>
      <c r="K286">
        <v>0</v>
      </c>
      <c r="L286" s="342" t="str">
        <f t="shared" si="41"/>
        <v/>
      </c>
      <c r="M286">
        <v>1910</v>
      </c>
      <c r="N286" t="s">
        <v>291</v>
      </c>
      <c r="O286" t="s">
        <v>1064</v>
      </c>
      <c r="P286" s="243">
        <f t="shared" si="42"/>
        <v>264038306.02150321</v>
      </c>
      <c r="S286">
        <v>1910</v>
      </c>
      <c r="T286" t="s">
        <v>291</v>
      </c>
      <c r="U286" t="s">
        <v>1064</v>
      </c>
      <c r="V286" s="176">
        <v>79328659.984441996</v>
      </c>
      <c r="W286" s="176">
        <v>279575792.43997598</v>
      </c>
      <c r="X286" s="176">
        <v>2324710</v>
      </c>
      <c r="Y286" s="176">
        <v>75839605.647772998</v>
      </c>
      <c r="Z286" s="176"/>
      <c r="AA286">
        <v>1910</v>
      </c>
      <c r="AB286" s="176" t="s">
        <v>291</v>
      </c>
      <c r="AC286" s="176" t="s">
        <v>1064</v>
      </c>
      <c r="AD286" s="176">
        <v>79328659.984441996</v>
      </c>
      <c r="AE286" s="176">
        <v>279575792.43997598</v>
      </c>
      <c r="AF286" s="176">
        <v>2324710</v>
      </c>
      <c r="AG286" s="176">
        <v>75839605.647772998</v>
      </c>
      <c r="AH286" s="342" t="str">
        <f t="shared" si="36"/>
        <v/>
      </c>
      <c r="AI286">
        <v>1910</v>
      </c>
      <c r="AJ286" t="s">
        <v>291</v>
      </c>
      <c r="AK286" t="s">
        <v>1064</v>
      </c>
      <c r="AL286" s="245">
        <f t="shared" si="37"/>
        <v>142791587.97199559</v>
      </c>
      <c r="AM286" s="245">
        <f t="shared" si="38"/>
        <v>503236426.39195681</v>
      </c>
      <c r="AN286" s="245">
        <f t="shared" si="39"/>
        <v>4184478</v>
      </c>
      <c r="AO286" s="245">
        <f t="shared" si="40"/>
        <v>136511290.1659914</v>
      </c>
      <c r="AP286" s="176"/>
      <c r="AQ286" s="176"/>
      <c r="AR286">
        <v>1910</v>
      </c>
      <c r="AS286" t="s">
        <v>291</v>
      </c>
      <c r="AT286" t="s">
        <v>1064</v>
      </c>
      <c r="AU286" s="176">
        <v>37792619.323321998</v>
      </c>
      <c r="AW286">
        <v>1910</v>
      </c>
      <c r="AX286" t="s">
        <v>291</v>
      </c>
      <c r="AY286" t="s">
        <v>1064</v>
      </c>
      <c r="AZ286" s="176">
        <v>20157134.21111</v>
      </c>
      <c r="BA286" s="342" t="str">
        <f t="shared" si="43"/>
        <v/>
      </c>
      <c r="BB286">
        <v>1910</v>
      </c>
      <c r="BC286" t="s">
        <v>291</v>
      </c>
      <c r="BD286" t="s">
        <v>1064</v>
      </c>
      <c r="BE286" s="243">
        <f t="shared" si="44"/>
        <v>53918326.692209996</v>
      </c>
    </row>
    <row r="287" spans="1:57">
      <c r="A287">
        <v>1910</v>
      </c>
      <c r="B287" t="s">
        <v>291</v>
      </c>
      <c r="C287" t="s">
        <v>1735</v>
      </c>
      <c r="D287" s="176">
        <v>149513540.50436699</v>
      </c>
      <c r="E287">
        <v>0</v>
      </c>
      <c r="G287">
        <v>1910</v>
      </c>
      <c r="H287" t="s">
        <v>291</v>
      </c>
      <c r="I287" t="s">
        <v>1735</v>
      </c>
      <c r="J287" s="176">
        <v>72184428.381096005</v>
      </c>
      <c r="K287">
        <v>0</v>
      </c>
      <c r="L287" s="342" t="str">
        <f t="shared" si="41"/>
        <v/>
      </c>
      <c r="M287">
        <v>1910</v>
      </c>
      <c r="N287" t="s">
        <v>291</v>
      </c>
      <c r="O287" t="s">
        <v>1735</v>
      </c>
      <c r="P287" s="243">
        <f t="shared" si="42"/>
        <v>207261083.2092438</v>
      </c>
      <c r="S287">
        <v>1910</v>
      </c>
      <c r="T287" t="s">
        <v>291</v>
      </c>
      <c r="U287" t="s">
        <v>1735</v>
      </c>
      <c r="V287" s="176">
        <v>28881568.344441</v>
      </c>
      <c r="W287" s="176">
        <v>140778408.257745</v>
      </c>
      <c r="X287" s="176">
        <v>0</v>
      </c>
      <c r="Y287" s="176">
        <v>29525304.662222002</v>
      </c>
      <c r="Z287" s="176"/>
      <c r="AA287">
        <v>1910</v>
      </c>
      <c r="AB287" s="176" t="s">
        <v>291</v>
      </c>
      <c r="AC287" s="176" t="s">
        <v>1735</v>
      </c>
      <c r="AD287" s="176">
        <v>28881568.344441</v>
      </c>
      <c r="AE287" s="176">
        <v>140778408.257745</v>
      </c>
      <c r="AF287" s="176">
        <v>0</v>
      </c>
      <c r="AG287" s="176">
        <v>29525304.662222002</v>
      </c>
      <c r="AH287" s="342" t="str">
        <f t="shared" si="36"/>
        <v/>
      </c>
      <c r="AI287">
        <v>1910</v>
      </c>
      <c r="AJ287" t="s">
        <v>291</v>
      </c>
      <c r="AK287" t="s">
        <v>1735</v>
      </c>
      <c r="AL287" s="245">
        <f t="shared" si="37"/>
        <v>51986823.019993797</v>
      </c>
      <c r="AM287" s="245">
        <f t="shared" si="38"/>
        <v>253401134.86394101</v>
      </c>
      <c r="AN287" s="245">
        <f t="shared" si="39"/>
        <v>0</v>
      </c>
      <c r="AO287" s="245">
        <f t="shared" si="40"/>
        <v>53145548.391999602</v>
      </c>
      <c r="AP287" s="176"/>
      <c r="AQ287" s="176"/>
      <c r="AR287">
        <v>1910</v>
      </c>
      <c r="AS287" t="s">
        <v>291</v>
      </c>
      <c r="AT287" t="s">
        <v>1735</v>
      </c>
      <c r="AU287" s="176">
        <v>153819484.214439</v>
      </c>
      <c r="AW287">
        <v>1910</v>
      </c>
      <c r="AX287" t="s">
        <v>291</v>
      </c>
      <c r="AY287" t="s">
        <v>1735</v>
      </c>
      <c r="AZ287" s="176">
        <v>161491708.91444099</v>
      </c>
      <c r="BA287" s="342" t="str">
        <f t="shared" si="43"/>
        <v/>
      </c>
      <c r="BB287">
        <v>1910</v>
      </c>
      <c r="BC287" t="s">
        <v>291</v>
      </c>
      <c r="BD287" t="s">
        <v>1735</v>
      </c>
      <c r="BE287" s="243">
        <f t="shared" si="44"/>
        <v>283012851.34599179</v>
      </c>
    </row>
    <row r="288" spans="1:57">
      <c r="A288">
        <v>1920</v>
      </c>
      <c r="B288" t="s">
        <v>292</v>
      </c>
      <c r="C288" t="s">
        <v>1067</v>
      </c>
      <c r="D288" s="176">
        <v>127242249.856572</v>
      </c>
      <c r="E288">
        <v>0</v>
      </c>
      <c r="G288">
        <v>1920</v>
      </c>
      <c r="H288" t="s">
        <v>292</v>
      </c>
      <c r="I288" t="s">
        <v>1067</v>
      </c>
      <c r="J288" s="176">
        <v>40918165.082206003</v>
      </c>
      <c r="K288">
        <v>0</v>
      </c>
      <c r="L288" s="342" t="str">
        <f t="shared" si="41"/>
        <v/>
      </c>
      <c r="M288">
        <v>1920</v>
      </c>
      <c r="N288" t="s">
        <v>292</v>
      </c>
      <c r="O288" t="s">
        <v>1067</v>
      </c>
      <c r="P288" s="243">
        <f t="shared" si="42"/>
        <v>159976781.92233682</v>
      </c>
      <c r="S288">
        <v>1920</v>
      </c>
      <c r="T288" t="s">
        <v>292</v>
      </c>
      <c r="U288" t="s">
        <v>1067</v>
      </c>
      <c r="V288" s="176">
        <v>74975730.694443002</v>
      </c>
      <c r="W288" s="176">
        <v>386319052.43107098</v>
      </c>
      <c r="X288" s="176">
        <v>3000000</v>
      </c>
      <c r="Y288" s="176">
        <v>52780324.44444</v>
      </c>
      <c r="Z288" s="176"/>
      <c r="AA288">
        <v>1920</v>
      </c>
      <c r="AB288" s="176" t="s">
        <v>292</v>
      </c>
      <c r="AC288" s="176" t="s">
        <v>1067</v>
      </c>
      <c r="AD288" s="176">
        <v>74975730.694443002</v>
      </c>
      <c r="AE288" s="176">
        <v>386319052.43107098</v>
      </c>
      <c r="AF288" s="176">
        <v>3000000</v>
      </c>
      <c r="AG288" s="176">
        <v>52780324.44444</v>
      </c>
      <c r="AH288" s="342" t="str">
        <f t="shared" si="36"/>
        <v/>
      </c>
      <c r="AI288">
        <v>1920</v>
      </c>
      <c r="AJ288" t="s">
        <v>292</v>
      </c>
      <c r="AK288" t="s">
        <v>1067</v>
      </c>
      <c r="AL288" s="245">
        <f t="shared" si="37"/>
        <v>134956315.24999741</v>
      </c>
      <c r="AM288" s="245">
        <f t="shared" si="38"/>
        <v>695374294.37592781</v>
      </c>
      <c r="AN288" s="245">
        <f t="shared" si="39"/>
        <v>5400000</v>
      </c>
      <c r="AO288" s="245">
        <f t="shared" si="40"/>
        <v>95004583.999992013</v>
      </c>
      <c r="AP288" s="176"/>
      <c r="AQ288" s="176"/>
      <c r="AR288">
        <v>1920</v>
      </c>
      <c r="AS288" t="s">
        <v>292</v>
      </c>
      <c r="AT288" t="s">
        <v>1067</v>
      </c>
      <c r="AU288" s="176">
        <v>34157277.026656002</v>
      </c>
      <c r="AW288">
        <v>1920</v>
      </c>
      <c r="AX288" t="s">
        <v>292</v>
      </c>
      <c r="AY288" t="s">
        <v>1067</v>
      </c>
      <c r="AZ288" s="176">
        <v>11971049.689998001</v>
      </c>
      <c r="BA288" s="342" t="str">
        <f t="shared" si="43"/>
        <v/>
      </c>
      <c r="BB288">
        <v>1920</v>
      </c>
      <c r="BC288" t="s">
        <v>292</v>
      </c>
      <c r="BD288" t="s">
        <v>1067</v>
      </c>
      <c r="BE288" s="243">
        <f t="shared" si="44"/>
        <v>43734116.778654404</v>
      </c>
    </row>
    <row r="289" spans="1:57">
      <c r="A289">
        <v>1920</v>
      </c>
      <c r="B289" t="s">
        <v>292</v>
      </c>
      <c r="C289" t="s">
        <v>1066</v>
      </c>
      <c r="D289" s="176">
        <v>242385259.36215001</v>
      </c>
      <c r="E289">
        <v>0</v>
      </c>
      <c r="G289">
        <v>1920</v>
      </c>
      <c r="H289" t="s">
        <v>292</v>
      </c>
      <c r="I289" t="s">
        <v>1066</v>
      </c>
      <c r="J289" s="176">
        <v>117833681.674429</v>
      </c>
      <c r="K289">
        <v>0</v>
      </c>
      <c r="L289" s="342" t="str">
        <f t="shared" si="41"/>
        <v/>
      </c>
      <c r="M289">
        <v>1920</v>
      </c>
      <c r="N289" t="s">
        <v>292</v>
      </c>
      <c r="O289" t="s">
        <v>1066</v>
      </c>
      <c r="P289" s="243">
        <f t="shared" si="42"/>
        <v>336652204.70169324</v>
      </c>
      <c r="S289">
        <v>1920</v>
      </c>
      <c r="T289" t="s">
        <v>292</v>
      </c>
      <c r="U289" t="s">
        <v>1066</v>
      </c>
      <c r="V289" s="176">
        <v>74445595.868888006</v>
      </c>
      <c r="W289" s="176">
        <v>412128308.37107998</v>
      </c>
      <c r="X289" s="176">
        <v>0</v>
      </c>
      <c r="Y289" s="176">
        <v>11037324.444443</v>
      </c>
      <c r="Z289" s="176"/>
      <c r="AA289">
        <v>1920</v>
      </c>
      <c r="AB289" s="176" t="s">
        <v>292</v>
      </c>
      <c r="AC289" s="176" t="s">
        <v>1066</v>
      </c>
      <c r="AD289" s="176">
        <v>74445595.868888006</v>
      </c>
      <c r="AE289" s="176">
        <v>412128308.37107998</v>
      </c>
      <c r="AF289" s="176">
        <v>0</v>
      </c>
      <c r="AG289" s="176">
        <v>11037324.444443</v>
      </c>
      <c r="AH289" s="342" t="str">
        <f t="shared" si="36"/>
        <v/>
      </c>
      <c r="AI289">
        <v>1920</v>
      </c>
      <c r="AJ289" t="s">
        <v>292</v>
      </c>
      <c r="AK289" t="s">
        <v>1066</v>
      </c>
      <c r="AL289" s="245">
        <f t="shared" si="37"/>
        <v>134002072.56399842</v>
      </c>
      <c r="AM289" s="245">
        <f t="shared" si="38"/>
        <v>741830955.06794405</v>
      </c>
      <c r="AN289" s="245">
        <f t="shared" si="39"/>
        <v>0</v>
      </c>
      <c r="AO289" s="245">
        <f t="shared" si="40"/>
        <v>19867183.9999974</v>
      </c>
      <c r="AP289" s="176"/>
      <c r="AQ289" s="176"/>
      <c r="AR289">
        <v>1920</v>
      </c>
      <c r="AS289" t="s">
        <v>292</v>
      </c>
      <c r="AT289" t="s">
        <v>1066</v>
      </c>
      <c r="AU289" s="176">
        <v>2422209.0355529999</v>
      </c>
      <c r="AW289">
        <v>1920</v>
      </c>
      <c r="AX289" t="s">
        <v>292</v>
      </c>
      <c r="AY289" t="s">
        <v>1066</v>
      </c>
      <c r="AZ289" s="176">
        <v>4946089.4111090004</v>
      </c>
      <c r="BA289" s="342" t="str">
        <f t="shared" si="43"/>
        <v/>
      </c>
      <c r="BB289">
        <v>1920</v>
      </c>
      <c r="BC289" t="s">
        <v>292</v>
      </c>
      <c r="BD289" t="s">
        <v>1066</v>
      </c>
      <c r="BE289" s="243">
        <f t="shared" si="44"/>
        <v>6379080.5644402001</v>
      </c>
    </row>
    <row r="290" spans="1:57">
      <c r="A290">
        <v>1920</v>
      </c>
      <c r="B290" t="s">
        <v>292</v>
      </c>
      <c r="C290" t="s">
        <v>1954</v>
      </c>
      <c r="D290" s="176">
        <v>74806694.773293003</v>
      </c>
      <c r="E290">
        <v>0</v>
      </c>
      <c r="G290">
        <v>1920</v>
      </c>
      <c r="H290" t="s">
        <v>292</v>
      </c>
      <c r="I290" t="s">
        <v>1954</v>
      </c>
      <c r="J290" s="176">
        <v>35907818.008882001</v>
      </c>
      <c r="K290">
        <v>0</v>
      </c>
      <c r="L290" s="342" t="str">
        <f t="shared" si="41"/>
        <v/>
      </c>
      <c r="M290">
        <v>1920</v>
      </c>
      <c r="N290" t="s">
        <v>292</v>
      </c>
      <c r="O290" t="s">
        <v>1954</v>
      </c>
      <c r="P290" s="243">
        <f t="shared" si="42"/>
        <v>103532949.18039861</v>
      </c>
      <c r="S290">
        <v>1920</v>
      </c>
      <c r="T290" t="s">
        <v>292</v>
      </c>
      <c r="U290" t="s">
        <v>1954</v>
      </c>
      <c r="V290" s="176">
        <v>25946134.158886999</v>
      </c>
      <c r="W290" s="176">
        <v>80915115.619972005</v>
      </c>
      <c r="X290" s="176">
        <v>0</v>
      </c>
      <c r="Y290" s="176">
        <v>3987350</v>
      </c>
      <c r="Z290" s="176"/>
      <c r="AA290">
        <v>1920</v>
      </c>
      <c r="AB290" s="176" t="s">
        <v>292</v>
      </c>
      <c r="AC290" s="176" t="s">
        <v>1954</v>
      </c>
      <c r="AD290" s="176">
        <v>25946134.158886999</v>
      </c>
      <c r="AE290" s="176">
        <v>80915115.619972005</v>
      </c>
      <c r="AF290">
        <v>0</v>
      </c>
      <c r="AG290" s="176">
        <v>3987350</v>
      </c>
      <c r="AH290" s="342" t="str">
        <f t="shared" si="36"/>
        <v/>
      </c>
      <c r="AI290">
        <v>1920</v>
      </c>
      <c r="AJ290" t="s">
        <v>292</v>
      </c>
      <c r="AK290" t="s">
        <v>1954</v>
      </c>
      <c r="AL290" s="245">
        <f t="shared" si="37"/>
        <v>46703041.485996604</v>
      </c>
      <c r="AM290" s="245">
        <f t="shared" si="38"/>
        <v>145647208.11594963</v>
      </c>
      <c r="AN290" s="245">
        <f t="shared" si="39"/>
        <v>0</v>
      </c>
      <c r="AO290" s="245">
        <f t="shared" si="40"/>
        <v>7177230</v>
      </c>
      <c r="AP290" s="176"/>
      <c r="AQ290" s="176"/>
      <c r="AR290">
        <v>1920</v>
      </c>
      <c r="AS290" t="s">
        <v>292</v>
      </c>
      <c r="AT290" t="s">
        <v>1954</v>
      </c>
      <c r="AU290" s="176">
        <v>7818165.731106</v>
      </c>
      <c r="AW290">
        <v>1920</v>
      </c>
      <c r="AX290" t="s">
        <v>292</v>
      </c>
      <c r="AY290" t="s">
        <v>1954</v>
      </c>
      <c r="AZ290" s="176">
        <v>58078.116666000002</v>
      </c>
      <c r="BA290" s="342" t="str">
        <f t="shared" si="43"/>
        <v/>
      </c>
      <c r="BB290">
        <v>1920</v>
      </c>
      <c r="BC290" t="s">
        <v>292</v>
      </c>
      <c r="BD290" t="s">
        <v>1954</v>
      </c>
      <c r="BE290" s="243">
        <f t="shared" si="44"/>
        <v>7864628.2244388005</v>
      </c>
    </row>
    <row r="291" spans="1:57">
      <c r="A291">
        <v>1920</v>
      </c>
      <c r="B291" t="s">
        <v>292</v>
      </c>
      <c r="C291" t="s">
        <v>1955</v>
      </c>
      <c r="D291" s="176">
        <v>74463234.419956997</v>
      </c>
      <c r="E291">
        <v>0</v>
      </c>
      <c r="G291">
        <v>1920</v>
      </c>
      <c r="H291" t="s">
        <v>292</v>
      </c>
      <c r="I291" t="s">
        <v>1955</v>
      </c>
      <c r="J291" s="176">
        <v>71407266.657767996</v>
      </c>
      <c r="K291">
        <v>0</v>
      </c>
      <c r="L291" s="342" t="str">
        <f t="shared" si="41"/>
        <v/>
      </c>
      <c r="M291">
        <v>1920</v>
      </c>
      <c r="N291" t="s">
        <v>292</v>
      </c>
      <c r="O291" t="s">
        <v>1955</v>
      </c>
      <c r="P291" s="243">
        <f t="shared" si="42"/>
        <v>131589047.7461714</v>
      </c>
      <c r="S291">
        <v>1920</v>
      </c>
      <c r="T291" t="s">
        <v>292</v>
      </c>
      <c r="U291" t="s">
        <v>1955</v>
      </c>
      <c r="V291" s="176">
        <v>17605403.984444</v>
      </c>
      <c r="W291" s="176">
        <v>106475260.13996901</v>
      </c>
      <c r="X291">
        <v>2000000</v>
      </c>
      <c r="Y291" s="176">
        <v>26188677.777777001</v>
      </c>
      <c r="Z291" s="176"/>
      <c r="AA291">
        <v>1920</v>
      </c>
      <c r="AB291" s="176" t="s">
        <v>292</v>
      </c>
      <c r="AC291" s="176" t="s">
        <v>1955</v>
      </c>
      <c r="AD291" s="176">
        <v>17605403.984444</v>
      </c>
      <c r="AE291" s="176">
        <v>106475260.13996901</v>
      </c>
      <c r="AF291">
        <v>2000000</v>
      </c>
      <c r="AG291" s="176">
        <v>26188677.777777001</v>
      </c>
      <c r="AH291" s="342" t="str">
        <f t="shared" si="36"/>
        <v/>
      </c>
      <c r="AI291">
        <v>1920</v>
      </c>
      <c r="AJ291" t="s">
        <v>292</v>
      </c>
      <c r="AK291" t="s">
        <v>1955</v>
      </c>
      <c r="AL291" s="245">
        <f t="shared" si="37"/>
        <v>31689727.171999201</v>
      </c>
      <c r="AM291" s="245">
        <f t="shared" si="38"/>
        <v>191655468.25194421</v>
      </c>
      <c r="AN291" s="245">
        <f t="shared" si="39"/>
        <v>3600000</v>
      </c>
      <c r="AO291" s="245">
        <f t="shared" si="40"/>
        <v>47139619.999998599</v>
      </c>
      <c r="AP291" s="176"/>
      <c r="AQ291" s="176"/>
      <c r="AR291">
        <v>1920</v>
      </c>
      <c r="AS291" t="s">
        <v>292</v>
      </c>
      <c r="AT291" t="s">
        <v>1955</v>
      </c>
      <c r="AU291" s="176">
        <v>3678842.7233310002</v>
      </c>
      <c r="AW291">
        <v>1920</v>
      </c>
      <c r="AX291" t="s">
        <v>292</v>
      </c>
      <c r="AY291" t="s">
        <v>1955</v>
      </c>
      <c r="AZ291">
        <v>39420.741111000003</v>
      </c>
      <c r="BA291" s="342" t="str">
        <f t="shared" si="43"/>
        <v/>
      </c>
      <c r="BB291">
        <v>1920</v>
      </c>
      <c r="BC291" t="s">
        <v>292</v>
      </c>
      <c r="BD291" t="s">
        <v>1955</v>
      </c>
      <c r="BE291" s="243">
        <f t="shared" si="44"/>
        <v>3710379.3162198002</v>
      </c>
    </row>
    <row r="292" spans="1:57">
      <c r="A292">
        <v>1930</v>
      </c>
      <c r="B292" t="s">
        <v>293</v>
      </c>
      <c r="C292" t="s">
        <v>1069</v>
      </c>
      <c r="D292" s="176">
        <v>128297521.157695</v>
      </c>
      <c r="E292">
        <v>0</v>
      </c>
      <c r="G292">
        <v>1930</v>
      </c>
      <c r="H292" t="s">
        <v>293</v>
      </c>
      <c r="I292" t="s">
        <v>1069</v>
      </c>
      <c r="J292" s="176">
        <v>56526215.209986001</v>
      </c>
      <c r="K292">
        <v>0</v>
      </c>
      <c r="L292" s="342" t="str">
        <f t="shared" si="41"/>
        <v/>
      </c>
      <c r="M292">
        <v>1930</v>
      </c>
      <c r="N292" t="s">
        <v>293</v>
      </c>
      <c r="O292" t="s">
        <v>1069</v>
      </c>
      <c r="P292" s="243">
        <f t="shared" si="42"/>
        <v>173518493.3256838</v>
      </c>
      <c r="S292">
        <v>1930</v>
      </c>
      <c r="T292" t="s">
        <v>293</v>
      </c>
      <c r="U292" t="s">
        <v>1069</v>
      </c>
      <c r="V292" s="176">
        <v>34913014.20222</v>
      </c>
      <c r="W292" s="176">
        <v>153205336.31331</v>
      </c>
      <c r="X292" s="176">
        <v>500000</v>
      </c>
      <c r="Y292" s="176">
        <v>33012196.379996002</v>
      </c>
      <c r="Z292" s="176"/>
      <c r="AA292">
        <v>1930</v>
      </c>
      <c r="AB292" s="176" t="s">
        <v>293</v>
      </c>
      <c r="AC292" s="176" t="s">
        <v>1069</v>
      </c>
      <c r="AD292" s="176">
        <v>34913014.20222</v>
      </c>
      <c r="AE292" s="176">
        <v>153205336.31331</v>
      </c>
      <c r="AF292">
        <v>500000</v>
      </c>
      <c r="AG292" s="176">
        <v>33012196.379996002</v>
      </c>
      <c r="AH292" s="342" t="str">
        <f t="shared" si="36"/>
        <v/>
      </c>
      <c r="AI292">
        <v>1930</v>
      </c>
      <c r="AJ292" t="s">
        <v>293</v>
      </c>
      <c r="AK292" t="s">
        <v>1069</v>
      </c>
      <c r="AL292" s="245">
        <f t="shared" si="37"/>
        <v>62843425.563996002</v>
      </c>
      <c r="AM292" s="245">
        <f t="shared" si="38"/>
        <v>275769605.363958</v>
      </c>
      <c r="AN292" s="245">
        <f t="shared" si="39"/>
        <v>900000</v>
      </c>
      <c r="AO292" s="245">
        <f t="shared" si="40"/>
        <v>59421953.4839928</v>
      </c>
      <c r="AP292" s="176"/>
      <c r="AQ292" s="176"/>
      <c r="AR292">
        <v>1930</v>
      </c>
      <c r="AS292" t="s">
        <v>293</v>
      </c>
      <c r="AT292" t="s">
        <v>1069</v>
      </c>
      <c r="AU292" s="176">
        <v>37692258.882206999</v>
      </c>
      <c r="AW292">
        <v>1930</v>
      </c>
      <c r="AX292" t="s">
        <v>293</v>
      </c>
      <c r="AY292" t="s">
        <v>1069</v>
      </c>
      <c r="AZ292" s="176">
        <v>89738384.015550002</v>
      </c>
      <c r="BA292" s="342" t="str">
        <f t="shared" si="43"/>
        <v/>
      </c>
      <c r="BB292">
        <v>1930</v>
      </c>
      <c r="BC292" t="s">
        <v>293</v>
      </c>
      <c r="BD292" t="s">
        <v>1069</v>
      </c>
      <c r="BE292" s="243">
        <f t="shared" si="44"/>
        <v>109482966.09464699</v>
      </c>
    </row>
    <row r="293" spans="1:57">
      <c r="A293">
        <v>1930</v>
      </c>
      <c r="B293" t="s">
        <v>293</v>
      </c>
      <c r="C293" t="s">
        <v>1068</v>
      </c>
      <c r="D293" s="176">
        <v>303477411.89549899</v>
      </c>
      <c r="E293">
        <v>0</v>
      </c>
      <c r="G293">
        <v>1930</v>
      </c>
      <c r="H293" t="s">
        <v>293</v>
      </c>
      <c r="I293" t="s">
        <v>1068</v>
      </c>
      <c r="J293" s="176">
        <v>254923854.79886499</v>
      </c>
      <c r="K293">
        <v>0</v>
      </c>
      <c r="L293" s="342" t="str">
        <f t="shared" si="41"/>
        <v/>
      </c>
      <c r="M293">
        <v>1930</v>
      </c>
      <c r="N293" t="s">
        <v>293</v>
      </c>
      <c r="O293" t="s">
        <v>1068</v>
      </c>
      <c r="P293" s="243">
        <f t="shared" si="42"/>
        <v>507416495.73459101</v>
      </c>
      <c r="S293">
        <v>1930</v>
      </c>
      <c r="T293" t="s">
        <v>293</v>
      </c>
      <c r="U293" t="s">
        <v>1068</v>
      </c>
      <c r="V293" s="176">
        <v>86426284.176666006</v>
      </c>
      <c r="W293" s="176">
        <v>207106187.77109399</v>
      </c>
      <c r="X293">
        <v>500000</v>
      </c>
      <c r="Y293" s="176">
        <v>53464558.598885998</v>
      </c>
      <c r="Z293" s="176"/>
      <c r="AA293">
        <v>1930</v>
      </c>
      <c r="AB293" s="176" t="s">
        <v>293</v>
      </c>
      <c r="AC293" s="176" t="s">
        <v>1068</v>
      </c>
      <c r="AD293" s="176">
        <v>86426284.176666006</v>
      </c>
      <c r="AE293" s="176">
        <v>207106187.77109399</v>
      </c>
      <c r="AF293">
        <v>500000</v>
      </c>
      <c r="AG293" s="176">
        <v>53464558.598885998</v>
      </c>
      <c r="AH293" s="342" t="str">
        <f t="shared" si="36"/>
        <v/>
      </c>
      <c r="AI293">
        <v>1930</v>
      </c>
      <c r="AJ293" t="s">
        <v>293</v>
      </c>
      <c r="AK293" t="s">
        <v>1068</v>
      </c>
      <c r="AL293" s="245">
        <f t="shared" si="37"/>
        <v>155567311.51799881</v>
      </c>
      <c r="AM293" s="245">
        <f t="shared" si="38"/>
        <v>372791137.98796916</v>
      </c>
      <c r="AN293" s="245">
        <f t="shared" si="39"/>
        <v>900000</v>
      </c>
      <c r="AO293" s="245">
        <f t="shared" si="40"/>
        <v>96236205.4779948</v>
      </c>
      <c r="AP293" s="176"/>
      <c r="AQ293" s="176"/>
      <c r="AR293">
        <v>1930</v>
      </c>
      <c r="AS293" t="s">
        <v>293</v>
      </c>
      <c r="AT293" t="s">
        <v>1068</v>
      </c>
      <c r="AU293" s="176">
        <v>42820823.019987002</v>
      </c>
      <c r="AW293">
        <v>1930</v>
      </c>
      <c r="AX293" t="s">
        <v>293</v>
      </c>
      <c r="AY293" t="s">
        <v>1068</v>
      </c>
      <c r="AZ293" s="176">
        <v>51752228.098880999</v>
      </c>
      <c r="BA293" s="342" t="str">
        <f t="shared" si="43"/>
        <v/>
      </c>
      <c r="BB293">
        <v>1930</v>
      </c>
      <c r="BC293" t="s">
        <v>293</v>
      </c>
      <c r="BD293" t="s">
        <v>1068</v>
      </c>
      <c r="BE293" s="243">
        <f t="shared" si="44"/>
        <v>84222605.499091804</v>
      </c>
    </row>
    <row r="294" spans="1:57">
      <c r="A294">
        <v>1930</v>
      </c>
      <c r="B294" t="s">
        <v>293</v>
      </c>
      <c r="C294" t="s">
        <v>1736</v>
      </c>
      <c r="D294" s="176">
        <v>156378180.639909</v>
      </c>
      <c r="E294">
        <v>0</v>
      </c>
      <c r="G294">
        <v>1930</v>
      </c>
      <c r="H294" t="s">
        <v>293</v>
      </c>
      <c r="I294" t="s">
        <v>1736</v>
      </c>
      <c r="J294" s="176">
        <v>59267415.263316996</v>
      </c>
      <c r="K294">
        <v>0</v>
      </c>
      <c r="L294" s="342" t="str">
        <f t="shared" si="41"/>
        <v/>
      </c>
      <c r="M294">
        <v>1930</v>
      </c>
      <c r="N294" t="s">
        <v>293</v>
      </c>
      <c r="O294" t="s">
        <v>1736</v>
      </c>
      <c r="P294" s="243">
        <f t="shared" si="42"/>
        <v>203792112.8505626</v>
      </c>
      <c r="S294">
        <v>1930</v>
      </c>
      <c r="T294" t="s">
        <v>293</v>
      </c>
      <c r="U294" t="s">
        <v>1736</v>
      </c>
      <c r="V294" s="176">
        <v>38010619.765555002</v>
      </c>
      <c r="W294" s="176">
        <v>193645069.563301</v>
      </c>
      <c r="X294">
        <v>0</v>
      </c>
      <c r="Y294" s="176">
        <v>47372298.588886999</v>
      </c>
      <c r="Z294" s="176"/>
      <c r="AA294">
        <v>1930</v>
      </c>
      <c r="AB294" s="176" t="s">
        <v>293</v>
      </c>
      <c r="AC294" s="176" t="s">
        <v>1736</v>
      </c>
      <c r="AD294" s="176">
        <v>38010619.765555002</v>
      </c>
      <c r="AE294" s="176">
        <v>193645069.563301</v>
      </c>
      <c r="AF294">
        <v>0</v>
      </c>
      <c r="AG294" s="176">
        <v>47372298.588886999</v>
      </c>
      <c r="AH294" s="342" t="str">
        <f t="shared" si="36"/>
        <v/>
      </c>
      <c r="AI294">
        <v>1930</v>
      </c>
      <c r="AJ294" t="s">
        <v>293</v>
      </c>
      <c r="AK294" t="s">
        <v>1736</v>
      </c>
      <c r="AL294" s="245">
        <f t="shared" si="37"/>
        <v>68419115.577998996</v>
      </c>
      <c r="AM294" s="245">
        <f t="shared" si="38"/>
        <v>348561125.21394181</v>
      </c>
      <c r="AN294" s="245">
        <f t="shared" si="39"/>
        <v>0</v>
      </c>
      <c r="AO294" s="245">
        <f t="shared" si="40"/>
        <v>85270137.459996596</v>
      </c>
      <c r="AP294" s="176"/>
      <c r="AQ294" s="176"/>
      <c r="AR294">
        <v>1930</v>
      </c>
      <c r="AS294" t="s">
        <v>293</v>
      </c>
      <c r="AT294" t="s">
        <v>1736</v>
      </c>
      <c r="AU294" s="176">
        <v>45921214.008869998</v>
      </c>
      <c r="AW294">
        <v>1930</v>
      </c>
      <c r="AX294" t="s">
        <v>293</v>
      </c>
      <c r="AY294" t="s">
        <v>1736</v>
      </c>
      <c r="AZ294" s="176">
        <v>38590024.572218001</v>
      </c>
      <c r="BA294" s="342" t="str">
        <f t="shared" si="43"/>
        <v/>
      </c>
      <c r="BB294">
        <v>1930</v>
      </c>
      <c r="BC294" t="s">
        <v>293</v>
      </c>
      <c r="BD294" t="s">
        <v>1736</v>
      </c>
      <c r="BE294" s="243">
        <f t="shared" si="44"/>
        <v>76793233.666644394</v>
      </c>
    </row>
    <row r="295" spans="1:57">
      <c r="A295">
        <v>1930</v>
      </c>
      <c r="B295" t="s">
        <v>293</v>
      </c>
      <c r="C295" t="s">
        <v>1688</v>
      </c>
      <c r="D295" s="176">
        <v>74643739.338808</v>
      </c>
      <c r="E295">
        <v>0</v>
      </c>
      <c r="G295">
        <v>1930</v>
      </c>
      <c r="H295" t="s">
        <v>293</v>
      </c>
      <c r="I295" t="s">
        <v>1688</v>
      </c>
      <c r="J295" s="176">
        <v>17236573.091097001</v>
      </c>
      <c r="K295">
        <v>0</v>
      </c>
      <c r="L295" s="342" t="str">
        <f t="shared" si="41"/>
        <v/>
      </c>
      <c r="M295">
        <v>1930</v>
      </c>
      <c r="N295" t="s">
        <v>293</v>
      </c>
      <c r="O295" t="s">
        <v>1688</v>
      </c>
      <c r="P295" s="243">
        <f t="shared" si="42"/>
        <v>88432997.811685607</v>
      </c>
      <c r="S295">
        <v>1930</v>
      </c>
      <c r="T295" t="s">
        <v>293</v>
      </c>
      <c r="U295" t="s">
        <v>1688</v>
      </c>
      <c r="V295" s="176">
        <v>38753120.778888002</v>
      </c>
      <c r="W295" s="176">
        <v>145199758.365536</v>
      </c>
      <c r="X295" s="176">
        <v>0</v>
      </c>
      <c r="Y295" s="176">
        <v>37348871.706666</v>
      </c>
      <c r="Z295" s="176"/>
      <c r="AA295">
        <v>1930</v>
      </c>
      <c r="AB295" s="176" t="s">
        <v>293</v>
      </c>
      <c r="AC295" s="176" t="s">
        <v>1688</v>
      </c>
      <c r="AD295" s="176">
        <v>38753120.778888002</v>
      </c>
      <c r="AE295" s="176">
        <v>145199758.365536</v>
      </c>
      <c r="AF295" s="176">
        <v>0</v>
      </c>
      <c r="AG295" s="176">
        <v>37348871.706666</v>
      </c>
      <c r="AH295" s="342" t="str">
        <f t="shared" si="36"/>
        <v/>
      </c>
      <c r="AI295">
        <v>1930</v>
      </c>
      <c r="AJ295" t="s">
        <v>293</v>
      </c>
      <c r="AK295" t="s">
        <v>1688</v>
      </c>
      <c r="AL295" s="245">
        <f t="shared" si="37"/>
        <v>69755617.401998401</v>
      </c>
      <c r="AM295" s="245">
        <f t="shared" si="38"/>
        <v>261359565.0579648</v>
      </c>
      <c r="AN295" s="245">
        <f t="shared" si="39"/>
        <v>0</v>
      </c>
      <c r="AO295" s="245">
        <f t="shared" si="40"/>
        <v>67227969.071998805</v>
      </c>
      <c r="AP295" s="176"/>
      <c r="AQ295" s="176"/>
      <c r="AR295">
        <v>1930</v>
      </c>
      <c r="AS295" t="s">
        <v>293</v>
      </c>
      <c r="AT295" t="s">
        <v>1688</v>
      </c>
      <c r="AU295" s="176">
        <v>10036570.572214</v>
      </c>
      <c r="AW295">
        <v>1930</v>
      </c>
      <c r="AX295" t="s">
        <v>293</v>
      </c>
      <c r="AY295" t="s">
        <v>1688</v>
      </c>
      <c r="AZ295">
        <v>1705613.2277770001</v>
      </c>
      <c r="BA295" s="342" t="str">
        <f t="shared" si="43"/>
        <v/>
      </c>
      <c r="BB295">
        <v>1930</v>
      </c>
      <c r="BC295" t="s">
        <v>293</v>
      </c>
      <c r="BD295" t="s">
        <v>1688</v>
      </c>
      <c r="BE295" s="243">
        <f t="shared" si="44"/>
        <v>11401061.154435601</v>
      </c>
    </row>
    <row r="296" spans="1:57">
      <c r="A296">
        <v>1940</v>
      </c>
      <c r="B296" t="s">
        <v>294</v>
      </c>
      <c r="C296" t="s">
        <v>1070</v>
      </c>
      <c r="D296" s="176">
        <v>236942716.39987299</v>
      </c>
      <c r="E296">
        <v>0</v>
      </c>
      <c r="G296">
        <v>1940</v>
      </c>
      <c r="H296" t="s">
        <v>294</v>
      </c>
      <c r="I296" t="s">
        <v>1070</v>
      </c>
      <c r="J296" s="176">
        <v>130621515.77664</v>
      </c>
      <c r="K296">
        <v>0</v>
      </c>
      <c r="L296" s="342" t="str">
        <f t="shared" si="41"/>
        <v/>
      </c>
      <c r="M296">
        <v>1940</v>
      </c>
      <c r="N296" t="s">
        <v>294</v>
      </c>
      <c r="O296" t="s">
        <v>1070</v>
      </c>
      <c r="P296" s="243">
        <f t="shared" si="42"/>
        <v>341439929.02118498</v>
      </c>
      <c r="S296">
        <v>1940</v>
      </c>
      <c r="T296" t="s">
        <v>294</v>
      </c>
      <c r="U296" t="s">
        <v>1070</v>
      </c>
      <c r="V296" s="176">
        <v>68182884.739997998</v>
      </c>
      <c r="W296" s="176">
        <v>270845882.87882602</v>
      </c>
      <c r="X296" s="176">
        <v>0</v>
      </c>
      <c r="Y296" s="176">
        <v>25390854.717774998</v>
      </c>
      <c r="Z296" s="176"/>
      <c r="AA296">
        <v>1940</v>
      </c>
      <c r="AB296" s="176" t="s">
        <v>294</v>
      </c>
      <c r="AC296" s="176" t="s">
        <v>1070</v>
      </c>
      <c r="AD296" s="176">
        <v>68182884.739997998</v>
      </c>
      <c r="AE296" s="176">
        <v>270845882.87882602</v>
      </c>
      <c r="AF296">
        <v>0</v>
      </c>
      <c r="AG296" s="176">
        <v>25390854.717774998</v>
      </c>
      <c r="AH296" s="342" t="str">
        <f t="shared" si="36"/>
        <v/>
      </c>
      <c r="AI296">
        <v>1940</v>
      </c>
      <c r="AJ296" t="s">
        <v>294</v>
      </c>
      <c r="AK296" t="s">
        <v>1070</v>
      </c>
      <c r="AL296" s="245">
        <f t="shared" si="37"/>
        <v>122729192.5319964</v>
      </c>
      <c r="AM296" s="245">
        <f t="shared" si="38"/>
        <v>487522589.18188685</v>
      </c>
      <c r="AN296" s="245">
        <f t="shared" si="39"/>
        <v>0</v>
      </c>
      <c r="AO296" s="245">
        <f t="shared" si="40"/>
        <v>45703538.491994999</v>
      </c>
      <c r="AP296" s="176"/>
      <c r="AQ296" s="176"/>
      <c r="AR296">
        <v>1940</v>
      </c>
      <c r="AS296" t="s">
        <v>294</v>
      </c>
      <c r="AT296" t="s">
        <v>1070</v>
      </c>
      <c r="AU296" s="176">
        <v>42695913.278866</v>
      </c>
      <c r="AW296">
        <v>1940</v>
      </c>
      <c r="AX296" t="s">
        <v>294</v>
      </c>
      <c r="AY296" t="s">
        <v>1070</v>
      </c>
      <c r="AZ296">
        <v>19571732.467769001</v>
      </c>
      <c r="BA296" s="342" t="str">
        <f t="shared" si="43"/>
        <v/>
      </c>
      <c r="BB296">
        <v>1940</v>
      </c>
      <c r="BC296" t="s">
        <v>294</v>
      </c>
      <c r="BD296" t="s">
        <v>1070</v>
      </c>
      <c r="BE296" s="243">
        <f t="shared" si="44"/>
        <v>58353299.253081203</v>
      </c>
    </row>
    <row r="297" spans="1:57">
      <c r="A297">
        <v>1940</v>
      </c>
      <c r="B297" t="s">
        <v>294</v>
      </c>
      <c r="C297" t="s">
        <v>1737</v>
      </c>
      <c r="D297" s="176">
        <v>75455306.619969994</v>
      </c>
      <c r="E297">
        <v>0</v>
      </c>
      <c r="G297">
        <v>1940</v>
      </c>
      <c r="H297" t="s">
        <v>294</v>
      </c>
      <c r="I297" t="s">
        <v>1737</v>
      </c>
      <c r="J297" s="176">
        <v>37520133.127766997</v>
      </c>
      <c r="K297">
        <v>0</v>
      </c>
      <c r="L297" s="342" t="str">
        <f t="shared" si="41"/>
        <v/>
      </c>
      <c r="M297">
        <v>1940</v>
      </c>
      <c r="N297" t="s">
        <v>294</v>
      </c>
      <c r="O297" t="s">
        <v>1737</v>
      </c>
      <c r="P297" s="243">
        <f t="shared" si="42"/>
        <v>105471413.12218359</v>
      </c>
      <c r="S297">
        <v>1940</v>
      </c>
      <c r="T297" t="s">
        <v>294</v>
      </c>
      <c r="U297" t="s">
        <v>1737</v>
      </c>
      <c r="V297" s="176">
        <v>15388507.171111001</v>
      </c>
      <c r="W297" s="176">
        <v>107135158.279956</v>
      </c>
      <c r="X297" s="176">
        <v>0</v>
      </c>
      <c r="Y297" s="176">
        <v>12628383.333333001</v>
      </c>
      <c r="Z297" s="176"/>
      <c r="AA297">
        <v>1940</v>
      </c>
      <c r="AB297" s="176" t="s">
        <v>294</v>
      </c>
      <c r="AC297" s="176" t="s">
        <v>1737</v>
      </c>
      <c r="AD297" s="176">
        <v>15388507.171111001</v>
      </c>
      <c r="AE297" s="176">
        <v>107135158.279956</v>
      </c>
      <c r="AF297">
        <v>0</v>
      </c>
      <c r="AG297" s="176">
        <v>12628383.333333001</v>
      </c>
      <c r="AH297" s="342" t="str">
        <f t="shared" si="36"/>
        <v/>
      </c>
      <c r="AI297">
        <v>1940</v>
      </c>
      <c r="AJ297" t="s">
        <v>294</v>
      </c>
      <c r="AK297" t="s">
        <v>1737</v>
      </c>
      <c r="AL297" s="245">
        <f t="shared" si="37"/>
        <v>27699312.907999802</v>
      </c>
      <c r="AM297" s="245">
        <f t="shared" si="38"/>
        <v>192843284.9039208</v>
      </c>
      <c r="AN297" s="245">
        <f t="shared" si="39"/>
        <v>0</v>
      </c>
      <c r="AO297" s="245">
        <f t="shared" si="40"/>
        <v>22731089.999999404</v>
      </c>
      <c r="AP297" s="176"/>
      <c r="AQ297" s="176"/>
      <c r="AR297">
        <v>1940</v>
      </c>
      <c r="AS297" t="s">
        <v>294</v>
      </c>
      <c r="AT297" t="s">
        <v>1737</v>
      </c>
      <c r="AU297" s="176">
        <v>2527016.677774</v>
      </c>
      <c r="AW297">
        <v>1940</v>
      </c>
      <c r="AX297" t="s">
        <v>294</v>
      </c>
      <c r="AY297" t="s">
        <v>1737</v>
      </c>
      <c r="AZ297">
        <v>5192529.0266629998</v>
      </c>
      <c r="BA297" s="342" t="str">
        <f t="shared" si="43"/>
        <v/>
      </c>
      <c r="BB297">
        <v>1940</v>
      </c>
      <c r="BC297" t="s">
        <v>294</v>
      </c>
      <c r="BD297" t="s">
        <v>1737</v>
      </c>
      <c r="BE297" s="243">
        <f t="shared" si="44"/>
        <v>6681039.8991043996</v>
      </c>
    </row>
    <row r="298" spans="1:57">
      <c r="A298">
        <v>1940</v>
      </c>
      <c r="B298" t="s">
        <v>294</v>
      </c>
      <c r="C298" t="s">
        <v>1071</v>
      </c>
      <c r="D298" s="176">
        <v>221194926.306586</v>
      </c>
      <c r="E298">
        <v>0</v>
      </c>
      <c r="G298">
        <v>1940</v>
      </c>
      <c r="H298" t="s">
        <v>294</v>
      </c>
      <c r="I298" t="s">
        <v>1071</v>
      </c>
      <c r="J298" s="176">
        <v>169712042.665526</v>
      </c>
      <c r="K298">
        <v>0</v>
      </c>
      <c r="L298" s="342" t="str">
        <f t="shared" si="41"/>
        <v/>
      </c>
      <c r="M298">
        <v>1940</v>
      </c>
      <c r="N298" t="s">
        <v>294</v>
      </c>
      <c r="O298" t="s">
        <v>1071</v>
      </c>
      <c r="P298" s="243">
        <f t="shared" si="42"/>
        <v>356964560.43900681</v>
      </c>
      <c r="S298">
        <v>1940</v>
      </c>
      <c r="T298" t="s">
        <v>294</v>
      </c>
      <c r="U298" t="s">
        <v>1071</v>
      </c>
      <c r="V298" s="176">
        <v>85466099.699995995</v>
      </c>
      <c r="W298" s="176">
        <v>222391275.71216601</v>
      </c>
      <c r="X298" s="176">
        <v>0</v>
      </c>
      <c r="Y298" s="176">
        <v>51230901.111109003</v>
      </c>
      <c r="Z298" s="176"/>
      <c r="AA298">
        <v>1940</v>
      </c>
      <c r="AB298" s="176" t="s">
        <v>294</v>
      </c>
      <c r="AC298" s="176" t="s">
        <v>1071</v>
      </c>
      <c r="AD298" s="176">
        <v>85466099.699995995</v>
      </c>
      <c r="AE298" s="176">
        <v>222391275.71216601</v>
      </c>
      <c r="AF298" s="176">
        <v>0</v>
      </c>
      <c r="AG298" s="176">
        <v>51230901.111109003</v>
      </c>
      <c r="AH298" s="342" t="str">
        <f t="shared" si="36"/>
        <v/>
      </c>
      <c r="AI298">
        <v>1940</v>
      </c>
      <c r="AJ298" t="s">
        <v>294</v>
      </c>
      <c r="AK298" t="s">
        <v>1071</v>
      </c>
      <c r="AL298" s="245">
        <f t="shared" si="37"/>
        <v>153838979.4599928</v>
      </c>
      <c r="AM298" s="245">
        <f t="shared" si="38"/>
        <v>400304296.28189886</v>
      </c>
      <c r="AN298" s="245">
        <f t="shared" si="39"/>
        <v>0</v>
      </c>
      <c r="AO298" s="245">
        <f t="shared" si="40"/>
        <v>92215621.999996215</v>
      </c>
      <c r="AP298" s="176"/>
      <c r="AQ298" s="176"/>
      <c r="AR298">
        <v>1940</v>
      </c>
      <c r="AS298" t="s">
        <v>294</v>
      </c>
      <c r="AT298" t="s">
        <v>1071</v>
      </c>
      <c r="AU298" s="176">
        <v>31024113.509987999</v>
      </c>
      <c r="AW298">
        <v>1940</v>
      </c>
      <c r="AX298" t="s">
        <v>294</v>
      </c>
      <c r="AY298" t="s">
        <v>1071</v>
      </c>
      <c r="AZ298" s="176">
        <v>21036081.669994999</v>
      </c>
      <c r="BA298" s="342" t="str">
        <f t="shared" si="43"/>
        <v/>
      </c>
      <c r="BB298">
        <v>1940</v>
      </c>
      <c r="BC298" t="s">
        <v>294</v>
      </c>
      <c r="BD298" t="s">
        <v>1071</v>
      </c>
      <c r="BE298" s="243">
        <f t="shared" si="44"/>
        <v>47852978.845983997</v>
      </c>
    </row>
    <row r="299" spans="1:57">
      <c r="A299">
        <v>1950</v>
      </c>
      <c r="B299" t="s">
        <v>295</v>
      </c>
      <c r="C299" t="s">
        <v>1074</v>
      </c>
      <c r="D299" s="176">
        <v>198608442.262124</v>
      </c>
      <c r="E299">
        <v>0</v>
      </c>
      <c r="G299">
        <v>1950</v>
      </c>
      <c r="H299" t="s">
        <v>295</v>
      </c>
      <c r="I299" t="s">
        <v>1074</v>
      </c>
      <c r="J299" s="176">
        <v>183076986.487744</v>
      </c>
      <c r="K299">
        <v>0</v>
      </c>
      <c r="L299" s="342" t="str">
        <f t="shared" si="41"/>
        <v/>
      </c>
      <c r="M299">
        <v>1950</v>
      </c>
      <c r="N299" t="s">
        <v>295</v>
      </c>
      <c r="O299" t="s">
        <v>1074</v>
      </c>
      <c r="P299" s="243">
        <f t="shared" si="42"/>
        <v>345070031.4523192</v>
      </c>
      <c r="S299">
        <v>1950</v>
      </c>
      <c r="T299" t="s">
        <v>295</v>
      </c>
      <c r="U299" t="s">
        <v>1074</v>
      </c>
      <c r="V299" s="176">
        <v>31043099.390000001</v>
      </c>
      <c r="W299" s="176">
        <v>176146760.99886</v>
      </c>
      <c r="X299" s="176">
        <v>1000000</v>
      </c>
      <c r="Y299" s="176">
        <v>10785340.305554001</v>
      </c>
      <c r="Z299" s="176"/>
      <c r="AA299">
        <v>1950</v>
      </c>
      <c r="AB299" s="176" t="s">
        <v>295</v>
      </c>
      <c r="AC299" s="176" t="s">
        <v>1074</v>
      </c>
      <c r="AD299" s="176">
        <v>31043099.390000001</v>
      </c>
      <c r="AE299" s="176">
        <v>176146760.99886</v>
      </c>
      <c r="AF299" s="176">
        <v>1000000</v>
      </c>
      <c r="AG299" s="176">
        <v>10785340.305554001</v>
      </c>
      <c r="AH299" s="342" t="str">
        <f t="shared" si="36"/>
        <v/>
      </c>
      <c r="AI299">
        <v>1950</v>
      </c>
      <c r="AJ299" t="s">
        <v>295</v>
      </c>
      <c r="AK299" t="s">
        <v>1074</v>
      </c>
      <c r="AL299" s="245">
        <f t="shared" si="37"/>
        <v>55877578.902000003</v>
      </c>
      <c r="AM299" s="245">
        <f t="shared" si="38"/>
        <v>317064169.797948</v>
      </c>
      <c r="AN299" s="245">
        <f t="shared" si="39"/>
        <v>1800000</v>
      </c>
      <c r="AO299" s="245">
        <f t="shared" si="40"/>
        <v>19413612.549997203</v>
      </c>
      <c r="AP299" s="176"/>
      <c r="AQ299" s="176"/>
      <c r="AR299">
        <v>1950</v>
      </c>
      <c r="AS299" t="s">
        <v>295</v>
      </c>
      <c r="AT299" t="s">
        <v>1074</v>
      </c>
      <c r="AU299" s="176">
        <v>5889293.4211050002</v>
      </c>
      <c r="AW299">
        <v>1950</v>
      </c>
      <c r="AX299" t="s">
        <v>295</v>
      </c>
      <c r="AY299" t="s">
        <v>1074</v>
      </c>
      <c r="AZ299" s="176">
        <v>4862953.3266629996</v>
      </c>
      <c r="BA299" s="342" t="str">
        <f t="shared" si="43"/>
        <v/>
      </c>
      <c r="BB299">
        <v>1950</v>
      </c>
      <c r="BC299" t="s">
        <v>295</v>
      </c>
      <c r="BD299" t="s">
        <v>1074</v>
      </c>
      <c r="BE299" s="243">
        <f t="shared" si="44"/>
        <v>9779656.0824353993</v>
      </c>
    </row>
    <row r="300" spans="1:57">
      <c r="A300">
        <v>1950</v>
      </c>
      <c r="B300" t="s">
        <v>295</v>
      </c>
      <c r="C300" t="s">
        <v>1072</v>
      </c>
      <c r="D300" s="176">
        <v>233069784.5377</v>
      </c>
      <c r="E300">
        <v>0</v>
      </c>
      <c r="G300">
        <v>1950</v>
      </c>
      <c r="H300" t="s">
        <v>295</v>
      </c>
      <c r="I300" t="s">
        <v>1072</v>
      </c>
      <c r="J300" s="176">
        <v>203881420.76108599</v>
      </c>
      <c r="K300">
        <v>0</v>
      </c>
      <c r="L300" s="342" t="str">
        <f t="shared" si="41"/>
        <v/>
      </c>
      <c r="M300">
        <v>1950</v>
      </c>
      <c r="N300" t="s">
        <v>295</v>
      </c>
      <c r="O300" t="s">
        <v>1072</v>
      </c>
      <c r="P300" s="243">
        <f t="shared" si="42"/>
        <v>396174921.14656878</v>
      </c>
      <c r="S300">
        <v>1950</v>
      </c>
      <c r="T300" t="s">
        <v>295</v>
      </c>
      <c r="U300" t="s">
        <v>1072</v>
      </c>
      <c r="V300" s="176">
        <v>22223120.167776</v>
      </c>
      <c r="W300" s="176">
        <v>142312747.20997301</v>
      </c>
      <c r="X300" s="176">
        <v>0</v>
      </c>
      <c r="Y300" s="176">
        <v>6247800</v>
      </c>
      <c r="Z300" s="176"/>
      <c r="AA300">
        <v>1950</v>
      </c>
      <c r="AB300" s="176" t="s">
        <v>295</v>
      </c>
      <c r="AC300" s="176" t="s">
        <v>1072</v>
      </c>
      <c r="AD300" s="176">
        <v>22223120.167776</v>
      </c>
      <c r="AE300" s="176">
        <v>142312747.20997301</v>
      </c>
      <c r="AF300" s="176">
        <v>0</v>
      </c>
      <c r="AG300" s="176">
        <v>6247800</v>
      </c>
      <c r="AH300" s="342" t="str">
        <f t="shared" si="36"/>
        <v/>
      </c>
      <c r="AI300">
        <v>1950</v>
      </c>
      <c r="AJ300" t="s">
        <v>295</v>
      </c>
      <c r="AK300" t="s">
        <v>1072</v>
      </c>
      <c r="AL300" s="245">
        <f t="shared" si="37"/>
        <v>40001616.301996797</v>
      </c>
      <c r="AM300" s="245">
        <f t="shared" si="38"/>
        <v>256162944.97795141</v>
      </c>
      <c r="AN300" s="245">
        <f t="shared" si="39"/>
        <v>0</v>
      </c>
      <c r="AO300" s="245">
        <f t="shared" si="40"/>
        <v>11246040</v>
      </c>
      <c r="AP300" s="176"/>
      <c r="AQ300" s="176"/>
      <c r="AR300">
        <v>1950</v>
      </c>
      <c r="AS300" t="s">
        <v>295</v>
      </c>
      <c r="AT300" t="s">
        <v>1072</v>
      </c>
      <c r="AU300" s="176">
        <v>181197264.57110301</v>
      </c>
      <c r="AW300">
        <v>1950</v>
      </c>
      <c r="AX300" t="s">
        <v>295</v>
      </c>
      <c r="AY300" t="s">
        <v>1072</v>
      </c>
      <c r="AZ300" s="176">
        <v>16144092.662219999</v>
      </c>
      <c r="BA300" s="342" t="str">
        <f t="shared" si="43"/>
        <v/>
      </c>
      <c r="BB300">
        <v>1950</v>
      </c>
      <c r="BC300" t="s">
        <v>295</v>
      </c>
      <c r="BD300" t="s">
        <v>1072</v>
      </c>
      <c r="BE300" s="243">
        <f t="shared" si="44"/>
        <v>194112538.70087901</v>
      </c>
    </row>
    <row r="301" spans="1:57">
      <c r="A301">
        <v>1950</v>
      </c>
      <c r="B301" t="s">
        <v>295</v>
      </c>
      <c r="C301" t="s">
        <v>1073</v>
      </c>
      <c r="D301" s="176">
        <v>140189986.381064</v>
      </c>
      <c r="E301">
        <v>0</v>
      </c>
      <c r="G301">
        <v>1950</v>
      </c>
      <c r="H301" t="s">
        <v>295</v>
      </c>
      <c r="I301" t="s">
        <v>1073</v>
      </c>
      <c r="J301" s="176">
        <v>46535090.142203003</v>
      </c>
      <c r="K301">
        <v>0</v>
      </c>
      <c r="L301" s="342" t="str">
        <f t="shared" si="41"/>
        <v/>
      </c>
      <c r="M301">
        <v>1950</v>
      </c>
      <c r="N301" t="s">
        <v>295</v>
      </c>
      <c r="O301" t="s">
        <v>1073</v>
      </c>
      <c r="P301" s="243">
        <f t="shared" si="42"/>
        <v>177418058.49482641</v>
      </c>
      <c r="S301">
        <v>1950</v>
      </c>
      <c r="T301" t="s">
        <v>295</v>
      </c>
      <c r="U301" t="s">
        <v>1073</v>
      </c>
      <c r="V301" s="176">
        <v>19674729.983332999</v>
      </c>
      <c r="W301" s="176">
        <v>104922978.794424</v>
      </c>
      <c r="X301" s="176">
        <v>0</v>
      </c>
      <c r="Y301" s="176">
        <v>5722404.4444439998</v>
      </c>
      <c r="Z301" s="176"/>
      <c r="AA301">
        <v>1950</v>
      </c>
      <c r="AB301" s="176" t="s">
        <v>295</v>
      </c>
      <c r="AC301" s="176" t="s">
        <v>1073</v>
      </c>
      <c r="AD301" s="176">
        <v>19674729.983332999</v>
      </c>
      <c r="AE301" s="176">
        <v>104922978.794424</v>
      </c>
      <c r="AF301" s="176">
        <v>0</v>
      </c>
      <c r="AG301" s="176">
        <v>5722404.4444439998</v>
      </c>
      <c r="AH301" s="342" t="str">
        <f t="shared" si="36"/>
        <v/>
      </c>
      <c r="AI301">
        <v>1950</v>
      </c>
      <c r="AJ301" t="s">
        <v>295</v>
      </c>
      <c r="AK301" t="s">
        <v>1073</v>
      </c>
      <c r="AL301" s="245">
        <f t="shared" si="37"/>
        <v>35414513.969999403</v>
      </c>
      <c r="AM301" s="245">
        <f t="shared" si="38"/>
        <v>188861361.82996321</v>
      </c>
      <c r="AN301" s="245">
        <f t="shared" si="39"/>
        <v>0</v>
      </c>
      <c r="AO301" s="245">
        <f t="shared" si="40"/>
        <v>10300327.999999199</v>
      </c>
      <c r="AP301" s="176"/>
      <c r="AQ301" s="176"/>
      <c r="AR301">
        <v>1950</v>
      </c>
      <c r="AS301" t="s">
        <v>295</v>
      </c>
      <c r="AT301" t="s">
        <v>1073</v>
      </c>
      <c r="AU301" s="176">
        <v>4997835.8411060004</v>
      </c>
      <c r="AW301">
        <v>1950</v>
      </c>
      <c r="AX301" t="s">
        <v>295</v>
      </c>
      <c r="AY301" t="s">
        <v>1073</v>
      </c>
      <c r="AZ301" s="176">
        <v>1284105.9433319999</v>
      </c>
      <c r="BA301" s="342" t="str">
        <f t="shared" si="43"/>
        <v/>
      </c>
      <c r="BB301">
        <v>1950</v>
      </c>
      <c r="BC301" t="s">
        <v>295</v>
      </c>
      <c r="BD301" t="s">
        <v>1073</v>
      </c>
      <c r="BE301" s="243">
        <f t="shared" si="44"/>
        <v>6025120.5957716005</v>
      </c>
    </row>
    <row r="302" spans="1:57">
      <c r="A302">
        <v>1960</v>
      </c>
      <c r="B302" t="s">
        <v>296</v>
      </c>
      <c r="C302" t="s">
        <v>1956</v>
      </c>
      <c r="D302" s="176">
        <v>56997838.965511002</v>
      </c>
      <c r="E302">
        <v>0</v>
      </c>
      <c r="G302">
        <v>1960</v>
      </c>
      <c r="H302" t="s">
        <v>296</v>
      </c>
      <c r="I302" t="s">
        <v>1956</v>
      </c>
      <c r="J302" s="176">
        <v>26774256.985548999</v>
      </c>
      <c r="K302">
        <v>0</v>
      </c>
      <c r="L302" s="342" t="str">
        <f t="shared" si="41"/>
        <v/>
      </c>
      <c r="M302">
        <v>1960</v>
      </c>
      <c r="N302" t="s">
        <v>296</v>
      </c>
      <c r="O302" t="s">
        <v>1956</v>
      </c>
      <c r="P302" s="243">
        <f t="shared" si="42"/>
        <v>78417244.553950205</v>
      </c>
      <c r="S302">
        <v>1960</v>
      </c>
      <c r="T302" t="s">
        <v>296</v>
      </c>
      <c r="U302" t="s">
        <v>1956</v>
      </c>
      <c r="V302" s="176">
        <v>14585028.149999</v>
      </c>
      <c r="W302" s="176">
        <v>128302827.728874</v>
      </c>
      <c r="X302" s="176">
        <v>1587944.444444</v>
      </c>
      <c r="Y302" s="176">
        <v>9514229.3477769997</v>
      </c>
      <c r="Z302" s="176"/>
      <c r="AA302">
        <v>1960</v>
      </c>
      <c r="AB302" s="176" t="s">
        <v>296</v>
      </c>
      <c r="AC302" s="176" t="s">
        <v>1956</v>
      </c>
      <c r="AD302" s="176">
        <v>14585028.149999</v>
      </c>
      <c r="AE302" s="176">
        <v>128302827.728874</v>
      </c>
      <c r="AF302" s="176">
        <v>1587944.444444</v>
      </c>
      <c r="AG302" s="176">
        <v>9514229.3477769997</v>
      </c>
      <c r="AH302" s="342" t="str">
        <f t="shared" si="36"/>
        <v/>
      </c>
      <c r="AI302">
        <v>1960</v>
      </c>
      <c r="AJ302" t="s">
        <v>296</v>
      </c>
      <c r="AK302" t="s">
        <v>1956</v>
      </c>
      <c r="AL302" s="245">
        <f t="shared" si="37"/>
        <v>26253050.669998199</v>
      </c>
      <c r="AM302" s="245">
        <f t="shared" si="38"/>
        <v>230945089.91197321</v>
      </c>
      <c r="AN302" s="245">
        <f t="shared" si="39"/>
        <v>2858299.9999992</v>
      </c>
      <c r="AO302" s="245">
        <f t="shared" si="40"/>
        <v>17125612.825998601</v>
      </c>
      <c r="AP302" s="176"/>
      <c r="AQ302" s="176"/>
      <c r="AR302">
        <v>1960</v>
      </c>
      <c r="AS302" t="s">
        <v>296</v>
      </c>
      <c r="AT302" t="s">
        <v>1956</v>
      </c>
      <c r="AU302" s="176">
        <v>8246837.5366590004</v>
      </c>
      <c r="AW302">
        <v>1960</v>
      </c>
      <c r="AX302" t="s">
        <v>296</v>
      </c>
      <c r="AY302" t="s">
        <v>1956</v>
      </c>
      <c r="AZ302" s="176">
        <v>3944262.7033310002</v>
      </c>
      <c r="BA302" s="342" t="str">
        <f t="shared" si="43"/>
        <v/>
      </c>
      <c r="BB302">
        <v>1960</v>
      </c>
      <c r="BC302" t="s">
        <v>296</v>
      </c>
      <c r="BD302" t="s">
        <v>1956</v>
      </c>
      <c r="BE302" s="243">
        <f t="shared" si="44"/>
        <v>11402247.699323801</v>
      </c>
    </row>
    <row r="303" spans="1:57">
      <c r="A303">
        <v>1960</v>
      </c>
      <c r="B303" t="s">
        <v>296</v>
      </c>
      <c r="C303" t="s">
        <v>1957</v>
      </c>
      <c r="D303" s="176">
        <v>128597267.21545701</v>
      </c>
      <c r="E303">
        <v>0</v>
      </c>
      <c r="G303">
        <v>1960</v>
      </c>
      <c r="H303" t="s">
        <v>296</v>
      </c>
      <c r="I303" t="s">
        <v>1957</v>
      </c>
      <c r="J303" s="176">
        <v>40031655.741094001</v>
      </c>
      <c r="K303">
        <v>0</v>
      </c>
      <c r="L303" s="342" t="str">
        <f t="shared" si="41"/>
        <v/>
      </c>
      <c r="M303">
        <v>1960</v>
      </c>
      <c r="N303" t="s">
        <v>296</v>
      </c>
      <c r="O303" t="s">
        <v>1957</v>
      </c>
      <c r="P303" s="243">
        <f t="shared" si="42"/>
        <v>160622591.8083322</v>
      </c>
      <c r="S303">
        <v>1960</v>
      </c>
      <c r="T303" t="s">
        <v>296</v>
      </c>
      <c r="U303" t="s">
        <v>1957</v>
      </c>
      <c r="V303" s="176">
        <v>22027362.383333001</v>
      </c>
      <c r="W303" s="176">
        <v>117119200.118857</v>
      </c>
      <c r="X303" s="176">
        <v>1500000</v>
      </c>
      <c r="Y303" s="176">
        <v>5100000</v>
      </c>
      <c r="Z303" s="176"/>
      <c r="AA303">
        <v>1960</v>
      </c>
      <c r="AB303" s="176" t="s">
        <v>296</v>
      </c>
      <c r="AC303" s="176" t="s">
        <v>1957</v>
      </c>
      <c r="AD303" s="176">
        <v>22027362.383333001</v>
      </c>
      <c r="AE303" s="176">
        <v>117119200.118857</v>
      </c>
      <c r="AF303" s="176">
        <v>1500000</v>
      </c>
      <c r="AG303" s="176">
        <v>5100000</v>
      </c>
      <c r="AH303" s="342" t="str">
        <f t="shared" si="36"/>
        <v/>
      </c>
      <c r="AI303">
        <v>1960</v>
      </c>
      <c r="AJ303" t="s">
        <v>296</v>
      </c>
      <c r="AK303" t="s">
        <v>1957</v>
      </c>
      <c r="AL303" s="245">
        <f t="shared" si="37"/>
        <v>39649252.289999403</v>
      </c>
      <c r="AM303" s="245">
        <f t="shared" si="38"/>
        <v>210814560.21394259</v>
      </c>
      <c r="AN303" s="245">
        <f t="shared" si="39"/>
        <v>2700000</v>
      </c>
      <c r="AO303" s="245">
        <f t="shared" si="40"/>
        <v>9180000</v>
      </c>
      <c r="AP303" s="176"/>
      <c r="AQ303" s="176"/>
      <c r="AR303">
        <v>1960</v>
      </c>
      <c r="AS303" t="s">
        <v>296</v>
      </c>
      <c r="AT303" t="s">
        <v>1957</v>
      </c>
      <c r="AU303" s="176">
        <v>6777017.8388820002</v>
      </c>
      <c r="AW303">
        <v>1960</v>
      </c>
      <c r="AX303" t="s">
        <v>296</v>
      </c>
      <c r="AY303" t="s">
        <v>1957</v>
      </c>
      <c r="AZ303" s="176">
        <v>1603256.108888</v>
      </c>
      <c r="BA303" s="342" t="str">
        <f t="shared" si="43"/>
        <v/>
      </c>
      <c r="BB303">
        <v>1960</v>
      </c>
      <c r="BC303" t="s">
        <v>296</v>
      </c>
      <c r="BD303" t="s">
        <v>1957</v>
      </c>
      <c r="BE303" s="243">
        <f t="shared" si="44"/>
        <v>8059622.7259924002</v>
      </c>
    </row>
    <row r="304" spans="1:57">
      <c r="A304">
        <v>1960</v>
      </c>
      <c r="B304" t="s">
        <v>296</v>
      </c>
      <c r="C304" t="s">
        <v>1958</v>
      </c>
      <c r="D304" s="176">
        <v>168181346.41328099</v>
      </c>
      <c r="E304">
        <v>0</v>
      </c>
      <c r="G304">
        <v>1960</v>
      </c>
      <c r="H304" t="s">
        <v>296</v>
      </c>
      <c r="I304" t="s">
        <v>1958</v>
      </c>
      <c r="J304" s="176">
        <v>85123882.697757006</v>
      </c>
      <c r="K304">
        <v>0</v>
      </c>
      <c r="L304" s="342" t="str">
        <f t="shared" si="41"/>
        <v/>
      </c>
      <c r="M304">
        <v>1960</v>
      </c>
      <c r="N304" t="s">
        <v>296</v>
      </c>
      <c r="O304" t="s">
        <v>1958</v>
      </c>
      <c r="P304" s="243">
        <f t="shared" si="42"/>
        <v>236280452.57148659</v>
      </c>
      <c r="S304">
        <v>1960</v>
      </c>
      <c r="T304" t="s">
        <v>296</v>
      </c>
      <c r="U304" t="s">
        <v>1958</v>
      </c>
      <c r="V304" s="176">
        <v>55318299.343332</v>
      </c>
      <c r="W304" s="176">
        <v>165705069.579983</v>
      </c>
      <c r="X304" s="176">
        <v>1000000</v>
      </c>
      <c r="Y304" s="176">
        <v>15429170</v>
      </c>
      <c r="Z304" s="176"/>
      <c r="AA304">
        <v>1960</v>
      </c>
      <c r="AB304" s="176" t="s">
        <v>296</v>
      </c>
      <c r="AC304" s="176" t="s">
        <v>1958</v>
      </c>
      <c r="AD304" s="176">
        <v>55318299.343332</v>
      </c>
      <c r="AE304" s="176">
        <v>165705069.579983</v>
      </c>
      <c r="AF304" s="176">
        <v>1000000</v>
      </c>
      <c r="AG304" s="176">
        <v>15429170</v>
      </c>
      <c r="AH304" s="342" t="str">
        <f t="shared" si="36"/>
        <v/>
      </c>
      <c r="AI304">
        <v>1960</v>
      </c>
      <c r="AJ304" t="s">
        <v>296</v>
      </c>
      <c r="AK304" t="s">
        <v>1958</v>
      </c>
      <c r="AL304" s="245">
        <f t="shared" si="37"/>
        <v>99572938.817997605</v>
      </c>
      <c r="AM304" s="245">
        <f t="shared" si="38"/>
        <v>298269125.24396938</v>
      </c>
      <c r="AN304" s="245">
        <f t="shared" si="39"/>
        <v>1800000</v>
      </c>
      <c r="AO304" s="245">
        <f t="shared" si="40"/>
        <v>27772506</v>
      </c>
      <c r="AP304" s="176"/>
      <c r="AQ304" s="176"/>
      <c r="AR304">
        <v>1960</v>
      </c>
      <c r="AS304" t="s">
        <v>296</v>
      </c>
      <c r="AT304" t="s">
        <v>1958</v>
      </c>
      <c r="AU304" s="176">
        <v>39765203.675545</v>
      </c>
      <c r="AW304">
        <v>1960</v>
      </c>
      <c r="AX304" t="s">
        <v>296</v>
      </c>
      <c r="AY304" t="s">
        <v>1958</v>
      </c>
      <c r="AZ304" s="176">
        <v>15647524.345551001</v>
      </c>
      <c r="BA304" s="342" t="str">
        <f t="shared" si="43"/>
        <v/>
      </c>
      <c r="BB304">
        <v>1960</v>
      </c>
      <c r="BC304" t="s">
        <v>296</v>
      </c>
      <c r="BD304" t="s">
        <v>1958</v>
      </c>
      <c r="BE304" s="243">
        <f t="shared" si="44"/>
        <v>52283223.151985802</v>
      </c>
    </row>
    <row r="305" spans="1:57">
      <c r="A305">
        <v>1960</v>
      </c>
      <c r="B305" t="s">
        <v>296</v>
      </c>
      <c r="C305" t="s">
        <v>1738</v>
      </c>
      <c r="D305" s="176">
        <v>219751159.966571</v>
      </c>
      <c r="E305">
        <v>0</v>
      </c>
      <c r="G305">
        <v>1960</v>
      </c>
      <c r="H305" t="s">
        <v>296</v>
      </c>
      <c r="I305" t="s">
        <v>1738</v>
      </c>
      <c r="J305" s="176">
        <v>127710075.27219801</v>
      </c>
      <c r="K305">
        <v>0</v>
      </c>
      <c r="L305" s="342" t="str">
        <f t="shared" si="41"/>
        <v/>
      </c>
      <c r="M305">
        <v>1960</v>
      </c>
      <c r="N305" t="s">
        <v>296</v>
      </c>
      <c r="O305" t="s">
        <v>1738</v>
      </c>
      <c r="P305" s="243">
        <f t="shared" si="42"/>
        <v>321919220.18432939</v>
      </c>
      <c r="S305">
        <v>1960</v>
      </c>
      <c r="T305" t="s">
        <v>296</v>
      </c>
      <c r="U305" t="s">
        <v>1738</v>
      </c>
      <c r="V305" s="176">
        <v>75462018.182219997</v>
      </c>
      <c r="W305" s="176">
        <v>379251179.267717</v>
      </c>
      <c r="X305" s="176">
        <v>2416575</v>
      </c>
      <c r="Y305" s="176">
        <v>28354774.459998</v>
      </c>
      <c r="Z305" s="176"/>
      <c r="AA305">
        <v>1960</v>
      </c>
      <c r="AB305" s="176" t="s">
        <v>296</v>
      </c>
      <c r="AC305" s="176" t="s">
        <v>1738</v>
      </c>
      <c r="AD305" s="176">
        <v>75462018.182219997</v>
      </c>
      <c r="AE305" s="176">
        <v>379251179.267717</v>
      </c>
      <c r="AF305" s="176">
        <v>2416575</v>
      </c>
      <c r="AG305" s="176">
        <v>28354774.459998</v>
      </c>
      <c r="AH305" s="342" t="str">
        <f t="shared" si="36"/>
        <v/>
      </c>
      <c r="AI305">
        <v>1960</v>
      </c>
      <c r="AJ305" t="s">
        <v>296</v>
      </c>
      <c r="AK305" t="s">
        <v>1738</v>
      </c>
      <c r="AL305" s="245">
        <f t="shared" si="37"/>
        <v>135831632.72799599</v>
      </c>
      <c r="AM305" s="245">
        <f t="shared" si="38"/>
        <v>682652122.68189061</v>
      </c>
      <c r="AN305" s="245">
        <f t="shared" si="39"/>
        <v>4349835</v>
      </c>
      <c r="AO305" s="245">
        <f t="shared" si="40"/>
        <v>51038594.027996406</v>
      </c>
      <c r="AP305" s="176"/>
      <c r="AQ305" s="176"/>
      <c r="AR305">
        <v>1960</v>
      </c>
      <c r="AS305" t="s">
        <v>296</v>
      </c>
      <c r="AT305" t="s">
        <v>1738</v>
      </c>
      <c r="AU305" s="176">
        <v>29025001.927760001</v>
      </c>
      <c r="AW305">
        <v>1960</v>
      </c>
      <c r="AX305" t="s">
        <v>296</v>
      </c>
      <c r="AY305" t="s">
        <v>1738</v>
      </c>
      <c r="AZ305" s="176">
        <v>4810578.7222189996</v>
      </c>
      <c r="BA305" s="342" t="str">
        <f t="shared" si="43"/>
        <v/>
      </c>
      <c r="BB305">
        <v>1960</v>
      </c>
      <c r="BC305" t="s">
        <v>296</v>
      </c>
      <c r="BD305" t="s">
        <v>1738</v>
      </c>
      <c r="BE305" s="243">
        <f t="shared" si="44"/>
        <v>32873464.905535202</v>
      </c>
    </row>
    <row r="306" spans="1:57">
      <c r="A306">
        <v>1970</v>
      </c>
      <c r="B306" t="s">
        <v>297</v>
      </c>
      <c r="C306" t="s">
        <v>913</v>
      </c>
      <c r="D306" s="176">
        <v>125794290.94216099</v>
      </c>
      <c r="E306">
        <v>0</v>
      </c>
      <c r="G306">
        <v>1970</v>
      </c>
      <c r="H306" t="s">
        <v>297</v>
      </c>
      <c r="I306" t="s">
        <v>913</v>
      </c>
      <c r="J306" s="176">
        <v>38471698.771098003</v>
      </c>
      <c r="K306">
        <v>0</v>
      </c>
      <c r="L306" s="342" t="str">
        <f t="shared" si="41"/>
        <v/>
      </c>
      <c r="M306">
        <v>1970</v>
      </c>
      <c r="N306" t="s">
        <v>297</v>
      </c>
      <c r="O306" t="s">
        <v>913</v>
      </c>
      <c r="P306" s="243">
        <f t="shared" si="42"/>
        <v>156571649.95903939</v>
      </c>
      <c r="S306">
        <v>1970</v>
      </c>
      <c r="T306" t="s">
        <v>297</v>
      </c>
      <c r="U306" t="s">
        <v>913</v>
      </c>
      <c r="V306" s="176">
        <v>36479206.669999003</v>
      </c>
      <c r="W306" s="176">
        <v>94524503.925525993</v>
      </c>
      <c r="X306">
        <v>0</v>
      </c>
      <c r="Y306" s="176">
        <v>10493960</v>
      </c>
      <c r="Z306" s="176"/>
      <c r="AA306">
        <v>1970</v>
      </c>
      <c r="AB306" s="176" t="s">
        <v>297</v>
      </c>
      <c r="AC306" s="176" t="s">
        <v>913</v>
      </c>
      <c r="AD306" s="176">
        <v>36479206.669999003</v>
      </c>
      <c r="AE306" s="176">
        <v>94524503.925525993</v>
      </c>
      <c r="AF306">
        <v>0</v>
      </c>
      <c r="AG306" s="176">
        <v>10493960</v>
      </c>
      <c r="AH306" s="342" t="str">
        <f t="shared" si="36"/>
        <v/>
      </c>
      <c r="AI306">
        <v>1970</v>
      </c>
      <c r="AJ306" t="s">
        <v>297</v>
      </c>
      <c r="AK306" t="s">
        <v>913</v>
      </c>
      <c r="AL306" s="245">
        <f t="shared" si="37"/>
        <v>65662572.005998209</v>
      </c>
      <c r="AM306" s="245">
        <f t="shared" si="38"/>
        <v>170144107.06594679</v>
      </c>
      <c r="AN306" s="245">
        <f t="shared" si="39"/>
        <v>0</v>
      </c>
      <c r="AO306" s="245">
        <f t="shared" si="40"/>
        <v>18889128</v>
      </c>
      <c r="AP306" s="176"/>
      <c r="AQ306" s="176"/>
      <c r="AR306">
        <v>1970</v>
      </c>
      <c r="AS306" t="s">
        <v>297</v>
      </c>
      <c r="AT306" t="s">
        <v>913</v>
      </c>
      <c r="AU306" s="176">
        <v>24020830.872214001</v>
      </c>
      <c r="AW306">
        <v>1970</v>
      </c>
      <c r="AX306" t="s">
        <v>297</v>
      </c>
      <c r="AY306" t="s">
        <v>913</v>
      </c>
      <c r="AZ306" s="176">
        <v>3263589.026664</v>
      </c>
      <c r="BA306" s="342" t="str">
        <f t="shared" si="43"/>
        <v/>
      </c>
      <c r="BB306">
        <v>1970</v>
      </c>
      <c r="BC306" t="s">
        <v>297</v>
      </c>
      <c r="BD306" t="s">
        <v>913</v>
      </c>
      <c r="BE306" s="243">
        <f t="shared" si="44"/>
        <v>26631702.093545202</v>
      </c>
    </row>
    <row r="307" spans="1:57">
      <c r="A307">
        <v>1970</v>
      </c>
      <c r="B307" t="s">
        <v>297</v>
      </c>
      <c r="C307" t="s">
        <v>1075</v>
      </c>
      <c r="D307" s="176">
        <v>352152752.426588</v>
      </c>
      <c r="E307">
        <v>0</v>
      </c>
      <c r="G307">
        <v>1970</v>
      </c>
      <c r="H307" t="s">
        <v>297</v>
      </c>
      <c r="I307" t="s">
        <v>1075</v>
      </c>
      <c r="J307" s="176">
        <v>163215989.45443401</v>
      </c>
      <c r="K307">
        <v>0</v>
      </c>
      <c r="L307" s="342" t="str">
        <f t="shared" si="41"/>
        <v/>
      </c>
      <c r="M307">
        <v>1970</v>
      </c>
      <c r="N307" t="s">
        <v>297</v>
      </c>
      <c r="O307" t="s">
        <v>1075</v>
      </c>
      <c r="P307" s="243">
        <f t="shared" si="42"/>
        <v>482725543.99013519</v>
      </c>
      <c r="S307">
        <v>1970</v>
      </c>
      <c r="T307" t="s">
        <v>297</v>
      </c>
      <c r="U307" t="s">
        <v>1075</v>
      </c>
      <c r="V307" s="176">
        <v>89304853.779995993</v>
      </c>
      <c r="W307" s="176">
        <v>211598037.18329501</v>
      </c>
      <c r="X307" s="176">
        <v>1085600</v>
      </c>
      <c r="Y307" s="176">
        <v>19296594.444442999</v>
      </c>
      <c r="Z307" s="176"/>
      <c r="AA307">
        <v>1970</v>
      </c>
      <c r="AB307" s="176" t="s">
        <v>297</v>
      </c>
      <c r="AC307" s="176" t="s">
        <v>1075</v>
      </c>
      <c r="AD307" s="176">
        <v>89304853.779995993</v>
      </c>
      <c r="AE307" s="176">
        <v>211598037.18329501</v>
      </c>
      <c r="AF307" s="176">
        <v>1085600</v>
      </c>
      <c r="AG307" s="176">
        <v>19296594.444442999</v>
      </c>
      <c r="AH307" s="342" t="str">
        <f t="shared" si="36"/>
        <v/>
      </c>
      <c r="AI307">
        <v>1970</v>
      </c>
      <c r="AJ307" t="s">
        <v>297</v>
      </c>
      <c r="AK307" t="s">
        <v>1075</v>
      </c>
      <c r="AL307" s="245">
        <f t="shared" si="37"/>
        <v>160748736.80399281</v>
      </c>
      <c r="AM307" s="245">
        <f t="shared" si="38"/>
        <v>380876466.92993104</v>
      </c>
      <c r="AN307" s="245">
        <f t="shared" si="39"/>
        <v>1954080</v>
      </c>
      <c r="AO307" s="245">
        <f t="shared" si="40"/>
        <v>34733869.9999974</v>
      </c>
      <c r="AP307" s="176"/>
      <c r="AQ307" s="176"/>
      <c r="AR307">
        <v>1970</v>
      </c>
      <c r="AS307" t="s">
        <v>297</v>
      </c>
      <c r="AT307" t="s">
        <v>1075</v>
      </c>
      <c r="AU307" s="176">
        <v>39017836.556648999</v>
      </c>
      <c r="AW307">
        <v>1970</v>
      </c>
      <c r="AX307" t="s">
        <v>297</v>
      </c>
      <c r="AY307" t="s">
        <v>1075</v>
      </c>
      <c r="AZ307" s="176">
        <v>25287298.137766998</v>
      </c>
      <c r="BA307" s="342" t="str">
        <f t="shared" si="43"/>
        <v/>
      </c>
      <c r="BB307">
        <v>1970</v>
      </c>
      <c r="BC307" t="s">
        <v>297</v>
      </c>
      <c r="BD307" t="s">
        <v>1075</v>
      </c>
      <c r="BE307" s="243">
        <f t="shared" si="44"/>
        <v>59247675.066862598</v>
      </c>
    </row>
    <row r="308" spans="1:57">
      <c r="A308">
        <v>1990</v>
      </c>
      <c r="B308" t="s">
        <v>1892</v>
      </c>
      <c r="C308" t="s">
        <v>1959</v>
      </c>
      <c r="D308" s="176">
        <v>186645890.00105199</v>
      </c>
      <c r="E308">
        <v>0</v>
      </c>
      <c r="G308">
        <v>1990</v>
      </c>
      <c r="H308" t="s">
        <v>1892</v>
      </c>
      <c r="I308" t="s">
        <v>1959</v>
      </c>
      <c r="J308" s="176">
        <v>97717952.294433996</v>
      </c>
      <c r="K308">
        <v>0</v>
      </c>
      <c r="L308" s="342" t="str">
        <f t="shared" si="41"/>
        <v/>
      </c>
      <c r="M308">
        <v>1990</v>
      </c>
      <c r="N308" t="s">
        <v>1892</v>
      </c>
      <c r="O308" t="s">
        <v>1959</v>
      </c>
      <c r="P308" s="243">
        <f t="shared" si="42"/>
        <v>264820251.83659917</v>
      </c>
      <c r="S308">
        <v>1990</v>
      </c>
      <c r="T308" t="s">
        <v>1892</v>
      </c>
      <c r="U308" t="s">
        <v>1959</v>
      </c>
      <c r="V308" s="176">
        <v>74448567.652220994</v>
      </c>
      <c r="W308" s="176">
        <v>108059954.282197</v>
      </c>
      <c r="X308" s="176">
        <v>0</v>
      </c>
      <c r="Y308" s="176">
        <v>14748560.555554001</v>
      </c>
      <c r="Z308" s="176"/>
      <c r="AA308">
        <v>1990</v>
      </c>
      <c r="AB308" s="176" t="s">
        <v>1892</v>
      </c>
      <c r="AC308" s="176" t="s">
        <v>1959</v>
      </c>
      <c r="AD308" s="176">
        <v>74448567.652220994</v>
      </c>
      <c r="AE308" s="176">
        <v>108059954.282197</v>
      </c>
      <c r="AF308" s="176">
        <v>0</v>
      </c>
      <c r="AG308" s="176">
        <v>14748560.555554001</v>
      </c>
      <c r="AH308" s="342" t="str">
        <f t="shared" si="36"/>
        <v/>
      </c>
      <c r="AI308">
        <v>1990</v>
      </c>
      <c r="AJ308" t="s">
        <v>1892</v>
      </c>
      <c r="AK308" t="s">
        <v>1959</v>
      </c>
      <c r="AL308" s="245">
        <f t="shared" si="37"/>
        <v>134007421.77399778</v>
      </c>
      <c r="AM308" s="245">
        <f t="shared" si="38"/>
        <v>194507917.70795459</v>
      </c>
      <c r="AN308" s="245">
        <f t="shared" si="39"/>
        <v>0</v>
      </c>
      <c r="AO308" s="245">
        <f t="shared" si="40"/>
        <v>26547408.999997202</v>
      </c>
      <c r="AP308" s="176"/>
      <c r="AQ308" s="176"/>
      <c r="AR308">
        <v>1990</v>
      </c>
      <c r="AS308" t="s">
        <v>1892</v>
      </c>
      <c r="AT308" t="s">
        <v>1959</v>
      </c>
      <c r="AU308" s="176">
        <v>16797026.721099999</v>
      </c>
      <c r="AW308">
        <v>1990</v>
      </c>
      <c r="AX308" t="s">
        <v>1892</v>
      </c>
      <c r="AY308" t="s">
        <v>1959</v>
      </c>
      <c r="AZ308" s="176">
        <v>10254752.837773001</v>
      </c>
      <c r="BA308" s="342" t="str">
        <f t="shared" si="43"/>
        <v/>
      </c>
      <c r="BB308">
        <v>1990</v>
      </c>
      <c r="BC308" t="s">
        <v>1892</v>
      </c>
      <c r="BD308" t="s">
        <v>1959</v>
      </c>
      <c r="BE308" s="243">
        <f t="shared" si="44"/>
        <v>25000828.991318401</v>
      </c>
    </row>
    <row r="309" spans="1:57">
      <c r="A309">
        <v>1990</v>
      </c>
      <c r="B309" t="s">
        <v>1892</v>
      </c>
      <c r="C309" t="s">
        <v>1114</v>
      </c>
      <c r="D309" s="176">
        <v>87436963.315513998</v>
      </c>
      <c r="E309">
        <v>0</v>
      </c>
      <c r="G309">
        <v>1990</v>
      </c>
      <c r="H309" t="s">
        <v>1892</v>
      </c>
      <c r="I309" t="s">
        <v>1114</v>
      </c>
      <c r="J309" s="176">
        <v>128025548.20553599</v>
      </c>
      <c r="K309">
        <v>0</v>
      </c>
      <c r="L309" s="342" t="str">
        <f t="shared" si="41"/>
        <v/>
      </c>
      <c r="M309">
        <v>1990</v>
      </c>
      <c r="N309" t="s">
        <v>1892</v>
      </c>
      <c r="O309" t="s">
        <v>1114</v>
      </c>
      <c r="P309" s="243">
        <f t="shared" si="42"/>
        <v>189857401.8799428</v>
      </c>
      <c r="S309">
        <v>1990</v>
      </c>
      <c r="T309" t="s">
        <v>1892</v>
      </c>
      <c r="U309" t="s">
        <v>1114</v>
      </c>
      <c r="V309" s="176">
        <v>59721326.316666</v>
      </c>
      <c r="W309" s="176">
        <v>144166989.54442799</v>
      </c>
      <c r="X309" s="176">
        <v>0</v>
      </c>
      <c r="Y309" s="176">
        <v>6164678.8888870003</v>
      </c>
      <c r="Z309" s="176"/>
      <c r="AA309">
        <v>1990</v>
      </c>
      <c r="AB309" s="176" t="s">
        <v>1892</v>
      </c>
      <c r="AC309" s="176" t="s">
        <v>1114</v>
      </c>
      <c r="AD309" s="176">
        <v>59721326.316666</v>
      </c>
      <c r="AE309" s="176">
        <v>144166989.54442799</v>
      </c>
      <c r="AF309" s="176">
        <v>0</v>
      </c>
      <c r="AG309" s="176">
        <v>6164678.8888870003</v>
      </c>
      <c r="AH309" s="342" t="str">
        <f t="shared" si="36"/>
        <v/>
      </c>
      <c r="AI309">
        <v>1990</v>
      </c>
      <c r="AJ309" t="s">
        <v>1892</v>
      </c>
      <c r="AK309" t="s">
        <v>1114</v>
      </c>
      <c r="AL309" s="245">
        <f t="shared" si="37"/>
        <v>107498387.36999881</v>
      </c>
      <c r="AM309" s="245">
        <f t="shared" si="38"/>
        <v>259500581.17997038</v>
      </c>
      <c r="AN309" s="245">
        <f t="shared" si="39"/>
        <v>0</v>
      </c>
      <c r="AO309" s="245">
        <f t="shared" si="40"/>
        <v>11096421.999996601</v>
      </c>
      <c r="AP309" s="176"/>
      <c r="AQ309" s="176"/>
      <c r="AR309">
        <v>1990</v>
      </c>
      <c r="AS309" t="s">
        <v>1892</v>
      </c>
      <c r="AT309" t="s">
        <v>1114</v>
      </c>
      <c r="AU309" s="176">
        <v>15026214.569993</v>
      </c>
      <c r="AW309">
        <v>1990</v>
      </c>
      <c r="AX309" t="s">
        <v>1892</v>
      </c>
      <c r="AY309" t="s">
        <v>1114</v>
      </c>
      <c r="AZ309" s="176">
        <v>25102679.708879001</v>
      </c>
      <c r="BA309" s="342" t="str">
        <f t="shared" si="43"/>
        <v/>
      </c>
      <c r="BB309">
        <v>1990</v>
      </c>
      <c r="BC309" t="s">
        <v>1892</v>
      </c>
      <c r="BD309" t="s">
        <v>1114</v>
      </c>
      <c r="BE309" s="243">
        <f t="shared" si="44"/>
        <v>35108358.337096199</v>
      </c>
    </row>
    <row r="310" spans="1:57">
      <c r="A310">
        <v>1990</v>
      </c>
      <c r="B310" t="s">
        <v>1892</v>
      </c>
      <c r="C310" t="s">
        <v>1109</v>
      </c>
      <c r="D310" s="176">
        <v>117808525.009941</v>
      </c>
      <c r="E310">
        <v>0</v>
      </c>
      <c r="G310">
        <v>1990</v>
      </c>
      <c r="H310" t="s">
        <v>1892</v>
      </c>
      <c r="I310" t="s">
        <v>1109</v>
      </c>
      <c r="J310" s="176">
        <v>72157953.061095998</v>
      </c>
      <c r="K310">
        <v>0</v>
      </c>
      <c r="L310" s="342" t="str">
        <f t="shared" si="41"/>
        <v/>
      </c>
      <c r="M310">
        <v>1990</v>
      </c>
      <c r="N310" t="s">
        <v>1892</v>
      </c>
      <c r="O310" t="s">
        <v>1109</v>
      </c>
      <c r="P310" s="243">
        <f t="shared" si="42"/>
        <v>175534887.45881778</v>
      </c>
      <c r="S310">
        <v>1990</v>
      </c>
      <c r="T310" t="s">
        <v>1892</v>
      </c>
      <c r="U310" t="s">
        <v>1109</v>
      </c>
      <c r="V310" s="176">
        <v>28550732.238887001</v>
      </c>
      <c r="W310" s="176">
        <v>159674852.16440001</v>
      </c>
      <c r="X310" s="176">
        <v>0</v>
      </c>
      <c r="Y310" s="176">
        <v>25137654.537774999</v>
      </c>
      <c r="Z310" s="176"/>
      <c r="AA310">
        <v>1990</v>
      </c>
      <c r="AB310" s="176" t="s">
        <v>1892</v>
      </c>
      <c r="AC310" s="176" t="s">
        <v>1109</v>
      </c>
      <c r="AD310" s="176">
        <v>28550732.238887001</v>
      </c>
      <c r="AE310" s="176">
        <v>159674852.16440001</v>
      </c>
      <c r="AF310">
        <v>0</v>
      </c>
      <c r="AG310" s="176">
        <v>25137654.537774999</v>
      </c>
      <c r="AH310" s="342" t="str">
        <f t="shared" si="36"/>
        <v/>
      </c>
      <c r="AI310">
        <v>1990</v>
      </c>
      <c r="AJ310" t="s">
        <v>1892</v>
      </c>
      <c r="AK310" t="s">
        <v>1109</v>
      </c>
      <c r="AL310" s="245">
        <f t="shared" si="37"/>
        <v>51391318.029996604</v>
      </c>
      <c r="AM310" s="245">
        <f t="shared" si="38"/>
        <v>287414733.89592004</v>
      </c>
      <c r="AN310" s="245">
        <f t="shared" si="39"/>
        <v>0</v>
      </c>
      <c r="AO310" s="245">
        <f t="shared" si="40"/>
        <v>45247778.167994998</v>
      </c>
      <c r="AP310" s="176"/>
      <c r="AQ310" s="176"/>
      <c r="AR310">
        <v>1990</v>
      </c>
      <c r="AS310" t="s">
        <v>1892</v>
      </c>
      <c r="AT310" t="s">
        <v>1109</v>
      </c>
      <c r="AU310" s="176">
        <v>24866431.207766</v>
      </c>
      <c r="AW310">
        <v>1990</v>
      </c>
      <c r="AX310" t="s">
        <v>1892</v>
      </c>
      <c r="AY310" t="s">
        <v>1109</v>
      </c>
      <c r="AZ310" s="176">
        <v>7242675.1266639996</v>
      </c>
      <c r="BA310" s="342" t="str">
        <f t="shared" si="43"/>
        <v/>
      </c>
      <c r="BB310">
        <v>1990</v>
      </c>
      <c r="BC310" t="s">
        <v>1892</v>
      </c>
      <c r="BD310" t="s">
        <v>1109</v>
      </c>
      <c r="BE310" s="243">
        <f t="shared" si="44"/>
        <v>30660571.309097201</v>
      </c>
    </row>
    <row r="311" spans="1:57">
      <c r="A311">
        <v>2000</v>
      </c>
      <c r="B311" t="s">
        <v>299</v>
      </c>
      <c r="C311" t="s">
        <v>1077</v>
      </c>
      <c r="D311" s="176">
        <v>146031959.49992299</v>
      </c>
      <c r="E311">
        <v>0</v>
      </c>
      <c r="G311">
        <v>2000</v>
      </c>
      <c r="H311" t="s">
        <v>299</v>
      </c>
      <c r="I311" t="s">
        <v>1077</v>
      </c>
      <c r="J311" s="176">
        <v>53428537.187762998</v>
      </c>
      <c r="K311">
        <v>0</v>
      </c>
      <c r="L311" s="342" t="str">
        <f t="shared" si="41"/>
        <v/>
      </c>
      <c r="M311">
        <v>2000</v>
      </c>
      <c r="N311" t="s">
        <v>299</v>
      </c>
      <c r="O311" t="s">
        <v>1077</v>
      </c>
      <c r="P311" s="243">
        <f t="shared" si="42"/>
        <v>188774789.2501334</v>
      </c>
      <c r="S311">
        <v>2000</v>
      </c>
      <c r="T311" t="s">
        <v>299</v>
      </c>
      <c r="U311" t="s">
        <v>1077</v>
      </c>
      <c r="V311" s="176">
        <v>78657792.495552003</v>
      </c>
      <c r="W311" s="176">
        <v>223845431.30441099</v>
      </c>
      <c r="X311" s="176">
        <v>0</v>
      </c>
      <c r="Y311" s="176">
        <v>27265580.555553999</v>
      </c>
      <c r="Z311" s="176"/>
      <c r="AA311">
        <v>2000</v>
      </c>
      <c r="AB311" s="176" t="s">
        <v>299</v>
      </c>
      <c r="AC311" s="176" t="s">
        <v>1077</v>
      </c>
      <c r="AD311" s="176">
        <v>78657792.495552003</v>
      </c>
      <c r="AE311" s="176">
        <v>223845431.30441099</v>
      </c>
      <c r="AF311" s="176">
        <v>0</v>
      </c>
      <c r="AG311" s="176">
        <v>27265580.555553999</v>
      </c>
      <c r="AH311" s="342" t="str">
        <f t="shared" si="36"/>
        <v/>
      </c>
      <c r="AI311">
        <v>2000</v>
      </c>
      <c r="AJ311" t="s">
        <v>299</v>
      </c>
      <c r="AK311" t="s">
        <v>1077</v>
      </c>
      <c r="AL311" s="245">
        <f t="shared" si="37"/>
        <v>141584026.49199361</v>
      </c>
      <c r="AM311" s="245">
        <f t="shared" si="38"/>
        <v>402921776.34793979</v>
      </c>
      <c r="AN311" s="245">
        <f t="shared" si="39"/>
        <v>0</v>
      </c>
      <c r="AO311" s="245">
        <f t="shared" si="40"/>
        <v>49078044.999997199</v>
      </c>
      <c r="AP311" s="176"/>
      <c r="AQ311" s="176"/>
      <c r="AR311">
        <v>2000</v>
      </c>
      <c r="AS311" t="s">
        <v>299</v>
      </c>
      <c r="AT311" t="s">
        <v>1077</v>
      </c>
      <c r="AU311" s="176">
        <v>29490647.157768</v>
      </c>
      <c r="AW311">
        <v>2000</v>
      </c>
      <c r="AX311" t="s">
        <v>299</v>
      </c>
      <c r="AY311" t="s">
        <v>1077</v>
      </c>
      <c r="AZ311" s="176">
        <v>9645268.8333299998</v>
      </c>
      <c r="BA311" s="342" t="str">
        <f t="shared" si="43"/>
        <v/>
      </c>
      <c r="BB311">
        <v>2000</v>
      </c>
      <c r="BC311" t="s">
        <v>299</v>
      </c>
      <c r="BD311" t="s">
        <v>1077</v>
      </c>
      <c r="BE311" s="243">
        <f t="shared" si="44"/>
        <v>37206862.224431999</v>
      </c>
    </row>
    <row r="312" spans="1:57">
      <c r="A312">
        <v>2000</v>
      </c>
      <c r="B312" t="s">
        <v>299</v>
      </c>
      <c r="C312" t="s">
        <v>1742</v>
      </c>
      <c r="D312" s="176">
        <v>87619844.444419995</v>
      </c>
      <c r="E312">
        <v>0</v>
      </c>
      <c r="G312">
        <v>2000</v>
      </c>
      <c r="H312" t="s">
        <v>299</v>
      </c>
      <c r="I312" t="s">
        <v>1742</v>
      </c>
      <c r="J312" s="176">
        <v>39320503.239991002</v>
      </c>
      <c r="K312">
        <v>0</v>
      </c>
      <c r="L312" s="342" t="str">
        <f t="shared" si="41"/>
        <v/>
      </c>
      <c r="M312">
        <v>2000</v>
      </c>
      <c r="N312" t="s">
        <v>299</v>
      </c>
      <c r="O312" t="s">
        <v>1742</v>
      </c>
      <c r="P312" s="243">
        <f t="shared" si="42"/>
        <v>119076247.03641281</v>
      </c>
      <c r="S312">
        <v>2000</v>
      </c>
      <c r="T312" t="s">
        <v>299</v>
      </c>
      <c r="U312" t="s">
        <v>1742</v>
      </c>
      <c r="V312" s="176">
        <v>23114942.529996999</v>
      </c>
      <c r="W312" s="176">
        <v>98411304.941100001</v>
      </c>
      <c r="X312" s="176">
        <v>0</v>
      </c>
      <c r="Y312" s="176">
        <v>4159116.6666660002</v>
      </c>
      <c r="Z312" s="176"/>
      <c r="AA312">
        <v>2000</v>
      </c>
      <c r="AB312" s="176" t="s">
        <v>299</v>
      </c>
      <c r="AC312" s="176" t="s">
        <v>1742</v>
      </c>
      <c r="AD312" s="176">
        <v>23114942.529996999</v>
      </c>
      <c r="AE312" s="176">
        <v>98411304.941100001</v>
      </c>
      <c r="AF312" s="176">
        <v>0</v>
      </c>
      <c r="AG312" s="176">
        <v>4159116.6666660002</v>
      </c>
      <c r="AH312" s="342" t="str">
        <f t="shared" si="36"/>
        <v/>
      </c>
      <c r="AI312">
        <v>2000</v>
      </c>
      <c r="AJ312" t="s">
        <v>299</v>
      </c>
      <c r="AK312" t="s">
        <v>1742</v>
      </c>
      <c r="AL312" s="245">
        <f t="shared" si="37"/>
        <v>41606896.553994596</v>
      </c>
      <c r="AM312" s="245">
        <f t="shared" si="38"/>
        <v>177140348.89398003</v>
      </c>
      <c r="AN312" s="245">
        <f t="shared" si="39"/>
        <v>0</v>
      </c>
      <c r="AO312" s="245">
        <f t="shared" si="40"/>
        <v>7486409.9999988005</v>
      </c>
      <c r="AP312" s="176"/>
      <c r="AQ312" s="176"/>
      <c r="AR312">
        <v>2000</v>
      </c>
      <c r="AS312" t="s">
        <v>299</v>
      </c>
      <c r="AT312" t="s">
        <v>1742</v>
      </c>
      <c r="AU312" s="176">
        <v>5135880.8488840004</v>
      </c>
      <c r="AW312">
        <v>2000</v>
      </c>
      <c r="AX312" t="s">
        <v>299</v>
      </c>
      <c r="AY312" t="s">
        <v>1742</v>
      </c>
      <c r="AZ312" s="176">
        <v>5597333.1433309997</v>
      </c>
      <c r="BA312" s="342" t="str">
        <f t="shared" si="43"/>
        <v/>
      </c>
      <c r="BB312">
        <v>2000</v>
      </c>
      <c r="BC312" t="s">
        <v>299</v>
      </c>
      <c r="BD312" t="s">
        <v>1742</v>
      </c>
      <c r="BE312" s="243">
        <f t="shared" si="44"/>
        <v>9613747.3635488003</v>
      </c>
    </row>
    <row r="313" spans="1:57">
      <c r="A313">
        <v>2000</v>
      </c>
      <c r="B313" t="s">
        <v>299</v>
      </c>
      <c r="C313" t="s">
        <v>1566</v>
      </c>
      <c r="D313" s="176">
        <v>103466706.013273</v>
      </c>
      <c r="E313">
        <v>0</v>
      </c>
      <c r="G313">
        <v>2000</v>
      </c>
      <c r="H313" t="s">
        <v>299</v>
      </c>
      <c r="I313" t="s">
        <v>1566</v>
      </c>
      <c r="J313" s="176">
        <v>78569102.796652004</v>
      </c>
      <c r="K313">
        <v>0</v>
      </c>
      <c r="L313" s="342" t="str">
        <f t="shared" si="41"/>
        <v/>
      </c>
      <c r="M313">
        <v>2000</v>
      </c>
      <c r="N313" t="s">
        <v>299</v>
      </c>
      <c r="O313" t="s">
        <v>1566</v>
      </c>
      <c r="P313" s="243">
        <f t="shared" si="42"/>
        <v>166321988.25059462</v>
      </c>
      <c r="S313">
        <v>2000</v>
      </c>
      <c r="T313" t="s">
        <v>299</v>
      </c>
      <c r="U313" t="s">
        <v>1566</v>
      </c>
      <c r="V313" s="176">
        <v>31411942.856665999</v>
      </c>
      <c r="W313" s="176">
        <v>171733534.42552701</v>
      </c>
      <c r="X313" s="176">
        <v>0</v>
      </c>
      <c r="Y313" s="176">
        <v>10689663.888888</v>
      </c>
      <c r="Z313" s="176"/>
      <c r="AA313">
        <v>2000</v>
      </c>
      <c r="AB313" s="176" t="s">
        <v>299</v>
      </c>
      <c r="AC313" s="176" t="s">
        <v>1566</v>
      </c>
      <c r="AD313" s="176">
        <v>31411942.856665999</v>
      </c>
      <c r="AE313" s="176">
        <v>171733534.42552701</v>
      </c>
      <c r="AF313" s="176">
        <v>0</v>
      </c>
      <c r="AG313" s="176">
        <v>10689663.888888</v>
      </c>
      <c r="AH313" s="342" t="str">
        <f t="shared" si="36"/>
        <v/>
      </c>
      <c r="AI313">
        <v>2000</v>
      </c>
      <c r="AJ313" t="s">
        <v>299</v>
      </c>
      <c r="AK313" t="s">
        <v>1566</v>
      </c>
      <c r="AL313" s="245">
        <f t="shared" si="37"/>
        <v>56541497.141998798</v>
      </c>
      <c r="AM313" s="245">
        <f t="shared" si="38"/>
        <v>309120361.96594858</v>
      </c>
      <c r="AN313" s="245">
        <f t="shared" si="39"/>
        <v>0</v>
      </c>
      <c r="AO313" s="245">
        <f t="shared" si="40"/>
        <v>19241394.999998398</v>
      </c>
      <c r="AP313" s="176"/>
      <c r="AQ313" s="176"/>
      <c r="AR313">
        <v>2000</v>
      </c>
      <c r="AS313" t="s">
        <v>299</v>
      </c>
      <c r="AT313" t="s">
        <v>1566</v>
      </c>
      <c r="AU313" s="176">
        <v>20137441.456659</v>
      </c>
      <c r="AW313">
        <v>2000</v>
      </c>
      <c r="AX313" t="s">
        <v>299</v>
      </c>
      <c r="AY313" t="s">
        <v>1566</v>
      </c>
      <c r="AZ313" s="176">
        <v>14244784.847772</v>
      </c>
      <c r="BA313" s="342" t="str">
        <f t="shared" si="43"/>
        <v/>
      </c>
      <c r="BB313">
        <v>2000</v>
      </c>
      <c r="BC313" t="s">
        <v>299</v>
      </c>
      <c r="BD313" t="s">
        <v>1566</v>
      </c>
      <c r="BE313" s="243">
        <f t="shared" si="44"/>
        <v>31533269.334876601</v>
      </c>
    </row>
    <row r="314" spans="1:57">
      <c r="A314">
        <v>2000</v>
      </c>
      <c r="B314" t="s">
        <v>299</v>
      </c>
      <c r="C314" t="s">
        <v>1741</v>
      </c>
      <c r="D314" s="176">
        <v>69139489.939954996</v>
      </c>
      <c r="E314">
        <v>0</v>
      </c>
      <c r="G314">
        <v>2000</v>
      </c>
      <c r="H314" t="s">
        <v>299</v>
      </c>
      <c r="I314" t="s">
        <v>1741</v>
      </c>
      <c r="J314" s="176">
        <v>98980971.794425994</v>
      </c>
      <c r="K314">
        <v>0</v>
      </c>
      <c r="L314" s="342" t="str">
        <f t="shared" si="41"/>
        <v/>
      </c>
      <c r="M314">
        <v>2000</v>
      </c>
      <c r="N314" t="s">
        <v>299</v>
      </c>
      <c r="O314" t="s">
        <v>1741</v>
      </c>
      <c r="P314" s="243">
        <f t="shared" si="42"/>
        <v>148324267.37549579</v>
      </c>
      <c r="S314">
        <v>2000</v>
      </c>
      <c r="T314" t="s">
        <v>299</v>
      </c>
      <c r="U314" t="s">
        <v>1741</v>
      </c>
      <c r="V314" s="176">
        <v>21068683.315552</v>
      </c>
      <c r="W314" s="176">
        <v>118652441.939979</v>
      </c>
      <c r="X314" s="176">
        <v>0</v>
      </c>
      <c r="Y314" s="176">
        <v>1279050</v>
      </c>
      <c r="Z314" s="176"/>
      <c r="AA314">
        <v>2000</v>
      </c>
      <c r="AB314" s="176" t="s">
        <v>299</v>
      </c>
      <c r="AC314" s="176" t="s">
        <v>1741</v>
      </c>
      <c r="AD314" s="176">
        <v>21068683.315552</v>
      </c>
      <c r="AE314" s="176">
        <v>118652441.939979</v>
      </c>
      <c r="AF314">
        <v>0</v>
      </c>
      <c r="AG314" s="176">
        <v>1279050</v>
      </c>
      <c r="AH314" s="342" t="str">
        <f t="shared" si="36"/>
        <v/>
      </c>
      <c r="AI314">
        <v>2000</v>
      </c>
      <c r="AJ314" t="s">
        <v>299</v>
      </c>
      <c r="AK314" t="s">
        <v>1741</v>
      </c>
      <c r="AL314" s="245">
        <f t="shared" si="37"/>
        <v>37923629.967993602</v>
      </c>
      <c r="AM314" s="245">
        <f t="shared" si="38"/>
        <v>213574395.49196219</v>
      </c>
      <c r="AN314" s="245">
        <f t="shared" si="39"/>
        <v>0</v>
      </c>
      <c r="AO314" s="245">
        <f t="shared" si="40"/>
        <v>2302290</v>
      </c>
      <c r="AP314" s="176"/>
      <c r="AQ314" s="176"/>
      <c r="AR314">
        <v>2000</v>
      </c>
      <c r="AS314" t="s">
        <v>299</v>
      </c>
      <c r="AT314" t="s">
        <v>1741</v>
      </c>
      <c r="AU314" s="176">
        <v>15495872.939988</v>
      </c>
      <c r="AW314">
        <v>2000</v>
      </c>
      <c r="AX314" t="s">
        <v>299</v>
      </c>
      <c r="AY314" t="s">
        <v>1741</v>
      </c>
      <c r="AZ314" s="176">
        <v>14643429.397771999</v>
      </c>
      <c r="BA314" s="342" t="str">
        <f t="shared" si="43"/>
        <v/>
      </c>
      <c r="BB314">
        <v>2000</v>
      </c>
      <c r="BC314" t="s">
        <v>299</v>
      </c>
      <c r="BD314" t="s">
        <v>1741</v>
      </c>
      <c r="BE314" s="243">
        <f t="shared" si="44"/>
        <v>27210616.458205603</v>
      </c>
    </row>
    <row r="315" spans="1:57">
      <c r="A315">
        <v>2010</v>
      </c>
      <c r="B315" t="s">
        <v>300</v>
      </c>
      <c r="C315" t="s">
        <v>1078</v>
      </c>
      <c r="D315" s="176">
        <v>204771891.36325899</v>
      </c>
      <c r="E315">
        <v>0</v>
      </c>
      <c r="G315">
        <v>2010</v>
      </c>
      <c r="H315" t="s">
        <v>300</v>
      </c>
      <c r="I315" t="s">
        <v>1078</v>
      </c>
      <c r="J315" s="176">
        <v>163692711.76108301</v>
      </c>
      <c r="K315">
        <v>0</v>
      </c>
      <c r="L315" s="342" t="str">
        <f t="shared" si="41"/>
        <v/>
      </c>
      <c r="M315">
        <v>2010</v>
      </c>
      <c r="N315" t="s">
        <v>300</v>
      </c>
      <c r="O315" t="s">
        <v>1078</v>
      </c>
      <c r="P315" s="243">
        <f t="shared" si="42"/>
        <v>335726060.77212536</v>
      </c>
      <c r="S315">
        <v>2010</v>
      </c>
      <c r="T315" t="s">
        <v>300</v>
      </c>
      <c r="U315" t="s">
        <v>1078</v>
      </c>
      <c r="V315" s="176">
        <v>60251271.825553998</v>
      </c>
      <c r="W315" s="176">
        <v>357817596.95551902</v>
      </c>
      <c r="X315" s="176">
        <v>0</v>
      </c>
      <c r="Y315" s="176">
        <v>19803487.777775999</v>
      </c>
      <c r="Z315" s="176"/>
      <c r="AA315">
        <v>2010</v>
      </c>
      <c r="AB315" s="176" t="s">
        <v>300</v>
      </c>
      <c r="AC315" s="176" t="s">
        <v>1078</v>
      </c>
      <c r="AD315" s="176">
        <v>60251271.825553998</v>
      </c>
      <c r="AE315" s="176">
        <v>357817596.95551902</v>
      </c>
      <c r="AF315" s="176">
        <v>0</v>
      </c>
      <c r="AG315" s="176">
        <v>19803487.777775999</v>
      </c>
      <c r="AH315" s="342" t="str">
        <f t="shared" si="36"/>
        <v/>
      </c>
      <c r="AI315">
        <v>2010</v>
      </c>
      <c r="AJ315" t="s">
        <v>300</v>
      </c>
      <c r="AK315" t="s">
        <v>1078</v>
      </c>
      <c r="AL315" s="245">
        <f t="shared" si="37"/>
        <v>108452289.2859972</v>
      </c>
      <c r="AM315" s="245">
        <f t="shared" si="38"/>
        <v>644071674.51993418</v>
      </c>
      <c r="AN315" s="245">
        <f t="shared" si="39"/>
        <v>0</v>
      </c>
      <c r="AO315" s="245">
        <f t="shared" si="40"/>
        <v>35646277.999996796</v>
      </c>
      <c r="AP315" s="176"/>
      <c r="AQ315" s="176"/>
      <c r="AR315">
        <v>2010</v>
      </c>
      <c r="AS315" t="s">
        <v>300</v>
      </c>
      <c r="AT315" t="s">
        <v>1078</v>
      </c>
      <c r="AU315" s="176">
        <v>40501561.882206999</v>
      </c>
      <c r="AW315">
        <v>2010</v>
      </c>
      <c r="AX315" t="s">
        <v>300</v>
      </c>
      <c r="AY315" t="s">
        <v>1078</v>
      </c>
      <c r="AZ315">
        <v>15655844.874438001</v>
      </c>
      <c r="BA315" s="342" t="str">
        <f t="shared" si="43"/>
        <v/>
      </c>
      <c r="BB315">
        <v>2010</v>
      </c>
      <c r="BC315" t="s">
        <v>300</v>
      </c>
      <c r="BD315" t="s">
        <v>1078</v>
      </c>
      <c r="BE315" s="243">
        <f t="shared" si="44"/>
        <v>53026237.781757399</v>
      </c>
    </row>
    <row r="316" spans="1:57">
      <c r="A316">
        <v>2010</v>
      </c>
      <c r="B316" t="s">
        <v>300</v>
      </c>
      <c r="C316" t="s">
        <v>1960</v>
      </c>
      <c r="D316" s="176">
        <v>122185023.27216201</v>
      </c>
      <c r="E316">
        <v>0</v>
      </c>
      <c r="G316">
        <v>2010</v>
      </c>
      <c r="H316" t="s">
        <v>300</v>
      </c>
      <c r="I316" t="s">
        <v>1960</v>
      </c>
      <c r="J316" s="176">
        <v>51708895.061095998</v>
      </c>
      <c r="K316">
        <v>0</v>
      </c>
      <c r="L316" s="342" t="str">
        <f t="shared" si="41"/>
        <v/>
      </c>
      <c r="M316">
        <v>2010</v>
      </c>
      <c r="N316" t="s">
        <v>300</v>
      </c>
      <c r="O316" t="s">
        <v>1960</v>
      </c>
      <c r="P316" s="243">
        <f t="shared" si="42"/>
        <v>163552139.32103881</v>
      </c>
      <c r="S316">
        <v>2010</v>
      </c>
      <c r="T316" t="s">
        <v>300</v>
      </c>
      <c r="U316" t="s">
        <v>1960</v>
      </c>
      <c r="V316" s="176">
        <v>31554739.969997998</v>
      </c>
      <c r="W316" s="176">
        <v>163644353.46664101</v>
      </c>
      <c r="X316" s="176">
        <v>500000</v>
      </c>
      <c r="Y316" s="176">
        <v>14979332.222222</v>
      </c>
      <c r="Z316" s="176"/>
      <c r="AA316">
        <v>2010</v>
      </c>
      <c r="AB316" s="176" t="s">
        <v>300</v>
      </c>
      <c r="AC316" s="176" t="s">
        <v>1960</v>
      </c>
      <c r="AD316" s="176">
        <v>31554739.969997998</v>
      </c>
      <c r="AE316" s="176">
        <v>163644353.46664101</v>
      </c>
      <c r="AF316" s="176">
        <v>500000</v>
      </c>
      <c r="AG316" s="176">
        <v>14979332.222222</v>
      </c>
      <c r="AH316" s="342" t="str">
        <f t="shared" si="36"/>
        <v/>
      </c>
      <c r="AI316">
        <v>2010</v>
      </c>
      <c r="AJ316" t="s">
        <v>300</v>
      </c>
      <c r="AK316" t="s">
        <v>1960</v>
      </c>
      <c r="AL316" s="245">
        <f t="shared" si="37"/>
        <v>56798531.945996404</v>
      </c>
      <c r="AM316" s="245">
        <f t="shared" si="38"/>
        <v>294559836.23995382</v>
      </c>
      <c r="AN316" s="245">
        <f t="shared" si="39"/>
        <v>900000</v>
      </c>
      <c r="AO316" s="245">
        <f t="shared" si="40"/>
        <v>26962797.999999601</v>
      </c>
      <c r="AP316" s="176"/>
      <c r="AQ316" s="176"/>
      <c r="AR316">
        <v>2010</v>
      </c>
      <c r="AS316" t="s">
        <v>300</v>
      </c>
      <c r="AT316" t="s">
        <v>1960</v>
      </c>
      <c r="AU316" s="176">
        <v>7501370.3122180002</v>
      </c>
      <c r="AW316">
        <v>2010</v>
      </c>
      <c r="AX316" t="s">
        <v>300</v>
      </c>
      <c r="AY316" t="s">
        <v>1960</v>
      </c>
      <c r="AZ316" s="176">
        <v>21615282.634442002</v>
      </c>
      <c r="BA316" s="342" t="str">
        <f t="shared" si="43"/>
        <v/>
      </c>
      <c r="BB316">
        <v>2010</v>
      </c>
      <c r="BC316" t="s">
        <v>300</v>
      </c>
      <c r="BD316" t="s">
        <v>1960</v>
      </c>
      <c r="BE316" s="243">
        <f t="shared" si="44"/>
        <v>24793596.419771601</v>
      </c>
    </row>
    <row r="317" spans="1:57">
      <c r="A317">
        <v>2010</v>
      </c>
      <c r="B317" t="s">
        <v>300</v>
      </c>
      <c r="C317" t="s">
        <v>1961</v>
      </c>
      <c r="D317" s="176">
        <v>62476970.709981002</v>
      </c>
      <c r="E317">
        <v>0</v>
      </c>
      <c r="G317">
        <v>2010</v>
      </c>
      <c r="H317" t="s">
        <v>300</v>
      </c>
      <c r="I317" t="s">
        <v>1961</v>
      </c>
      <c r="J317" s="176">
        <v>16083006.727773</v>
      </c>
      <c r="K317">
        <v>0</v>
      </c>
      <c r="L317" s="342" t="str">
        <f t="shared" si="41"/>
        <v/>
      </c>
      <c r="M317">
        <v>2010</v>
      </c>
      <c r="N317" t="s">
        <v>300</v>
      </c>
      <c r="O317" t="s">
        <v>1961</v>
      </c>
      <c r="P317" s="243">
        <f t="shared" si="42"/>
        <v>75343376.0921994</v>
      </c>
      <c r="S317">
        <v>2010</v>
      </c>
      <c r="T317" t="s">
        <v>300</v>
      </c>
      <c r="U317" t="s">
        <v>1961</v>
      </c>
      <c r="V317" s="176">
        <v>22063552.100000001</v>
      </c>
      <c r="W317" s="176">
        <v>66092272.287767999</v>
      </c>
      <c r="X317">
        <v>0</v>
      </c>
      <c r="Y317" s="176">
        <v>14021490.111111</v>
      </c>
      <c r="Z317" s="176"/>
      <c r="AA317">
        <v>2010</v>
      </c>
      <c r="AB317" s="176" t="s">
        <v>300</v>
      </c>
      <c r="AC317" s="176" t="s">
        <v>1961</v>
      </c>
      <c r="AD317" s="176">
        <v>22063552.100000001</v>
      </c>
      <c r="AE317" s="176">
        <v>66092272.287767999</v>
      </c>
      <c r="AF317">
        <v>0</v>
      </c>
      <c r="AG317" s="176">
        <v>14021490.111111</v>
      </c>
      <c r="AH317" s="342" t="str">
        <f t="shared" si="36"/>
        <v/>
      </c>
      <c r="AI317">
        <v>2010</v>
      </c>
      <c r="AJ317" t="s">
        <v>300</v>
      </c>
      <c r="AK317" t="s">
        <v>1961</v>
      </c>
      <c r="AL317" s="245">
        <f t="shared" si="37"/>
        <v>39714393.780000001</v>
      </c>
      <c r="AM317" s="245">
        <f t="shared" si="38"/>
        <v>118966090.1179824</v>
      </c>
      <c r="AN317" s="245">
        <f t="shared" si="39"/>
        <v>0</v>
      </c>
      <c r="AO317" s="245">
        <f t="shared" si="40"/>
        <v>25238682.199999802</v>
      </c>
      <c r="AP317" s="176"/>
      <c r="AQ317" s="176"/>
      <c r="AR317">
        <v>2010</v>
      </c>
      <c r="AS317" t="s">
        <v>300</v>
      </c>
      <c r="AT317" t="s">
        <v>1961</v>
      </c>
      <c r="AU317" s="176">
        <v>3174775.5122190001</v>
      </c>
      <c r="AW317">
        <v>2010</v>
      </c>
      <c r="AX317" t="s">
        <v>300</v>
      </c>
      <c r="AY317" t="s">
        <v>1961</v>
      </c>
      <c r="AZ317" s="176">
        <v>8317647.2077740002</v>
      </c>
      <c r="BA317" s="342" t="str">
        <f t="shared" si="43"/>
        <v/>
      </c>
      <c r="BB317">
        <v>2010</v>
      </c>
      <c r="BC317" t="s">
        <v>300</v>
      </c>
      <c r="BD317" t="s">
        <v>1961</v>
      </c>
      <c r="BE317" s="243">
        <f t="shared" si="44"/>
        <v>9828893.2784382012</v>
      </c>
    </row>
    <row r="318" spans="1:57">
      <c r="A318">
        <v>2010</v>
      </c>
      <c r="B318" t="s">
        <v>300</v>
      </c>
      <c r="C318" t="s">
        <v>1962</v>
      </c>
      <c r="D318" s="176">
        <v>58678596.006592996</v>
      </c>
      <c r="E318">
        <v>0</v>
      </c>
      <c r="G318">
        <v>2010</v>
      </c>
      <c r="H318" t="s">
        <v>300</v>
      </c>
      <c r="I318" t="s">
        <v>1962</v>
      </c>
      <c r="J318" s="176">
        <v>34256482.509985998</v>
      </c>
      <c r="K318">
        <v>0</v>
      </c>
      <c r="L318" s="342" t="str">
        <f t="shared" si="41"/>
        <v/>
      </c>
      <c r="M318">
        <v>2010</v>
      </c>
      <c r="N318" t="s">
        <v>300</v>
      </c>
      <c r="O318" t="s">
        <v>1962</v>
      </c>
      <c r="P318" s="243">
        <f t="shared" si="42"/>
        <v>86083782.0145818</v>
      </c>
      <c r="S318">
        <v>2010</v>
      </c>
      <c r="T318" t="s">
        <v>300</v>
      </c>
      <c r="U318" t="s">
        <v>1962</v>
      </c>
      <c r="V318" s="176">
        <v>26167859.611111</v>
      </c>
      <c r="W318" s="176">
        <v>98498458.137758002</v>
      </c>
      <c r="X318">
        <v>500000</v>
      </c>
      <c r="Y318" s="176">
        <v>2590605.555555</v>
      </c>
      <c r="Z318" s="176"/>
      <c r="AA318">
        <v>2010</v>
      </c>
      <c r="AB318" s="176" t="s">
        <v>300</v>
      </c>
      <c r="AC318" s="176" t="s">
        <v>1962</v>
      </c>
      <c r="AD318" s="176">
        <v>26167859.611111</v>
      </c>
      <c r="AE318" s="176">
        <v>98498458.137758002</v>
      </c>
      <c r="AF318">
        <v>500000</v>
      </c>
      <c r="AG318" s="176">
        <v>2590605.555555</v>
      </c>
      <c r="AH318" s="342" t="str">
        <f t="shared" si="36"/>
        <v/>
      </c>
      <c r="AI318">
        <v>2010</v>
      </c>
      <c r="AJ318" t="s">
        <v>300</v>
      </c>
      <c r="AK318" t="s">
        <v>1962</v>
      </c>
      <c r="AL318" s="245">
        <f t="shared" si="37"/>
        <v>47102147.299999803</v>
      </c>
      <c r="AM318" s="245">
        <f t="shared" si="38"/>
        <v>177297224.64796442</v>
      </c>
      <c r="AN318" s="245">
        <f t="shared" si="39"/>
        <v>900000</v>
      </c>
      <c r="AO318" s="245">
        <f t="shared" si="40"/>
        <v>4663089.9999989998</v>
      </c>
      <c r="AP318" s="176"/>
      <c r="AQ318" s="176"/>
      <c r="AR318">
        <v>2010</v>
      </c>
      <c r="AS318" t="s">
        <v>300</v>
      </c>
      <c r="AT318" t="s">
        <v>1962</v>
      </c>
      <c r="AU318" s="176">
        <v>7998398.4255529996</v>
      </c>
      <c r="AW318">
        <v>2010</v>
      </c>
      <c r="AX318" t="s">
        <v>300</v>
      </c>
      <c r="AY318" t="s">
        <v>1962</v>
      </c>
      <c r="AZ318" s="176">
        <v>7842860.309998</v>
      </c>
      <c r="BA318" s="342" t="str">
        <f t="shared" si="43"/>
        <v/>
      </c>
      <c r="BB318">
        <v>2010</v>
      </c>
      <c r="BC318" t="s">
        <v>300</v>
      </c>
      <c r="BD318" t="s">
        <v>1962</v>
      </c>
      <c r="BE318" s="243">
        <f t="shared" si="44"/>
        <v>14272686.673551399</v>
      </c>
    </row>
    <row r="319" spans="1:57">
      <c r="A319">
        <v>2110</v>
      </c>
      <c r="B319" t="s">
        <v>301</v>
      </c>
      <c r="C319" t="s">
        <v>1743</v>
      </c>
      <c r="D319" s="176">
        <v>185220497.93105799</v>
      </c>
      <c r="E319">
        <v>0</v>
      </c>
      <c r="G319">
        <v>2110</v>
      </c>
      <c r="H319" t="s">
        <v>301</v>
      </c>
      <c r="I319" t="s">
        <v>1743</v>
      </c>
      <c r="J319" s="176">
        <v>113599652.341095</v>
      </c>
      <c r="K319">
        <v>0</v>
      </c>
      <c r="L319" s="342" t="str">
        <f t="shared" si="41"/>
        <v/>
      </c>
      <c r="M319">
        <v>2110</v>
      </c>
      <c r="N319" t="s">
        <v>301</v>
      </c>
      <c r="O319" t="s">
        <v>1743</v>
      </c>
      <c r="P319" s="243">
        <f t="shared" si="42"/>
        <v>276100219.80393398</v>
      </c>
      <c r="S319">
        <v>2110</v>
      </c>
      <c r="T319" t="s">
        <v>301</v>
      </c>
      <c r="U319" t="s">
        <v>1743</v>
      </c>
      <c r="V319" s="176">
        <v>84942391.141106993</v>
      </c>
      <c r="W319" s="176">
        <v>144906887.558864</v>
      </c>
      <c r="X319" s="176">
        <v>0</v>
      </c>
      <c r="Y319" s="176">
        <v>25874383.333331</v>
      </c>
      <c r="Z319" s="176"/>
      <c r="AA319">
        <v>2110</v>
      </c>
      <c r="AB319" s="176" t="s">
        <v>301</v>
      </c>
      <c r="AC319" s="176" t="s">
        <v>1743</v>
      </c>
      <c r="AD319" s="176">
        <v>84942391.141106993</v>
      </c>
      <c r="AE319" s="176">
        <v>144906887.558864</v>
      </c>
      <c r="AF319" s="176">
        <v>0</v>
      </c>
      <c r="AG319" s="176">
        <v>25874383.333331</v>
      </c>
      <c r="AH319" s="342" t="str">
        <f t="shared" si="36"/>
        <v/>
      </c>
      <c r="AI319">
        <v>2110</v>
      </c>
      <c r="AJ319" t="s">
        <v>301</v>
      </c>
      <c r="AK319" t="s">
        <v>1743</v>
      </c>
      <c r="AL319" s="245">
        <f t="shared" si="37"/>
        <v>152896304.05399257</v>
      </c>
      <c r="AM319" s="245">
        <f t="shared" si="38"/>
        <v>260832397.60595518</v>
      </c>
      <c r="AN319" s="245">
        <f t="shared" si="39"/>
        <v>0</v>
      </c>
      <c r="AO319" s="245">
        <f t="shared" si="40"/>
        <v>46573889.999995798</v>
      </c>
      <c r="AP319" s="176"/>
      <c r="AQ319" s="176"/>
      <c r="AR319">
        <v>2110</v>
      </c>
      <c r="AS319" t="s">
        <v>301</v>
      </c>
      <c r="AT319" t="s">
        <v>1743</v>
      </c>
      <c r="AU319" s="176">
        <v>27207508.046650998</v>
      </c>
      <c r="AW319">
        <v>2110</v>
      </c>
      <c r="AX319" t="s">
        <v>301</v>
      </c>
      <c r="AY319" t="s">
        <v>1743</v>
      </c>
      <c r="AZ319" s="176">
        <v>34725549.244434997</v>
      </c>
      <c r="BA319" s="342" t="str">
        <f t="shared" si="43"/>
        <v/>
      </c>
      <c r="BB319">
        <v>2110</v>
      </c>
      <c r="BC319" t="s">
        <v>301</v>
      </c>
      <c r="BD319" t="s">
        <v>1743</v>
      </c>
      <c r="BE319" s="243">
        <f t="shared" si="44"/>
        <v>54987947.442198999</v>
      </c>
    </row>
    <row r="320" spans="1:57">
      <c r="A320">
        <v>2110</v>
      </c>
      <c r="B320" t="s">
        <v>301</v>
      </c>
      <c r="C320" t="s">
        <v>1567</v>
      </c>
      <c r="D320" s="176">
        <v>159395087.699891</v>
      </c>
      <c r="E320">
        <v>0</v>
      </c>
      <c r="G320">
        <v>2110</v>
      </c>
      <c r="H320" t="s">
        <v>301</v>
      </c>
      <c r="I320" t="s">
        <v>1567</v>
      </c>
      <c r="J320" s="176">
        <v>114495468.182198</v>
      </c>
      <c r="K320">
        <v>0</v>
      </c>
      <c r="L320" s="342" t="str">
        <f t="shared" si="41"/>
        <v/>
      </c>
      <c r="M320">
        <v>2110</v>
      </c>
      <c r="N320" t="s">
        <v>301</v>
      </c>
      <c r="O320" t="s">
        <v>1567</v>
      </c>
      <c r="P320" s="243">
        <f t="shared" si="42"/>
        <v>250991462.2456494</v>
      </c>
      <c r="S320">
        <v>2110</v>
      </c>
      <c r="T320" t="s">
        <v>301</v>
      </c>
      <c r="U320" t="s">
        <v>1567</v>
      </c>
      <c r="V320" s="176">
        <v>57656885.946663998</v>
      </c>
      <c r="W320" s="176">
        <v>171642547.521072</v>
      </c>
      <c r="X320" s="176">
        <v>0</v>
      </c>
      <c r="Y320" s="176">
        <v>10211096.099997999</v>
      </c>
      <c r="Z320" s="176"/>
      <c r="AA320">
        <v>2110</v>
      </c>
      <c r="AB320" s="176" t="s">
        <v>301</v>
      </c>
      <c r="AC320" s="176" t="s">
        <v>1567</v>
      </c>
      <c r="AD320" s="176">
        <v>57656885.946663998</v>
      </c>
      <c r="AE320" s="176">
        <v>171642547.521072</v>
      </c>
      <c r="AF320">
        <v>0</v>
      </c>
      <c r="AG320" s="176">
        <v>10211096.099997999</v>
      </c>
      <c r="AH320" s="342" t="str">
        <f t="shared" si="36"/>
        <v/>
      </c>
      <c r="AI320">
        <v>2110</v>
      </c>
      <c r="AJ320" t="s">
        <v>301</v>
      </c>
      <c r="AK320" t="s">
        <v>1567</v>
      </c>
      <c r="AL320" s="245">
        <f t="shared" si="37"/>
        <v>103782394.7039952</v>
      </c>
      <c r="AM320" s="245">
        <f t="shared" si="38"/>
        <v>308956585.53792959</v>
      </c>
      <c r="AN320" s="245">
        <f t="shared" si="39"/>
        <v>0</v>
      </c>
      <c r="AO320" s="245">
        <f t="shared" si="40"/>
        <v>18379972.979996398</v>
      </c>
      <c r="AP320" s="176"/>
      <c r="AQ320" s="176"/>
      <c r="AR320">
        <v>2110</v>
      </c>
      <c r="AS320" t="s">
        <v>301</v>
      </c>
      <c r="AT320" t="s">
        <v>1567</v>
      </c>
      <c r="AU320" s="176">
        <v>14762171.286659</v>
      </c>
      <c r="AW320">
        <v>2110</v>
      </c>
      <c r="AX320" t="s">
        <v>301</v>
      </c>
      <c r="AY320" t="s">
        <v>1567</v>
      </c>
      <c r="AZ320" s="176">
        <v>104037087.327767</v>
      </c>
      <c r="BA320" s="342" t="str">
        <f t="shared" si="43"/>
        <v/>
      </c>
      <c r="BB320">
        <v>2110</v>
      </c>
      <c r="BC320" t="s">
        <v>301</v>
      </c>
      <c r="BD320" t="s">
        <v>1567</v>
      </c>
      <c r="BE320" s="243">
        <f t="shared" si="44"/>
        <v>97991841.148872614</v>
      </c>
    </row>
    <row r="321" spans="1:57">
      <c r="A321">
        <v>2110</v>
      </c>
      <c r="B321" t="s">
        <v>301</v>
      </c>
      <c r="C321" t="s">
        <v>1080</v>
      </c>
      <c r="D321" s="176">
        <v>220196079.73884499</v>
      </c>
      <c r="E321">
        <v>0</v>
      </c>
      <c r="G321">
        <v>2110</v>
      </c>
      <c r="H321" t="s">
        <v>301</v>
      </c>
      <c r="I321" t="s">
        <v>1080</v>
      </c>
      <c r="J321" s="176">
        <v>146188914.741088</v>
      </c>
      <c r="K321">
        <v>0</v>
      </c>
      <c r="L321" s="342" t="str">
        <f t="shared" si="41"/>
        <v/>
      </c>
      <c r="M321">
        <v>2110</v>
      </c>
      <c r="N321" t="s">
        <v>301</v>
      </c>
      <c r="O321" t="s">
        <v>1080</v>
      </c>
      <c r="P321" s="243">
        <f t="shared" si="42"/>
        <v>337147211.53171539</v>
      </c>
      <c r="S321">
        <v>2110</v>
      </c>
      <c r="T321" t="s">
        <v>301</v>
      </c>
      <c r="U321" t="s">
        <v>1080</v>
      </c>
      <c r="V321" s="176">
        <v>76238923.982219994</v>
      </c>
      <c r="W321" s="176">
        <v>164318539.72219101</v>
      </c>
      <c r="X321" s="176">
        <v>0</v>
      </c>
      <c r="Y321" s="176">
        <v>32648091.25</v>
      </c>
      <c r="Z321" s="176"/>
      <c r="AA321">
        <v>2110</v>
      </c>
      <c r="AB321" s="176" t="s">
        <v>301</v>
      </c>
      <c r="AC321" s="176" t="s">
        <v>1080</v>
      </c>
      <c r="AD321" s="176">
        <v>76238923.982219994</v>
      </c>
      <c r="AE321" s="176">
        <v>164318539.72219101</v>
      </c>
      <c r="AF321" s="176">
        <v>0</v>
      </c>
      <c r="AG321" s="176">
        <v>32648091.25</v>
      </c>
      <c r="AH321" s="342" t="str">
        <f t="shared" si="36"/>
        <v/>
      </c>
      <c r="AI321">
        <v>2110</v>
      </c>
      <c r="AJ321" t="s">
        <v>301</v>
      </c>
      <c r="AK321" t="s">
        <v>1080</v>
      </c>
      <c r="AL321" s="245">
        <f t="shared" si="37"/>
        <v>137230063.16799599</v>
      </c>
      <c r="AM321" s="245">
        <f t="shared" si="38"/>
        <v>295773371.49994385</v>
      </c>
      <c r="AN321" s="245">
        <f t="shared" si="39"/>
        <v>0</v>
      </c>
      <c r="AO321" s="245">
        <f t="shared" si="40"/>
        <v>58766564.25</v>
      </c>
      <c r="AP321" s="176"/>
      <c r="AQ321" s="176"/>
      <c r="AR321">
        <v>2110</v>
      </c>
      <c r="AS321" t="s">
        <v>301</v>
      </c>
      <c r="AT321" t="s">
        <v>1080</v>
      </c>
      <c r="AU321" s="176">
        <v>49581083.194425002</v>
      </c>
      <c r="AW321">
        <v>2110</v>
      </c>
      <c r="AX321" t="s">
        <v>301</v>
      </c>
      <c r="AY321" t="s">
        <v>1080</v>
      </c>
      <c r="AZ321" s="176">
        <v>48592112.393320002</v>
      </c>
      <c r="BA321" s="342" t="str">
        <f t="shared" si="43"/>
        <v/>
      </c>
      <c r="BB321">
        <v>2110</v>
      </c>
      <c r="BC321" t="s">
        <v>301</v>
      </c>
      <c r="BD321" t="s">
        <v>1080</v>
      </c>
      <c r="BE321" s="243">
        <f t="shared" si="44"/>
        <v>88454773.109081</v>
      </c>
    </row>
    <row r="322" spans="1:57">
      <c r="A322">
        <v>2110</v>
      </c>
      <c r="B322" t="s">
        <v>301</v>
      </c>
      <c r="C322" t="s">
        <v>1963</v>
      </c>
      <c r="D322" s="176">
        <v>58058389.709957004</v>
      </c>
      <c r="E322">
        <v>0</v>
      </c>
      <c r="G322">
        <v>2110</v>
      </c>
      <c r="H322" t="s">
        <v>301</v>
      </c>
      <c r="I322" t="s">
        <v>1963</v>
      </c>
      <c r="J322" s="176">
        <v>12472236.452213001</v>
      </c>
      <c r="K322">
        <v>0</v>
      </c>
      <c r="L322" s="342" t="str">
        <f t="shared" si="41"/>
        <v/>
      </c>
      <c r="M322">
        <v>2110</v>
      </c>
      <c r="N322" t="s">
        <v>301</v>
      </c>
      <c r="O322" t="s">
        <v>1963</v>
      </c>
      <c r="P322" s="243">
        <f t="shared" si="42"/>
        <v>68036178.871727407</v>
      </c>
      <c r="S322">
        <v>2110</v>
      </c>
      <c r="T322" t="s">
        <v>301</v>
      </c>
      <c r="U322" t="s">
        <v>1963</v>
      </c>
      <c r="V322" s="176">
        <v>20693880.774441998</v>
      </c>
      <c r="W322" s="176">
        <v>58037768.749977</v>
      </c>
      <c r="X322" s="176">
        <v>0</v>
      </c>
      <c r="Y322" s="176">
        <v>6822194.9999989998</v>
      </c>
      <c r="Z322" s="176"/>
      <c r="AA322">
        <v>2110</v>
      </c>
      <c r="AB322" s="176" t="s">
        <v>301</v>
      </c>
      <c r="AC322" s="176" t="s">
        <v>1963</v>
      </c>
      <c r="AD322" s="176">
        <v>20693880.774441998</v>
      </c>
      <c r="AE322" s="176">
        <v>58037768.749977</v>
      </c>
      <c r="AF322" s="176">
        <v>0</v>
      </c>
      <c r="AG322" s="176">
        <v>6822194.9999989998</v>
      </c>
      <c r="AH322" s="342" t="str">
        <f t="shared" si="36"/>
        <v/>
      </c>
      <c r="AI322">
        <v>2110</v>
      </c>
      <c r="AJ322" t="s">
        <v>301</v>
      </c>
      <c r="AK322" t="s">
        <v>1963</v>
      </c>
      <c r="AL322" s="245">
        <f t="shared" si="37"/>
        <v>37248985.393995598</v>
      </c>
      <c r="AM322" s="245">
        <f t="shared" si="38"/>
        <v>104467983.7499586</v>
      </c>
      <c r="AN322" s="245">
        <f t="shared" si="39"/>
        <v>0</v>
      </c>
      <c r="AO322" s="245">
        <f t="shared" si="40"/>
        <v>12279950.999998201</v>
      </c>
      <c r="AP322" s="176"/>
      <c r="AQ322" s="176"/>
      <c r="AR322">
        <v>2110</v>
      </c>
      <c r="AS322" t="s">
        <v>301</v>
      </c>
      <c r="AT322" t="s">
        <v>1963</v>
      </c>
      <c r="AU322" s="176">
        <v>11765175.737769</v>
      </c>
      <c r="AW322">
        <v>2110</v>
      </c>
      <c r="AX322" t="s">
        <v>301</v>
      </c>
      <c r="AY322" t="s">
        <v>1963</v>
      </c>
      <c r="AZ322" s="176">
        <v>4423124.0322209997</v>
      </c>
      <c r="BA322" s="342" t="str">
        <f t="shared" si="43"/>
        <v/>
      </c>
      <c r="BB322">
        <v>2110</v>
      </c>
      <c r="BC322" t="s">
        <v>301</v>
      </c>
      <c r="BD322" t="s">
        <v>1963</v>
      </c>
      <c r="BE322" s="243">
        <f t="shared" si="44"/>
        <v>15303674.963545799</v>
      </c>
    </row>
    <row r="323" spans="1:57">
      <c r="A323">
        <v>2200</v>
      </c>
      <c r="B323" t="s">
        <v>302</v>
      </c>
      <c r="C323" t="s">
        <v>1082</v>
      </c>
      <c r="D323" s="176">
        <v>26400458.793311</v>
      </c>
      <c r="E323">
        <v>0</v>
      </c>
      <c r="G323">
        <v>2200</v>
      </c>
      <c r="H323" t="s">
        <v>302</v>
      </c>
      <c r="I323" t="s">
        <v>1082</v>
      </c>
      <c r="J323" s="176">
        <v>25198708.518881999</v>
      </c>
      <c r="K323">
        <v>0</v>
      </c>
      <c r="L323" s="342" t="str">
        <f t="shared" si="41"/>
        <v/>
      </c>
      <c r="M323">
        <v>2200</v>
      </c>
      <c r="N323" t="s">
        <v>302</v>
      </c>
      <c r="O323" t="s">
        <v>1082</v>
      </c>
      <c r="P323" s="243">
        <f t="shared" si="42"/>
        <v>46559425.608416602</v>
      </c>
      <c r="S323">
        <v>2200</v>
      </c>
      <c r="T323" t="s">
        <v>302</v>
      </c>
      <c r="U323" t="s">
        <v>1082</v>
      </c>
      <c r="V323" s="176">
        <v>7975780.0599999996</v>
      </c>
      <c r="W323" s="176">
        <v>63135808.578864999</v>
      </c>
      <c r="X323" s="176">
        <v>0</v>
      </c>
      <c r="Y323" s="176">
        <v>4919050.555555</v>
      </c>
      <c r="Z323" s="176"/>
      <c r="AA323">
        <v>2200</v>
      </c>
      <c r="AB323" s="176" t="s">
        <v>302</v>
      </c>
      <c r="AC323" s="176" t="s">
        <v>1082</v>
      </c>
      <c r="AD323" s="176">
        <v>7975780.0599999996</v>
      </c>
      <c r="AE323" s="176">
        <v>63135808.578864999</v>
      </c>
      <c r="AF323" s="176">
        <v>0</v>
      </c>
      <c r="AG323" s="176">
        <v>4919050.555555</v>
      </c>
      <c r="AH323" s="342" t="str">
        <f t="shared" si="36"/>
        <v/>
      </c>
      <c r="AI323">
        <v>2200</v>
      </c>
      <c r="AJ323" t="s">
        <v>302</v>
      </c>
      <c r="AK323" t="s">
        <v>1082</v>
      </c>
      <c r="AL323" s="245">
        <f t="shared" si="37"/>
        <v>14356404.107999999</v>
      </c>
      <c r="AM323" s="245">
        <f t="shared" si="38"/>
        <v>113644455.441957</v>
      </c>
      <c r="AN323" s="245">
        <f t="shared" si="39"/>
        <v>0</v>
      </c>
      <c r="AO323" s="245">
        <f t="shared" si="40"/>
        <v>8854290.9999989998</v>
      </c>
      <c r="AP323" s="176"/>
      <c r="AQ323" s="176"/>
      <c r="AR323">
        <v>2200</v>
      </c>
      <c r="AS323" t="s">
        <v>302</v>
      </c>
      <c r="AT323" t="s">
        <v>1082</v>
      </c>
      <c r="AU323" s="176">
        <v>2422402.8677730002</v>
      </c>
      <c r="AW323">
        <v>2200</v>
      </c>
      <c r="AX323" t="s">
        <v>302</v>
      </c>
      <c r="AY323" t="s">
        <v>1082</v>
      </c>
      <c r="AZ323" s="176">
        <v>5514975.6322210003</v>
      </c>
      <c r="BA323" s="342" t="str">
        <f t="shared" si="43"/>
        <v/>
      </c>
      <c r="BB323">
        <v>2200</v>
      </c>
      <c r="BC323" t="s">
        <v>302</v>
      </c>
      <c r="BD323" t="s">
        <v>1082</v>
      </c>
      <c r="BE323" s="243">
        <f t="shared" si="44"/>
        <v>6834383.3735498004</v>
      </c>
    </row>
    <row r="324" spans="1:57">
      <c r="A324">
        <v>2200</v>
      </c>
      <c r="B324" t="s">
        <v>302</v>
      </c>
      <c r="C324" t="s">
        <v>1568</v>
      </c>
      <c r="D324" s="176">
        <v>125414062.44880401</v>
      </c>
      <c r="E324">
        <v>0</v>
      </c>
      <c r="G324">
        <v>2200</v>
      </c>
      <c r="H324" t="s">
        <v>302</v>
      </c>
      <c r="I324" t="s">
        <v>1568</v>
      </c>
      <c r="J324" s="176">
        <v>53172917.706643</v>
      </c>
      <c r="K324">
        <v>0</v>
      </c>
      <c r="L324" s="342" t="str">
        <f t="shared" si="41"/>
        <v/>
      </c>
      <c r="M324">
        <v>2200</v>
      </c>
      <c r="N324" t="s">
        <v>302</v>
      </c>
      <c r="O324" t="s">
        <v>1568</v>
      </c>
      <c r="P324" s="243">
        <f t="shared" si="42"/>
        <v>167952396.6141184</v>
      </c>
      <c r="S324">
        <v>2200</v>
      </c>
      <c r="T324" t="s">
        <v>302</v>
      </c>
      <c r="U324" t="s">
        <v>1568</v>
      </c>
      <c r="V324" s="176">
        <v>33151442.809997</v>
      </c>
      <c r="W324" s="176">
        <v>219393524.01658699</v>
      </c>
      <c r="X324" s="176">
        <v>2679207</v>
      </c>
      <c r="Y324" s="176">
        <v>81203935.555555001</v>
      </c>
      <c r="Z324" s="176"/>
      <c r="AA324">
        <v>2200</v>
      </c>
      <c r="AB324" s="176" t="s">
        <v>302</v>
      </c>
      <c r="AC324" s="176" t="s">
        <v>1568</v>
      </c>
      <c r="AD324" s="176">
        <v>33151442.809997</v>
      </c>
      <c r="AE324" s="176">
        <v>219393524.01658699</v>
      </c>
      <c r="AF324" s="176">
        <v>2679207</v>
      </c>
      <c r="AG324" s="176">
        <v>81203935.555555001</v>
      </c>
      <c r="AH324" s="342" t="str">
        <f t="shared" ref="AH324:AH387" si="45">IF(AND(M324 = S324, O324 = U324), "", "ATT")</f>
        <v/>
      </c>
      <c r="AI324">
        <v>2200</v>
      </c>
      <c r="AJ324" t="s">
        <v>302</v>
      </c>
      <c r="AK324" t="s">
        <v>1568</v>
      </c>
      <c r="AL324" s="245">
        <f t="shared" ref="AL324:AL387" si="46">V324+(AD324*0.8)</f>
        <v>59672597.057994604</v>
      </c>
      <c r="AM324" s="245">
        <f t="shared" ref="AM324:AM387" si="47">W324+(AE324*0.8)</f>
        <v>394908343.22985661</v>
      </c>
      <c r="AN324" s="245">
        <f t="shared" ref="AN324:AN387" si="48">X324+(AF324*0.8)</f>
        <v>4822572.5999999996</v>
      </c>
      <c r="AO324" s="245">
        <f t="shared" ref="AO324:AO387" si="49">Y324+(AG324*0.8)</f>
        <v>146167083.99999899</v>
      </c>
      <c r="AP324" s="176"/>
      <c r="AQ324" s="176"/>
      <c r="AR324">
        <v>2200</v>
      </c>
      <c r="AS324" t="s">
        <v>302</v>
      </c>
      <c r="AT324" t="s">
        <v>1568</v>
      </c>
      <c r="AU324" s="176">
        <v>15797883.243326999</v>
      </c>
      <c r="AW324">
        <v>2200</v>
      </c>
      <c r="AX324" t="s">
        <v>302</v>
      </c>
      <c r="AY324" t="s">
        <v>1568</v>
      </c>
      <c r="AZ324" s="176">
        <v>14641558.523328001</v>
      </c>
      <c r="BA324" s="342" t="str">
        <f t="shared" si="43"/>
        <v/>
      </c>
      <c r="BB324">
        <v>2200</v>
      </c>
      <c r="BC324" t="s">
        <v>302</v>
      </c>
      <c r="BD324" t="s">
        <v>1568</v>
      </c>
      <c r="BE324" s="243">
        <f t="shared" si="44"/>
        <v>27511130.061989401</v>
      </c>
    </row>
    <row r="325" spans="1:57">
      <c r="A325">
        <v>2200</v>
      </c>
      <c r="B325" t="s">
        <v>302</v>
      </c>
      <c r="C325" t="s">
        <v>1083</v>
      </c>
      <c r="D325" s="176">
        <v>197179490.17770001</v>
      </c>
      <c r="E325">
        <v>0</v>
      </c>
      <c r="G325">
        <v>2200</v>
      </c>
      <c r="H325" t="s">
        <v>302</v>
      </c>
      <c r="I325" t="s">
        <v>1083</v>
      </c>
      <c r="J325" s="176">
        <v>86445974.974426001</v>
      </c>
      <c r="K325">
        <v>0</v>
      </c>
      <c r="L325" s="342" t="str">
        <f t="shared" ref="L325:L388" si="50">IF(AND(A325 = G325, C325 = I325), "", "ATT")</f>
        <v/>
      </c>
      <c r="M325">
        <v>2200</v>
      </c>
      <c r="N325" t="s">
        <v>302</v>
      </c>
      <c r="O325" t="s">
        <v>1083</v>
      </c>
      <c r="P325" s="243">
        <f t="shared" ref="P325:P388" si="51">D325+(J325*0.8)</f>
        <v>266336270.15724081</v>
      </c>
      <c r="S325">
        <v>2200</v>
      </c>
      <c r="T325" t="s">
        <v>302</v>
      </c>
      <c r="U325" t="s">
        <v>1083</v>
      </c>
      <c r="V325" s="176">
        <v>39907092.173331</v>
      </c>
      <c r="W325" s="176">
        <v>241054871.89104599</v>
      </c>
      <c r="X325" s="176">
        <v>1672041</v>
      </c>
      <c r="Y325" s="176">
        <v>43390036.111107998</v>
      </c>
      <c r="Z325" s="176"/>
      <c r="AA325">
        <v>2200</v>
      </c>
      <c r="AB325" s="176" t="s">
        <v>302</v>
      </c>
      <c r="AC325" s="176" t="s">
        <v>1083</v>
      </c>
      <c r="AD325" s="176">
        <v>39907092.173331</v>
      </c>
      <c r="AE325" s="176">
        <v>241054871.89104599</v>
      </c>
      <c r="AF325" s="176">
        <v>1672041</v>
      </c>
      <c r="AG325" s="176">
        <v>43390036.111107998</v>
      </c>
      <c r="AH325" s="342" t="str">
        <f t="shared" si="45"/>
        <v/>
      </c>
      <c r="AI325">
        <v>2200</v>
      </c>
      <c r="AJ325" t="s">
        <v>302</v>
      </c>
      <c r="AK325" t="s">
        <v>1083</v>
      </c>
      <c r="AL325" s="245">
        <f t="shared" si="46"/>
        <v>71832765.911995798</v>
      </c>
      <c r="AM325" s="245">
        <f t="shared" si="47"/>
        <v>433898769.4038828</v>
      </c>
      <c r="AN325" s="245">
        <f t="shared" si="48"/>
        <v>3009673.8</v>
      </c>
      <c r="AO325" s="245">
        <f t="shared" si="49"/>
        <v>78102064.999994397</v>
      </c>
      <c r="AP325" s="176"/>
      <c r="AQ325" s="176"/>
      <c r="AR325">
        <v>2200</v>
      </c>
      <c r="AS325" t="s">
        <v>302</v>
      </c>
      <c r="AT325" t="s">
        <v>1083</v>
      </c>
      <c r="AU325" s="176">
        <v>29491653.785544001</v>
      </c>
      <c r="AW325">
        <v>2200</v>
      </c>
      <c r="AX325" t="s">
        <v>302</v>
      </c>
      <c r="AY325" t="s">
        <v>1083</v>
      </c>
      <c r="AZ325">
        <v>14739946.088886</v>
      </c>
      <c r="BA325" s="342" t="str">
        <f t="shared" ref="BA325:BA388" si="52">IF(AND(AR325 = AW325, AT325 = AY325), "", "ATT")</f>
        <v/>
      </c>
      <c r="BB325">
        <v>2200</v>
      </c>
      <c r="BC325" t="s">
        <v>302</v>
      </c>
      <c r="BD325" t="s">
        <v>1083</v>
      </c>
      <c r="BE325" s="243">
        <f t="shared" ref="BE325:BE388" si="53">AU325+(0.8*AZ325)</f>
        <v>41283610.656652801</v>
      </c>
    </row>
    <row r="326" spans="1:57">
      <c r="A326">
        <v>2210</v>
      </c>
      <c r="B326" t="s">
        <v>303</v>
      </c>
      <c r="C326" t="s">
        <v>1084</v>
      </c>
      <c r="D326" s="176">
        <v>67911484.021081999</v>
      </c>
      <c r="E326">
        <v>0</v>
      </c>
      <c r="G326">
        <v>2210</v>
      </c>
      <c r="H326" t="s">
        <v>303</v>
      </c>
      <c r="I326" t="s">
        <v>1084</v>
      </c>
      <c r="J326" s="176">
        <v>43579190.902214997</v>
      </c>
      <c r="K326">
        <v>0</v>
      </c>
      <c r="L326" s="342" t="str">
        <f t="shared" si="50"/>
        <v/>
      </c>
      <c r="M326">
        <v>2210</v>
      </c>
      <c r="N326" t="s">
        <v>303</v>
      </c>
      <c r="O326" t="s">
        <v>1084</v>
      </c>
      <c r="P326" s="243">
        <f t="shared" si="51"/>
        <v>102774836.742854</v>
      </c>
      <c r="S326">
        <v>2210</v>
      </c>
      <c r="T326" t="s">
        <v>303</v>
      </c>
      <c r="U326" t="s">
        <v>1084</v>
      </c>
      <c r="V326" s="176">
        <v>52310800.636666</v>
      </c>
      <c r="W326" s="176">
        <v>112592419.17997099</v>
      </c>
      <c r="X326" s="176">
        <v>0</v>
      </c>
      <c r="Y326" s="176">
        <v>14906755.555555001</v>
      </c>
      <c r="Z326" s="176"/>
      <c r="AA326">
        <v>2210</v>
      </c>
      <c r="AB326" s="176" t="s">
        <v>303</v>
      </c>
      <c r="AC326" s="176" t="s">
        <v>1084</v>
      </c>
      <c r="AD326" s="176">
        <v>52310800.636666</v>
      </c>
      <c r="AE326" s="176">
        <v>112592419.17997099</v>
      </c>
      <c r="AF326" s="176">
        <v>0</v>
      </c>
      <c r="AG326" s="176">
        <v>14906755.555555001</v>
      </c>
      <c r="AH326" s="342" t="str">
        <f t="shared" si="45"/>
        <v/>
      </c>
      <c r="AI326">
        <v>2210</v>
      </c>
      <c r="AJ326" t="s">
        <v>303</v>
      </c>
      <c r="AK326" t="s">
        <v>1084</v>
      </c>
      <c r="AL326" s="245">
        <f t="shared" si="46"/>
        <v>94159441.145998806</v>
      </c>
      <c r="AM326" s="245">
        <f t="shared" si="47"/>
        <v>202666354.52394778</v>
      </c>
      <c r="AN326" s="245">
        <f t="shared" si="48"/>
        <v>0</v>
      </c>
      <c r="AO326" s="245">
        <f t="shared" si="49"/>
        <v>26832159.999999002</v>
      </c>
      <c r="AP326" s="176"/>
      <c r="AQ326" s="176"/>
      <c r="AR326">
        <v>2210</v>
      </c>
      <c r="AS326" t="s">
        <v>303</v>
      </c>
      <c r="AT326" t="s">
        <v>1084</v>
      </c>
      <c r="AU326" s="176">
        <v>17586490.904437002</v>
      </c>
      <c r="AW326">
        <v>2210</v>
      </c>
      <c r="AX326" t="s">
        <v>303</v>
      </c>
      <c r="AY326" t="s">
        <v>1084</v>
      </c>
      <c r="AZ326" s="176">
        <v>2188976.058888</v>
      </c>
      <c r="BA326" s="342" t="str">
        <f t="shared" si="52"/>
        <v/>
      </c>
      <c r="BB326">
        <v>2210</v>
      </c>
      <c r="BC326" t="s">
        <v>303</v>
      </c>
      <c r="BD326" t="s">
        <v>1084</v>
      </c>
      <c r="BE326" s="243">
        <f t="shared" si="53"/>
        <v>19337671.751547404</v>
      </c>
    </row>
    <row r="327" spans="1:57" s="324" customFormat="1">
      <c r="A327" s="324">
        <v>2210</v>
      </c>
      <c r="B327" s="324" t="s">
        <v>303</v>
      </c>
      <c r="C327" s="324" t="s">
        <v>1085</v>
      </c>
      <c r="D327" s="323">
        <v>184539123.04103199</v>
      </c>
      <c r="E327" s="324">
        <v>0</v>
      </c>
      <c r="G327" s="324">
        <v>2210</v>
      </c>
      <c r="H327" s="324" t="s">
        <v>303</v>
      </c>
      <c r="I327" s="324" t="s">
        <v>1085</v>
      </c>
      <c r="J327" s="323">
        <v>123103947.839984</v>
      </c>
      <c r="K327" s="324">
        <v>0</v>
      </c>
      <c r="L327" s="342" t="str">
        <f t="shared" si="50"/>
        <v/>
      </c>
      <c r="M327" s="324">
        <v>2210</v>
      </c>
      <c r="N327" s="324" t="s">
        <v>303</v>
      </c>
      <c r="O327" s="324" t="s">
        <v>1085</v>
      </c>
      <c r="P327" s="243">
        <f t="shared" si="51"/>
        <v>283022281.31301916</v>
      </c>
      <c r="S327" s="324">
        <v>2210</v>
      </c>
      <c r="T327" s="324" t="s">
        <v>303</v>
      </c>
      <c r="U327" s="324" t="s">
        <v>1085</v>
      </c>
      <c r="V327" s="323">
        <v>55926582.552216001</v>
      </c>
      <c r="W327" s="323">
        <v>154155915.95440301</v>
      </c>
      <c r="X327" s="323">
        <v>500000</v>
      </c>
      <c r="Y327" s="323">
        <v>21791750.723331999</v>
      </c>
      <c r="Z327" s="323"/>
      <c r="AA327" s="324">
        <v>2210</v>
      </c>
      <c r="AB327" s="323" t="s">
        <v>303</v>
      </c>
      <c r="AC327" s="323" t="s">
        <v>1085</v>
      </c>
      <c r="AD327" s="323">
        <v>55926582.552216001</v>
      </c>
      <c r="AE327" s="323">
        <v>154155915.95440301</v>
      </c>
      <c r="AF327" s="323">
        <v>500000</v>
      </c>
      <c r="AG327" s="323">
        <v>21791750.723331999</v>
      </c>
      <c r="AH327" s="342" t="str">
        <f t="shared" si="45"/>
        <v/>
      </c>
      <c r="AI327">
        <v>2210</v>
      </c>
      <c r="AJ327" t="s">
        <v>303</v>
      </c>
      <c r="AK327" t="s">
        <v>1085</v>
      </c>
      <c r="AL327" s="245">
        <f t="shared" si="46"/>
        <v>100667848.59398881</v>
      </c>
      <c r="AM327" s="245">
        <f t="shared" si="47"/>
        <v>277480648.71792543</v>
      </c>
      <c r="AN327" s="245">
        <f t="shared" si="48"/>
        <v>900000</v>
      </c>
      <c r="AO327" s="245">
        <f t="shared" si="49"/>
        <v>39225151.301997602</v>
      </c>
      <c r="AP327" s="323"/>
      <c r="AQ327" s="323"/>
      <c r="AR327" s="324">
        <v>2210</v>
      </c>
      <c r="AS327" s="324" t="s">
        <v>303</v>
      </c>
      <c r="AT327" s="324" t="s">
        <v>1085</v>
      </c>
      <c r="AU327" s="323">
        <v>35292801.232216001</v>
      </c>
      <c r="AW327" s="324">
        <v>2210</v>
      </c>
      <c r="AX327" s="324" t="s">
        <v>303</v>
      </c>
      <c r="AY327" s="324" t="s">
        <v>1085</v>
      </c>
      <c r="AZ327" s="323">
        <v>26582136.564442001</v>
      </c>
      <c r="BA327" s="342" t="str">
        <f t="shared" si="52"/>
        <v/>
      </c>
      <c r="BB327">
        <v>2210</v>
      </c>
      <c r="BC327" t="s">
        <v>303</v>
      </c>
      <c r="BD327" t="s">
        <v>1085</v>
      </c>
      <c r="BE327" s="243">
        <f t="shared" si="53"/>
        <v>56558510.483769603</v>
      </c>
    </row>
    <row r="328" spans="1:57">
      <c r="A328">
        <v>2210</v>
      </c>
      <c r="B328" t="s">
        <v>303</v>
      </c>
      <c r="C328" t="s">
        <v>1081</v>
      </c>
      <c r="D328" s="176">
        <v>76069076.169954002</v>
      </c>
      <c r="E328">
        <v>0</v>
      </c>
      <c r="G328">
        <v>2210</v>
      </c>
      <c r="H328" t="s">
        <v>303</v>
      </c>
      <c r="I328" t="s">
        <v>1081</v>
      </c>
      <c r="J328" s="176">
        <v>41206862.058871001</v>
      </c>
      <c r="K328">
        <v>0</v>
      </c>
      <c r="L328" s="342" t="str">
        <f t="shared" si="50"/>
        <v/>
      </c>
      <c r="M328">
        <v>2210</v>
      </c>
      <c r="N328" t="s">
        <v>303</v>
      </c>
      <c r="O328" t="s">
        <v>1081</v>
      </c>
      <c r="P328" s="243">
        <f t="shared" si="51"/>
        <v>109034565.8170508</v>
      </c>
      <c r="S328">
        <v>2210</v>
      </c>
      <c r="T328" t="s">
        <v>303</v>
      </c>
      <c r="U328" t="s">
        <v>1081</v>
      </c>
      <c r="V328" s="176">
        <v>41069672.216665</v>
      </c>
      <c r="W328" s="176">
        <v>97152211.286630005</v>
      </c>
      <c r="X328" s="176">
        <v>0</v>
      </c>
      <c r="Y328" s="176">
        <v>13966983.333331</v>
      </c>
      <c r="Z328" s="176"/>
      <c r="AA328">
        <v>2210</v>
      </c>
      <c r="AB328" s="176" t="s">
        <v>303</v>
      </c>
      <c r="AC328" s="176" t="s">
        <v>1081</v>
      </c>
      <c r="AD328" s="176">
        <v>41069672.216665</v>
      </c>
      <c r="AE328" s="176">
        <v>97152211.286630005</v>
      </c>
      <c r="AF328" s="176">
        <v>0</v>
      </c>
      <c r="AG328" s="176">
        <v>13966983.333331</v>
      </c>
      <c r="AH328" s="342" t="str">
        <f t="shared" si="45"/>
        <v/>
      </c>
      <c r="AI328">
        <v>2210</v>
      </c>
      <c r="AJ328" t="s">
        <v>303</v>
      </c>
      <c r="AK328" t="s">
        <v>1081</v>
      </c>
      <c r="AL328" s="245">
        <f t="shared" si="46"/>
        <v>73925409.989997</v>
      </c>
      <c r="AM328" s="245">
        <f t="shared" si="47"/>
        <v>174873980.315934</v>
      </c>
      <c r="AN328" s="245">
        <f t="shared" si="48"/>
        <v>0</v>
      </c>
      <c r="AO328" s="245">
        <f t="shared" si="49"/>
        <v>25140569.999995802</v>
      </c>
      <c r="AP328" s="176"/>
      <c r="AQ328" s="176"/>
      <c r="AR328">
        <v>2210</v>
      </c>
      <c r="AS328" t="s">
        <v>303</v>
      </c>
      <c r="AT328" t="s">
        <v>1081</v>
      </c>
      <c r="AU328" s="176">
        <v>35138626.781101003</v>
      </c>
      <c r="AW328">
        <v>2210</v>
      </c>
      <c r="AX328" t="s">
        <v>303</v>
      </c>
      <c r="AY328" t="s">
        <v>1081</v>
      </c>
      <c r="AZ328" s="176">
        <v>12903099.074441999</v>
      </c>
      <c r="BA328" s="342" t="str">
        <f t="shared" si="52"/>
        <v/>
      </c>
      <c r="BB328">
        <v>2210</v>
      </c>
      <c r="BC328" t="s">
        <v>303</v>
      </c>
      <c r="BD328" t="s">
        <v>1081</v>
      </c>
      <c r="BE328" s="243">
        <f t="shared" si="53"/>
        <v>45461106.0406546</v>
      </c>
    </row>
    <row r="329" spans="1:57">
      <c r="A329">
        <v>2210</v>
      </c>
      <c r="B329" t="s">
        <v>303</v>
      </c>
      <c r="C329" t="s">
        <v>1964</v>
      </c>
      <c r="D329" s="176">
        <v>40111116.194407001</v>
      </c>
      <c r="E329">
        <v>0</v>
      </c>
      <c r="G329">
        <v>2210</v>
      </c>
      <c r="H329" t="s">
        <v>303</v>
      </c>
      <c r="I329" t="s">
        <v>1964</v>
      </c>
      <c r="J329" s="176">
        <v>29656437.46666</v>
      </c>
      <c r="K329">
        <v>0</v>
      </c>
      <c r="L329" s="342" t="str">
        <f t="shared" si="50"/>
        <v/>
      </c>
      <c r="M329">
        <v>2210</v>
      </c>
      <c r="N329" t="s">
        <v>303</v>
      </c>
      <c r="O329" t="s">
        <v>1964</v>
      </c>
      <c r="P329" s="243">
        <f t="shared" si="51"/>
        <v>63836266.167735003</v>
      </c>
      <c r="S329">
        <v>2210</v>
      </c>
      <c r="T329" t="s">
        <v>303</v>
      </c>
      <c r="U329" t="s">
        <v>1964</v>
      </c>
      <c r="V329" s="176">
        <v>17723561.504443001</v>
      </c>
      <c r="W329" s="176">
        <v>70576210.571083993</v>
      </c>
      <c r="X329" s="176">
        <v>0</v>
      </c>
      <c r="Y329" s="176">
        <v>20103511.111109</v>
      </c>
      <c r="Z329" s="176"/>
      <c r="AA329">
        <v>2210</v>
      </c>
      <c r="AB329" s="176" t="s">
        <v>303</v>
      </c>
      <c r="AC329" s="176" t="s">
        <v>1964</v>
      </c>
      <c r="AD329" s="176">
        <v>17723561.504443001</v>
      </c>
      <c r="AE329" s="176">
        <v>70576210.571083993</v>
      </c>
      <c r="AF329" s="176">
        <v>0</v>
      </c>
      <c r="AG329" s="176">
        <v>20103511.111109</v>
      </c>
      <c r="AH329" s="342" t="str">
        <f t="shared" si="45"/>
        <v/>
      </c>
      <c r="AI329">
        <v>2210</v>
      </c>
      <c r="AJ329" t="s">
        <v>303</v>
      </c>
      <c r="AK329" t="s">
        <v>1964</v>
      </c>
      <c r="AL329" s="245">
        <f t="shared" si="46"/>
        <v>31902410.707997404</v>
      </c>
      <c r="AM329" s="245">
        <f t="shared" si="47"/>
        <v>127037179.02795118</v>
      </c>
      <c r="AN329" s="245">
        <f t="shared" si="48"/>
        <v>0</v>
      </c>
      <c r="AO329" s="245">
        <f t="shared" si="49"/>
        <v>36186319.9999962</v>
      </c>
      <c r="AP329" s="176"/>
      <c r="AQ329" s="176"/>
      <c r="AR329">
        <v>2210</v>
      </c>
      <c r="AS329" t="s">
        <v>303</v>
      </c>
      <c r="AT329" t="s">
        <v>1964</v>
      </c>
      <c r="AU329" s="176">
        <v>5375786.6655510003</v>
      </c>
      <c r="AW329">
        <v>2210</v>
      </c>
      <c r="AX329" t="s">
        <v>303</v>
      </c>
      <c r="AY329" t="s">
        <v>1964</v>
      </c>
      <c r="AZ329" s="176">
        <v>1911573.947777</v>
      </c>
      <c r="BA329" s="342" t="str">
        <f t="shared" si="52"/>
        <v/>
      </c>
      <c r="BB329">
        <v>2210</v>
      </c>
      <c r="BC329" t="s">
        <v>303</v>
      </c>
      <c r="BD329" t="s">
        <v>1964</v>
      </c>
      <c r="BE329" s="243">
        <f t="shared" si="53"/>
        <v>6905045.8237725999</v>
      </c>
    </row>
    <row r="330" spans="1:57">
      <c r="A330">
        <v>2400</v>
      </c>
      <c r="B330" t="s">
        <v>304</v>
      </c>
      <c r="C330" t="s">
        <v>1119</v>
      </c>
      <c r="D330" s="176">
        <v>158107319.82661501</v>
      </c>
      <c r="E330">
        <v>0</v>
      </c>
      <c r="G330">
        <v>2400</v>
      </c>
      <c r="H330" t="s">
        <v>304</v>
      </c>
      <c r="I330" t="s">
        <v>1119</v>
      </c>
      <c r="J330" s="176">
        <v>122504412.959984</v>
      </c>
      <c r="K330">
        <v>0</v>
      </c>
      <c r="L330" s="342" t="str">
        <f t="shared" si="50"/>
        <v/>
      </c>
      <c r="M330">
        <v>2400</v>
      </c>
      <c r="N330" t="s">
        <v>304</v>
      </c>
      <c r="O330" t="s">
        <v>1119</v>
      </c>
      <c r="P330" s="243">
        <f t="shared" si="51"/>
        <v>256110850.19460222</v>
      </c>
      <c r="S330">
        <v>2400</v>
      </c>
      <c r="T330" t="s">
        <v>304</v>
      </c>
      <c r="U330" t="s">
        <v>1119</v>
      </c>
      <c r="V330" s="176">
        <v>34864531.616665997</v>
      </c>
      <c r="W330" s="176">
        <v>191752995.687745</v>
      </c>
      <c r="X330">
        <v>0</v>
      </c>
      <c r="Y330" s="176">
        <v>21717151.888886999</v>
      </c>
      <c r="Z330" s="176"/>
      <c r="AA330">
        <v>2400</v>
      </c>
      <c r="AB330" s="176" t="s">
        <v>304</v>
      </c>
      <c r="AC330" s="176" t="s">
        <v>1119</v>
      </c>
      <c r="AD330" s="176">
        <v>34864531.616665997</v>
      </c>
      <c r="AE330" s="176">
        <v>191752995.687745</v>
      </c>
      <c r="AF330">
        <v>0</v>
      </c>
      <c r="AG330" s="176">
        <v>21717151.888886999</v>
      </c>
      <c r="AH330" s="342" t="str">
        <f t="shared" si="45"/>
        <v/>
      </c>
      <c r="AI330">
        <v>2400</v>
      </c>
      <c r="AJ330" t="s">
        <v>304</v>
      </c>
      <c r="AK330" t="s">
        <v>1119</v>
      </c>
      <c r="AL330" s="245">
        <f t="shared" si="46"/>
        <v>62756156.909998797</v>
      </c>
      <c r="AM330" s="245">
        <f t="shared" si="47"/>
        <v>345155392.23794103</v>
      </c>
      <c r="AN330" s="245">
        <f t="shared" si="48"/>
        <v>0</v>
      </c>
      <c r="AO330" s="245">
        <f t="shared" si="49"/>
        <v>39090873.399996601</v>
      </c>
      <c r="AP330" s="176"/>
      <c r="AQ330" s="176"/>
      <c r="AR330">
        <v>2400</v>
      </c>
      <c r="AS330" t="s">
        <v>304</v>
      </c>
      <c r="AT330" t="s">
        <v>1119</v>
      </c>
      <c r="AU330" s="176">
        <v>21568510.474436998</v>
      </c>
      <c r="AW330">
        <v>2400</v>
      </c>
      <c r="AX330" t="s">
        <v>304</v>
      </c>
      <c r="AY330" t="s">
        <v>1119</v>
      </c>
      <c r="AZ330" s="176">
        <v>19319190.549996998</v>
      </c>
      <c r="BA330" s="342" t="str">
        <f t="shared" si="52"/>
        <v/>
      </c>
      <c r="BB330">
        <v>2400</v>
      </c>
      <c r="BC330" t="s">
        <v>304</v>
      </c>
      <c r="BD330" t="s">
        <v>1119</v>
      </c>
      <c r="BE330" s="243">
        <f t="shared" si="53"/>
        <v>37023862.914434597</v>
      </c>
    </row>
    <row r="331" spans="1:57">
      <c r="A331">
        <v>2400</v>
      </c>
      <c r="B331" t="s">
        <v>304</v>
      </c>
      <c r="C331" t="s">
        <v>1087</v>
      </c>
      <c r="D331" s="176">
        <v>315057471.30986798</v>
      </c>
      <c r="E331">
        <v>0</v>
      </c>
      <c r="G331">
        <v>2400</v>
      </c>
      <c r="H331" t="s">
        <v>304</v>
      </c>
      <c r="I331" t="s">
        <v>1087</v>
      </c>
      <c r="J331" s="176">
        <v>227521584.701074</v>
      </c>
      <c r="K331">
        <v>0</v>
      </c>
      <c r="L331" s="342" t="str">
        <f t="shared" si="50"/>
        <v/>
      </c>
      <c r="M331">
        <v>2400</v>
      </c>
      <c r="N331" t="s">
        <v>304</v>
      </c>
      <c r="O331" t="s">
        <v>1087</v>
      </c>
      <c r="P331" s="243">
        <f t="shared" si="51"/>
        <v>497074739.07072723</v>
      </c>
      <c r="S331">
        <v>2400</v>
      </c>
      <c r="T331" t="s">
        <v>304</v>
      </c>
      <c r="U331" t="s">
        <v>1087</v>
      </c>
      <c r="V331" s="176">
        <v>104344445.535552</v>
      </c>
      <c r="W331" s="176">
        <v>272609453.87997103</v>
      </c>
      <c r="X331" s="176">
        <v>62077.777777000003</v>
      </c>
      <c r="Y331" s="176">
        <v>89732714.277776003</v>
      </c>
      <c r="Z331" s="176"/>
      <c r="AA331">
        <v>2400</v>
      </c>
      <c r="AB331" s="176" t="s">
        <v>304</v>
      </c>
      <c r="AC331" s="176" t="s">
        <v>1087</v>
      </c>
      <c r="AD331" s="176">
        <v>104344445.535552</v>
      </c>
      <c r="AE331" s="176">
        <v>272609453.87997103</v>
      </c>
      <c r="AF331" s="176">
        <v>62077.777777000003</v>
      </c>
      <c r="AG331" s="176">
        <v>89732714.277776003</v>
      </c>
      <c r="AH331" s="342" t="str">
        <f t="shared" si="45"/>
        <v/>
      </c>
      <c r="AI331">
        <v>2400</v>
      </c>
      <c r="AJ331" t="s">
        <v>304</v>
      </c>
      <c r="AK331" t="s">
        <v>1087</v>
      </c>
      <c r="AL331" s="245">
        <f t="shared" si="46"/>
        <v>187820001.96399361</v>
      </c>
      <c r="AM331" s="245">
        <f t="shared" si="47"/>
        <v>490697016.98394787</v>
      </c>
      <c r="AN331" s="245">
        <f t="shared" si="48"/>
        <v>111739.99999860002</v>
      </c>
      <c r="AO331" s="245">
        <f t="shared" si="49"/>
        <v>161518885.69999683</v>
      </c>
      <c r="AP331" s="176"/>
      <c r="AQ331" s="176"/>
      <c r="AR331">
        <v>2400</v>
      </c>
      <c r="AS331" t="s">
        <v>304</v>
      </c>
      <c r="AT331" t="s">
        <v>1087</v>
      </c>
      <c r="AU331" s="176">
        <v>13499392.274434</v>
      </c>
      <c r="AW331">
        <v>2400</v>
      </c>
      <c r="AX331" t="s">
        <v>304</v>
      </c>
      <c r="AY331" t="s">
        <v>1087</v>
      </c>
      <c r="AZ331" s="176">
        <v>5751282.9566649999</v>
      </c>
      <c r="BA331" s="342" t="str">
        <f t="shared" si="52"/>
        <v/>
      </c>
      <c r="BB331">
        <v>2400</v>
      </c>
      <c r="BC331" t="s">
        <v>304</v>
      </c>
      <c r="BD331" t="s">
        <v>1087</v>
      </c>
      <c r="BE331" s="243">
        <f t="shared" si="53"/>
        <v>18100418.639766</v>
      </c>
    </row>
    <row r="332" spans="1:57">
      <c r="A332">
        <v>2400</v>
      </c>
      <c r="B332" t="s">
        <v>304</v>
      </c>
      <c r="C332" t="s">
        <v>1088</v>
      </c>
      <c r="D332" s="176">
        <v>266683488.83771399</v>
      </c>
      <c r="E332">
        <v>0</v>
      </c>
      <c r="G332">
        <v>2400</v>
      </c>
      <c r="H332" t="s">
        <v>304</v>
      </c>
      <c r="I332" t="s">
        <v>1088</v>
      </c>
      <c r="J332" s="176">
        <v>154038113.77776</v>
      </c>
      <c r="K332">
        <v>0</v>
      </c>
      <c r="L332" s="342" t="str">
        <f t="shared" si="50"/>
        <v/>
      </c>
      <c r="M332">
        <v>2400</v>
      </c>
      <c r="N332" t="s">
        <v>304</v>
      </c>
      <c r="O332" t="s">
        <v>1088</v>
      </c>
      <c r="P332" s="243">
        <f t="shared" si="51"/>
        <v>389913979.85992199</v>
      </c>
      <c r="S332">
        <v>2400</v>
      </c>
      <c r="T332" t="s">
        <v>304</v>
      </c>
      <c r="U332" t="s">
        <v>1088</v>
      </c>
      <c r="V332" s="176">
        <v>72605152.514442995</v>
      </c>
      <c r="W332" s="176">
        <v>307264269.90775001</v>
      </c>
      <c r="X332" s="176">
        <v>4396994.4444429995</v>
      </c>
      <c r="Y332" s="176">
        <v>39996553.266666003</v>
      </c>
      <c r="Z332" s="176"/>
      <c r="AA332">
        <v>2400</v>
      </c>
      <c r="AB332" s="176" t="s">
        <v>304</v>
      </c>
      <c r="AC332" s="176" t="s">
        <v>1088</v>
      </c>
      <c r="AD332" s="176">
        <v>72605152.514442995</v>
      </c>
      <c r="AE332" s="176">
        <v>307264269.90775001</v>
      </c>
      <c r="AF332">
        <v>4396994.4444429995</v>
      </c>
      <c r="AG332" s="176">
        <v>39996553.266666003</v>
      </c>
      <c r="AH332" s="342" t="str">
        <f t="shared" si="45"/>
        <v/>
      </c>
      <c r="AI332">
        <v>2400</v>
      </c>
      <c r="AJ332" t="s">
        <v>304</v>
      </c>
      <c r="AK332" t="s">
        <v>1088</v>
      </c>
      <c r="AL332" s="245">
        <f t="shared" si="46"/>
        <v>130689274.5259974</v>
      </c>
      <c r="AM332" s="245">
        <f t="shared" si="47"/>
        <v>553075685.83395004</v>
      </c>
      <c r="AN332" s="245">
        <f t="shared" si="48"/>
        <v>7914589.9999973997</v>
      </c>
      <c r="AO332" s="245">
        <f t="shared" si="49"/>
        <v>71993795.879998803</v>
      </c>
      <c r="AP332" s="176"/>
      <c r="AQ332" s="176"/>
      <c r="AR332">
        <v>2400</v>
      </c>
      <c r="AS332" t="s">
        <v>304</v>
      </c>
      <c r="AT332" t="s">
        <v>1088</v>
      </c>
      <c r="AU332" s="176">
        <v>121132513.321095</v>
      </c>
      <c r="AW332">
        <v>2400</v>
      </c>
      <c r="AX332" t="s">
        <v>304</v>
      </c>
      <c r="AY332" t="s">
        <v>1088</v>
      </c>
      <c r="AZ332" s="176">
        <v>32207370.894441001</v>
      </c>
      <c r="BA332" s="342" t="str">
        <f t="shared" si="52"/>
        <v/>
      </c>
      <c r="BB332">
        <v>2400</v>
      </c>
      <c r="BC332" t="s">
        <v>304</v>
      </c>
      <c r="BD332" t="s">
        <v>1088</v>
      </c>
      <c r="BE332" s="243">
        <f t="shared" si="53"/>
        <v>146898410.0366478</v>
      </c>
    </row>
    <row r="333" spans="1:57">
      <c r="A333">
        <v>2400</v>
      </c>
      <c r="B333" t="s">
        <v>304</v>
      </c>
      <c r="C333" t="s">
        <v>1086</v>
      </c>
      <c r="D333" s="176">
        <v>118205468.613272</v>
      </c>
      <c r="E333">
        <v>0</v>
      </c>
      <c r="G333">
        <v>2400</v>
      </c>
      <c r="H333" t="s">
        <v>304</v>
      </c>
      <c r="I333" t="s">
        <v>1086</v>
      </c>
      <c r="J333" s="176">
        <v>85886755.783315003</v>
      </c>
      <c r="K333">
        <v>0</v>
      </c>
      <c r="L333" s="342" t="str">
        <f t="shared" si="50"/>
        <v/>
      </c>
      <c r="M333">
        <v>2400</v>
      </c>
      <c r="N333" t="s">
        <v>304</v>
      </c>
      <c r="O333" t="s">
        <v>1086</v>
      </c>
      <c r="P333" s="243">
        <f t="shared" si="51"/>
        <v>186914873.23992401</v>
      </c>
      <c r="S333">
        <v>2400</v>
      </c>
      <c r="T333" t="s">
        <v>304</v>
      </c>
      <c r="U333" t="s">
        <v>1086</v>
      </c>
      <c r="V333" s="176">
        <v>59272342.658887997</v>
      </c>
      <c r="W333" s="176">
        <v>204621551.64664999</v>
      </c>
      <c r="X333" s="176">
        <v>437250</v>
      </c>
      <c r="Y333" s="176">
        <v>38282661.522220001</v>
      </c>
      <c r="Z333" s="176"/>
      <c r="AA333">
        <v>2400</v>
      </c>
      <c r="AB333" s="176" t="s">
        <v>304</v>
      </c>
      <c r="AC333" s="176" t="s">
        <v>1086</v>
      </c>
      <c r="AD333" s="176">
        <v>59272342.658887997</v>
      </c>
      <c r="AE333" s="176">
        <v>204621551.64664999</v>
      </c>
      <c r="AF333" s="176">
        <v>437250</v>
      </c>
      <c r="AG333" s="176">
        <v>38282661.522220001</v>
      </c>
      <c r="AH333" s="342" t="str">
        <f t="shared" si="45"/>
        <v/>
      </c>
      <c r="AI333">
        <v>2400</v>
      </c>
      <c r="AJ333" t="s">
        <v>304</v>
      </c>
      <c r="AK333" t="s">
        <v>1086</v>
      </c>
      <c r="AL333" s="245">
        <f t="shared" si="46"/>
        <v>106690216.7859984</v>
      </c>
      <c r="AM333" s="245">
        <f t="shared" si="47"/>
        <v>368318792.96396995</v>
      </c>
      <c r="AN333" s="245">
        <f t="shared" si="48"/>
        <v>787050</v>
      </c>
      <c r="AO333" s="245">
        <f t="shared" si="49"/>
        <v>68908790.739996001</v>
      </c>
      <c r="AP333" s="176"/>
      <c r="AQ333" s="176"/>
      <c r="AR333">
        <v>2400</v>
      </c>
      <c r="AS333" t="s">
        <v>304</v>
      </c>
      <c r="AT333" t="s">
        <v>1086</v>
      </c>
      <c r="AU333" s="176">
        <v>82105990.108878002</v>
      </c>
      <c r="AW333">
        <v>2400</v>
      </c>
      <c r="AX333" t="s">
        <v>304</v>
      </c>
      <c r="AY333" t="s">
        <v>1086</v>
      </c>
      <c r="AZ333" s="176">
        <v>66515757.042216003</v>
      </c>
      <c r="BA333" s="342" t="str">
        <f t="shared" si="52"/>
        <v/>
      </c>
      <c r="BB333">
        <v>2400</v>
      </c>
      <c r="BC333" t="s">
        <v>304</v>
      </c>
      <c r="BD333" t="s">
        <v>1086</v>
      </c>
      <c r="BE333" s="243">
        <f t="shared" si="53"/>
        <v>135318595.74265081</v>
      </c>
    </row>
    <row r="334" spans="1:57">
      <c r="A334">
        <v>2410</v>
      </c>
      <c r="B334" t="s">
        <v>305</v>
      </c>
      <c r="C334" t="s">
        <v>1090</v>
      </c>
      <c r="D334" s="176">
        <v>225563402.632137</v>
      </c>
      <c r="E334">
        <v>0</v>
      </c>
      <c r="G334">
        <v>2410</v>
      </c>
      <c r="H334" t="s">
        <v>305</v>
      </c>
      <c r="I334" t="s">
        <v>1090</v>
      </c>
      <c r="J334" s="176">
        <v>101162592.743319</v>
      </c>
      <c r="K334">
        <v>0</v>
      </c>
      <c r="L334" s="342" t="str">
        <f t="shared" si="50"/>
        <v/>
      </c>
      <c r="M334">
        <v>2410</v>
      </c>
      <c r="N334" t="s">
        <v>305</v>
      </c>
      <c r="O334" t="s">
        <v>1090</v>
      </c>
      <c r="P334" s="243">
        <f t="shared" si="51"/>
        <v>306493476.82679224</v>
      </c>
      <c r="S334">
        <v>2410</v>
      </c>
      <c r="T334" t="s">
        <v>305</v>
      </c>
      <c r="U334" t="s">
        <v>1090</v>
      </c>
      <c r="V334" s="176">
        <v>92724476.006663993</v>
      </c>
      <c r="W334" s="176">
        <v>179853164.426617</v>
      </c>
      <c r="X334">
        <v>0</v>
      </c>
      <c r="Y334" s="176">
        <v>28996142.523327999</v>
      </c>
      <c r="Z334" s="176"/>
      <c r="AA334">
        <v>2410</v>
      </c>
      <c r="AB334" s="176" t="s">
        <v>305</v>
      </c>
      <c r="AC334" s="176" t="s">
        <v>1090</v>
      </c>
      <c r="AD334" s="176">
        <v>92724476.006663993</v>
      </c>
      <c r="AE334" s="176">
        <v>179853164.426617</v>
      </c>
      <c r="AF334">
        <v>0</v>
      </c>
      <c r="AG334" s="176">
        <v>28996142.523327999</v>
      </c>
      <c r="AH334" s="342" t="str">
        <f t="shared" si="45"/>
        <v/>
      </c>
      <c r="AI334">
        <v>2410</v>
      </c>
      <c r="AJ334" t="s">
        <v>305</v>
      </c>
      <c r="AK334" t="s">
        <v>1090</v>
      </c>
      <c r="AL334" s="245">
        <f t="shared" si="46"/>
        <v>166904056.81199521</v>
      </c>
      <c r="AM334" s="245">
        <f t="shared" si="47"/>
        <v>323735695.96791059</v>
      </c>
      <c r="AN334" s="245">
        <f t="shared" si="48"/>
        <v>0</v>
      </c>
      <c r="AO334" s="245">
        <f t="shared" si="49"/>
        <v>52193056.541990399</v>
      </c>
      <c r="AP334" s="176"/>
      <c r="AQ334" s="176"/>
      <c r="AR334">
        <v>2410</v>
      </c>
      <c r="AS334" t="s">
        <v>305</v>
      </c>
      <c r="AT334" t="s">
        <v>1090</v>
      </c>
      <c r="AU334" s="176">
        <v>81945148.80776</v>
      </c>
      <c r="AW334">
        <v>2410</v>
      </c>
      <c r="AX334" t="s">
        <v>305</v>
      </c>
      <c r="AY334" t="s">
        <v>1090</v>
      </c>
      <c r="AZ334" s="176">
        <v>56830759.369994998</v>
      </c>
      <c r="BA334" s="342" t="str">
        <f t="shared" si="52"/>
        <v/>
      </c>
      <c r="BB334">
        <v>2410</v>
      </c>
      <c r="BC334" t="s">
        <v>305</v>
      </c>
      <c r="BD334" t="s">
        <v>1090</v>
      </c>
      <c r="BE334" s="243">
        <f t="shared" si="53"/>
        <v>127409756.303756</v>
      </c>
    </row>
    <row r="335" spans="1:57">
      <c r="A335">
        <v>2410</v>
      </c>
      <c r="B335" t="s">
        <v>305</v>
      </c>
      <c r="C335" t="s">
        <v>1098</v>
      </c>
      <c r="D335" s="176">
        <v>315157249.78994203</v>
      </c>
      <c r="E335">
        <v>0</v>
      </c>
      <c r="G335">
        <v>2410</v>
      </c>
      <c r="H335" t="s">
        <v>305</v>
      </c>
      <c r="I335" t="s">
        <v>1098</v>
      </c>
      <c r="J335" s="176">
        <v>285748560.96663803</v>
      </c>
      <c r="K335">
        <v>0</v>
      </c>
      <c r="L335" s="342" t="str">
        <f t="shared" si="50"/>
        <v/>
      </c>
      <c r="M335">
        <v>2410</v>
      </c>
      <c r="N335" t="s">
        <v>305</v>
      </c>
      <c r="O335" t="s">
        <v>1098</v>
      </c>
      <c r="P335" s="243">
        <f t="shared" si="51"/>
        <v>543756098.56325245</v>
      </c>
      <c r="S335">
        <v>2410</v>
      </c>
      <c r="T335" t="s">
        <v>305</v>
      </c>
      <c r="U335" t="s">
        <v>1098</v>
      </c>
      <c r="V335" s="176">
        <v>86662833.653330997</v>
      </c>
      <c r="W335" s="176">
        <v>211358925.45331001</v>
      </c>
      <c r="X335" s="176">
        <v>0</v>
      </c>
      <c r="Y335" s="176">
        <v>27090700.777777001</v>
      </c>
      <c r="Z335" s="176"/>
      <c r="AA335">
        <v>2410</v>
      </c>
      <c r="AB335" s="176" t="s">
        <v>305</v>
      </c>
      <c r="AC335" s="176" t="s">
        <v>1098</v>
      </c>
      <c r="AD335" s="176">
        <v>86662833.653330997</v>
      </c>
      <c r="AE335" s="176">
        <v>211358925.45331001</v>
      </c>
      <c r="AF335">
        <v>0</v>
      </c>
      <c r="AG335" s="176">
        <v>27090700.777777001</v>
      </c>
      <c r="AH335" s="342" t="str">
        <f t="shared" si="45"/>
        <v/>
      </c>
      <c r="AI335">
        <v>2410</v>
      </c>
      <c r="AJ335" t="s">
        <v>305</v>
      </c>
      <c r="AK335" t="s">
        <v>1098</v>
      </c>
      <c r="AL335" s="245">
        <f t="shared" si="46"/>
        <v>155993100.5759958</v>
      </c>
      <c r="AM335" s="245">
        <f t="shared" si="47"/>
        <v>380446065.81595802</v>
      </c>
      <c r="AN335" s="245">
        <f t="shared" si="48"/>
        <v>0</v>
      </c>
      <c r="AO335" s="245">
        <f t="shared" si="49"/>
        <v>48763261.399998605</v>
      </c>
      <c r="AP335" s="176"/>
      <c r="AQ335" s="176"/>
      <c r="AR335">
        <v>2410</v>
      </c>
      <c r="AS335" t="s">
        <v>305</v>
      </c>
      <c r="AT335" t="s">
        <v>1098</v>
      </c>
      <c r="AU335" s="176">
        <v>122838116.73997401</v>
      </c>
      <c r="AW335">
        <v>2410</v>
      </c>
      <c r="AX335" t="s">
        <v>305</v>
      </c>
      <c r="AY335" t="s">
        <v>1098</v>
      </c>
      <c r="AZ335" s="176">
        <v>89333684.537764996</v>
      </c>
      <c r="BA335" s="342" t="str">
        <f t="shared" si="52"/>
        <v/>
      </c>
      <c r="BB335">
        <v>2410</v>
      </c>
      <c r="BC335" t="s">
        <v>305</v>
      </c>
      <c r="BD335" t="s">
        <v>1098</v>
      </c>
      <c r="BE335" s="243">
        <f t="shared" si="53"/>
        <v>194305064.370186</v>
      </c>
    </row>
    <row r="336" spans="1:57">
      <c r="A336">
        <v>2410</v>
      </c>
      <c r="B336" t="s">
        <v>305</v>
      </c>
      <c r="C336" t="s">
        <v>1091</v>
      </c>
      <c r="D336" s="176">
        <v>218973823.364369</v>
      </c>
      <c r="E336">
        <v>0</v>
      </c>
      <c r="G336">
        <v>2410</v>
      </c>
      <c r="H336" t="s">
        <v>305</v>
      </c>
      <c r="I336" t="s">
        <v>1091</v>
      </c>
      <c r="J336" s="176">
        <v>128604916.43886399</v>
      </c>
      <c r="K336">
        <v>0</v>
      </c>
      <c r="L336" s="342" t="str">
        <f t="shared" si="50"/>
        <v/>
      </c>
      <c r="M336">
        <v>2410</v>
      </c>
      <c r="N336" t="s">
        <v>305</v>
      </c>
      <c r="O336" t="s">
        <v>1091</v>
      </c>
      <c r="P336" s="243">
        <f t="shared" si="51"/>
        <v>321857756.51546019</v>
      </c>
      <c r="S336">
        <v>2410</v>
      </c>
      <c r="T336" t="s">
        <v>305</v>
      </c>
      <c r="U336" t="s">
        <v>1091</v>
      </c>
      <c r="V336" s="176">
        <v>101674540.812218</v>
      </c>
      <c r="W336" s="176">
        <v>379137399.43664902</v>
      </c>
      <c r="X336" s="176">
        <v>0</v>
      </c>
      <c r="Y336" s="176">
        <v>16147980.467776</v>
      </c>
      <c r="Z336" s="176"/>
      <c r="AA336">
        <v>2410</v>
      </c>
      <c r="AB336" s="176" t="s">
        <v>305</v>
      </c>
      <c r="AC336" s="176" t="s">
        <v>1091</v>
      </c>
      <c r="AD336" s="176">
        <v>101674540.812218</v>
      </c>
      <c r="AE336" s="176">
        <v>379137399.43664902</v>
      </c>
      <c r="AF336" s="176">
        <v>0</v>
      </c>
      <c r="AG336" s="176">
        <v>16147980.467776</v>
      </c>
      <c r="AH336" s="342" t="str">
        <f t="shared" si="45"/>
        <v/>
      </c>
      <c r="AI336">
        <v>2410</v>
      </c>
      <c r="AJ336" t="s">
        <v>305</v>
      </c>
      <c r="AK336" t="s">
        <v>1091</v>
      </c>
      <c r="AL336" s="245">
        <f t="shared" si="46"/>
        <v>183014173.46199238</v>
      </c>
      <c r="AM336" s="245">
        <f t="shared" si="47"/>
        <v>682447318.98596823</v>
      </c>
      <c r="AN336" s="245">
        <f t="shared" si="48"/>
        <v>0</v>
      </c>
      <c r="AO336" s="245">
        <f t="shared" si="49"/>
        <v>29066364.841996804</v>
      </c>
      <c r="AP336" s="176"/>
      <c r="AQ336" s="176"/>
      <c r="AR336">
        <v>2410</v>
      </c>
      <c r="AS336" t="s">
        <v>305</v>
      </c>
      <c r="AT336" t="s">
        <v>1091</v>
      </c>
      <c r="AU336" s="176">
        <v>118633660.68664099</v>
      </c>
      <c r="AW336">
        <v>2410</v>
      </c>
      <c r="AX336" t="s">
        <v>305</v>
      </c>
      <c r="AY336" t="s">
        <v>1091</v>
      </c>
      <c r="AZ336" s="176">
        <v>81682707.866650999</v>
      </c>
      <c r="BA336" s="342" t="str">
        <f t="shared" si="52"/>
        <v/>
      </c>
      <c r="BB336">
        <v>2410</v>
      </c>
      <c r="BC336" t="s">
        <v>305</v>
      </c>
      <c r="BD336" t="s">
        <v>1091</v>
      </c>
      <c r="BE336" s="243">
        <f t="shared" si="53"/>
        <v>183979826.97996181</v>
      </c>
    </row>
    <row r="337" spans="1:57">
      <c r="A337">
        <v>2410</v>
      </c>
      <c r="B337" t="s">
        <v>305</v>
      </c>
      <c r="C337" t="s">
        <v>1569</v>
      </c>
      <c r="D337" s="176">
        <v>98087336.125487998</v>
      </c>
      <c r="E337">
        <v>0</v>
      </c>
      <c r="G337">
        <v>2410</v>
      </c>
      <c r="H337" t="s">
        <v>305</v>
      </c>
      <c r="I337" t="s">
        <v>1569</v>
      </c>
      <c r="J337" s="176">
        <v>49619667.731096998</v>
      </c>
      <c r="K337">
        <v>0</v>
      </c>
      <c r="L337" s="342" t="str">
        <f t="shared" si="50"/>
        <v/>
      </c>
      <c r="M337">
        <v>2410</v>
      </c>
      <c r="N337" t="s">
        <v>305</v>
      </c>
      <c r="O337" t="s">
        <v>1569</v>
      </c>
      <c r="P337" s="243">
        <f t="shared" si="51"/>
        <v>137783070.31036559</v>
      </c>
      <c r="S337">
        <v>2410</v>
      </c>
      <c r="T337" t="s">
        <v>305</v>
      </c>
      <c r="U337" t="s">
        <v>1569</v>
      </c>
      <c r="V337" s="176">
        <v>63817425.611111</v>
      </c>
      <c r="W337" s="176">
        <v>109623158.078861</v>
      </c>
      <c r="X337" s="176">
        <v>2452897.6666660002</v>
      </c>
      <c r="Y337" s="176">
        <v>7447316.6666649999</v>
      </c>
      <c r="Z337" s="176"/>
      <c r="AA337">
        <v>2410</v>
      </c>
      <c r="AB337" s="176" t="s">
        <v>305</v>
      </c>
      <c r="AC337" s="176" t="s">
        <v>1569</v>
      </c>
      <c r="AD337" s="176">
        <v>63817425.611111</v>
      </c>
      <c r="AE337" s="176">
        <v>109623158.078861</v>
      </c>
      <c r="AF337" s="176">
        <v>2452897.6666660002</v>
      </c>
      <c r="AG337" s="176">
        <v>7447316.6666649999</v>
      </c>
      <c r="AH337" s="342" t="str">
        <f t="shared" si="45"/>
        <v/>
      </c>
      <c r="AI337">
        <v>2410</v>
      </c>
      <c r="AJ337" t="s">
        <v>305</v>
      </c>
      <c r="AK337" t="s">
        <v>1569</v>
      </c>
      <c r="AL337" s="245">
        <f t="shared" si="46"/>
        <v>114871366.0999998</v>
      </c>
      <c r="AM337" s="245">
        <f t="shared" si="47"/>
        <v>197321684.54194981</v>
      </c>
      <c r="AN337" s="245">
        <f t="shared" si="48"/>
        <v>4415215.7999988003</v>
      </c>
      <c r="AO337" s="245">
        <f t="shared" si="49"/>
        <v>13405169.999997001</v>
      </c>
      <c r="AP337" s="176"/>
      <c r="AQ337" s="176"/>
      <c r="AR337">
        <v>2410</v>
      </c>
      <c r="AS337" t="s">
        <v>305</v>
      </c>
      <c r="AT337" t="s">
        <v>1569</v>
      </c>
      <c r="AU337" s="176">
        <v>9057923.9066560008</v>
      </c>
      <c r="AW337">
        <v>2410</v>
      </c>
      <c r="AX337" t="s">
        <v>305</v>
      </c>
      <c r="AY337" t="s">
        <v>1569</v>
      </c>
      <c r="AZ337" s="176">
        <v>8801346.9655520003</v>
      </c>
      <c r="BA337" s="342" t="str">
        <f t="shared" si="52"/>
        <v/>
      </c>
      <c r="BB337">
        <v>2410</v>
      </c>
      <c r="BC337" t="s">
        <v>305</v>
      </c>
      <c r="BD337" t="s">
        <v>1569</v>
      </c>
      <c r="BE337" s="243">
        <f t="shared" si="53"/>
        <v>16099001.479097601</v>
      </c>
    </row>
    <row r="338" spans="1:57">
      <c r="A338">
        <v>2410</v>
      </c>
      <c r="B338" t="s">
        <v>305</v>
      </c>
      <c r="C338" t="s">
        <v>1744</v>
      </c>
      <c r="D338" s="176">
        <v>64973646.164393</v>
      </c>
      <c r="E338">
        <v>0</v>
      </c>
      <c r="G338">
        <v>2410</v>
      </c>
      <c r="H338" t="s">
        <v>305</v>
      </c>
      <c r="I338" t="s">
        <v>1744</v>
      </c>
      <c r="J338" s="176">
        <v>38478741.152211003</v>
      </c>
      <c r="K338">
        <v>0</v>
      </c>
      <c r="L338" s="342" t="str">
        <f t="shared" si="50"/>
        <v/>
      </c>
      <c r="M338">
        <v>2410</v>
      </c>
      <c r="N338" t="s">
        <v>305</v>
      </c>
      <c r="O338" t="s">
        <v>1744</v>
      </c>
      <c r="P338" s="243">
        <f t="shared" si="51"/>
        <v>95756639.086161807</v>
      </c>
      <c r="S338">
        <v>2410</v>
      </c>
      <c r="T338" t="s">
        <v>305</v>
      </c>
      <c r="U338" t="s">
        <v>1744</v>
      </c>
      <c r="V338" s="176">
        <v>41792367.322221003</v>
      </c>
      <c r="W338" s="176">
        <v>86613638.838869005</v>
      </c>
      <c r="X338" s="176">
        <v>0</v>
      </c>
      <c r="Y338" s="176">
        <v>8074944.4444439998</v>
      </c>
      <c r="Z338" s="176"/>
      <c r="AA338">
        <v>2410</v>
      </c>
      <c r="AB338" s="176" t="s">
        <v>305</v>
      </c>
      <c r="AC338" s="176" t="s">
        <v>1744</v>
      </c>
      <c r="AD338" s="176">
        <v>41792367.322221003</v>
      </c>
      <c r="AE338" s="176">
        <v>86613638.838869005</v>
      </c>
      <c r="AF338">
        <v>0</v>
      </c>
      <c r="AG338" s="176">
        <v>8074944.4444439998</v>
      </c>
      <c r="AH338" s="342" t="str">
        <f t="shared" si="45"/>
        <v/>
      </c>
      <c r="AI338">
        <v>2410</v>
      </c>
      <c r="AJ338" t="s">
        <v>305</v>
      </c>
      <c r="AK338" t="s">
        <v>1744</v>
      </c>
      <c r="AL338" s="245">
        <f t="shared" si="46"/>
        <v>75226261.179997802</v>
      </c>
      <c r="AM338" s="245">
        <f t="shared" si="47"/>
        <v>155904549.9099642</v>
      </c>
      <c r="AN338" s="245">
        <f t="shared" si="48"/>
        <v>0</v>
      </c>
      <c r="AO338" s="245">
        <f t="shared" si="49"/>
        <v>14534899.999999199</v>
      </c>
      <c r="AP338" s="176"/>
      <c r="AQ338" s="176"/>
      <c r="AR338">
        <v>2410</v>
      </c>
      <c r="AS338" t="s">
        <v>305</v>
      </c>
      <c r="AT338" t="s">
        <v>1744</v>
      </c>
      <c r="AU338" s="176">
        <v>15962418.781105001</v>
      </c>
      <c r="AW338">
        <v>2410</v>
      </c>
      <c r="AX338" t="s">
        <v>305</v>
      </c>
      <c r="AY338" t="s">
        <v>1744</v>
      </c>
      <c r="AZ338" s="176">
        <v>1873242.5744419999</v>
      </c>
      <c r="BA338" s="342" t="str">
        <f t="shared" si="52"/>
        <v/>
      </c>
      <c r="BB338">
        <v>2410</v>
      </c>
      <c r="BC338" t="s">
        <v>305</v>
      </c>
      <c r="BD338" t="s">
        <v>1744</v>
      </c>
      <c r="BE338" s="243">
        <f t="shared" si="53"/>
        <v>17461012.840658601</v>
      </c>
    </row>
    <row r="339" spans="1:57">
      <c r="A339">
        <v>2420</v>
      </c>
      <c r="B339" t="s">
        <v>306</v>
      </c>
      <c r="C339" t="s">
        <v>1745</v>
      </c>
      <c r="D339" s="176">
        <v>134077320.166592</v>
      </c>
      <c r="E339">
        <v>0</v>
      </c>
      <c r="G339">
        <v>2420</v>
      </c>
      <c r="H339" t="s">
        <v>306</v>
      </c>
      <c r="I339" t="s">
        <v>1745</v>
      </c>
      <c r="J339" s="176">
        <v>42807573.574426003</v>
      </c>
      <c r="K339">
        <v>0</v>
      </c>
      <c r="L339" s="342" t="str">
        <f t="shared" si="50"/>
        <v/>
      </c>
      <c r="M339">
        <v>2420</v>
      </c>
      <c r="N339" t="s">
        <v>306</v>
      </c>
      <c r="O339" t="s">
        <v>1745</v>
      </c>
      <c r="P339" s="243">
        <f t="shared" si="51"/>
        <v>168323379.02613282</v>
      </c>
      <c r="S339">
        <v>2420</v>
      </c>
      <c r="T339" t="s">
        <v>306</v>
      </c>
      <c r="U339" t="s">
        <v>1745</v>
      </c>
      <c r="V339" s="176">
        <v>66685256.651106998</v>
      </c>
      <c r="W339" s="176">
        <v>192220758.04996401</v>
      </c>
      <c r="X339" s="176">
        <v>0</v>
      </c>
      <c r="Y339" s="176">
        <v>23439305.399999999</v>
      </c>
      <c r="Z339" s="176"/>
      <c r="AA339">
        <v>2420</v>
      </c>
      <c r="AB339" s="176" t="s">
        <v>306</v>
      </c>
      <c r="AC339" s="176" t="s">
        <v>1745</v>
      </c>
      <c r="AD339" s="176">
        <v>66685256.651106998</v>
      </c>
      <c r="AE339" s="176">
        <v>192220758.04996401</v>
      </c>
      <c r="AF339" s="176">
        <v>0</v>
      </c>
      <c r="AG339" s="176">
        <v>23439305.399999999</v>
      </c>
      <c r="AH339" s="342" t="str">
        <f t="shared" si="45"/>
        <v/>
      </c>
      <c r="AI339">
        <v>2420</v>
      </c>
      <c r="AJ339" t="s">
        <v>306</v>
      </c>
      <c r="AK339" t="s">
        <v>1745</v>
      </c>
      <c r="AL339" s="245">
        <f t="shared" si="46"/>
        <v>120033461.9719926</v>
      </c>
      <c r="AM339" s="245">
        <f t="shared" si="47"/>
        <v>345997364.48993522</v>
      </c>
      <c r="AN339" s="245">
        <f t="shared" si="48"/>
        <v>0</v>
      </c>
      <c r="AO339" s="245">
        <f t="shared" si="49"/>
        <v>42190749.719999999</v>
      </c>
      <c r="AP339" s="176"/>
      <c r="AQ339" s="176"/>
      <c r="AR339">
        <v>2420</v>
      </c>
      <c r="AS339" t="s">
        <v>306</v>
      </c>
      <c r="AT339" t="s">
        <v>1745</v>
      </c>
      <c r="AU339" s="176">
        <v>12415869.122215999</v>
      </c>
      <c r="AW339">
        <v>2420</v>
      </c>
      <c r="AX339" t="s">
        <v>306</v>
      </c>
      <c r="AY339" t="s">
        <v>1745</v>
      </c>
      <c r="AZ339" s="176">
        <v>3648411.3699980001</v>
      </c>
      <c r="BA339" s="342" t="str">
        <f t="shared" si="52"/>
        <v/>
      </c>
      <c r="BB339">
        <v>2420</v>
      </c>
      <c r="BC339" t="s">
        <v>306</v>
      </c>
      <c r="BD339" t="s">
        <v>1745</v>
      </c>
      <c r="BE339" s="243">
        <f t="shared" si="53"/>
        <v>15334598.2182144</v>
      </c>
    </row>
    <row r="340" spans="1:57">
      <c r="A340">
        <v>2420</v>
      </c>
      <c r="B340" t="s">
        <v>306</v>
      </c>
      <c r="C340" t="s">
        <v>1093</v>
      </c>
      <c r="D340" s="176">
        <v>424274487.344302</v>
      </c>
      <c r="E340">
        <v>0</v>
      </c>
      <c r="G340">
        <v>2420</v>
      </c>
      <c r="H340" t="s">
        <v>306</v>
      </c>
      <c r="I340" t="s">
        <v>1093</v>
      </c>
      <c r="J340" s="176">
        <v>339868808.99996299</v>
      </c>
      <c r="K340">
        <v>0</v>
      </c>
      <c r="L340" s="342" t="str">
        <f t="shared" si="50"/>
        <v/>
      </c>
      <c r="M340">
        <v>2420</v>
      </c>
      <c r="N340" t="s">
        <v>306</v>
      </c>
      <c r="O340" t="s">
        <v>1093</v>
      </c>
      <c r="P340" s="243">
        <f t="shared" si="51"/>
        <v>696169534.54427242</v>
      </c>
      <c r="S340">
        <v>2420</v>
      </c>
      <c r="T340" t="s">
        <v>306</v>
      </c>
      <c r="U340" t="s">
        <v>1093</v>
      </c>
      <c r="V340" s="176">
        <v>139442770.84999499</v>
      </c>
      <c r="W340" s="176">
        <v>523730513.41550797</v>
      </c>
      <c r="X340" s="176">
        <v>1174600</v>
      </c>
      <c r="Y340" s="176">
        <v>56371742.477773003</v>
      </c>
      <c r="Z340" s="176"/>
      <c r="AA340">
        <v>2420</v>
      </c>
      <c r="AB340" s="176" t="s">
        <v>306</v>
      </c>
      <c r="AC340" s="176" t="s">
        <v>1093</v>
      </c>
      <c r="AD340" s="176">
        <v>139442770.84999499</v>
      </c>
      <c r="AE340" s="176">
        <v>523730513.41550797</v>
      </c>
      <c r="AF340" s="176">
        <v>1174600</v>
      </c>
      <c r="AG340" s="176">
        <v>56371742.477773003</v>
      </c>
      <c r="AH340" s="342" t="str">
        <f t="shared" si="45"/>
        <v/>
      </c>
      <c r="AI340">
        <v>2420</v>
      </c>
      <c r="AJ340" t="s">
        <v>306</v>
      </c>
      <c r="AK340" t="s">
        <v>1093</v>
      </c>
      <c r="AL340" s="245">
        <f t="shared" si="46"/>
        <v>250996987.52999097</v>
      </c>
      <c r="AM340" s="245">
        <f t="shared" si="47"/>
        <v>942714924.14791441</v>
      </c>
      <c r="AN340" s="245">
        <f t="shared" si="48"/>
        <v>2114280</v>
      </c>
      <c r="AO340" s="245">
        <f t="shared" si="49"/>
        <v>101469136.45999141</v>
      </c>
      <c r="AP340" s="176"/>
      <c r="AQ340" s="176"/>
      <c r="AR340">
        <v>2420</v>
      </c>
      <c r="AS340" t="s">
        <v>306</v>
      </c>
      <c r="AT340" t="s">
        <v>1093</v>
      </c>
      <c r="AU340" s="176">
        <v>15837006.234436</v>
      </c>
      <c r="AW340">
        <v>2420</v>
      </c>
      <c r="AX340" t="s">
        <v>306</v>
      </c>
      <c r="AY340" t="s">
        <v>1093</v>
      </c>
      <c r="AZ340" s="176">
        <v>13313283.505550999</v>
      </c>
      <c r="BA340" s="342" t="str">
        <f t="shared" si="52"/>
        <v/>
      </c>
      <c r="BB340">
        <v>2420</v>
      </c>
      <c r="BC340" t="s">
        <v>306</v>
      </c>
      <c r="BD340" t="s">
        <v>1093</v>
      </c>
      <c r="BE340" s="243">
        <f t="shared" si="53"/>
        <v>26487633.038876802</v>
      </c>
    </row>
    <row r="341" spans="1:57">
      <c r="A341">
        <v>2420</v>
      </c>
      <c r="B341" t="s">
        <v>306</v>
      </c>
      <c r="C341" t="s">
        <v>1092</v>
      </c>
      <c r="D341" s="176">
        <v>285689487.80324501</v>
      </c>
      <c r="E341">
        <v>0</v>
      </c>
      <c r="G341">
        <v>2420</v>
      </c>
      <c r="H341" t="s">
        <v>306</v>
      </c>
      <c r="I341" t="s">
        <v>1092</v>
      </c>
      <c r="J341" s="176">
        <v>218037818.09663701</v>
      </c>
      <c r="K341">
        <v>0</v>
      </c>
      <c r="L341" s="342" t="str">
        <f t="shared" si="50"/>
        <v/>
      </c>
      <c r="M341">
        <v>2420</v>
      </c>
      <c r="N341" t="s">
        <v>306</v>
      </c>
      <c r="O341" t="s">
        <v>1092</v>
      </c>
      <c r="P341" s="243">
        <f t="shared" si="51"/>
        <v>460119742.28055465</v>
      </c>
      <c r="S341">
        <v>2420</v>
      </c>
      <c r="T341" t="s">
        <v>306</v>
      </c>
      <c r="U341" t="s">
        <v>1092</v>
      </c>
      <c r="V341" s="176">
        <v>135101179.912218</v>
      </c>
      <c r="W341" s="176">
        <v>623748300.01996601</v>
      </c>
      <c r="X341" s="176">
        <v>0</v>
      </c>
      <c r="Y341" s="176">
        <v>98153660.837772995</v>
      </c>
      <c r="Z341" s="176"/>
      <c r="AA341">
        <v>2420</v>
      </c>
      <c r="AB341" s="176" t="s">
        <v>306</v>
      </c>
      <c r="AC341" s="176" t="s">
        <v>1092</v>
      </c>
      <c r="AD341" s="176">
        <v>135101179.912218</v>
      </c>
      <c r="AE341" s="176">
        <v>623748300.01996601</v>
      </c>
      <c r="AF341" s="176">
        <v>0</v>
      </c>
      <c r="AG341" s="176">
        <v>98153660.837772995</v>
      </c>
      <c r="AH341" s="342" t="str">
        <f t="shared" si="45"/>
        <v/>
      </c>
      <c r="AI341">
        <v>2420</v>
      </c>
      <c r="AJ341" t="s">
        <v>306</v>
      </c>
      <c r="AK341" t="s">
        <v>1092</v>
      </c>
      <c r="AL341" s="245">
        <f t="shared" si="46"/>
        <v>243182123.84199241</v>
      </c>
      <c r="AM341" s="245">
        <f t="shared" si="47"/>
        <v>1122746940.0359387</v>
      </c>
      <c r="AN341" s="245">
        <f t="shared" si="48"/>
        <v>0</v>
      </c>
      <c r="AO341" s="245">
        <f t="shared" si="49"/>
        <v>176676589.50799137</v>
      </c>
      <c r="AP341" s="176"/>
      <c r="AQ341" s="176"/>
      <c r="AR341">
        <v>2420</v>
      </c>
      <c r="AS341" t="s">
        <v>306</v>
      </c>
      <c r="AT341" t="s">
        <v>1092</v>
      </c>
      <c r="AU341" s="176">
        <v>19073768.448881999</v>
      </c>
      <c r="AW341">
        <v>2420</v>
      </c>
      <c r="AX341" t="s">
        <v>306</v>
      </c>
      <c r="AY341" t="s">
        <v>1092</v>
      </c>
      <c r="AZ341" s="176">
        <v>6800322.0233309995</v>
      </c>
      <c r="BA341" s="342" t="str">
        <f t="shared" si="52"/>
        <v/>
      </c>
      <c r="BB341">
        <v>2420</v>
      </c>
      <c r="BC341" t="s">
        <v>306</v>
      </c>
      <c r="BD341" t="s">
        <v>1092</v>
      </c>
      <c r="BE341" s="243">
        <f t="shared" si="53"/>
        <v>24514026.0675468</v>
      </c>
    </row>
    <row r="342" spans="1:57">
      <c r="A342">
        <v>2420</v>
      </c>
      <c r="B342" t="s">
        <v>306</v>
      </c>
      <c r="C342" t="s">
        <v>1112</v>
      </c>
      <c r="D342" s="176">
        <v>109560729.92663801</v>
      </c>
      <c r="E342">
        <v>0</v>
      </c>
      <c r="G342">
        <v>2420</v>
      </c>
      <c r="H342" t="s">
        <v>306</v>
      </c>
      <c r="I342" t="s">
        <v>1112</v>
      </c>
      <c r="J342" s="176">
        <v>127989762.597758</v>
      </c>
      <c r="K342">
        <v>0</v>
      </c>
      <c r="L342" s="342" t="str">
        <f t="shared" si="50"/>
        <v/>
      </c>
      <c r="M342">
        <v>2420</v>
      </c>
      <c r="N342" t="s">
        <v>306</v>
      </c>
      <c r="O342" t="s">
        <v>1112</v>
      </c>
      <c r="P342" s="243">
        <f t="shared" si="51"/>
        <v>211952540.00484443</v>
      </c>
      <c r="S342">
        <v>2420</v>
      </c>
      <c r="T342" t="s">
        <v>306</v>
      </c>
      <c r="U342" t="s">
        <v>1112</v>
      </c>
      <c r="V342" s="176">
        <v>89673332.731107995</v>
      </c>
      <c r="W342" s="176">
        <v>239796378.58220899</v>
      </c>
      <c r="X342" s="176">
        <v>0</v>
      </c>
      <c r="Y342" s="176">
        <v>52376235.092221998</v>
      </c>
      <c r="Z342" s="176"/>
      <c r="AA342">
        <v>2420</v>
      </c>
      <c r="AB342" s="176" t="s">
        <v>306</v>
      </c>
      <c r="AC342" s="176" t="s">
        <v>1112</v>
      </c>
      <c r="AD342" s="176">
        <v>89673332.731107995</v>
      </c>
      <c r="AE342" s="176">
        <v>239796378.58220899</v>
      </c>
      <c r="AF342" s="176">
        <v>0</v>
      </c>
      <c r="AG342" s="176">
        <v>52376235.092221998</v>
      </c>
      <c r="AH342" s="342" t="str">
        <f t="shared" si="45"/>
        <v/>
      </c>
      <c r="AI342">
        <v>2420</v>
      </c>
      <c r="AJ342" t="s">
        <v>306</v>
      </c>
      <c r="AK342" t="s">
        <v>1112</v>
      </c>
      <c r="AL342" s="245">
        <f t="shared" si="46"/>
        <v>161411998.91599441</v>
      </c>
      <c r="AM342" s="245">
        <f t="shared" si="47"/>
        <v>431633481.44797623</v>
      </c>
      <c r="AN342" s="245">
        <f t="shared" si="48"/>
        <v>0</v>
      </c>
      <c r="AO342" s="245">
        <f t="shared" si="49"/>
        <v>94277223.165999591</v>
      </c>
      <c r="AP342" s="176"/>
      <c r="AQ342" s="176"/>
      <c r="AR342">
        <v>2420</v>
      </c>
      <c r="AS342" t="s">
        <v>306</v>
      </c>
      <c r="AT342" t="s">
        <v>1112</v>
      </c>
      <c r="AU342" s="176">
        <v>12400881.711107001</v>
      </c>
      <c r="AW342">
        <v>2420</v>
      </c>
      <c r="AX342" t="s">
        <v>306</v>
      </c>
      <c r="AY342" t="s">
        <v>1112</v>
      </c>
      <c r="AZ342" s="176">
        <v>8239110.4155540001</v>
      </c>
      <c r="BA342" s="342" t="str">
        <f t="shared" si="52"/>
        <v/>
      </c>
      <c r="BB342">
        <v>2420</v>
      </c>
      <c r="BC342" t="s">
        <v>306</v>
      </c>
      <c r="BD342" t="s">
        <v>1112</v>
      </c>
      <c r="BE342" s="243">
        <f t="shared" si="53"/>
        <v>18992170.043550201</v>
      </c>
    </row>
    <row r="343" spans="1:57">
      <c r="A343">
        <v>2430</v>
      </c>
      <c r="B343" t="s">
        <v>307</v>
      </c>
      <c r="C343" t="s">
        <v>1746</v>
      </c>
      <c r="D343" s="176">
        <v>233335768.697707</v>
      </c>
      <c r="E343">
        <v>0</v>
      </c>
      <c r="G343">
        <v>2430</v>
      </c>
      <c r="H343" t="s">
        <v>307</v>
      </c>
      <c r="I343" t="s">
        <v>1746</v>
      </c>
      <c r="J343" s="176">
        <v>121966856.743304</v>
      </c>
      <c r="K343">
        <v>0</v>
      </c>
      <c r="L343" s="342" t="str">
        <f t="shared" si="50"/>
        <v/>
      </c>
      <c r="M343">
        <v>2430</v>
      </c>
      <c r="N343" t="s">
        <v>307</v>
      </c>
      <c r="O343" t="s">
        <v>1746</v>
      </c>
      <c r="P343" s="243">
        <f t="shared" si="51"/>
        <v>330909254.09235018</v>
      </c>
      <c r="S343">
        <v>2430</v>
      </c>
      <c r="T343" t="s">
        <v>307</v>
      </c>
      <c r="U343" t="s">
        <v>1746</v>
      </c>
      <c r="V343" s="176">
        <v>47542982.368887</v>
      </c>
      <c r="W343" s="176">
        <v>193873148.33775201</v>
      </c>
      <c r="X343" s="176">
        <v>1000000</v>
      </c>
      <c r="Y343" s="176">
        <v>24041187.093331002</v>
      </c>
      <c r="Z343" s="176"/>
      <c r="AA343">
        <v>2430</v>
      </c>
      <c r="AB343" s="176" t="s">
        <v>307</v>
      </c>
      <c r="AC343" s="176" t="s">
        <v>1746</v>
      </c>
      <c r="AD343" s="176">
        <v>47542982.368887</v>
      </c>
      <c r="AE343" s="176">
        <v>193873148.33775201</v>
      </c>
      <c r="AF343" s="176">
        <v>1000000</v>
      </c>
      <c r="AG343" s="176">
        <v>24041187.093331002</v>
      </c>
      <c r="AH343" s="342" t="str">
        <f t="shared" si="45"/>
        <v/>
      </c>
      <c r="AI343">
        <v>2430</v>
      </c>
      <c r="AJ343" t="s">
        <v>307</v>
      </c>
      <c r="AK343" t="s">
        <v>1746</v>
      </c>
      <c r="AL343" s="245">
        <f t="shared" si="46"/>
        <v>85577368.263996601</v>
      </c>
      <c r="AM343" s="245">
        <f t="shared" si="47"/>
        <v>348971667.00795364</v>
      </c>
      <c r="AN343" s="245">
        <f t="shared" si="48"/>
        <v>1800000</v>
      </c>
      <c r="AO343" s="245">
        <f t="shared" si="49"/>
        <v>43274136.767995805</v>
      </c>
      <c r="AP343" s="176"/>
      <c r="AQ343" s="176"/>
      <c r="AR343">
        <v>2430</v>
      </c>
      <c r="AS343" t="s">
        <v>307</v>
      </c>
      <c r="AT343" t="s">
        <v>1746</v>
      </c>
      <c r="AU343" s="176">
        <v>24482650.047766</v>
      </c>
      <c r="AW343">
        <v>2430</v>
      </c>
      <c r="AX343" t="s">
        <v>307</v>
      </c>
      <c r="AY343" t="s">
        <v>1746</v>
      </c>
      <c r="AZ343" s="176">
        <v>9153497.5022180006</v>
      </c>
      <c r="BA343" s="342" t="str">
        <f t="shared" si="52"/>
        <v/>
      </c>
      <c r="BB343">
        <v>2430</v>
      </c>
      <c r="BC343" t="s">
        <v>307</v>
      </c>
      <c r="BD343" t="s">
        <v>1746</v>
      </c>
      <c r="BE343" s="243">
        <f t="shared" si="53"/>
        <v>31805448.049540401</v>
      </c>
    </row>
    <row r="344" spans="1:57">
      <c r="A344">
        <v>2430</v>
      </c>
      <c r="B344" t="s">
        <v>307</v>
      </c>
      <c r="C344" t="s">
        <v>1101</v>
      </c>
      <c r="D344" s="176">
        <v>323633350.327631</v>
      </c>
      <c r="E344">
        <v>0</v>
      </c>
      <c r="G344">
        <v>2430</v>
      </c>
      <c r="H344" t="s">
        <v>307</v>
      </c>
      <c r="I344" t="s">
        <v>1101</v>
      </c>
      <c r="J344" s="176">
        <v>154203538.443299</v>
      </c>
      <c r="K344">
        <v>0</v>
      </c>
      <c r="L344" s="342" t="str">
        <f t="shared" si="50"/>
        <v/>
      </c>
      <c r="M344">
        <v>2430</v>
      </c>
      <c r="N344" t="s">
        <v>307</v>
      </c>
      <c r="O344" t="s">
        <v>1101</v>
      </c>
      <c r="P344" s="243">
        <f t="shared" si="51"/>
        <v>446996181.08227021</v>
      </c>
      <c r="S344">
        <v>2430</v>
      </c>
      <c r="T344" t="s">
        <v>307</v>
      </c>
      <c r="U344" t="s">
        <v>1101</v>
      </c>
      <c r="V344" s="176">
        <v>81557479.285550997</v>
      </c>
      <c r="W344" s="176">
        <v>373396566.97329903</v>
      </c>
      <c r="X344" s="176">
        <v>1500000</v>
      </c>
      <c r="Y344" s="176">
        <v>56260176.781106003</v>
      </c>
      <c r="Z344" s="176"/>
      <c r="AA344">
        <v>2430</v>
      </c>
      <c r="AB344" s="176" t="s">
        <v>307</v>
      </c>
      <c r="AC344" s="176" t="s">
        <v>1101</v>
      </c>
      <c r="AD344" s="176">
        <v>81557479.285550997</v>
      </c>
      <c r="AE344" s="176">
        <v>373396566.97329903</v>
      </c>
      <c r="AF344" s="176">
        <v>1500000</v>
      </c>
      <c r="AG344" s="176">
        <v>56260176.781106003</v>
      </c>
      <c r="AH344" s="342" t="str">
        <f t="shared" si="45"/>
        <v/>
      </c>
      <c r="AI344">
        <v>2430</v>
      </c>
      <c r="AJ344" t="s">
        <v>307</v>
      </c>
      <c r="AK344" t="s">
        <v>1101</v>
      </c>
      <c r="AL344" s="245">
        <f t="shared" si="46"/>
        <v>146803462.71399179</v>
      </c>
      <c r="AM344" s="245">
        <f t="shared" si="47"/>
        <v>672113820.5519383</v>
      </c>
      <c r="AN344" s="245">
        <f t="shared" si="48"/>
        <v>2700000</v>
      </c>
      <c r="AO344" s="245">
        <f t="shared" si="49"/>
        <v>101268318.20599081</v>
      </c>
      <c r="AP344" s="176"/>
      <c r="AQ344" s="176"/>
      <c r="AR344">
        <v>2430</v>
      </c>
      <c r="AS344" t="s">
        <v>307</v>
      </c>
      <c r="AT344" t="s">
        <v>1101</v>
      </c>
      <c r="AU344" s="176">
        <v>27465045.998876002</v>
      </c>
      <c r="AW344">
        <v>2430</v>
      </c>
      <c r="AX344" t="s">
        <v>307</v>
      </c>
      <c r="AY344" t="s">
        <v>1101</v>
      </c>
      <c r="AZ344" s="176">
        <v>13745708.997772001</v>
      </c>
      <c r="BA344" s="342" t="str">
        <f t="shared" si="52"/>
        <v/>
      </c>
      <c r="BB344">
        <v>2430</v>
      </c>
      <c r="BC344" t="s">
        <v>307</v>
      </c>
      <c r="BD344" t="s">
        <v>1101</v>
      </c>
      <c r="BE344" s="243">
        <f t="shared" si="53"/>
        <v>38461613.197093606</v>
      </c>
    </row>
    <row r="345" spans="1:57">
      <c r="A345">
        <v>2430</v>
      </c>
      <c r="B345" t="s">
        <v>307</v>
      </c>
      <c r="C345" t="s">
        <v>1113</v>
      </c>
      <c r="D345" s="176">
        <v>254811666.30325201</v>
      </c>
      <c r="E345">
        <v>0</v>
      </c>
      <c r="G345">
        <v>2430</v>
      </c>
      <c r="H345" t="s">
        <v>307</v>
      </c>
      <c r="I345" t="s">
        <v>1113</v>
      </c>
      <c r="J345" s="176">
        <v>178590632.41886699</v>
      </c>
      <c r="K345">
        <v>0</v>
      </c>
      <c r="L345" s="342" t="str">
        <f t="shared" si="50"/>
        <v/>
      </c>
      <c r="M345">
        <v>2430</v>
      </c>
      <c r="N345" t="s">
        <v>307</v>
      </c>
      <c r="O345" t="s">
        <v>1113</v>
      </c>
      <c r="P345" s="243">
        <f t="shared" si="51"/>
        <v>397684172.23834562</v>
      </c>
      <c r="S345">
        <v>2430</v>
      </c>
      <c r="T345" t="s">
        <v>307</v>
      </c>
      <c r="U345" t="s">
        <v>1113</v>
      </c>
      <c r="V345" s="176">
        <v>60785929.028887004</v>
      </c>
      <c r="W345" s="176">
        <v>252294751.41775599</v>
      </c>
      <c r="X345" s="176">
        <v>1200000</v>
      </c>
      <c r="Y345" s="176">
        <v>45594247.601108998</v>
      </c>
      <c r="Z345" s="176"/>
      <c r="AA345">
        <v>2430</v>
      </c>
      <c r="AB345" s="176" t="s">
        <v>307</v>
      </c>
      <c r="AC345" s="176" t="s">
        <v>1113</v>
      </c>
      <c r="AD345" s="176">
        <v>60785929.028887004</v>
      </c>
      <c r="AE345" s="176">
        <v>252294751.41775599</v>
      </c>
      <c r="AF345" s="176">
        <v>1200000</v>
      </c>
      <c r="AG345" s="176">
        <v>45594247.601108998</v>
      </c>
      <c r="AH345" s="342" t="str">
        <f t="shared" si="45"/>
        <v/>
      </c>
      <c r="AI345">
        <v>2430</v>
      </c>
      <c r="AJ345" t="s">
        <v>307</v>
      </c>
      <c r="AK345" t="s">
        <v>1113</v>
      </c>
      <c r="AL345" s="245">
        <f t="shared" si="46"/>
        <v>109414672.25199661</v>
      </c>
      <c r="AM345" s="245">
        <f t="shared" si="47"/>
        <v>454130552.55196083</v>
      </c>
      <c r="AN345" s="245">
        <f t="shared" si="48"/>
        <v>2160000</v>
      </c>
      <c r="AO345" s="245">
        <f t="shared" si="49"/>
        <v>82069645.681996197</v>
      </c>
      <c r="AP345" s="176"/>
      <c r="AQ345" s="176"/>
      <c r="AR345">
        <v>2430</v>
      </c>
      <c r="AS345" t="s">
        <v>307</v>
      </c>
      <c r="AT345" t="s">
        <v>1113</v>
      </c>
      <c r="AU345" s="176">
        <v>263155792.10554901</v>
      </c>
      <c r="AW345">
        <v>2430</v>
      </c>
      <c r="AX345" t="s">
        <v>307</v>
      </c>
      <c r="AY345" t="s">
        <v>1113</v>
      </c>
      <c r="AZ345" s="176">
        <v>283205088.42888701</v>
      </c>
      <c r="BA345" s="342" t="str">
        <f t="shared" si="52"/>
        <v/>
      </c>
      <c r="BB345">
        <v>2430</v>
      </c>
      <c r="BC345" t="s">
        <v>307</v>
      </c>
      <c r="BD345" t="s">
        <v>1113</v>
      </c>
      <c r="BE345" s="243">
        <f t="shared" si="53"/>
        <v>489719862.84865862</v>
      </c>
    </row>
    <row r="346" spans="1:57">
      <c r="A346">
        <v>2440</v>
      </c>
      <c r="B346" t="s">
        <v>308</v>
      </c>
      <c r="C346" t="s">
        <v>1097</v>
      </c>
      <c r="D346" s="176">
        <v>353910675.76879102</v>
      </c>
      <c r="E346">
        <v>0</v>
      </c>
      <c r="G346">
        <v>2440</v>
      </c>
      <c r="H346" t="s">
        <v>308</v>
      </c>
      <c r="I346" t="s">
        <v>1097</v>
      </c>
      <c r="J346" s="176">
        <v>131259859.93442599</v>
      </c>
      <c r="K346">
        <v>0</v>
      </c>
      <c r="L346" s="342" t="str">
        <f t="shared" si="50"/>
        <v/>
      </c>
      <c r="M346">
        <v>2440</v>
      </c>
      <c r="N346" t="s">
        <v>308</v>
      </c>
      <c r="O346" t="s">
        <v>1097</v>
      </c>
      <c r="P346" s="243">
        <f t="shared" si="51"/>
        <v>458918563.71633184</v>
      </c>
      <c r="S346">
        <v>2440</v>
      </c>
      <c r="T346" t="s">
        <v>308</v>
      </c>
      <c r="U346" t="s">
        <v>1097</v>
      </c>
      <c r="V346" s="176">
        <v>43690234.947775997</v>
      </c>
      <c r="W346" s="176">
        <v>192685408.05108199</v>
      </c>
      <c r="X346" s="176">
        <v>4153500</v>
      </c>
      <c r="Y346" s="176">
        <v>104723336.288885</v>
      </c>
      <c r="Z346" s="176"/>
      <c r="AA346">
        <v>2440</v>
      </c>
      <c r="AB346" s="176" t="s">
        <v>308</v>
      </c>
      <c r="AC346" s="176" t="s">
        <v>1097</v>
      </c>
      <c r="AD346" s="176">
        <v>43690234.947775997</v>
      </c>
      <c r="AE346" s="176">
        <v>192685408.05108199</v>
      </c>
      <c r="AF346" s="176">
        <v>4153500</v>
      </c>
      <c r="AG346" s="176">
        <v>104723336.288885</v>
      </c>
      <c r="AH346" s="342" t="str">
        <f t="shared" si="45"/>
        <v/>
      </c>
      <c r="AI346">
        <v>2440</v>
      </c>
      <c r="AJ346" t="s">
        <v>308</v>
      </c>
      <c r="AK346" t="s">
        <v>1097</v>
      </c>
      <c r="AL346" s="245">
        <f t="shared" si="46"/>
        <v>78642422.905996799</v>
      </c>
      <c r="AM346" s="245">
        <f t="shared" si="47"/>
        <v>346833734.49194759</v>
      </c>
      <c r="AN346" s="245">
        <f t="shared" si="48"/>
        <v>7476300</v>
      </c>
      <c r="AO346" s="245">
        <f t="shared" si="49"/>
        <v>188502005.31999302</v>
      </c>
      <c r="AP346" s="176"/>
      <c r="AQ346" s="176"/>
      <c r="AR346">
        <v>2440</v>
      </c>
      <c r="AS346" t="s">
        <v>308</v>
      </c>
      <c r="AT346" t="s">
        <v>1097</v>
      </c>
      <c r="AU346" s="176">
        <v>89274605.911082</v>
      </c>
      <c r="AW346">
        <v>2440</v>
      </c>
      <c r="AX346" t="s">
        <v>308</v>
      </c>
      <c r="AY346" t="s">
        <v>1097</v>
      </c>
      <c r="AZ346" s="176">
        <v>30294115.515551999</v>
      </c>
      <c r="BA346" s="342" t="str">
        <f t="shared" si="52"/>
        <v/>
      </c>
      <c r="BB346">
        <v>2440</v>
      </c>
      <c r="BC346" t="s">
        <v>308</v>
      </c>
      <c r="BD346" t="s">
        <v>1097</v>
      </c>
      <c r="BE346" s="243">
        <f t="shared" si="53"/>
        <v>113509898.3235236</v>
      </c>
    </row>
    <row r="347" spans="1:57">
      <c r="A347">
        <v>2440</v>
      </c>
      <c r="B347" t="s">
        <v>308</v>
      </c>
      <c r="C347" t="s">
        <v>1089</v>
      </c>
      <c r="D347" s="176">
        <v>244368207.12436199</v>
      </c>
      <c r="E347">
        <v>0</v>
      </c>
      <c r="G347">
        <v>2440</v>
      </c>
      <c r="H347" t="s">
        <v>308</v>
      </c>
      <c r="I347" t="s">
        <v>1089</v>
      </c>
      <c r="J347" s="176">
        <v>103095748.67442</v>
      </c>
      <c r="K347">
        <v>0</v>
      </c>
      <c r="L347" s="342" t="str">
        <f t="shared" si="50"/>
        <v/>
      </c>
      <c r="M347">
        <v>2440</v>
      </c>
      <c r="N347" t="s">
        <v>308</v>
      </c>
      <c r="O347" t="s">
        <v>1089</v>
      </c>
      <c r="P347" s="243">
        <f t="shared" si="51"/>
        <v>326844806.06389797</v>
      </c>
      <c r="S347">
        <v>2440</v>
      </c>
      <c r="T347" t="s">
        <v>308</v>
      </c>
      <c r="U347" t="s">
        <v>1089</v>
      </c>
      <c r="V347" s="176">
        <v>28093441.567774002</v>
      </c>
      <c r="W347" s="176">
        <v>207443079.25329101</v>
      </c>
      <c r="X347" s="176">
        <v>0</v>
      </c>
      <c r="Y347" s="176">
        <v>76175862.155545995</v>
      </c>
      <c r="Z347" s="176"/>
      <c r="AA347">
        <v>2440</v>
      </c>
      <c r="AB347" s="176" t="s">
        <v>308</v>
      </c>
      <c r="AC347" s="176" t="s">
        <v>1089</v>
      </c>
      <c r="AD347" s="176">
        <v>28093441.567774002</v>
      </c>
      <c r="AE347" s="176">
        <v>207443079.25329101</v>
      </c>
      <c r="AF347">
        <v>0</v>
      </c>
      <c r="AG347" s="176">
        <v>76175862.155545995</v>
      </c>
      <c r="AH347" s="342" t="str">
        <f t="shared" si="45"/>
        <v/>
      </c>
      <c r="AI347">
        <v>2440</v>
      </c>
      <c r="AJ347" t="s">
        <v>308</v>
      </c>
      <c r="AK347" t="s">
        <v>1089</v>
      </c>
      <c r="AL347" s="245">
        <f t="shared" si="46"/>
        <v>50568194.821993202</v>
      </c>
      <c r="AM347" s="245">
        <f t="shared" si="47"/>
        <v>373397542.65592384</v>
      </c>
      <c r="AN347" s="245">
        <f t="shared" si="48"/>
        <v>0</v>
      </c>
      <c r="AO347" s="245">
        <f t="shared" si="49"/>
        <v>137116551.8799828</v>
      </c>
      <c r="AP347" s="176"/>
      <c r="AQ347" s="176"/>
      <c r="AR347">
        <v>2440</v>
      </c>
      <c r="AS347" t="s">
        <v>308</v>
      </c>
      <c r="AT347" t="s">
        <v>1089</v>
      </c>
      <c r="AU347" s="176">
        <v>37105512.965536997</v>
      </c>
      <c r="AW347">
        <v>2440</v>
      </c>
      <c r="AX347" t="s">
        <v>308</v>
      </c>
      <c r="AY347" t="s">
        <v>1089</v>
      </c>
      <c r="AZ347" s="176">
        <v>12670346.064439001</v>
      </c>
      <c r="BA347" s="342" t="str">
        <f t="shared" si="52"/>
        <v/>
      </c>
      <c r="BB347">
        <v>2440</v>
      </c>
      <c r="BC347" t="s">
        <v>308</v>
      </c>
      <c r="BD347" t="s">
        <v>1089</v>
      </c>
      <c r="BE347" s="243">
        <f t="shared" si="53"/>
        <v>47241789.817088202</v>
      </c>
    </row>
    <row r="348" spans="1:57">
      <c r="A348">
        <v>2440</v>
      </c>
      <c r="B348" t="s">
        <v>308</v>
      </c>
      <c r="C348" t="s">
        <v>1099</v>
      </c>
      <c r="D348" s="176">
        <v>471955860.56096601</v>
      </c>
      <c r="E348">
        <v>0</v>
      </c>
      <c r="G348">
        <v>2440</v>
      </c>
      <c r="H348" t="s">
        <v>308</v>
      </c>
      <c r="I348" t="s">
        <v>1099</v>
      </c>
      <c r="J348" s="176">
        <v>322808839.93441898</v>
      </c>
      <c r="K348">
        <v>0</v>
      </c>
      <c r="L348" s="342" t="str">
        <f t="shared" si="50"/>
        <v/>
      </c>
      <c r="M348">
        <v>2440</v>
      </c>
      <c r="N348" t="s">
        <v>308</v>
      </c>
      <c r="O348" t="s">
        <v>1099</v>
      </c>
      <c r="P348" s="243">
        <f t="shared" si="51"/>
        <v>730202932.50850117</v>
      </c>
      <c r="S348">
        <v>2440</v>
      </c>
      <c r="T348" t="s">
        <v>308</v>
      </c>
      <c r="U348" t="s">
        <v>1099</v>
      </c>
      <c r="V348" s="176">
        <v>57724707.415554002</v>
      </c>
      <c r="W348" s="176">
        <v>348712263.796628</v>
      </c>
      <c r="X348" s="176">
        <v>2665540</v>
      </c>
      <c r="Y348" s="176">
        <v>194005978.50110099</v>
      </c>
      <c r="Z348" s="176"/>
      <c r="AA348">
        <v>2440</v>
      </c>
      <c r="AB348" s="176" t="s">
        <v>308</v>
      </c>
      <c r="AC348" s="176" t="s">
        <v>1099</v>
      </c>
      <c r="AD348" s="176">
        <v>57724707.415554002</v>
      </c>
      <c r="AE348" s="176">
        <v>348712263.796628</v>
      </c>
      <c r="AF348" s="176">
        <v>2665540</v>
      </c>
      <c r="AG348" s="176">
        <v>194005978.50110099</v>
      </c>
      <c r="AH348" s="342" t="str">
        <f t="shared" si="45"/>
        <v/>
      </c>
      <c r="AI348">
        <v>2440</v>
      </c>
      <c r="AJ348" t="s">
        <v>308</v>
      </c>
      <c r="AK348" t="s">
        <v>1099</v>
      </c>
      <c r="AL348" s="245">
        <f t="shared" si="46"/>
        <v>103904473.3479972</v>
      </c>
      <c r="AM348" s="245">
        <f t="shared" si="47"/>
        <v>627682074.83393049</v>
      </c>
      <c r="AN348" s="245">
        <f t="shared" si="48"/>
        <v>4797972</v>
      </c>
      <c r="AO348" s="245">
        <f t="shared" si="49"/>
        <v>349210761.30198181</v>
      </c>
      <c r="AP348" s="176"/>
      <c r="AQ348" s="176"/>
      <c r="AR348">
        <v>2440</v>
      </c>
      <c r="AS348" t="s">
        <v>308</v>
      </c>
      <c r="AT348" t="s">
        <v>1099</v>
      </c>
      <c r="AU348" s="176">
        <v>108238906.164423</v>
      </c>
      <c r="AW348">
        <v>2440</v>
      </c>
      <c r="AX348" t="s">
        <v>308</v>
      </c>
      <c r="AY348" t="s">
        <v>1099</v>
      </c>
      <c r="AZ348" s="176">
        <v>81176594.725549996</v>
      </c>
      <c r="BA348" s="342" t="str">
        <f t="shared" si="52"/>
        <v/>
      </c>
      <c r="BB348">
        <v>2440</v>
      </c>
      <c r="BC348" t="s">
        <v>308</v>
      </c>
      <c r="BD348" t="s">
        <v>1099</v>
      </c>
      <c r="BE348" s="243">
        <f t="shared" si="53"/>
        <v>173180181.94486302</v>
      </c>
    </row>
    <row r="349" spans="1:57">
      <c r="A349">
        <v>2450</v>
      </c>
      <c r="B349" t="s">
        <v>309</v>
      </c>
      <c r="C349" t="s">
        <v>1747</v>
      </c>
      <c r="D349" s="176">
        <v>137745076.15547299</v>
      </c>
      <c r="E349">
        <v>0</v>
      </c>
      <c r="G349">
        <v>2450</v>
      </c>
      <c r="H349" t="s">
        <v>309</v>
      </c>
      <c r="I349" t="s">
        <v>1747</v>
      </c>
      <c r="J349" s="176">
        <v>44619435.669987999</v>
      </c>
      <c r="K349">
        <v>0</v>
      </c>
      <c r="L349" s="342" t="str">
        <f t="shared" si="50"/>
        <v/>
      </c>
      <c r="M349">
        <v>2450</v>
      </c>
      <c r="N349" t="s">
        <v>309</v>
      </c>
      <c r="O349" t="s">
        <v>1747</v>
      </c>
      <c r="P349" s="243">
        <f t="shared" si="51"/>
        <v>173440624.69146341</v>
      </c>
      <c r="S349">
        <v>2450</v>
      </c>
      <c r="T349" t="s">
        <v>309</v>
      </c>
      <c r="U349" t="s">
        <v>1747</v>
      </c>
      <c r="V349" s="176">
        <v>66873353.486666001</v>
      </c>
      <c r="W349" s="176">
        <v>134365945.42329499</v>
      </c>
      <c r="X349" s="176">
        <v>1000000</v>
      </c>
      <c r="Y349" s="176">
        <v>1736777.7777770001</v>
      </c>
      <c r="Z349" s="176"/>
      <c r="AA349">
        <v>2450</v>
      </c>
      <c r="AB349" s="176" t="s">
        <v>309</v>
      </c>
      <c r="AC349" s="176" t="s">
        <v>1747</v>
      </c>
      <c r="AD349" s="176">
        <v>66873353.486666001</v>
      </c>
      <c r="AE349" s="176">
        <v>134365945.42329499</v>
      </c>
      <c r="AF349" s="176">
        <v>1000000</v>
      </c>
      <c r="AG349" s="176">
        <v>1736777.7777770001</v>
      </c>
      <c r="AH349" s="342" t="str">
        <f t="shared" si="45"/>
        <v/>
      </c>
      <c r="AI349">
        <v>2450</v>
      </c>
      <c r="AJ349" t="s">
        <v>309</v>
      </c>
      <c r="AK349" t="s">
        <v>1747</v>
      </c>
      <c r="AL349" s="245">
        <f t="shared" si="46"/>
        <v>120372036.2759988</v>
      </c>
      <c r="AM349" s="245">
        <f t="shared" si="47"/>
        <v>241858701.761931</v>
      </c>
      <c r="AN349" s="245">
        <f t="shared" si="48"/>
        <v>1800000</v>
      </c>
      <c r="AO349" s="245">
        <f t="shared" si="49"/>
        <v>3126199.9999986002</v>
      </c>
      <c r="AP349" s="176"/>
      <c r="AQ349" s="176"/>
      <c r="AR349">
        <v>2450</v>
      </c>
      <c r="AS349" t="s">
        <v>309</v>
      </c>
      <c r="AT349" t="s">
        <v>1747</v>
      </c>
      <c r="AU349" s="176">
        <v>7127828.9411049997</v>
      </c>
      <c r="AW349">
        <v>2450</v>
      </c>
      <c r="AX349" t="s">
        <v>309</v>
      </c>
      <c r="AY349" t="s">
        <v>1747</v>
      </c>
      <c r="AZ349" s="176">
        <v>144052.272222</v>
      </c>
      <c r="BA349" s="342" t="str">
        <f t="shared" si="52"/>
        <v/>
      </c>
      <c r="BB349">
        <v>2450</v>
      </c>
      <c r="BC349" t="s">
        <v>309</v>
      </c>
      <c r="BD349" t="s">
        <v>1747</v>
      </c>
      <c r="BE349" s="243">
        <f t="shared" si="53"/>
        <v>7243070.7588825999</v>
      </c>
    </row>
    <row r="350" spans="1:57">
      <c r="A350">
        <v>2450</v>
      </c>
      <c r="B350" t="s">
        <v>309</v>
      </c>
      <c r="C350" t="s">
        <v>1100</v>
      </c>
      <c r="D350" s="176">
        <v>184957001.967691</v>
      </c>
      <c r="E350">
        <v>0</v>
      </c>
      <c r="G350">
        <v>2450</v>
      </c>
      <c r="H350" t="s">
        <v>309</v>
      </c>
      <c r="I350" t="s">
        <v>1100</v>
      </c>
      <c r="J350" s="176">
        <v>146932606.96220499</v>
      </c>
      <c r="K350">
        <v>0</v>
      </c>
      <c r="L350" s="342" t="str">
        <f t="shared" si="50"/>
        <v/>
      </c>
      <c r="M350">
        <v>2450</v>
      </c>
      <c r="N350" t="s">
        <v>309</v>
      </c>
      <c r="O350" t="s">
        <v>1100</v>
      </c>
      <c r="P350" s="243">
        <f t="shared" si="51"/>
        <v>302503087.53745502</v>
      </c>
      <c r="S350">
        <v>2450</v>
      </c>
      <c r="T350" t="s">
        <v>309</v>
      </c>
      <c r="U350" t="s">
        <v>1100</v>
      </c>
      <c r="V350" s="176">
        <v>120627893.70221999</v>
      </c>
      <c r="W350" s="176">
        <v>341956989.77774203</v>
      </c>
      <c r="X350">
        <v>0</v>
      </c>
      <c r="Y350" s="176">
        <v>9995472.2222210001</v>
      </c>
      <c r="Z350" s="176"/>
      <c r="AA350">
        <v>2450</v>
      </c>
      <c r="AB350" s="176" t="s">
        <v>309</v>
      </c>
      <c r="AC350" s="176" t="s">
        <v>1100</v>
      </c>
      <c r="AD350" s="176">
        <v>120627893.70221999</v>
      </c>
      <c r="AE350" s="176">
        <v>341956989.77774203</v>
      </c>
      <c r="AF350">
        <v>0</v>
      </c>
      <c r="AG350" s="176">
        <v>9995472.2222210001</v>
      </c>
      <c r="AH350" s="342" t="str">
        <f t="shared" si="45"/>
        <v/>
      </c>
      <c r="AI350">
        <v>2450</v>
      </c>
      <c r="AJ350" t="s">
        <v>309</v>
      </c>
      <c r="AK350" t="s">
        <v>1100</v>
      </c>
      <c r="AL350" s="245">
        <f t="shared" si="46"/>
        <v>217130208.66399598</v>
      </c>
      <c r="AM350" s="245">
        <f t="shared" si="47"/>
        <v>615522581.59993565</v>
      </c>
      <c r="AN350" s="245">
        <f t="shared" si="48"/>
        <v>0</v>
      </c>
      <c r="AO350" s="245">
        <f t="shared" si="49"/>
        <v>17991849.999997802</v>
      </c>
      <c r="AP350" s="176"/>
      <c r="AQ350" s="176"/>
      <c r="AR350">
        <v>2450</v>
      </c>
      <c r="AS350" t="s">
        <v>309</v>
      </c>
      <c r="AT350" t="s">
        <v>1100</v>
      </c>
      <c r="AU350" s="176">
        <v>64399751.569989003</v>
      </c>
      <c r="AW350">
        <v>2450</v>
      </c>
      <c r="AX350" t="s">
        <v>309</v>
      </c>
      <c r="AY350" t="s">
        <v>1100</v>
      </c>
      <c r="AZ350" s="176">
        <v>118144952.597774</v>
      </c>
      <c r="BA350" s="342" t="str">
        <f t="shared" si="52"/>
        <v/>
      </c>
      <c r="BB350">
        <v>2450</v>
      </c>
      <c r="BC350" t="s">
        <v>309</v>
      </c>
      <c r="BD350" t="s">
        <v>1100</v>
      </c>
      <c r="BE350" s="243">
        <f t="shared" si="53"/>
        <v>158915713.6482082</v>
      </c>
    </row>
    <row r="351" spans="1:57">
      <c r="A351">
        <v>2450</v>
      </c>
      <c r="B351" t="s">
        <v>309</v>
      </c>
      <c r="C351" t="s">
        <v>1570</v>
      </c>
      <c r="D351" s="176">
        <v>111868105.279938</v>
      </c>
      <c r="E351">
        <v>0</v>
      </c>
      <c r="G351">
        <v>2450</v>
      </c>
      <c r="H351" t="s">
        <v>309</v>
      </c>
      <c r="I351" t="s">
        <v>1570</v>
      </c>
      <c r="J351" s="176">
        <v>46267791.235546</v>
      </c>
      <c r="K351">
        <v>0</v>
      </c>
      <c r="L351" s="342" t="str">
        <f t="shared" si="50"/>
        <v/>
      </c>
      <c r="M351">
        <v>2450</v>
      </c>
      <c r="N351" t="s">
        <v>309</v>
      </c>
      <c r="O351" t="s">
        <v>1570</v>
      </c>
      <c r="P351" s="243">
        <f t="shared" si="51"/>
        <v>148882338.2683748</v>
      </c>
      <c r="S351">
        <v>2450</v>
      </c>
      <c r="T351" t="s">
        <v>309</v>
      </c>
      <c r="U351" t="s">
        <v>1570</v>
      </c>
      <c r="V351" s="176">
        <v>39964142.355554998</v>
      </c>
      <c r="W351" s="176">
        <v>98560608.182191998</v>
      </c>
      <c r="X351">
        <v>504090</v>
      </c>
      <c r="Y351" s="176">
        <v>4682367.5888879998</v>
      </c>
      <c r="Z351" s="176"/>
      <c r="AA351">
        <v>2450</v>
      </c>
      <c r="AB351" s="176" t="s">
        <v>309</v>
      </c>
      <c r="AC351" s="176" t="s">
        <v>1570</v>
      </c>
      <c r="AD351" s="176">
        <v>39964142.355554998</v>
      </c>
      <c r="AE351" s="176">
        <v>98560608.182191998</v>
      </c>
      <c r="AF351">
        <v>504090</v>
      </c>
      <c r="AG351" s="176">
        <v>4682367.5888879998</v>
      </c>
      <c r="AH351" s="342" t="str">
        <f t="shared" si="45"/>
        <v/>
      </c>
      <c r="AI351">
        <v>2450</v>
      </c>
      <c r="AJ351" t="s">
        <v>309</v>
      </c>
      <c r="AK351" t="s">
        <v>1570</v>
      </c>
      <c r="AL351" s="245">
        <f t="shared" si="46"/>
        <v>71935456.239998996</v>
      </c>
      <c r="AM351" s="245">
        <f t="shared" si="47"/>
        <v>177409094.7279456</v>
      </c>
      <c r="AN351" s="245">
        <f t="shared" si="48"/>
        <v>907362</v>
      </c>
      <c r="AO351" s="245">
        <f t="shared" si="49"/>
        <v>8428261.6599984001</v>
      </c>
      <c r="AP351" s="176"/>
      <c r="AQ351" s="176"/>
      <c r="AR351">
        <v>2450</v>
      </c>
      <c r="AS351" t="s">
        <v>309</v>
      </c>
      <c r="AT351" t="s">
        <v>1570</v>
      </c>
      <c r="AU351" s="176">
        <v>9655606.7655519992</v>
      </c>
      <c r="AW351">
        <v>2450</v>
      </c>
      <c r="AX351" t="s">
        <v>309</v>
      </c>
      <c r="AY351" t="s">
        <v>1570</v>
      </c>
      <c r="AZ351" s="176">
        <v>0</v>
      </c>
      <c r="BA351" s="342" t="str">
        <f t="shared" si="52"/>
        <v/>
      </c>
      <c r="BB351">
        <v>2450</v>
      </c>
      <c r="BC351" t="s">
        <v>309</v>
      </c>
      <c r="BD351" t="s">
        <v>1570</v>
      </c>
      <c r="BE351" s="243">
        <f t="shared" si="53"/>
        <v>9655606.7655519992</v>
      </c>
    </row>
    <row r="352" spans="1:57">
      <c r="A352">
        <v>2460</v>
      </c>
      <c r="B352" t="s">
        <v>310</v>
      </c>
      <c r="C352" t="s">
        <v>1103</v>
      </c>
      <c r="D352" s="176">
        <v>142119084.693266</v>
      </c>
      <c r="E352">
        <v>0</v>
      </c>
      <c r="G352">
        <v>2460</v>
      </c>
      <c r="H352" t="s">
        <v>310</v>
      </c>
      <c r="I352" t="s">
        <v>1103</v>
      </c>
      <c r="J352" s="176">
        <v>63395256.339979999</v>
      </c>
      <c r="K352">
        <v>0</v>
      </c>
      <c r="L352" s="342" t="str">
        <f t="shared" si="50"/>
        <v/>
      </c>
      <c r="M352">
        <v>2460</v>
      </c>
      <c r="N352" t="s">
        <v>310</v>
      </c>
      <c r="O352" t="s">
        <v>1103</v>
      </c>
      <c r="P352" s="243">
        <f t="shared" si="51"/>
        <v>192835289.76525</v>
      </c>
      <c r="S352">
        <v>2460</v>
      </c>
      <c r="T352" t="s">
        <v>310</v>
      </c>
      <c r="U352" t="s">
        <v>1103</v>
      </c>
      <c r="V352" s="176">
        <v>35586709.100000001</v>
      </c>
      <c r="W352" s="176">
        <v>161997985.83996901</v>
      </c>
      <c r="X352" s="176">
        <v>0</v>
      </c>
      <c r="Y352" s="176">
        <v>8804361.1111089997</v>
      </c>
      <c r="Z352" s="176"/>
      <c r="AA352">
        <v>2460</v>
      </c>
      <c r="AB352" s="176" t="s">
        <v>310</v>
      </c>
      <c r="AC352" s="176" t="s">
        <v>1103</v>
      </c>
      <c r="AD352" s="176">
        <v>35586709.100000001</v>
      </c>
      <c r="AE352" s="176">
        <v>161997985.83996901</v>
      </c>
      <c r="AF352" s="176">
        <v>0</v>
      </c>
      <c r="AG352" s="176">
        <v>8804361.1111089997</v>
      </c>
      <c r="AH352" s="342" t="str">
        <f t="shared" si="45"/>
        <v/>
      </c>
      <c r="AI352">
        <v>2460</v>
      </c>
      <c r="AJ352" t="s">
        <v>310</v>
      </c>
      <c r="AK352" t="s">
        <v>1103</v>
      </c>
      <c r="AL352" s="245">
        <f t="shared" si="46"/>
        <v>64056076.380000003</v>
      </c>
      <c r="AM352" s="245">
        <f t="shared" si="47"/>
        <v>291596374.51194423</v>
      </c>
      <c r="AN352" s="245">
        <f t="shared" si="48"/>
        <v>0</v>
      </c>
      <c r="AO352" s="245">
        <f t="shared" si="49"/>
        <v>15847849.9999962</v>
      </c>
      <c r="AP352" s="176"/>
      <c r="AQ352" s="176"/>
      <c r="AR352">
        <v>2460</v>
      </c>
      <c r="AS352" t="s">
        <v>310</v>
      </c>
      <c r="AT352" t="s">
        <v>1103</v>
      </c>
      <c r="AU352" s="176">
        <v>35210566.768876001</v>
      </c>
      <c r="AW352">
        <v>2460</v>
      </c>
      <c r="AX352" t="s">
        <v>310</v>
      </c>
      <c r="AY352" t="s">
        <v>1103</v>
      </c>
      <c r="AZ352" s="176">
        <v>15472940.044439999</v>
      </c>
      <c r="BA352" s="342" t="str">
        <f t="shared" si="52"/>
        <v/>
      </c>
      <c r="BB352">
        <v>2460</v>
      </c>
      <c r="BC352" t="s">
        <v>310</v>
      </c>
      <c r="BD352" t="s">
        <v>1103</v>
      </c>
      <c r="BE352" s="243">
        <f t="shared" si="53"/>
        <v>47588918.804428004</v>
      </c>
    </row>
    <row r="353" spans="1:57">
      <c r="A353">
        <v>2460</v>
      </c>
      <c r="B353" t="s">
        <v>310</v>
      </c>
      <c r="C353" t="s">
        <v>1107</v>
      </c>
      <c r="D353" s="176">
        <v>246066094.009951</v>
      </c>
      <c r="E353">
        <v>0</v>
      </c>
      <c r="G353">
        <v>2460</v>
      </c>
      <c r="H353" t="s">
        <v>310</v>
      </c>
      <c r="I353" t="s">
        <v>1107</v>
      </c>
      <c r="J353" s="176">
        <v>193080332.95220301</v>
      </c>
      <c r="K353">
        <v>0</v>
      </c>
      <c r="L353" s="342" t="str">
        <f t="shared" si="50"/>
        <v/>
      </c>
      <c r="M353">
        <v>2460</v>
      </c>
      <c r="N353" t="s">
        <v>310</v>
      </c>
      <c r="O353" t="s">
        <v>1107</v>
      </c>
      <c r="P353" s="243">
        <f t="shared" si="51"/>
        <v>400530360.3717134</v>
      </c>
      <c r="S353">
        <v>2460</v>
      </c>
      <c r="T353" t="s">
        <v>310</v>
      </c>
      <c r="U353" t="s">
        <v>1107</v>
      </c>
      <c r="V353" s="176">
        <v>74486503.403331995</v>
      </c>
      <c r="W353" s="176">
        <v>230053431.91552699</v>
      </c>
      <c r="X353" s="176">
        <v>0</v>
      </c>
      <c r="Y353" s="176">
        <v>64181006.302219003</v>
      </c>
      <c r="Z353" s="176"/>
      <c r="AA353">
        <v>2460</v>
      </c>
      <c r="AB353" s="176" t="s">
        <v>310</v>
      </c>
      <c r="AC353" s="176" t="s">
        <v>1107</v>
      </c>
      <c r="AD353" s="176">
        <v>74486503.403331995</v>
      </c>
      <c r="AE353" s="176">
        <v>230053431.91552699</v>
      </c>
      <c r="AF353" s="176">
        <v>0</v>
      </c>
      <c r="AG353" s="176">
        <v>64181006.302219003</v>
      </c>
      <c r="AH353" s="342" t="str">
        <f t="shared" si="45"/>
        <v/>
      </c>
      <c r="AI353">
        <v>2460</v>
      </c>
      <c r="AJ353" t="s">
        <v>310</v>
      </c>
      <c r="AK353" t="s">
        <v>1107</v>
      </c>
      <c r="AL353" s="245">
        <f t="shared" si="46"/>
        <v>134075706.1259976</v>
      </c>
      <c r="AM353" s="245">
        <f t="shared" si="47"/>
        <v>414096177.44794858</v>
      </c>
      <c r="AN353" s="245">
        <f t="shared" si="48"/>
        <v>0</v>
      </c>
      <c r="AO353" s="245">
        <f t="shared" si="49"/>
        <v>115525811.3439942</v>
      </c>
      <c r="AP353" s="176"/>
      <c r="AQ353" s="176"/>
      <c r="AR353">
        <v>2460</v>
      </c>
      <c r="AS353" t="s">
        <v>310</v>
      </c>
      <c r="AT353" t="s">
        <v>1107</v>
      </c>
      <c r="AU353" s="176">
        <v>46178352.488874003</v>
      </c>
      <c r="AW353">
        <v>2460</v>
      </c>
      <c r="AX353" t="s">
        <v>310</v>
      </c>
      <c r="AY353" t="s">
        <v>1107</v>
      </c>
      <c r="AZ353" s="176">
        <v>39697738.216660999</v>
      </c>
      <c r="BA353" s="342" t="str">
        <f t="shared" si="52"/>
        <v/>
      </c>
      <c r="BB353">
        <v>2460</v>
      </c>
      <c r="BC353" t="s">
        <v>310</v>
      </c>
      <c r="BD353" t="s">
        <v>1107</v>
      </c>
      <c r="BE353" s="243">
        <f t="shared" si="53"/>
        <v>77936543.062202811</v>
      </c>
    </row>
    <row r="354" spans="1:57">
      <c r="A354">
        <v>2460</v>
      </c>
      <c r="B354" t="s">
        <v>310</v>
      </c>
      <c r="C354" t="s">
        <v>1102</v>
      </c>
      <c r="D354" s="176">
        <v>209931372.178794</v>
      </c>
      <c r="E354">
        <v>0</v>
      </c>
      <c r="G354">
        <v>2460</v>
      </c>
      <c r="H354" t="s">
        <v>310</v>
      </c>
      <c r="I354" t="s">
        <v>1102</v>
      </c>
      <c r="J354" s="176">
        <v>65945246.112202004</v>
      </c>
      <c r="K354">
        <v>0</v>
      </c>
      <c r="L354" s="342" t="str">
        <f t="shared" si="50"/>
        <v/>
      </c>
      <c r="M354">
        <v>2460</v>
      </c>
      <c r="N354" t="s">
        <v>310</v>
      </c>
      <c r="O354" t="s">
        <v>1102</v>
      </c>
      <c r="P354" s="243">
        <f t="shared" si="51"/>
        <v>262687569.06855559</v>
      </c>
      <c r="S354">
        <v>2460</v>
      </c>
      <c r="T354" t="s">
        <v>310</v>
      </c>
      <c r="U354" t="s">
        <v>1102</v>
      </c>
      <c r="V354" s="176">
        <v>90083363.457774997</v>
      </c>
      <c r="W354" s="176">
        <v>259707287.825517</v>
      </c>
      <c r="X354" s="176">
        <v>0</v>
      </c>
      <c r="Y354" s="176">
        <v>4490858.8888879996</v>
      </c>
      <c r="Z354" s="176"/>
      <c r="AA354">
        <v>2460</v>
      </c>
      <c r="AB354" s="176" t="s">
        <v>310</v>
      </c>
      <c r="AC354" s="176" t="s">
        <v>1102</v>
      </c>
      <c r="AD354" s="176">
        <v>90083363.457774997</v>
      </c>
      <c r="AE354" s="176">
        <v>259707287.825517</v>
      </c>
      <c r="AF354" s="176">
        <v>0</v>
      </c>
      <c r="AG354" s="176">
        <v>4490858.8888879996</v>
      </c>
      <c r="AH354" s="342" t="str">
        <f t="shared" si="45"/>
        <v/>
      </c>
      <c r="AI354">
        <v>2460</v>
      </c>
      <c r="AJ354" t="s">
        <v>310</v>
      </c>
      <c r="AK354" t="s">
        <v>1102</v>
      </c>
      <c r="AL354" s="245">
        <f t="shared" si="46"/>
        <v>162150054.223995</v>
      </c>
      <c r="AM354" s="245">
        <f t="shared" si="47"/>
        <v>467473118.08593059</v>
      </c>
      <c r="AN354" s="245">
        <f t="shared" si="48"/>
        <v>0</v>
      </c>
      <c r="AO354" s="245">
        <f t="shared" si="49"/>
        <v>8083545.9999984</v>
      </c>
      <c r="AP354" s="176"/>
      <c r="AQ354" s="176"/>
      <c r="AR354">
        <v>2460</v>
      </c>
      <c r="AS354" t="s">
        <v>310</v>
      </c>
      <c r="AT354" t="s">
        <v>1102</v>
      </c>
      <c r="AU354" s="176">
        <v>23222145.115538999</v>
      </c>
      <c r="AW354">
        <v>2460</v>
      </c>
      <c r="AX354" t="s">
        <v>310</v>
      </c>
      <c r="AY354" t="s">
        <v>1102</v>
      </c>
      <c r="AZ354" s="176">
        <v>18503758.675549999</v>
      </c>
      <c r="BA354" s="342" t="str">
        <f t="shared" si="52"/>
        <v/>
      </c>
      <c r="BB354">
        <v>2460</v>
      </c>
      <c r="BC354" t="s">
        <v>310</v>
      </c>
      <c r="BD354" t="s">
        <v>1102</v>
      </c>
      <c r="BE354" s="243">
        <f t="shared" si="53"/>
        <v>38025152.055978999</v>
      </c>
    </row>
    <row r="355" spans="1:57">
      <c r="A355">
        <v>2460</v>
      </c>
      <c r="B355" t="s">
        <v>310</v>
      </c>
      <c r="C355" t="s">
        <v>1748</v>
      </c>
      <c r="D355" s="176">
        <v>140282372.30105099</v>
      </c>
      <c r="E355">
        <v>0</v>
      </c>
      <c r="G355">
        <v>2460</v>
      </c>
      <c r="H355" t="s">
        <v>310</v>
      </c>
      <c r="I355" t="s">
        <v>1748</v>
      </c>
      <c r="J355" s="176">
        <v>69900726.724424005</v>
      </c>
      <c r="K355">
        <v>0</v>
      </c>
      <c r="L355" s="342" t="str">
        <f t="shared" si="50"/>
        <v/>
      </c>
      <c r="M355">
        <v>2460</v>
      </c>
      <c r="N355" t="s">
        <v>310</v>
      </c>
      <c r="O355" t="s">
        <v>1748</v>
      </c>
      <c r="P355" s="243">
        <f t="shared" si="51"/>
        <v>196202953.68059021</v>
      </c>
      <c r="S355">
        <v>2460</v>
      </c>
      <c r="T355" t="s">
        <v>310</v>
      </c>
      <c r="U355" t="s">
        <v>1748</v>
      </c>
      <c r="V355" s="176">
        <v>40806944.152221002</v>
      </c>
      <c r="W355" s="176">
        <v>118918304.339975</v>
      </c>
      <c r="X355" s="176">
        <v>0</v>
      </c>
      <c r="Y355" s="176">
        <v>12943616.701111</v>
      </c>
      <c r="Z355" s="176"/>
      <c r="AA355">
        <v>2460</v>
      </c>
      <c r="AB355" s="176" t="s">
        <v>310</v>
      </c>
      <c r="AC355" s="176" t="s">
        <v>1748</v>
      </c>
      <c r="AD355" s="176">
        <v>40806944.152221002</v>
      </c>
      <c r="AE355" s="176">
        <v>118918304.339975</v>
      </c>
      <c r="AF355" s="176">
        <v>0</v>
      </c>
      <c r="AG355" s="176">
        <v>12943616.701111</v>
      </c>
      <c r="AH355" s="342" t="str">
        <f t="shared" si="45"/>
        <v/>
      </c>
      <c r="AI355">
        <v>2460</v>
      </c>
      <c r="AJ355" t="s">
        <v>310</v>
      </c>
      <c r="AK355" t="s">
        <v>1748</v>
      </c>
      <c r="AL355" s="245">
        <f t="shared" si="46"/>
        <v>73452499.473997802</v>
      </c>
      <c r="AM355" s="245">
        <f t="shared" si="47"/>
        <v>214052947.811955</v>
      </c>
      <c r="AN355" s="245">
        <f t="shared" si="48"/>
        <v>0</v>
      </c>
      <c r="AO355" s="245">
        <f t="shared" si="49"/>
        <v>23298510.061999802</v>
      </c>
      <c r="AP355" s="176"/>
      <c r="AQ355" s="176"/>
      <c r="AR355">
        <v>2460</v>
      </c>
      <c r="AS355" t="s">
        <v>310</v>
      </c>
      <c r="AT355" t="s">
        <v>1748</v>
      </c>
      <c r="AU355" s="176">
        <v>19727735.069993</v>
      </c>
      <c r="AW355">
        <v>2460</v>
      </c>
      <c r="AX355" t="s">
        <v>310</v>
      </c>
      <c r="AY355" t="s">
        <v>1748</v>
      </c>
      <c r="AZ355" s="176">
        <v>8152710.3122190004</v>
      </c>
      <c r="BA355" s="342" t="str">
        <f t="shared" si="52"/>
        <v/>
      </c>
      <c r="BB355">
        <v>2460</v>
      </c>
      <c r="BC355" t="s">
        <v>310</v>
      </c>
      <c r="BD355" t="s">
        <v>1748</v>
      </c>
      <c r="BE355" s="243">
        <f t="shared" si="53"/>
        <v>26249903.319768202</v>
      </c>
    </row>
    <row r="356" spans="1:57">
      <c r="A356">
        <v>2470</v>
      </c>
      <c r="B356" t="s">
        <v>311</v>
      </c>
      <c r="C356" t="s">
        <v>1105</v>
      </c>
      <c r="D356" s="176">
        <v>97762109.468820006</v>
      </c>
      <c r="E356">
        <v>0</v>
      </c>
      <c r="G356">
        <v>2470</v>
      </c>
      <c r="H356" t="s">
        <v>311</v>
      </c>
      <c r="I356" t="s">
        <v>1105</v>
      </c>
      <c r="J356" s="176">
        <v>48132688.942208998</v>
      </c>
      <c r="K356">
        <v>0</v>
      </c>
      <c r="L356" s="342" t="str">
        <f t="shared" si="50"/>
        <v/>
      </c>
      <c r="M356">
        <v>2470</v>
      </c>
      <c r="N356" t="s">
        <v>311</v>
      </c>
      <c r="O356" t="s">
        <v>1105</v>
      </c>
      <c r="P356" s="243">
        <f t="shared" si="51"/>
        <v>136268260.6225872</v>
      </c>
      <c r="S356">
        <v>2470</v>
      </c>
      <c r="T356" t="s">
        <v>311</v>
      </c>
      <c r="U356" t="s">
        <v>1105</v>
      </c>
      <c r="V356" s="176">
        <v>73199572.604442</v>
      </c>
      <c r="W356" s="176">
        <v>152408325.338866</v>
      </c>
      <c r="X356" s="176">
        <v>0</v>
      </c>
      <c r="Y356" s="176">
        <v>25540674.146664999</v>
      </c>
      <c r="Z356" s="176"/>
      <c r="AA356">
        <v>2470</v>
      </c>
      <c r="AB356" s="176" t="s">
        <v>311</v>
      </c>
      <c r="AC356" s="176" t="s">
        <v>1105</v>
      </c>
      <c r="AD356" s="176">
        <v>73199572.604442</v>
      </c>
      <c r="AE356" s="176">
        <v>152408325.338866</v>
      </c>
      <c r="AF356" s="176">
        <v>0</v>
      </c>
      <c r="AG356" s="176">
        <v>25540674.146664999</v>
      </c>
      <c r="AH356" s="342" t="str">
        <f t="shared" si="45"/>
        <v/>
      </c>
      <c r="AI356">
        <v>2470</v>
      </c>
      <c r="AJ356" t="s">
        <v>311</v>
      </c>
      <c r="AK356" t="s">
        <v>1105</v>
      </c>
      <c r="AL356" s="245">
        <f t="shared" si="46"/>
        <v>131759230.68799561</v>
      </c>
      <c r="AM356" s="245">
        <f t="shared" si="47"/>
        <v>274334985.60995877</v>
      </c>
      <c r="AN356" s="245">
        <f t="shared" si="48"/>
        <v>0</v>
      </c>
      <c r="AO356" s="245">
        <f t="shared" si="49"/>
        <v>45973213.463996999</v>
      </c>
      <c r="AP356" s="176"/>
      <c r="AQ356" s="176"/>
      <c r="AR356">
        <v>2470</v>
      </c>
      <c r="AS356" t="s">
        <v>311</v>
      </c>
      <c r="AT356" t="s">
        <v>1105</v>
      </c>
      <c r="AU356" s="176">
        <v>6003225.9688830003</v>
      </c>
      <c r="AW356">
        <v>2470</v>
      </c>
      <c r="AX356" t="s">
        <v>311</v>
      </c>
      <c r="AY356" t="s">
        <v>1105</v>
      </c>
      <c r="AZ356" s="176">
        <v>185696.297777</v>
      </c>
      <c r="BA356" s="342" t="str">
        <f t="shared" si="52"/>
        <v/>
      </c>
      <c r="BB356">
        <v>2470</v>
      </c>
      <c r="BC356" t="s">
        <v>311</v>
      </c>
      <c r="BD356" t="s">
        <v>1105</v>
      </c>
      <c r="BE356" s="243">
        <f t="shared" si="53"/>
        <v>6151783.0071045998</v>
      </c>
    </row>
    <row r="357" spans="1:57">
      <c r="A357">
        <v>2470</v>
      </c>
      <c r="B357" t="s">
        <v>311</v>
      </c>
      <c r="C357" t="s">
        <v>1106</v>
      </c>
      <c r="D357" s="176">
        <v>100593300.778837</v>
      </c>
      <c r="E357">
        <v>0</v>
      </c>
      <c r="G357">
        <v>2470</v>
      </c>
      <c r="H357" t="s">
        <v>311</v>
      </c>
      <c r="I357" t="s">
        <v>1106</v>
      </c>
      <c r="J357" s="176">
        <v>16664710.238882</v>
      </c>
      <c r="K357">
        <v>0</v>
      </c>
      <c r="L357" s="342" t="str">
        <f t="shared" si="50"/>
        <v/>
      </c>
      <c r="M357">
        <v>2470</v>
      </c>
      <c r="N357" t="s">
        <v>311</v>
      </c>
      <c r="O357" t="s">
        <v>1106</v>
      </c>
      <c r="P357" s="243">
        <f t="shared" si="51"/>
        <v>113925068.9699426</v>
      </c>
      <c r="S357">
        <v>2470</v>
      </c>
      <c r="T357" t="s">
        <v>311</v>
      </c>
      <c r="U357" t="s">
        <v>1106</v>
      </c>
      <c r="V357" s="176">
        <v>109966184.59666499</v>
      </c>
      <c r="W357" s="176">
        <v>271912865.93774498</v>
      </c>
      <c r="X357" s="176">
        <v>0</v>
      </c>
      <c r="Y357" s="176">
        <v>27063633.288887002</v>
      </c>
      <c r="Z357" s="176"/>
      <c r="AA357">
        <v>2470</v>
      </c>
      <c r="AB357" s="176" t="s">
        <v>311</v>
      </c>
      <c r="AC357" s="176" t="s">
        <v>1106</v>
      </c>
      <c r="AD357" s="176">
        <v>109966184.59666499</v>
      </c>
      <c r="AE357" s="176">
        <v>271912865.93774498</v>
      </c>
      <c r="AF357" s="176">
        <v>0</v>
      </c>
      <c r="AG357" s="176">
        <v>27063633.288887002</v>
      </c>
      <c r="AH357" s="342" t="str">
        <f t="shared" si="45"/>
        <v/>
      </c>
      <c r="AI357">
        <v>2470</v>
      </c>
      <c r="AJ357" t="s">
        <v>311</v>
      </c>
      <c r="AK357" t="s">
        <v>1106</v>
      </c>
      <c r="AL357" s="245">
        <f t="shared" si="46"/>
        <v>197939132.27399701</v>
      </c>
      <c r="AM357" s="245">
        <f t="shared" si="47"/>
        <v>489443158.68794096</v>
      </c>
      <c r="AN357" s="245">
        <f t="shared" si="48"/>
        <v>0</v>
      </c>
      <c r="AO357" s="245">
        <f t="shared" si="49"/>
        <v>48714539.919996604</v>
      </c>
      <c r="AP357" s="176"/>
      <c r="AQ357" s="176"/>
      <c r="AR357">
        <v>2470</v>
      </c>
      <c r="AS357" t="s">
        <v>311</v>
      </c>
      <c r="AT357" t="s">
        <v>1106</v>
      </c>
      <c r="AU357" s="176">
        <v>2332689.7833309998</v>
      </c>
      <c r="AW357">
        <v>2470</v>
      </c>
      <c r="AX357" t="s">
        <v>311</v>
      </c>
      <c r="AY357" t="s">
        <v>1106</v>
      </c>
      <c r="AZ357" s="176">
        <v>2542260.6322209998</v>
      </c>
      <c r="BA357" s="342" t="str">
        <f t="shared" si="52"/>
        <v/>
      </c>
      <c r="BB357">
        <v>2470</v>
      </c>
      <c r="BC357" t="s">
        <v>311</v>
      </c>
      <c r="BD357" t="s">
        <v>1106</v>
      </c>
      <c r="BE357" s="243">
        <f t="shared" si="53"/>
        <v>4366498.2891077995</v>
      </c>
    </row>
    <row r="358" spans="1:57">
      <c r="A358">
        <v>2470</v>
      </c>
      <c r="B358" t="s">
        <v>311</v>
      </c>
      <c r="C358" t="s">
        <v>1110</v>
      </c>
      <c r="D358" s="176">
        <v>277200927.41213799</v>
      </c>
      <c r="E358">
        <v>0</v>
      </c>
      <c r="G358">
        <v>2470</v>
      </c>
      <c r="H358" t="s">
        <v>311</v>
      </c>
      <c r="I358" t="s">
        <v>1110</v>
      </c>
      <c r="J358" s="176">
        <v>161499439.30220601</v>
      </c>
      <c r="K358">
        <v>0</v>
      </c>
      <c r="L358" s="342" t="str">
        <f t="shared" si="50"/>
        <v/>
      </c>
      <c r="M358">
        <v>2470</v>
      </c>
      <c r="N358" t="s">
        <v>311</v>
      </c>
      <c r="O358" t="s">
        <v>1110</v>
      </c>
      <c r="P358" s="243">
        <f t="shared" si="51"/>
        <v>406400478.85390282</v>
      </c>
      <c r="S358">
        <v>2470</v>
      </c>
      <c r="T358" t="s">
        <v>311</v>
      </c>
      <c r="U358" t="s">
        <v>1110</v>
      </c>
      <c r="V358" s="176">
        <v>62351828.168886997</v>
      </c>
      <c r="W358" s="176">
        <v>207375598.911084</v>
      </c>
      <c r="X358" s="176">
        <v>2500000</v>
      </c>
      <c r="Y358" s="176">
        <v>73797378.177774996</v>
      </c>
      <c r="Z358" s="176"/>
      <c r="AA358">
        <v>2470</v>
      </c>
      <c r="AB358" s="176" t="s">
        <v>311</v>
      </c>
      <c r="AC358" s="176" t="s">
        <v>1110</v>
      </c>
      <c r="AD358" s="176">
        <v>62351828.168886997</v>
      </c>
      <c r="AE358" s="176">
        <v>207375598.911084</v>
      </c>
      <c r="AF358" s="176">
        <v>2500000</v>
      </c>
      <c r="AG358" s="176">
        <v>73797378.177774996</v>
      </c>
      <c r="AH358" s="342" t="str">
        <f t="shared" si="45"/>
        <v/>
      </c>
      <c r="AI358">
        <v>2470</v>
      </c>
      <c r="AJ358" t="s">
        <v>311</v>
      </c>
      <c r="AK358" t="s">
        <v>1110</v>
      </c>
      <c r="AL358" s="245">
        <f t="shared" si="46"/>
        <v>112233290.7039966</v>
      </c>
      <c r="AM358" s="245">
        <f t="shared" si="47"/>
        <v>373276078.03995121</v>
      </c>
      <c r="AN358" s="245">
        <f t="shared" si="48"/>
        <v>4500000</v>
      </c>
      <c r="AO358" s="245">
        <f t="shared" si="49"/>
        <v>132835280.71999499</v>
      </c>
      <c r="AP358" s="176"/>
      <c r="AQ358" s="176"/>
      <c r="AR358">
        <v>2470</v>
      </c>
      <c r="AS358" t="s">
        <v>311</v>
      </c>
      <c r="AT358" t="s">
        <v>1110</v>
      </c>
      <c r="AU358" s="176">
        <v>26914594.085547</v>
      </c>
      <c r="AW358">
        <v>2470</v>
      </c>
      <c r="AX358" t="s">
        <v>311</v>
      </c>
      <c r="AY358" t="s">
        <v>1110</v>
      </c>
      <c r="AZ358" s="176">
        <v>13613048.785552001</v>
      </c>
      <c r="BA358" s="342" t="str">
        <f t="shared" si="52"/>
        <v/>
      </c>
      <c r="BB358">
        <v>2470</v>
      </c>
      <c r="BC358" t="s">
        <v>311</v>
      </c>
      <c r="BD358" t="s">
        <v>1110</v>
      </c>
      <c r="BE358" s="243">
        <f t="shared" si="53"/>
        <v>37805033.113988601</v>
      </c>
    </row>
    <row r="359" spans="1:57">
      <c r="A359">
        <v>2470</v>
      </c>
      <c r="B359" t="s">
        <v>311</v>
      </c>
      <c r="C359" t="s">
        <v>1104</v>
      </c>
      <c r="D359" s="176">
        <v>197444655.989916</v>
      </c>
      <c r="E359">
        <v>0</v>
      </c>
      <c r="G359">
        <v>2470</v>
      </c>
      <c r="H359" t="s">
        <v>311</v>
      </c>
      <c r="I359" t="s">
        <v>1104</v>
      </c>
      <c r="J359" s="176">
        <v>120409204.207753</v>
      </c>
      <c r="K359">
        <v>0</v>
      </c>
      <c r="L359" s="342" t="str">
        <f t="shared" si="50"/>
        <v/>
      </c>
      <c r="M359">
        <v>2470</v>
      </c>
      <c r="N359" t="s">
        <v>311</v>
      </c>
      <c r="O359" t="s">
        <v>1104</v>
      </c>
      <c r="P359" s="243">
        <f t="shared" si="51"/>
        <v>293772019.35611844</v>
      </c>
      <c r="S359">
        <v>2470</v>
      </c>
      <c r="T359" t="s">
        <v>311</v>
      </c>
      <c r="U359" t="s">
        <v>1104</v>
      </c>
      <c r="V359" s="176">
        <v>112342946.968885</v>
      </c>
      <c r="W359" s="176">
        <v>401914343.42995298</v>
      </c>
      <c r="X359">
        <v>3000000</v>
      </c>
      <c r="Y359" s="176">
        <v>110703666.855551</v>
      </c>
      <c r="Z359" s="176"/>
      <c r="AA359">
        <v>2470</v>
      </c>
      <c r="AB359" s="176" t="s">
        <v>311</v>
      </c>
      <c r="AC359" s="176" t="s">
        <v>1104</v>
      </c>
      <c r="AD359" s="176">
        <v>112342946.968885</v>
      </c>
      <c r="AE359" s="176">
        <v>401914343.42995298</v>
      </c>
      <c r="AF359">
        <v>3000000</v>
      </c>
      <c r="AG359" s="176">
        <v>110703666.855551</v>
      </c>
      <c r="AH359" s="342" t="str">
        <f t="shared" si="45"/>
        <v/>
      </c>
      <c r="AI359">
        <v>2470</v>
      </c>
      <c r="AJ359" t="s">
        <v>311</v>
      </c>
      <c r="AK359" t="s">
        <v>1104</v>
      </c>
      <c r="AL359" s="245">
        <f t="shared" si="46"/>
        <v>202217304.543993</v>
      </c>
      <c r="AM359" s="245">
        <f t="shared" si="47"/>
        <v>723445818.17391539</v>
      </c>
      <c r="AN359" s="245">
        <f t="shared" si="48"/>
        <v>5400000</v>
      </c>
      <c r="AO359" s="245">
        <f t="shared" si="49"/>
        <v>199266600.33999181</v>
      </c>
      <c r="AP359" s="176"/>
      <c r="AQ359" s="176"/>
      <c r="AR359">
        <v>2470</v>
      </c>
      <c r="AS359" t="s">
        <v>311</v>
      </c>
      <c r="AT359" t="s">
        <v>1104</v>
      </c>
      <c r="AU359" s="176">
        <v>24750526.775543999</v>
      </c>
      <c r="AW359">
        <v>2470</v>
      </c>
      <c r="AX359" t="s">
        <v>311</v>
      </c>
      <c r="AY359" t="s">
        <v>1104</v>
      </c>
      <c r="AZ359" s="176">
        <v>19180390.945553001</v>
      </c>
      <c r="BA359" s="342" t="str">
        <f t="shared" si="52"/>
        <v/>
      </c>
      <c r="BB359">
        <v>2470</v>
      </c>
      <c r="BC359" t="s">
        <v>311</v>
      </c>
      <c r="BD359" t="s">
        <v>1104</v>
      </c>
      <c r="BE359" s="243">
        <f t="shared" si="53"/>
        <v>40094839.5319864</v>
      </c>
    </row>
    <row r="360" spans="1:57">
      <c r="A360">
        <v>2480</v>
      </c>
      <c r="B360" t="s">
        <v>312</v>
      </c>
      <c r="C360" t="s">
        <v>1749</v>
      </c>
      <c r="D360" s="176">
        <v>109211582.468839</v>
      </c>
      <c r="E360">
        <v>0</v>
      </c>
      <c r="G360">
        <v>2480</v>
      </c>
      <c r="H360" t="s">
        <v>312</v>
      </c>
      <c r="I360" t="s">
        <v>1749</v>
      </c>
      <c r="J360" s="176">
        <v>63272021.375541002</v>
      </c>
      <c r="K360">
        <v>0</v>
      </c>
      <c r="L360" s="342" t="str">
        <f t="shared" si="50"/>
        <v/>
      </c>
      <c r="M360">
        <v>2480</v>
      </c>
      <c r="N360" t="s">
        <v>312</v>
      </c>
      <c r="O360" t="s">
        <v>1749</v>
      </c>
      <c r="P360" s="243">
        <f t="shared" si="51"/>
        <v>159829199.5692718</v>
      </c>
      <c r="S360">
        <v>2480</v>
      </c>
      <c r="T360" t="s">
        <v>312</v>
      </c>
      <c r="U360" t="s">
        <v>1749</v>
      </c>
      <c r="V360" s="176">
        <v>45920820.137776002</v>
      </c>
      <c r="W360" s="176">
        <v>170925023.49997801</v>
      </c>
      <c r="X360" s="176">
        <v>0</v>
      </c>
      <c r="Y360" s="176">
        <v>23591648.888888001</v>
      </c>
      <c r="Z360" s="176"/>
      <c r="AA360">
        <v>2480</v>
      </c>
      <c r="AB360" s="176" t="s">
        <v>312</v>
      </c>
      <c r="AC360" s="176" t="s">
        <v>1749</v>
      </c>
      <c r="AD360" s="176">
        <v>45920820.137776002</v>
      </c>
      <c r="AE360" s="176">
        <v>170925023.49997801</v>
      </c>
      <c r="AF360" s="176">
        <v>0</v>
      </c>
      <c r="AG360" s="176">
        <v>23591648.888888001</v>
      </c>
      <c r="AH360" s="342" t="str">
        <f t="shared" si="45"/>
        <v/>
      </c>
      <c r="AI360">
        <v>2480</v>
      </c>
      <c r="AJ360" t="s">
        <v>312</v>
      </c>
      <c r="AK360" t="s">
        <v>1749</v>
      </c>
      <c r="AL360" s="245">
        <f t="shared" si="46"/>
        <v>82657476.247996807</v>
      </c>
      <c r="AM360" s="245">
        <f t="shared" si="47"/>
        <v>307665042.29996037</v>
      </c>
      <c r="AN360" s="245">
        <f t="shared" si="48"/>
        <v>0</v>
      </c>
      <c r="AO360" s="245">
        <f t="shared" si="49"/>
        <v>42464967.999998406</v>
      </c>
      <c r="AP360" s="176"/>
      <c r="AQ360" s="176"/>
      <c r="AR360">
        <v>2480</v>
      </c>
      <c r="AS360" t="s">
        <v>312</v>
      </c>
      <c r="AT360" t="s">
        <v>1749</v>
      </c>
      <c r="AU360" s="176">
        <v>98515099.203318998</v>
      </c>
      <c r="AW360">
        <v>2480</v>
      </c>
      <c r="AX360" t="s">
        <v>312</v>
      </c>
      <c r="AY360" t="s">
        <v>1749</v>
      </c>
      <c r="AZ360" s="176">
        <v>91553503.905551001</v>
      </c>
      <c r="BA360" s="342" t="str">
        <f t="shared" si="52"/>
        <v/>
      </c>
      <c r="BB360">
        <v>2480</v>
      </c>
      <c r="BC360" t="s">
        <v>312</v>
      </c>
      <c r="BD360" t="s">
        <v>1749</v>
      </c>
      <c r="BE360" s="243">
        <f t="shared" si="53"/>
        <v>171757902.3277598</v>
      </c>
    </row>
    <row r="361" spans="1:57">
      <c r="A361">
        <v>2480</v>
      </c>
      <c r="B361" t="s">
        <v>312</v>
      </c>
      <c r="C361" t="s">
        <v>1108</v>
      </c>
      <c r="D361" s="176">
        <v>151348053.28995499</v>
      </c>
      <c r="E361">
        <v>0</v>
      </c>
      <c r="G361">
        <v>2480</v>
      </c>
      <c r="H361" t="s">
        <v>312</v>
      </c>
      <c r="I361" t="s">
        <v>1108</v>
      </c>
      <c r="J361" s="176">
        <v>196980219.82775301</v>
      </c>
      <c r="K361">
        <v>0</v>
      </c>
      <c r="L361" s="342" t="str">
        <f t="shared" si="50"/>
        <v/>
      </c>
      <c r="M361">
        <v>2480</v>
      </c>
      <c r="N361" t="s">
        <v>312</v>
      </c>
      <c r="O361" t="s">
        <v>1108</v>
      </c>
      <c r="P361" s="243">
        <f t="shared" si="51"/>
        <v>308932229.15215743</v>
      </c>
      <c r="S361">
        <v>2480</v>
      </c>
      <c r="T361" t="s">
        <v>312</v>
      </c>
      <c r="U361" t="s">
        <v>1108</v>
      </c>
      <c r="V361" s="176">
        <v>82274654.333332002</v>
      </c>
      <c r="W361" s="176">
        <v>266694590.92886901</v>
      </c>
      <c r="X361" s="176">
        <v>0</v>
      </c>
      <c r="Y361" s="176">
        <v>94119585.980000004</v>
      </c>
      <c r="Z361" s="176"/>
      <c r="AA361">
        <v>2480</v>
      </c>
      <c r="AB361" s="176" t="s">
        <v>312</v>
      </c>
      <c r="AC361" s="176" t="s">
        <v>1108</v>
      </c>
      <c r="AD361" s="176">
        <v>82274654.333332002</v>
      </c>
      <c r="AE361" s="176">
        <v>266694590.92886901</v>
      </c>
      <c r="AF361" s="176">
        <v>0</v>
      </c>
      <c r="AG361" s="176">
        <v>94119585.980000004</v>
      </c>
      <c r="AH361" s="342" t="str">
        <f t="shared" si="45"/>
        <v/>
      </c>
      <c r="AI361">
        <v>2480</v>
      </c>
      <c r="AJ361" t="s">
        <v>312</v>
      </c>
      <c r="AK361" t="s">
        <v>1108</v>
      </c>
      <c r="AL361" s="245">
        <f t="shared" si="46"/>
        <v>148094377.7999976</v>
      </c>
      <c r="AM361" s="245">
        <f t="shared" si="47"/>
        <v>480050263.67196423</v>
      </c>
      <c r="AN361" s="245">
        <f t="shared" si="48"/>
        <v>0</v>
      </c>
      <c r="AO361" s="245">
        <f t="shared" si="49"/>
        <v>169415254.764</v>
      </c>
      <c r="AP361" s="176"/>
      <c r="AQ361" s="176"/>
      <c r="AR361">
        <v>2480</v>
      </c>
      <c r="AS361" t="s">
        <v>312</v>
      </c>
      <c r="AT361" t="s">
        <v>1108</v>
      </c>
      <c r="AU361" s="176">
        <v>40360154.63888</v>
      </c>
      <c r="AW361">
        <v>2480</v>
      </c>
      <c r="AX361" t="s">
        <v>312</v>
      </c>
      <c r="AY361" t="s">
        <v>1108</v>
      </c>
      <c r="AZ361" s="176">
        <v>23996339.717774998</v>
      </c>
      <c r="BA361" s="342" t="str">
        <f t="shared" si="52"/>
        <v/>
      </c>
      <c r="BB361">
        <v>2480</v>
      </c>
      <c r="BC361" t="s">
        <v>312</v>
      </c>
      <c r="BD361" t="s">
        <v>1108</v>
      </c>
      <c r="BE361" s="243">
        <f t="shared" si="53"/>
        <v>59557226.413100004</v>
      </c>
    </row>
    <row r="362" spans="1:57">
      <c r="A362">
        <v>2480</v>
      </c>
      <c r="B362" t="s">
        <v>312</v>
      </c>
      <c r="C362" t="s">
        <v>1571</v>
      </c>
      <c r="D362" s="176">
        <v>187489434.02764499</v>
      </c>
      <c r="E362">
        <v>0</v>
      </c>
      <c r="G362">
        <v>2480</v>
      </c>
      <c r="H362" t="s">
        <v>312</v>
      </c>
      <c r="I362" t="s">
        <v>1571</v>
      </c>
      <c r="J362" s="176">
        <v>56562990.852200001</v>
      </c>
      <c r="K362">
        <v>0</v>
      </c>
      <c r="L362" s="342" t="str">
        <f t="shared" si="50"/>
        <v/>
      </c>
      <c r="M362">
        <v>2480</v>
      </c>
      <c r="N362" t="s">
        <v>312</v>
      </c>
      <c r="O362" t="s">
        <v>1571</v>
      </c>
      <c r="P362" s="243">
        <f t="shared" si="51"/>
        <v>232739826.709405</v>
      </c>
      <c r="S362">
        <v>2480</v>
      </c>
      <c r="T362" t="s">
        <v>312</v>
      </c>
      <c r="U362" t="s">
        <v>1571</v>
      </c>
      <c r="V362" s="176">
        <v>50347492.919996999</v>
      </c>
      <c r="W362" s="176">
        <v>207634696.11995301</v>
      </c>
      <c r="X362" s="176">
        <v>560000</v>
      </c>
      <c r="Y362" s="176">
        <v>32638931.055553999</v>
      </c>
      <c r="Z362" s="176"/>
      <c r="AA362">
        <v>2480</v>
      </c>
      <c r="AB362" s="176" t="s">
        <v>312</v>
      </c>
      <c r="AC362" s="176" t="s">
        <v>1571</v>
      </c>
      <c r="AD362" s="176">
        <v>50347492.919996999</v>
      </c>
      <c r="AE362" s="176">
        <v>207634696.11995301</v>
      </c>
      <c r="AF362" s="176">
        <v>560000</v>
      </c>
      <c r="AG362" s="176">
        <v>32638931.055553999</v>
      </c>
      <c r="AH362" s="342" t="str">
        <f t="shared" si="45"/>
        <v/>
      </c>
      <c r="AI362">
        <v>2480</v>
      </c>
      <c r="AJ362" t="s">
        <v>312</v>
      </c>
      <c r="AK362" t="s">
        <v>1571</v>
      </c>
      <c r="AL362" s="245">
        <f t="shared" si="46"/>
        <v>90625487.255994603</v>
      </c>
      <c r="AM362" s="245">
        <f t="shared" si="47"/>
        <v>373742453.01591539</v>
      </c>
      <c r="AN362" s="245">
        <f t="shared" si="48"/>
        <v>1008000</v>
      </c>
      <c r="AO362" s="245">
        <f t="shared" si="49"/>
        <v>58750075.899997205</v>
      </c>
      <c r="AP362" s="176"/>
      <c r="AQ362" s="176"/>
      <c r="AR362">
        <v>2480</v>
      </c>
      <c r="AS362" t="s">
        <v>312</v>
      </c>
      <c r="AT362" t="s">
        <v>1571</v>
      </c>
      <c r="AU362" s="176">
        <v>30770414.202206001</v>
      </c>
      <c r="AW362">
        <v>2480</v>
      </c>
      <c r="AX362" t="s">
        <v>312</v>
      </c>
      <c r="AY362" t="s">
        <v>1571</v>
      </c>
      <c r="AZ362" s="176">
        <v>5724914.6111089997</v>
      </c>
      <c r="BA362" s="342" t="str">
        <f t="shared" si="52"/>
        <v/>
      </c>
      <c r="BB362">
        <v>2480</v>
      </c>
      <c r="BC362" t="s">
        <v>312</v>
      </c>
      <c r="BD362" t="s">
        <v>1571</v>
      </c>
      <c r="BE362" s="243">
        <f t="shared" si="53"/>
        <v>35350345.891093202</v>
      </c>
    </row>
    <row r="363" spans="1:57">
      <c r="A363">
        <v>2490</v>
      </c>
      <c r="B363" t="s">
        <v>313</v>
      </c>
      <c r="C363" t="s">
        <v>1096</v>
      </c>
      <c r="D363" s="176">
        <v>211078095.567718</v>
      </c>
      <c r="E363">
        <v>0</v>
      </c>
      <c r="G363">
        <v>2490</v>
      </c>
      <c r="H363" t="s">
        <v>313</v>
      </c>
      <c r="I363" t="s">
        <v>1096</v>
      </c>
      <c r="J363" s="176">
        <v>136861727.67441699</v>
      </c>
      <c r="K363">
        <v>0</v>
      </c>
      <c r="L363" s="342" t="str">
        <f t="shared" si="50"/>
        <v/>
      </c>
      <c r="M363">
        <v>2490</v>
      </c>
      <c r="N363" t="s">
        <v>313</v>
      </c>
      <c r="O363" t="s">
        <v>1096</v>
      </c>
      <c r="P363" s="243">
        <f t="shared" si="51"/>
        <v>320567477.70725161</v>
      </c>
      <c r="S363">
        <v>2490</v>
      </c>
      <c r="T363" t="s">
        <v>313</v>
      </c>
      <c r="U363" t="s">
        <v>1096</v>
      </c>
      <c r="V363" s="176">
        <v>36022228.435553998</v>
      </c>
      <c r="W363" s="176">
        <v>246617104.67108801</v>
      </c>
      <c r="X363" s="176">
        <v>1127155.555555</v>
      </c>
      <c r="Y363" s="176">
        <v>24200789.764440998</v>
      </c>
      <c r="Z363" s="176"/>
      <c r="AA363">
        <v>2490</v>
      </c>
      <c r="AB363" s="176" t="s">
        <v>313</v>
      </c>
      <c r="AC363" s="176" t="s">
        <v>1096</v>
      </c>
      <c r="AD363" s="176">
        <v>36022228.435553998</v>
      </c>
      <c r="AE363" s="176">
        <v>246617104.67108801</v>
      </c>
      <c r="AF363">
        <v>1127155.555555</v>
      </c>
      <c r="AG363" s="176">
        <v>24200789.764440998</v>
      </c>
      <c r="AH363" s="342" t="str">
        <f t="shared" si="45"/>
        <v/>
      </c>
      <c r="AI363">
        <v>2490</v>
      </c>
      <c r="AJ363" t="s">
        <v>313</v>
      </c>
      <c r="AK363" t="s">
        <v>1096</v>
      </c>
      <c r="AL363" s="245">
        <f t="shared" si="46"/>
        <v>64840011.183997199</v>
      </c>
      <c r="AM363" s="245">
        <f t="shared" si="47"/>
        <v>443910788.40795839</v>
      </c>
      <c r="AN363" s="245">
        <f t="shared" si="48"/>
        <v>2028879.999999</v>
      </c>
      <c r="AO363" s="245">
        <f t="shared" si="49"/>
        <v>43561421.575993799</v>
      </c>
      <c r="AP363" s="176"/>
      <c r="AQ363" s="176"/>
      <c r="AR363">
        <v>2490</v>
      </c>
      <c r="AS363" t="s">
        <v>313</v>
      </c>
      <c r="AT363" t="s">
        <v>1096</v>
      </c>
      <c r="AU363" s="176">
        <v>8290170.7033270001</v>
      </c>
      <c r="AW363">
        <v>2490</v>
      </c>
      <c r="AX363" t="s">
        <v>313</v>
      </c>
      <c r="AY363" t="s">
        <v>1096</v>
      </c>
      <c r="AZ363" s="176">
        <v>36242758.185549997</v>
      </c>
      <c r="BA363" s="342" t="str">
        <f t="shared" si="52"/>
        <v/>
      </c>
      <c r="BB363">
        <v>2490</v>
      </c>
      <c r="BC363" t="s">
        <v>313</v>
      </c>
      <c r="BD363" t="s">
        <v>1096</v>
      </c>
      <c r="BE363" s="243">
        <f t="shared" si="53"/>
        <v>37284377.251766995</v>
      </c>
    </row>
    <row r="364" spans="1:57">
      <c r="A364">
        <v>2490</v>
      </c>
      <c r="B364" t="s">
        <v>313</v>
      </c>
      <c r="C364" t="s">
        <v>1750</v>
      </c>
      <c r="D364" s="176">
        <v>192797474.18766499</v>
      </c>
      <c r="E364">
        <v>0</v>
      </c>
      <c r="G364">
        <v>2490</v>
      </c>
      <c r="H364" t="s">
        <v>313</v>
      </c>
      <c r="I364" t="s">
        <v>1750</v>
      </c>
      <c r="J364" s="176">
        <v>66884989.972199999</v>
      </c>
      <c r="K364">
        <v>0</v>
      </c>
      <c r="L364" s="342" t="str">
        <f t="shared" si="50"/>
        <v/>
      </c>
      <c r="M364">
        <v>2490</v>
      </c>
      <c r="N364" t="s">
        <v>313</v>
      </c>
      <c r="O364" t="s">
        <v>1750</v>
      </c>
      <c r="P364" s="243">
        <f t="shared" si="51"/>
        <v>246305466.165425</v>
      </c>
      <c r="S364">
        <v>2490</v>
      </c>
      <c r="T364" t="s">
        <v>313</v>
      </c>
      <c r="U364" t="s">
        <v>1750</v>
      </c>
      <c r="V364" s="176">
        <v>60690083.252219997</v>
      </c>
      <c r="W364" s="176">
        <v>199400829.643282</v>
      </c>
      <c r="X364" s="176">
        <v>1162000</v>
      </c>
      <c r="Y364" s="176">
        <v>10535449.957776999</v>
      </c>
      <c r="Z364" s="176"/>
      <c r="AA364">
        <v>2490</v>
      </c>
      <c r="AB364" s="176" t="s">
        <v>313</v>
      </c>
      <c r="AC364" s="176" t="s">
        <v>1750</v>
      </c>
      <c r="AD364" s="176">
        <v>60690083.252219997</v>
      </c>
      <c r="AE364" s="176">
        <v>199400829.643282</v>
      </c>
      <c r="AF364">
        <v>1162000</v>
      </c>
      <c r="AG364" s="176">
        <v>10535449.957776999</v>
      </c>
      <c r="AH364" s="342" t="str">
        <f t="shared" si="45"/>
        <v/>
      </c>
      <c r="AI364">
        <v>2490</v>
      </c>
      <c r="AJ364" t="s">
        <v>313</v>
      </c>
      <c r="AK364" t="s">
        <v>1750</v>
      </c>
      <c r="AL364" s="245">
        <f t="shared" si="46"/>
        <v>109242149.85399601</v>
      </c>
      <c r="AM364" s="245">
        <f t="shared" si="47"/>
        <v>358921493.35790759</v>
      </c>
      <c r="AN364" s="245">
        <f t="shared" si="48"/>
        <v>2091600</v>
      </c>
      <c r="AO364" s="245">
        <f t="shared" si="49"/>
        <v>18963809.923998598</v>
      </c>
      <c r="AP364" s="176"/>
      <c r="AQ364" s="176"/>
      <c r="AR364">
        <v>2490</v>
      </c>
      <c r="AS364" t="s">
        <v>313</v>
      </c>
      <c r="AT364" t="s">
        <v>1750</v>
      </c>
      <c r="AU364" s="176">
        <v>11867546.927769</v>
      </c>
      <c r="AW364">
        <v>2490</v>
      </c>
      <c r="AX364" t="s">
        <v>313</v>
      </c>
      <c r="AY364" t="s">
        <v>1750</v>
      </c>
      <c r="AZ364" s="176">
        <v>3143263.3966629999</v>
      </c>
      <c r="BA364" s="342" t="str">
        <f t="shared" si="52"/>
        <v/>
      </c>
      <c r="BB364">
        <v>2490</v>
      </c>
      <c r="BC364" t="s">
        <v>313</v>
      </c>
      <c r="BD364" t="s">
        <v>1750</v>
      </c>
      <c r="BE364" s="243">
        <f t="shared" si="53"/>
        <v>14382157.6450994</v>
      </c>
    </row>
    <row r="365" spans="1:57">
      <c r="A365">
        <v>2490</v>
      </c>
      <c r="B365" t="s">
        <v>313</v>
      </c>
      <c r="C365" t="s">
        <v>1965</v>
      </c>
      <c r="D365" s="176">
        <v>113884072.14107899</v>
      </c>
      <c r="E365">
        <v>0</v>
      </c>
      <c r="G365">
        <v>2490</v>
      </c>
      <c r="H365" t="s">
        <v>313</v>
      </c>
      <c r="I365" t="s">
        <v>1965</v>
      </c>
      <c r="J365" s="176">
        <v>63687477.253323004</v>
      </c>
      <c r="K365">
        <v>0</v>
      </c>
      <c r="L365" s="342" t="str">
        <f t="shared" si="50"/>
        <v/>
      </c>
      <c r="M365">
        <v>2490</v>
      </c>
      <c r="N365" t="s">
        <v>313</v>
      </c>
      <c r="O365" t="s">
        <v>1965</v>
      </c>
      <c r="P365" s="243">
        <f t="shared" si="51"/>
        <v>164834053.94373739</v>
      </c>
      <c r="S365">
        <v>2490</v>
      </c>
      <c r="T365" t="s">
        <v>313</v>
      </c>
      <c r="U365" t="s">
        <v>1965</v>
      </c>
      <c r="V365" s="176">
        <v>33292279.459998999</v>
      </c>
      <c r="W365" s="176">
        <v>116836759.077764</v>
      </c>
      <c r="X365" s="176">
        <v>0</v>
      </c>
      <c r="Y365" s="176">
        <v>8234016.6666649999</v>
      </c>
      <c r="Z365" s="176"/>
      <c r="AA365">
        <v>2490</v>
      </c>
      <c r="AB365" s="176" t="s">
        <v>313</v>
      </c>
      <c r="AC365" s="176" t="s">
        <v>1965</v>
      </c>
      <c r="AD365" s="176">
        <v>33292279.459998999</v>
      </c>
      <c r="AE365" s="176">
        <v>116836759.077764</v>
      </c>
      <c r="AF365" s="176">
        <v>0</v>
      </c>
      <c r="AG365" s="176">
        <v>8234016.6666649999</v>
      </c>
      <c r="AH365" s="342" t="str">
        <f t="shared" si="45"/>
        <v/>
      </c>
      <c r="AI365">
        <v>2490</v>
      </c>
      <c r="AJ365" t="s">
        <v>313</v>
      </c>
      <c r="AK365" t="s">
        <v>1965</v>
      </c>
      <c r="AL365" s="245">
        <f t="shared" si="46"/>
        <v>59926103.027998194</v>
      </c>
      <c r="AM365" s="245">
        <f t="shared" si="47"/>
        <v>210306166.33997521</v>
      </c>
      <c r="AN365" s="245">
        <f t="shared" si="48"/>
        <v>0</v>
      </c>
      <c r="AO365" s="245">
        <f t="shared" si="49"/>
        <v>14821229.999997001</v>
      </c>
      <c r="AP365" s="176"/>
      <c r="AQ365" s="176"/>
      <c r="AR365">
        <v>2490</v>
      </c>
      <c r="AS365" t="s">
        <v>313</v>
      </c>
      <c r="AT365" t="s">
        <v>1965</v>
      </c>
      <c r="AU365" s="176">
        <v>7952826.7377760001</v>
      </c>
      <c r="AW365">
        <v>2490</v>
      </c>
      <c r="AX365" t="s">
        <v>313</v>
      </c>
      <c r="AY365" t="s">
        <v>1965</v>
      </c>
      <c r="AZ365" s="176">
        <v>6087044.0744439997</v>
      </c>
      <c r="BA365" s="342" t="str">
        <f t="shared" si="52"/>
        <v/>
      </c>
      <c r="BB365">
        <v>2490</v>
      </c>
      <c r="BC365" t="s">
        <v>313</v>
      </c>
      <c r="BD365" t="s">
        <v>1965</v>
      </c>
      <c r="BE365" s="243">
        <f t="shared" si="53"/>
        <v>12822461.9973312</v>
      </c>
    </row>
    <row r="366" spans="1:57">
      <c r="A366">
        <v>2500</v>
      </c>
      <c r="B366" t="s">
        <v>314</v>
      </c>
      <c r="C366" t="s">
        <v>1966</v>
      </c>
      <c r="D366" s="176">
        <v>56055743.965527996</v>
      </c>
      <c r="E366">
        <v>0</v>
      </c>
      <c r="G366">
        <v>2500</v>
      </c>
      <c r="H366" t="s">
        <v>314</v>
      </c>
      <c r="I366" t="s">
        <v>1966</v>
      </c>
      <c r="J366" s="176">
        <v>56428857.269984998</v>
      </c>
      <c r="K366">
        <v>0</v>
      </c>
      <c r="L366" s="342" t="str">
        <f t="shared" si="50"/>
        <v/>
      </c>
      <c r="M366">
        <v>2500</v>
      </c>
      <c r="N366" t="s">
        <v>314</v>
      </c>
      <c r="O366" t="s">
        <v>1966</v>
      </c>
      <c r="P366" s="243">
        <f t="shared" si="51"/>
        <v>101198829.781516</v>
      </c>
      <c r="S366">
        <v>2500</v>
      </c>
      <c r="T366" t="s">
        <v>314</v>
      </c>
      <c r="U366" t="s">
        <v>1966</v>
      </c>
      <c r="V366" s="176">
        <v>50513601.003331997</v>
      </c>
      <c r="W366" s="176">
        <v>128644265.44442201</v>
      </c>
      <c r="X366" s="176">
        <v>869700</v>
      </c>
      <c r="Y366" s="176">
        <v>8746093.7777769994</v>
      </c>
      <c r="Z366" s="176"/>
      <c r="AA366">
        <v>2500</v>
      </c>
      <c r="AB366" s="176" t="s">
        <v>314</v>
      </c>
      <c r="AC366" s="176" t="s">
        <v>1966</v>
      </c>
      <c r="AD366" s="176">
        <v>50513601.003331997</v>
      </c>
      <c r="AE366" s="176">
        <v>128644265.44442201</v>
      </c>
      <c r="AF366" s="176">
        <v>869700</v>
      </c>
      <c r="AG366" s="176">
        <v>8746093.7777769994</v>
      </c>
      <c r="AH366" s="342" t="str">
        <f t="shared" si="45"/>
        <v/>
      </c>
      <c r="AI366">
        <v>2500</v>
      </c>
      <c r="AJ366" t="s">
        <v>314</v>
      </c>
      <c r="AK366" t="s">
        <v>1966</v>
      </c>
      <c r="AL366" s="245">
        <f t="shared" si="46"/>
        <v>90924481.805997595</v>
      </c>
      <c r="AM366" s="245">
        <f t="shared" si="47"/>
        <v>231559677.7999596</v>
      </c>
      <c r="AN366" s="245">
        <f t="shared" si="48"/>
        <v>1565460</v>
      </c>
      <c r="AO366" s="245">
        <f t="shared" si="49"/>
        <v>15742968.7999986</v>
      </c>
      <c r="AP366" s="176"/>
      <c r="AQ366" s="176"/>
      <c r="AR366">
        <v>2500</v>
      </c>
      <c r="AS366" t="s">
        <v>314</v>
      </c>
      <c r="AT366" t="s">
        <v>1966</v>
      </c>
      <c r="AU366" s="176">
        <v>33848322.407768004</v>
      </c>
      <c r="AW366">
        <v>2500</v>
      </c>
      <c r="AX366" t="s">
        <v>314</v>
      </c>
      <c r="AY366" t="s">
        <v>1966</v>
      </c>
      <c r="AZ366" s="176">
        <v>20293093.371107001</v>
      </c>
      <c r="BA366" s="342" t="str">
        <f t="shared" si="52"/>
        <v/>
      </c>
      <c r="BB366">
        <v>2500</v>
      </c>
      <c r="BC366" t="s">
        <v>314</v>
      </c>
      <c r="BD366" t="s">
        <v>1966</v>
      </c>
      <c r="BE366" s="243">
        <f t="shared" si="53"/>
        <v>50082797.104653604</v>
      </c>
    </row>
    <row r="367" spans="1:57">
      <c r="A367">
        <v>2500</v>
      </c>
      <c r="B367" t="s">
        <v>314</v>
      </c>
      <c r="C367" t="s">
        <v>1111</v>
      </c>
      <c r="D367" s="176">
        <v>188146662.034325</v>
      </c>
      <c r="E367">
        <v>0</v>
      </c>
      <c r="G367">
        <v>2500</v>
      </c>
      <c r="H367" t="s">
        <v>314</v>
      </c>
      <c r="I367" t="s">
        <v>1111</v>
      </c>
      <c r="J367" s="176">
        <v>61261972.833314002</v>
      </c>
      <c r="K367">
        <v>0</v>
      </c>
      <c r="L367" s="342" t="str">
        <f t="shared" si="50"/>
        <v/>
      </c>
      <c r="M367">
        <v>2500</v>
      </c>
      <c r="N367" t="s">
        <v>314</v>
      </c>
      <c r="O367" t="s">
        <v>1111</v>
      </c>
      <c r="P367" s="243">
        <f t="shared" si="51"/>
        <v>237156240.30097622</v>
      </c>
      <c r="S367">
        <v>2500</v>
      </c>
      <c r="T367" t="s">
        <v>314</v>
      </c>
      <c r="U367" t="s">
        <v>1111</v>
      </c>
      <c r="V367" s="176">
        <v>81280156.622219995</v>
      </c>
      <c r="W367" s="176">
        <v>414982060.06659698</v>
      </c>
      <c r="X367">
        <v>0</v>
      </c>
      <c r="Y367" s="176">
        <v>27715207.988887001</v>
      </c>
      <c r="Z367" s="176"/>
      <c r="AA367">
        <v>2500</v>
      </c>
      <c r="AB367" s="176" t="s">
        <v>314</v>
      </c>
      <c r="AC367" s="176" t="s">
        <v>1111</v>
      </c>
      <c r="AD367" s="176">
        <v>81280156.622219995</v>
      </c>
      <c r="AE367" s="176">
        <v>414982060.06659698</v>
      </c>
      <c r="AF367">
        <v>0</v>
      </c>
      <c r="AG367" s="176">
        <v>27715207.988887001</v>
      </c>
      <c r="AH367" s="342" t="str">
        <f t="shared" si="45"/>
        <v/>
      </c>
      <c r="AI367">
        <v>2500</v>
      </c>
      <c r="AJ367" t="s">
        <v>314</v>
      </c>
      <c r="AK367" t="s">
        <v>1111</v>
      </c>
      <c r="AL367" s="245">
        <f t="shared" si="46"/>
        <v>146304281.91999599</v>
      </c>
      <c r="AM367" s="245">
        <f t="shared" si="47"/>
        <v>746967708.1198746</v>
      </c>
      <c r="AN367" s="245">
        <f t="shared" si="48"/>
        <v>0</v>
      </c>
      <c r="AO367" s="245">
        <f t="shared" si="49"/>
        <v>49887374.379996598</v>
      </c>
      <c r="AP367" s="176"/>
      <c r="AQ367" s="176"/>
      <c r="AR367">
        <v>2500</v>
      </c>
      <c r="AS367" t="s">
        <v>314</v>
      </c>
      <c r="AT367" t="s">
        <v>1111</v>
      </c>
      <c r="AU367" s="176">
        <v>34693133.849982001</v>
      </c>
      <c r="AW367">
        <v>2500</v>
      </c>
      <c r="AX367" t="s">
        <v>314</v>
      </c>
      <c r="AY367" t="s">
        <v>1111</v>
      </c>
      <c r="AZ367" s="176">
        <v>17553971.025548998</v>
      </c>
      <c r="BA367" s="342" t="str">
        <f t="shared" si="52"/>
        <v/>
      </c>
      <c r="BB367">
        <v>2500</v>
      </c>
      <c r="BC367" t="s">
        <v>314</v>
      </c>
      <c r="BD367" t="s">
        <v>1111</v>
      </c>
      <c r="BE367" s="243">
        <f t="shared" si="53"/>
        <v>48736310.670421198</v>
      </c>
    </row>
    <row r="368" spans="1:57">
      <c r="A368">
        <v>2510</v>
      </c>
      <c r="B368" t="s">
        <v>315</v>
      </c>
      <c r="C368" t="s">
        <v>1751</v>
      </c>
      <c r="D368" s="176">
        <v>110211910.12323201</v>
      </c>
      <c r="E368">
        <v>0</v>
      </c>
      <c r="G368">
        <v>2510</v>
      </c>
      <c r="H368" t="s">
        <v>315</v>
      </c>
      <c r="I368" t="s">
        <v>1751</v>
      </c>
      <c r="J368" s="176">
        <v>15829187.879991001</v>
      </c>
      <c r="K368">
        <v>0</v>
      </c>
      <c r="L368" s="342" t="str">
        <f t="shared" si="50"/>
        <v/>
      </c>
      <c r="M368">
        <v>2510</v>
      </c>
      <c r="N368" t="s">
        <v>315</v>
      </c>
      <c r="O368" t="s">
        <v>1751</v>
      </c>
      <c r="P368" s="243">
        <f t="shared" si="51"/>
        <v>122875260.42722481</v>
      </c>
      <c r="S368">
        <v>2510</v>
      </c>
      <c r="T368" t="s">
        <v>315</v>
      </c>
      <c r="U368" t="s">
        <v>1751</v>
      </c>
      <c r="V368" s="176">
        <v>25498317.458887</v>
      </c>
      <c r="W368" s="176">
        <v>152179848.006625</v>
      </c>
      <c r="X368" s="176">
        <v>0</v>
      </c>
      <c r="Y368" s="176">
        <v>10700000</v>
      </c>
      <c r="Z368" s="176"/>
      <c r="AA368">
        <v>2510</v>
      </c>
      <c r="AB368" s="176" t="s">
        <v>315</v>
      </c>
      <c r="AC368" s="176" t="s">
        <v>1751</v>
      </c>
      <c r="AD368" s="176">
        <v>25498317.458887</v>
      </c>
      <c r="AE368" s="176">
        <v>152179848.006625</v>
      </c>
      <c r="AF368">
        <v>0</v>
      </c>
      <c r="AG368" s="176">
        <v>10700000</v>
      </c>
      <c r="AH368" s="342" t="str">
        <f t="shared" si="45"/>
        <v/>
      </c>
      <c r="AI368">
        <v>2510</v>
      </c>
      <c r="AJ368" t="s">
        <v>315</v>
      </c>
      <c r="AK368" t="s">
        <v>1751</v>
      </c>
      <c r="AL368" s="245">
        <f t="shared" si="46"/>
        <v>45896971.425996602</v>
      </c>
      <c r="AM368" s="245">
        <f t="shared" si="47"/>
        <v>273923726.41192502</v>
      </c>
      <c r="AN368" s="245">
        <f t="shared" si="48"/>
        <v>0</v>
      </c>
      <c r="AO368" s="245">
        <f t="shared" si="49"/>
        <v>19260000</v>
      </c>
      <c r="AP368" s="176"/>
      <c r="AQ368" s="176"/>
      <c r="AR368">
        <v>2510</v>
      </c>
      <c r="AS368" t="s">
        <v>315</v>
      </c>
      <c r="AT368" t="s">
        <v>1751</v>
      </c>
      <c r="AU368" s="176">
        <v>14457841.173323</v>
      </c>
      <c r="AW368">
        <v>2510</v>
      </c>
      <c r="AX368" t="s">
        <v>315</v>
      </c>
      <c r="AY368" t="s">
        <v>1751</v>
      </c>
      <c r="AZ368" s="176">
        <v>20758293.213330001</v>
      </c>
      <c r="BA368" s="342" t="str">
        <f t="shared" si="52"/>
        <v/>
      </c>
      <c r="BB368">
        <v>2510</v>
      </c>
      <c r="BC368" t="s">
        <v>315</v>
      </c>
      <c r="BD368" t="s">
        <v>1751</v>
      </c>
      <c r="BE368" s="243">
        <f t="shared" si="53"/>
        <v>31064475.743987001</v>
      </c>
    </row>
    <row r="369" spans="1:57">
      <c r="A369">
        <v>2510</v>
      </c>
      <c r="B369" t="s">
        <v>315</v>
      </c>
      <c r="C369" t="s">
        <v>1967</v>
      </c>
      <c r="D369" s="176">
        <v>55737869.704423003</v>
      </c>
      <c r="E369">
        <v>0</v>
      </c>
      <c r="G369">
        <v>2510</v>
      </c>
      <c r="H369" t="s">
        <v>315</v>
      </c>
      <c r="I369" t="s">
        <v>1967</v>
      </c>
      <c r="J369" s="176">
        <v>18427294.285551</v>
      </c>
      <c r="K369">
        <v>0</v>
      </c>
      <c r="L369" s="342" t="str">
        <f t="shared" si="50"/>
        <v/>
      </c>
      <c r="M369">
        <v>2510</v>
      </c>
      <c r="N369" t="s">
        <v>315</v>
      </c>
      <c r="O369" t="s">
        <v>1967</v>
      </c>
      <c r="P369" s="243">
        <f t="shared" si="51"/>
        <v>70479705.132863805</v>
      </c>
      <c r="S369">
        <v>2510</v>
      </c>
      <c r="T369" t="s">
        <v>315</v>
      </c>
      <c r="U369" t="s">
        <v>1967</v>
      </c>
      <c r="V369" s="176">
        <v>15318911.598888</v>
      </c>
      <c r="W369" s="176">
        <v>87340330.563319996</v>
      </c>
      <c r="X369" s="176">
        <v>0</v>
      </c>
      <c r="Y369" s="176">
        <v>4272000</v>
      </c>
      <c r="Z369" s="176"/>
      <c r="AA369">
        <v>2510</v>
      </c>
      <c r="AB369" s="176" t="s">
        <v>315</v>
      </c>
      <c r="AC369" s="176" t="s">
        <v>1967</v>
      </c>
      <c r="AD369" s="176">
        <v>15318911.598888</v>
      </c>
      <c r="AE369" s="176">
        <v>87340330.563319996</v>
      </c>
      <c r="AF369" s="176">
        <v>0</v>
      </c>
      <c r="AG369" s="176">
        <v>4272000</v>
      </c>
      <c r="AH369" s="342" t="str">
        <f t="shared" si="45"/>
        <v/>
      </c>
      <c r="AI369">
        <v>2510</v>
      </c>
      <c r="AJ369" t="s">
        <v>315</v>
      </c>
      <c r="AK369" t="s">
        <v>1967</v>
      </c>
      <c r="AL369" s="245">
        <f t="shared" si="46"/>
        <v>27574040.877998404</v>
      </c>
      <c r="AM369" s="245">
        <f t="shared" si="47"/>
        <v>157212595.01397598</v>
      </c>
      <c r="AN369" s="245">
        <f t="shared" si="48"/>
        <v>0</v>
      </c>
      <c r="AO369" s="245">
        <f t="shared" si="49"/>
        <v>7689600</v>
      </c>
      <c r="AP369" s="176"/>
      <c r="AQ369" s="176"/>
      <c r="AR369">
        <v>2510</v>
      </c>
      <c r="AS369" t="s">
        <v>315</v>
      </c>
      <c r="AT369" t="s">
        <v>1967</v>
      </c>
      <c r="AU369" s="176">
        <v>7913179.3733299999</v>
      </c>
      <c r="AW369">
        <v>2510</v>
      </c>
      <c r="AX369" t="s">
        <v>315</v>
      </c>
      <c r="AY369" t="s">
        <v>1967</v>
      </c>
      <c r="AZ369" s="176">
        <v>5980821.9155529998</v>
      </c>
      <c r="BA369" s="342" t="str">
        <f t="shared" si="52"/>
        <v/>
      </c>
      <c r="BB369">
        <v>2510</v>
      </c>
      <c r="BC369" t="s">
        <v>315</v>
      </c>
      <c r="BD369" t="s">
        <v>1967</v>
      </c>
      <c r="BE369" s="243">
        <f t="shared" si="53"/>
        <v>12697836.905772399</v>
      </c>
    </row>
    <row r="370" spans="1:57">
      <c r="A370">
        <v>2510</v>
      </c>
      <c r="B370" t="s">
        <v>315</v>
      </c>
      <c r="C370" t="s">
        <v>1095</v>
      </c>
      <c r="D370" s="176">
        <v>163835629.35994199</v>
      </c>
      <c r="E370">
        <v>0</v>
      </c>
      <c r="G370">
        <v>2510</v>
      </c>
      <c r="H370" t="s">
        <v>315</v>
      </c>
      <c r="I370" t="s">
        <v>1095</v>
      </c>
      <c r="J370" s="176">
        <v>68786875.725545004</v>
      </c>
      <c r="K370">
        <v>0</v>
      </c>
      <c r="L370" s="342" t="str">
        <f t="shared" si="50"/>
        <v/>
      </c>
      <c r="M370">
        <v>2510</v>
      </c>
      <c r="N370" t="s">
        <v>315</v>
      </c>
      <c r="O370" t="s">
        <v>1095</v>
      </c>
      <c r="P370" s="243">
        <f t="shared" si="51"/>
        <v>218865129.94037801</v>
      </c>
      <c r="S370">
        <v>2510</v>
      </c>
      <c r="T370" t="s">
        <v>315</v>
      </c>
      <c r="U370" t="s">
        <v>1095</v>
      </c>
      <c r="V370" s="176">
        <v>22449550.248886999</v>
      </c>
      <c r="W370" s="176">
        <v>260376404.87885201</v>
      </c>
      <c r="X370">
        <v>0</v>
      </c>
      <c r="Y370" s="176">
        <v>54934649.888884999</v>
      </c>
      <c r="Z370" s="176"/>
      <c r="AA370">
        <v>2510</v>
      </c>
      <c r="AB370" s="176" t="s">
        <v>315</v>
      </c>
      <c r="AC370" s="176" t="s">
        <v>1095</v>
      </c>
      <c r="AD370" s="176">
        <v>22449550.248886999</v>
      </c>
      <c r="AE370" s="176">
        <v>260376404.87885201</v>
      </c>
      <c r="AF370">
        <v>0</v>
      </c>
      <c r="AG370" s="176">
        <v>54934649.888884999</v>
      </c>
      <c r="AH370" s="342" t="str">
        <f t="shared" si="45"/>
        <v/>
      </c>
      <c r="AI370">
        <v>2510</v>
      </c>
      <c r="AJ370" t="s">
        <v>315</v>
      </c>
      <c r="AK370" t="s">
        <v>1095</v>
      </c>
      <c r="AL370" s="245">
        <f t="shared" si="46"/>
        <v>40409190.447996601</v>
      </c>
      <c r="AM370" s="245">
        <f t="shared" si="47"/>
        <v>468677528.78193367</v>
      </c>
      <c r="AN370" s="245">
        <f t="shared" si="48"/>
        <v>0</v>
      </c>
      <c r="AO370" s="245">
        <f t="shared" si="49"/>
        <v>98882369.799993008</v>
      </c>
      <c r="AP370" s="176"/>
      <c r="AQ370" s="176"/>
      <c r="AR370">
        <v>2510</v>
      </c>
      <c r="AS370" t="s">
        <v>315</v>
      </c>
      <c r="AT370" t="s">
        <v>1095</v>
      </c>
      <c r="AU370" s="176">
        <v>13775425.705545001</v>
      </c>
      <c r="AW370">
        <v>2510</v>
      </c>
      <c r="AX370" t="s">
        <v>315</v>
      </c>
      <c r="AY370" t="s">
        <v>1095</v>
      </c>
      <c r="AZ370">
        <v>8122057.9966639997</v>
      </c>
      <c r="BA370" s="342" t="str">
        <f t="shared" si="52"/>
        <v/>
      </c>
      <c r="BB370">
        <v>2510</v>
      </c>
      <c r="BC370" t="s">
        <v>315</v>
      </c>
      <c r="BD370" t="s">
        <v>1095</v>
      </c>
      <c r="BE370" s="243">
        <f t="shared" si="53"/>
        <v>20273072.102876201</v>
      </c>
    </row>
    <row r="371" spans="1:57">
      <c r="A371">
        <v>2520</v>
      </c>
      <c r="B371" t="s">
        <v>316</v>
      </c>
      <c r="C371" t="s">
        <v>1752</v>
      </c>
      <c r="D371" s="176">
        <v>54461955.543315001</v>
      </c>
      <c r="E371">
        <v>0</v>
      </c>
      <c r="G371">
        <v>2520</v>
      </c>
      <c r="H371" t="s">
        <v>316</v>
      </c>
      <c r="I371" t="s">
        <v>1752</v>
      </c>
      <c r="J371" s="176">
        <v>18246197.381108001</v>
      </c>
      <c r="K371">
        <v>0</v>
      </c>
      <c r="L371" s="342" t="str">
        <f t="shared" si="50"/>
        <v/>
      </c>
      <c r="M371">
        <v>2520</v>
      </c>
      <c r="N371" t="s">
        <v>316</v>
      </c>
      <c r="O371" t="s">
        <v>1752</v>
      </c>
      <c r="P371" s="243">
        <f t="shared" si="51"/>
        <v>69058913.448201403</v>
      </c>
      <c r="S371">
        <v>2520</v>
      </c>
      <c r="T371" t="s">
        <v>316</v>
      </c>
      <c r="U371" t="s">
        <v>1752</v>
      </c>
      <c r="V371" s="176">
        <v>5430486</v>
      </c>
      <c r="W371" s="176">
        <v>43202770.239987999</v>
      </c>
      <c r="X371" s="176">
        <v>0</v>
      </c>
      <c r="Y371" s="176">
        <v>33845639</v>
      </c>
      <c r="Z371" s="176"/>
      <c r="AA371">
        <v>2520</v>
      </c>
      <c r="AB371" s="176" t="s">
        <v>316</v>
      </c>
      <c r="AC371" s="176" t="s">
        <v>1752</v>
      </c>
      <c r="AD371" s="176">
        <v>5430486</v>
      </c>
      <c r="AE371" s="176">
        <v>43202770.239987999</v>
      </c>
      <c r="AF371" s="176">
        <v>0</v>
      </c>
      <c r="AG371" s="176">
        <v>33845639</v>
      </c>
      <c r="AH371" s="342" t="str">
        <f t="shared" si="45"/>
        <v/>
      </c>
      <c r="AI371">
        <v>2520</v>
      </c>
      <c r="AJ371" t="s">
        <v>316</v>
      </c>
      <c r="AK371" t="s">
        <v>1752</v>
      </c>
      <c r="AL371" s="245">
        <f t="shared" si="46"/>
        <v>9774874.8000000007</v>
      </c>
      <c r="AM371" s="245">
        <f t="shared" si="47"/>
        <v>77764986.431978405</v>
      </c>
      <c r="AN371" s="245">
        <f t="shared" si="48"/>
        <v>0</v>
      </c>
      <c r="AO371" s="245">
        <f t="shared" si="49"/>
        <v>60922150.200000003</v>
      </c>
      <c r="AP371" s="176"/>
      <c r="AQ371" s="176"/>
      <c r="AR371">
        <v>2520</v>
      </c>
      <c r="AS371" t="s">
        <v>316</v>
      </c>
      <c r="AT371" t="s">
        <v>1752</v>
      </c>
      <c r="AU371" s="176">
        <v>1696239.5255539999</v>
      </c>
      <c r="AW371">
        <v>2520</v>
      </c>
      <c r="AX371" t="s">
        <v>316</v>
      </c>
      <c r="AY371" t="s">
        <v>1752</v>
      </c>
      <c r="AZ371" s="176">
        <v>0</v>
      </c>
      <c r="BA371" s="342" t="str">
        <f t="shared" si="52"/>
        <v/>
      </c>
      <c r="BB371">
        <v>2520</v>
      </c>
      <c r="BC371" t="s">
        <v>316</v>
      </c>
      <c r="BD371" t="s">
        <v>1752</v>
      </c>
      <c r="BE371" s="243">
        <f t="shared" si="53"/>
        <v>1696239.5255539999</v>
      </c>
    </row>
    <row r="372" spans="1:57">
      <c r="A372">
        <v>2520</v>
      </c>
      <c r="B372" t="s">
        <v>316</v>
      </c>
      <c r="C372" t="s">
        <v>1115</v>
      </c>
      <c r="D372" s="176">
        <v>132884308.17656501</v>
      </c>
      <c r="E372">
        <v>0</v>
      </c>
      <c r="G372">
        <v>2520</v>
      </c>
      <c r="H372" t="s">
        <v>316</v>
      </c>
      <c r="I372" t="s">
        <v>1115</v>
      </c>
      <c r="J372" s="176">
        <v>43113671.237770997</v>
      </c>
      <c r="K372">
        <v>0</v>
      </c>
      <c r="L372" s="342" t="str">
        <f t="shared" si="50"/>
        <v/>
      </c>
      <c r="M372">
        <v>2520</v>
      </c>
      <c r="N372" t="s">
        <v>316</v>
      </c>
      <c r="O372" t="s">
        <v>1115</v>
      </c>
      <c r="P372" s="243">
        <f t="shared" si="51"/>
        <v>167375245.16678181</v>
      </c>
      <c r="S372">
        <v>2520</v>
      </c>
      <c r="T372" t="s">
        <v>316</v>
      </c>
      <c r="U372" t="s">
        <v>1115</v>
      </c>
      <c r="V372" s="176">
        <v>20961803.641109999</v>
      </c>
      <c r="W372" s="176">
        <v>105164648.32663999</v>
      </c>
      <c r="X372">
        <v>0</v>
      </c>
      <c r="Y372" s="176">
        <v>16547065.888885001</v>
      </c>
      <c r="Z372" s="176"/>
      <c r="AA372">
        <v>2520</v>
      </c>
      <c r="AB372" s="176" t="s">
        <v>316</v>
      </c>
      <c r="AC372" s="176" t="s">
        <v>1115</v>
      </c>
      <c r="AD372" s="176">
        <v>20961803.641109999</v>
      </c>
      <c r="AE372" s="176">
        <v>105164648.32663999</v>
      </c>
      <c r="AF372">
        <v>0</v>
      </c>
      <c r="AG372" s="176">
        <v>16547065.888885001</v>
      </c>
      <c r="AH372" s="342" t="str">
        <f t="shared" si="45"/>
        <v/>
      </c>
      <c r="AI372">
        <v>2520</v>
      </c>
      <c r="AJ372" t="s">
        <v>316</v>
      </c>
      <c r="AK372" t="s">
        <v>1115</v>
      </c>
      <c r="AL372" s="245">
        <f t="shared" si="46"/>
        <v>37731246.553998001</v>
      </c>
      <c r="AM372" s="245">
        <f t="shared" si="47"/>
        <v>189296366.98795199</v>
      </c>
      <c r="AN372" s="245">
        <f t="shared" si="48"/>
        <v>0</v>
      </c>
      <c r="AO372" s="245">
        <f t="shared" si="49"/>
        <v>29784718.599993002</v>
      </c>
      <c r="AP372" s="176"/>
      <c r="AQ372" s="176"/>
      <c r="AR372">
        <v>2520</v>
      </c>
      <c r="AS372" t="s">
        <v>316</v>
      </c>
      <c r="AT372" t="s">
        <v>1115</v>
      </c>
      <c r="AU372" s="176">
        <v>13623571.122215001</v>
      </c>
      <c r="AW372">
        <v>2520</v>
      </c>
      <c r="AX372" t="s">
        <v>316</v>
      </c>
      <c r="AY372" t="s">
        <v>1115</v>
      </c>
      <c r="AZ372">
        <v>914637.05999900005</v>
      </c>
      <c r="BA372" s="342" t="str">
        <f t="shared" si="52"/>
        <v/>
      </c>
      <c r="BB372">
        <v>2520</v>
      </c>
      <c r="BC372" t="s">
        <v>316</v>
      </c>
      <c r="BD372" t="s">
        <v>1115</v>
      </c>
      <c r="BE372" s="243">
        <f t="shared" si="53"/>
        <v>14355280.7702142</v>
      </c>
    </row>
    <row r="373" spans="1:57">
      <c r="A373">
        <v>2520</v>
      </c>
      <c r="B373" t="s">
        <v>316</v>
      </c>
      <c r="C373" t="s">
        <v>1753</v>
      </c>
      <c r="D373" s="176">
        <v>62579888.208862998</v>
      </c>
      <c r="E373">
        <v>0</v>
      </c>
      <c r="G373">
        <v>2520</v>
      </c>
      <c r="H373" t="s">
        <v>316</v>
      </c>
      <c r="I373" t="s">
        <v>1753</v>
      </c>
      <c r="J373" s="176">
        <v>14993464.478885001</v>
      </c>
      <c r="K373">
        <v>0</v>
      </c>
      <c r="L373" s="342" t="str">
        <f t="shared" si="50"/>
        <v/>
      </c>
      <c r="M373">
        <v>2520</v>
      </c>
      <c r="N373" t="s">
        <v>316</v>
      </c>
      <c r="O373" t="s">
        <v>1753</v>
      </c>
      <c r="P373" s="243">
        <f t="shared" si="51"/>
        <v>74574659.791970998</v>
      </c>
      <c r="S373">
        <v>2520</v>
      </c>
      <c r="T373" t="s">
        <v>316</v>
      </c>
      <c r="U373" t="s">
        <v>1753</v>
      </c>
      <c r="V373" s="176">
        <v>15524331</v>
      </c>
      <c r="W373" s="176">
        <v>95558625.264431998</v>
      </c>
      <c r="X373">
        <v>500000</v>
      </c>
      <c r="Y373" s="176">
        <v>24483372.777777001</v>
      </c>
      <c r="Z373" s="176"/>
      <c r="AA373">
        <v>2520</v>
      </c>
      <c r="AB373" s="176" t="s">
        <v>316</v>
      </c>
      <c r="AC373" s="176" t="s">
        <v>1753</v>
      </c>
      <c r="AD373" s="176">
        <v>15524331</v>
      </c>
      <c r="AE373" s="176">
        <v>95558625.264431998</v>
      </c>
      <c r="AF373">
        <v>500000</v>
      </c>
      <c r="AG373" s="176">
        <v>24483372.777777001</v>
      </c>
      <c r="AH373" s="342" t="str">
        <f t="shared" si="45"/>
        <v/>
      </c>
      <c r="AI373">
        <v>2520</v>
      </c>
      <c r="AJ373" t="s">
        <v>316</v>
      </c>
      <c r="AK373" t="s">
        <v>1753</v>
      </c>
      <c r="AL373" s="245">
        <f t="shared" si="46"/>
        <v>27943795.800000001</v>
      </c>
      <c r="AM373" s="245">
        <f t="shared" si="47"/>
        <v>172005525.4759776</v>
      </c>
      <c r="AN373" s="245">
        <f t="shared" si="48"/>
        <v>900000</v>
      </c>
      <c r="AO373" s="245">
        <f t="shared" si="49"/>
        <v>44070070.999998599</v>
      </c>
      <c r="AP373" s="176"/>
      <c r="AQ373" s="176"/>
      <c r="AR373">
        <v>2520</v>
      </c>
      <c r="AS373" t="s">
        <v>316</v>
      </c>
      <c r="AT373" t="s">
        <v>1753</v>
      </c>
      <c r="AU373" s="176">
        <v>18385385.497772999</v>
      </c>
      <c r="AW373">
        <v>2520</v>
      </c>
      <c r="AX373" t="s">
        <v>316</v>
      </c>
      <c r="AY373" t="s">
        <v>1753</v>
      </c>
      <c r="AZ373" s="176">
        <v>14064950.236664001</v>
      </c>
      <c r="BA373" s="342" t="str">
        <f t="shared" si="52"/>
        <v/>
      </c>
      <c r="BB373">
        <v>2520</v>
      </c>
      <c r="BC373" t="s">
        <v>316</v>
      </c>
      <c r="BD373" t="s">
        <v>1753</v>
      </c>
      <c r="BE373" s="243">
        <f t="shared" si="53"/>
        <v>29637345.687104203</v>
      </c>
    </row>
    <row r="374" spans="1:57">
      <c r="A374">
        <v>2520</v>
      </c>
      <c r="B374" t="s">
        <v>316</v>
      </c>
      <c r="C374" t="s">
        <v>1076</v>
      </c>
      <c r="D374" s="176">
        <v>182775299.66771001</v>
      </c>
      <c r="E374">
        <v>0</v>
      </c>
      <c r="G374">
        <v>2520</v>
      </c>
      <c r="H374" t="s">
        <v>316</v>
      </c>
      <c r="I374" t="s">
        <v>1076</v>
      </c>
      <c r="J374" s="176">
        <v>69042682.511102006</v>
      </c>
      <c r="K374">
        <v>0</v>
      </c>
      <c r="L374" s="342" t="str">
        <f t="shared" si="50"/>
        <v/>
      </c>
      <c r="M374">
        <v>2520</v>
      </c>
      <c r="N374" t="s">
        <v>316</v>
      </c>
      <c r="O374" t="s">
        <v>1076</v>
      </c>
      <c r="P374" s="243">
        <f t="shared" si="51"/>
        <v>238009445.6765916</v>
      </c>
      <c r="S374">
        <v>2520</v>
      </c>
      <c r="T374" t="s">
        <v>316</v>
      </c>
      <c r="U374" t="s">
        <v>1076</v>
      </c>
      <c r="V374" s="176">
        <v>72306833.813332006</v>
      </c>
      <c r="W374" s="176">
        <v>237824488.95886901</v>
      </c>
      <c r="X374" s="176">
        <v>766666.66666600003</v>
      </c>
      <c r="Y374" s="176">
        <v>38839039.939998001</v>
      </c>
      <c r="Z374" s="176"/>
      <c r="AA374">
        <v>2520</v>
      </c>
      <c r="AB374" s="176" t="s">
        <v>316</v>
      </c>
      <c r="AC374" s="176" t="s">
        <v>1076</v>
      </c>
      <c r="AD374" s="176">
        <v>72306833.813332006</v>
      </c>
      <c r="AE374" s="176">
        <v>237824488.95886901</v>
      </c>
      <c r="AF374" s="176">
        <v>766666.66666600003</v>
      </c>
      <c r="AG374" s="176">
        <v>38839039.939998001</v>
      </c>
      <c r="AH374" s="342" t="str">
        <f t="shared" si="45"/>
        <v/>
      </c>
      <c r="AI374">
        <v>2520</v>
      </c>
      <c r="AJ374" t="s">
        <v>316</v>
      </c>
      <c r="AK374" t="s">
        <v>1076</v>
      </c>
      <c r="AL374" s="245">
        <f t="shared" si="46"/>
        <v>130152300.86399761</v>
      </c>
      <c r="AM374" s="245">
        <f t="shared" si="47"/>
        <v>428084080.12596422</v>
      </c>
      <c r="AN374" s="245">
        <f t="shared" si="48"/>
        <v>1379999.9999988</v>
      </c>
      <c r="AO374" s="245">
        <f t="shared" si="49"/>
        <v>69910271.891996399</v>
      </c>
      <c r="AP374" s="176"/>
      <c r="AQ374" s="176"/>
      <c r="AR374">
        <v>2520</v>
      </c>
      <c r="AS374" t="s">
        <v>316</v>
      </c>
      <c r="AT374" t="s">
        <v>1076</v>
      </c>
      <c r="AU374" s="176">
        <v>30750568.874435998</v>
      </c>
      <c r="AW374">
        <v>2520</v>
      </c>
      <c r="AX374" t="s">
        <v>316</v>
      </c>
      <c r="AY374" t="s">
        <v>1076</v>
      </c>
      <c r="AZ374" s="176">
        <v>13884108.365553999</v>
      </c>
      <c r="BA374" s="342" t="str">
        <f t="shared" si="52"/>
        <v/>
      </c>
      <c r="BB374">
        <v>2520</v>
      </c>
      <c r="BC374" t="s">
        <v>316</v>
      </c>
      <c r="BD374" t="s">
        <v>1076</v>
      </c>
      <c r="BE374" s="243">
        <f t="shared" si="53"/>
        <v>41857855.566879198</v>
      </c>
    </row>
    <row r="375" spans="1:57">
      <c r="A375">
        <v>2520</v>
      </c>
      <c r="B375" t="s">
        <v>316</v>
      </c>
      <c r="C375" t="s">
        <v>1116</v>
      </c>
      <c r="D375" s="176">
        <v>145487981.019936</v>
      </c>
      <c r="E375">
        <v>0</v>
      </c>
      <c r="G375">
        <v>2520</v>
      </c>
      <c r="H375" t="s">
        <v>316</v>
      </c>
      <c r="I375" t="s">
        <v>1116</v>
      </c>
      <c r="J375" s="176">
        <v>86077081.264424995</v>
      </c>
      <c r="K375">
        <v>0</v>
      </c>
      <c r="L375" s="342" t="str">
        <f t="shared" si="50"/>
        <v/>
      </c>
      <c r="M375">
        <v>2520</v>
      </c>
      <c r="N375" t="s">
        <v>316</v>
      </c>
      <c r="O375" t="s">
        <v>1116</v>
      </c>
      <c r="P375" s="243">
        <f t="shared" si="51"/>
        <v>214349646.03147599</v>
      </c>
      <c r="S375">
        <v>2520</v>
      </c>
      <c r="T375" t="s">
        <v>316</v>
      </c>
      <c r="U375" t="s">
        <v>1116</v>
      </c>
      <c r="V375" s="176">
        <v>40851015.624443002</v>
      </c>
      <c r="W375" s="176">
        <v>213956346.21219301</v>
      </c>
      <c r="X375" s="176">
        <v>2000000</v>
      </c>
      <c r="Y375" s="176">
        <v>96080978.746662006</v>
      </c>
      <c r="Z375" s="176"/>
      <c r="AA375">
        <v>2520</v>
      </c>
      <c r="AB375" s="176" t="s">
        <v>316</v>
      </c>
      <c r="AC375" s="176" t="s">
        <v>1116</v>
      </c>
      <c r="AD375" s="176">
        <v>40851015.624443002</v>
      </c>
      <c r="AE375" s="176">
        <v>213956346.21219301</v>
      </c>
      <c r="AF375" s="176">
        <v>2000000</v>
      </c>
      <c r="AG375" s="176">
        <v>96080978.746662006</v>
      </c>
      <c r="AH375" s="342" t="str">
        <f t="shared" si="45"/>
        <v/>
      </c>
      <c r="AI375">
        <v>2520</v>
      </c>
      <c r="AJ375" t="s">
        <v>316</v>
      </c>
      <c r="AK375" t="s">
        <v>1116</v>
      </c>
      <c r="AL375" s="245">
        <f t="shared" si="46"/>
        <v>73531828.123997405</v>
      </c>
      <c r="AM375" s="245">
        <f t="shared" si="47"/>
        <v>385121423.18194747</v>
      </c>
      <c r="AN375" s="245">
        <f t="shared" si="48"/>
        <v>3600000</v>
      </c>
      <c r="AO375" s="245">
        <f t="shared" si="49"/>
        <v>172945761.74399161</v>
      </c>
      <c r="AP375" s="176"/>
      <c r="AQ375" s="176"/>
      <c r="AR375">
        <v>2520</v>
      </c>
      <c r="AS375" t="s">
        <v>316</v>
      </c>
      <c r="AT375" t="s">
        <v>1116</v>
      </c>
      <c r="AU375" s="176">
        <v>53570461.648882002</v>
      </c>
      <c r="AW375">
        <v>2520</v>
      </c>
      <c r="AX375" t="s">
        <v>316</v>
      </c>
      <c r="AY375" t="s">
        <v>1116</v>
      </c>
      <c r="AZ375" s="176">
        <v>47430338.025553003</v>
      </c>
      <c r="BA375" s="342" t="str">
        <f t="shared" si="52"/>
        <v/>
      </c>
      <c r="BB375">
        <v>2520</v>
      </c>
      <c r="BC375" t="s">
        <v>316</v>
      </c>
      <c r="BD375" t="s">
        <v>1116</v>
      </c>
      <c r="BE375" s="243">
        <f t="shared" si="53"/>
        <v>91514732.069324404</v>
      </c>
    </row>
    <row r="376" spans="1:57">
      <c r="A376">
        <v>2600</v>
      </c>
      <c r="B376" t="s">
        <v>317</v>
      </c>
      <c r="C376" t="s">
        <v>1118</v>
      </c>
      <c r="D376" s="176">
        <v>265310689.15436801</v>
      </c>
      <c r="E376">
        <v>0</v>
      </c>
      <c r="G376">
        <v>2600</v>
      </c>
      <c r="H376" t="s">
        <v>317</v>
      </c>
      <c r="I376" t="s">
        <v>1118</v>
      </c>
      <c r="J376" s="176">
        <v>152844642.99108201</v>
      </c>
      <c r="K376">
        <v>0</v>
      </c>
      <c r="L376" s="342" t="str">
        <f t="shared" si="50"/>
        <v/>
      </c>
      <c r="M376">
        <v>2600</v>
      </c>
      <c r="N376" t="s">
        <v>317</v>
      </c>
      <c r="O376" t="s">
        <v>1118</v>
      </c>
      <c r="P376" s="243">
        <f t="shared" si="51"/>
        <v>387586403.54723364</v>
      </c>
      <c r="S376">
        <v>2600</v>
      </c>
      <c r="T376" t="s">
        <v>317</v>
      </c>
      <c r="U376" t="s">
        <v>1118</v>
      </c>
      <c r="V376" s="176">
        <v>114407037.29999501</v>
      </c>
      <c r="W376" s="176">
        <v>204741717.737755</v>
      </c>
      <c r="X376">
        <v>7014650</v>
      </c>
      <c r="Y376" s="176">
        <v>57166041.356663004</v>
      </c>
      <c r="Z376" s="176"/>
      <c r="AA376">
        <v>2600</v>
      </c>
      <c r="AB376" s="176" t="s">
        <v>317</v>
      </c>
      <c r="AC376" s="176" t="s">
        <v>1118</v>
      </c>
      <c r="AD376" s="176">
        <v>114407037.29999501</v>
      </c>
      <c r="AE376" s="176">
        <v>204741717.737755</v>
      </c>
      <c r="AF376">
        <v>7014650</v>
      </c>
      <c r="AG376" s="176">
        <v>57166041.356663004</v>
      </c>
      <c r="AH376" s="342" t="str">
        <f t="shared" si="45"/>
        <v/>
      </c>
      <c r="AI376">
        <v>2600</v>
      </c>
      <c r="AJ376" t="s">
        <v>317</v>
      </c>
      <c r="AK376" t="s">
        <v>1118</v>
      </c>
      <c r="AL376" s="245">
        <f t="shared" si="46"/>
        <v>205932667.13999102</v>
      </c>
      <c r="AM376" s="245">
        <f t="shared" si="47"/>
        <v>368535091.92795902</v>
      </c>
      <c r="AN376" s="245">
        <f t="shared" si="48"/>
        <v>12626370</v>
      </c>
      <c r="AO376" s="245">
        <f t="shared" si="49"/>
        <v>102898874.44199342</v>
      </c>
      <c r="AP376" s="176"/>
      <c r="AQ376" s="176"/>
      <c r="AR376">
        <v>2600</v>
      </c>
      <c r="AS376" t="s">
        <v>317</v>
      </c>
      <c r="AT376" t="s">
        <v>1118</v>
      </c>
      <c r="AU376" s="176">
        <v>115050824.143298</v>
      </c>
      <c r="AW376">
        <v>2600</v>
      </c>
      <c r="AX376" t="s">
        <v>317</v>
      </c>
      <c r="AY376" t="s">
        <v>1118</v>
      </c>
      <c r="AZ376" s="176">
        <v>116376782.666646</v>
      </c>
      <c r="BA376" s="342" t="str">
        <f t="shared" si="52"/>
        <v/>
      </c>
      <c r="BB376">
        <v>2600</v>
      </c>
      <c r="BC376" t="s">
        <v>317</v>
      </c>
      <c r="BD376" t="s">
        <v>1118</v>
      </c>
      <c r="BE376" s="243">
        <f t="shared" si="53"/>
        <v>208152250.27661481</v>
      </c>
    </row>
    <row r="377" spans="1:57">
      <c r="A377">
        <v>2600</v>
      </c>
      <c r="B377" t="s">
        <v>317</v>
      </c>
      <c r="C377" t="s">
        <v>1754</v>
      </c>
      <c r="D377" s="176">
        <v>53608873.666621998</v>
      </c>
      <c r="E377">
        <v>0</v>
      </c>
      <c r="G377">
        <v>2600</v>
      </c>
      <c r="H377" t="s">
        <v>317</v>
      </c>
      <c r="I377" t="s">
        <v>1754</v>
      </c>
      <c r="J377" s="176">
        <v>26395412.90777</v>
      </c>
      <c r="K377">
        <v>0</v>
      </c>
      <c r="L377" s="342" t="str">
        <f t="shared" si="50"/>
        <v/>
      </c>
      <c r="M377">
        <v>2600</v>
      </c>
      <c r="N377" t="s">
        <v>317</v>
      </c>
      <c r="O377" t="s">
        <v>1754</v>
      </c>
      <c r="P377" s="243">
        <f t="shared" si="51"/>
        <v>74725203.992837995</v>
      </c>
      <c r="S377">
        <v>2600</v>
      </c>
      <c r="T377" t="s">
        <v>317</v>
      </c>
      <c r="U377" t="s">
        <v>1754</v>
      </c>
      <c r="V377" s="176">
        <v>24694777.285555001</v>
      </c>
      <c r="W377" s="176">
        <v>83723699.227746993</v>
      </c>
      <c r="X377" s="176">
        <v>2000000</v>
      </c>
      <c r="Y377" s="176">
        <v>8633264.4444440007</v>
      </c>
      <c r="Z377" s="176"/>
      <c r="AA377">
        <v>2600</v>
      </c>
      <c r="AB377" s="176" t="s">
        <v>317</v>
      </c>
      <c r="AC377" s="176" t="s">
        <v>1754</v>
      </c>
      <c r="AD377" s="176">
        <v>24694777.285555001</v>
      </c>
      <c r="AE377" s="176">
        <v>83723699.227746993</v>
      </c>
      <c r="AF377" s="176">
        <v>2000000</v>
      </c>
      <c r="AG377" s="176">
        <v>8633264.4444440007</v>
      </c>
      <c r="AH377" s="342" t="str">
        <f t="shared" si="45"/>
        <v/>
      </c>
      <c r="AI377">
        <v>2600</v>
      </c>
      <c r="AJ377" t="s">
        <v>317</v>
      </c>
      <c r="AK377" t="s">
        <v>1754</v>
      </c>
      <c r="AL377" s="245">
        <f t="shared" si="46"/>
        <v>44450599.113999002</v>
      </c>
      <c r="AM377" s="245">
        <f t="shared" si="47"/>
        <v>150702658.60994458</v>
      </c>
      <c r="AN377" s="245">
        <f t="shared" si="48"/>
        <v>3600000</v>
      </c>
      <c r="AO377" s="245">
        <f t="shared" si="49"/>
        <v>15539875.999999203</v>
      </c>
      <c r="AP377" s="176"/>
      <c r="AQ377" s="176"/>
      <c r="AR377">
        <v>2600</v>
      </c>
      <c r="AS377" t="s">
        <v>317</v>
      </c>
      <c r="AT377" t="s">
        <v>1754</v>
      </c>
      <c r="AU377" s="176">
        <v>4009840.4222129998</v>
      </c>
      <c r="AW377">
        <v>2600</v>
      </c>
      <c r="AX377" t="s">
        <v>317</v>
      </c>
      <c r="AY377" t="s">
        <v>1754</v>
      </c>
      <c r="AZ377" s="176">
        <v>665076.05222099996</v>
      </c>
      <c r="BA377" s="342" t="str">
        <f t="shared" si="52"/>
        <v/>
      </c>
      <c r="BB377">
        <v>2600</v>
      </c>
      <c r="BC377" t="s">
        <v>317</v>
      </c>
      <c r="BD377" t="s">
        <v>1754</v>
      </c>
      <c r="BE377" s="243">
        <f t="shared" si="53"/>
        <v>4541901.2639897997</v>
      </c>
    </row>
    <row r="378" spans="1:57">
      <c r="A378">
        <v>2600</v>
      </c>
      <c r="B378" t="s">
        <v>317</v>
      </c>
      <c r="C378" t="s">
        <v>1120</v>
      </c>
      <c r="D378" s="176">
        <v>77627323.386609003</v>
      </c>
      <c r="E378">
        <v>0</v>
      </c>
      <c r="G378">
        <v>2600</v>
      </c>
      <c r="H378" t="s">
        <v>317</v>
      </c>
      <c r="I378" t="s">
        <v>1120</v>
      </c>
      <c r="J378" s="176">
        <v>28002080.593325</v>
      </c>
      <c r="K378">
        <v>0</v>
      </c>
      <c r="L378" s="342" t="str">
        <f t="shared" si="50"/>
        <v/>
      </c>
      <c r="M378">
        <v>2600</v>
      </c>
      <c r="N378" t="s">
        <v>317</v>
      </c>
      <c r="O378" t="s">
        <v>1120</v>
      </c>
      <c r="P378" s="243">
        <f t="shared" si="51"/>
        <v>100028987.861269</v>
      </c>
      <c r="S378">
        <v>2600</v>
      </c>
      <c r="T378" t="s">
        <v>317</v>
      </c>
      <c r="U378" t="s">
        <v>1120</v>
      </c>
      <c r="V378" s="176">
        <v>46583868.278888002</v>
      </c>
      <c r="W378" s="176">
        <v>87315313.766637996</v>
      </c>
      <c r="X378">
        <v>2000000</v>
      </c>
      <c r="Y378" s="176">
        <v>22729307.864443</v>
      </c>
      <c r="Z378" s="176"/>
      <c r="AA378">
        <v>2600</v>
      </c>
      <c r="AB378" s="176" t="s">
        <v>317</v>
      </c>
      <c r="AC378" s="176" t="s">
        <v>1120</v>
      </c>
      <c r="AD378" s="176">
        <v>46583868.278888002</v>
      </c>
      <c r="AE378" s="176">
        <v>87315313.766637996</v>
      </c>
      <c r="AF378">
        <v>2000000</v>
      </c>
      <c r="AG378" s="176">
        <v>22729307.864443</v>
      </c>
      <c r="AH378" s="342" t="str">
        <f t="shared" si="45"/>
        <v/>
      </c>
      <c r="AI378">
        <v>2600</v>
      </c>
      <c r="AJ378" t="s">
        <v>317</v>
      </c>
      <c r="AK378" t="s">
        <v>1120</v>
      </c>
      <c r="AL378" s="245">
        <f t="shared" si="46"/>
        <v>83850962.901998401</v>
      </c>
      <c r="AM378" s="245">
        <f t="shared" si="47"/>
        <v>157167564.77994841</v>
      </c>
      <c r="AN378" s="245">
        <f t="shared" si="48"/>
        <v>3600000</v>
      </c>
      <c r="AO378" s="245">
        <f t="shared" si="49"/>
        <v>40912754.155997403</v>
      </c>
      <c r="AP378" s="176"/>
      <c r="AQ378" s="176"/>
      <c r="AR378">
        <v>2600</v>
      </c>
      <c r="AS378" t="s">
        <v>317</v>
      </c>
      <c r="AT378" t="s">
        <v>1120</v>
      </c>
      <c r="AU378" s="176">
        <v>9429414.714435</v>
      </c>
      <c r="AW378">
        <v>2600</v>
      </c>
      <c r="AX378" t="s">
        <v>317</v>
      </c>
      <c r="AY378" t="s">
        <v>1120</v>
      </c>
      <c r="AZ378" s="176">
        <v>4994274.0533330003</v>
      </c>
      <c r="BA378" s="342" t="str">
        <f t="shared" si="52"/>
        <v/>
      </c>
      <c r="BB378">
        <v>2600</v>
      </c>
      <c r="BC378" t="s">
        <v>317</v>
      </c>
      <c r="BD378" t="s">
        <v>1120</v>
      </c>
      <c r="BE378" s="243">
        <f t="shared" si="53"/>
        <v>13424833.957101401</v>
      </c>
    </row>
    <row r="379" spans="1:57">
      <c r="A379">
        <v>2600</v>
      </c>
      <c r="B379" t="s">
        <v>317</v>
      </c>
      <c r="C379" t="s">
        <v>1117</v>
      </c>
      <c r="D379" s="176">
        <v>127048428.214379</v>
      </c>
      <c r="E379">
        <v>0</v>
      </c>
      <c r="G379">
        <v>2600</v>
      </c>
      <c r="H379" t="s">
        <v>317</v>
      </c>
      <c r="I379" t="s">
        <v>1117</v>
      </c>
      <c r="J379" s="176">
        <v>62484082.084435999</v>
      </c>
      <c r="K379">
        <v>0</v>
      </c>
      <c r="L379" s="342" t="str">
        <f t="shared" si="50"/>
        <v/>
      </c>
      <c r="M379">
        <v>2600</v>
      </c>
      <c r="N379" t="s">
        <v>317</v>
      </c>
      <c r="O379" t="s">
        <v>1117</v>
      </c>
      <c r="P379" s="243">
        <f t="shared" si="51"/>
        <v>177035693.88192779</v>
      </c>
      <c r="S379">
        <v>2600</v>
      </c>
      <c r="T379" t="s">
        <v>317</v>
      </c>
      <c r="U379" t="s">
        <v>1117</v>
      </c>
      <c r="V379" s="176">
        <v>68631672.631109998</v>
      </c>
      <c r="W379" s="176">
        <v>117520015.06664599</v>
      </c>
      <c r="X379" s="176">
        <v>3500000</v>
      </c>
      <c r="Y379" s="176">
        <v>13173710.711108999</v>
      </c>
      <c r="Z379" s="176"/>
      <c r="AA379">
        <v>2600</v>
      </c>
      <c r="AB379" s="176" t="s">
        <v>317</v>
      </c>
      <c r="AC379" s="176" t="s">
        <v>1117</v>
      </c>
      <c r="AD379" s="176">
        <v>68631672.631109998</v>
      </c>
      <c r="AE379" s="176">
        <v>117520015.06664599</v>
      </c>
      <c r="AF379" s="176">
        <v>3500000</v>
      </c>
      <c r="AG379" s="176">
        <v>13173710.711108999</v>
      </c>
      <c r="AH379" s="342" t="str">
        <f t="shared" si="45"/>
        <v/>
      </c>
      <c r="AI379">
        <v>2600</v>
      </c>
      <c r="AJ379" t="s">
        <v>317</v>
      </c>
      <c r="AK379" t="s">
        <v>1117</v>
      </c>
      <c r="AL379" s="245">
        <f t="shared" si="46"/>
        <v>123537010.735998</v>
      </c>
      <c r="AM379" s="245">
        <f t="shared" si="47"/>
        <v>211536027.11996281</v>
      </c>
      <c r="AN379" s="245">
        <f t="shared" si="48"/>
        <v>6300000</v>
      </c>
      <c r="AO379" s="245">
        <f t="shared" si="49"/>
        <v>23712679.279996201</v>
      </c>
      <c r="AP379" s="176"/>
      <c r="AQ379" s="176"/>
      <c r="AR379">
        <v>2600</v>
      </c>
      <c r="AS379" t="s">
        <v>317</v>
      </c>
      <c r="AT379" t="s">
        <v>1117</v>
      </c>
      <c r="AU379" s="176">
        <v>13794537.88666</v>
      </c>
      <c r="AW379">
        <v>2600</v>
      </c>
      <c r="AX379" t="s">
        <v>317</v>
      </c>
      <c r="AY379" t="s">
        <v>1117</v>
      </c>
      <c r="AZ379" s="176">
        <v>7189131.8255519997</v>
      </c>
      <c r="BA379" s="342" t="str">
        <f t="shared" si="52"/>
        <v/>
      </c>
      <c r="BB379">
        <v>2600</v>
      </c>
      <c r="BC379" t="s">
        <v>317</v>
      </c>
      <c r="BD379" t="s">
        <v>1117</v>
      </c>
      <c r="BE379" s="243">
        <f t="shared" si="53"/>
        <v>19545843.347101599</v>
      </c>
    </row>
    <row r="380" spans="1:57">
      <c r="A380">
        <v>2600</v>
      </c>
      <c r="B380" t="s">
        <v>317</v>
      </c>
      <c r="C380" t="s">
        <v>1121</v>
      </c>
      <c r="D380" s="176">
        <v>223032583.692175</v>
      </c>
      <c r="E380">
        <v>0</v>
      </c>
      <c r="G380">
        <v>2600</v>
      </c>
      <c r="H380" t="s">
        <v>317</v>
      </c>
      <c r="I380" t="s">
        <v>1121</v>
      </c>
      <c r="J380" s="176">
        <v>118903993.072208</v>
      </c>
      <c r="K380">
        <v>0</v>
      </c>
      <c r="L380" s="342" t="str">
        <f t="shared" si="50"/>
        <v/>
      </c>
      <c r="M380">
        <v>2600</v>
      </c>
      <c r="N380" t="s">
        <v>317</v>
      </c>
      <c r="O380" t="s">
        <v>1121</v>
      </c>
      <c r="P380" s="243">
        <f t="shared" si="51"/>
        <v>318155778.14994144</v>
      </c>
      <c r="S380">
        <v>2600</v>
      </c>
      <c r="T380" t="s">
        <v>317</v>
      </c>
      <c r="U380" t="s">
        <v>1121</v>
      </c>
      <c r="V380" s="176">
        <v>81867379.516664997</v>
      </c>
      <c r="W380" s="176">
        <v>278810819.61664099</v>
      </c>
      <c r="X380" s="176">
        <v>7077777.7777770003</v>
      </c>
      <c r="Y380" s="176">
        <v>57587476.865553997</v>
      </c>
      <c r="Z380" s="176"/>
      <c r="AA380">
        <v>2600</v>
      </c>
      <c r="AB380" s="176" t="s">
        <v>317</v>
      </c>
      <c r="AC380" s="176" t="s">
        <v>1121</v>
      </c>
      <c r="AD380" s="176">
        <v>81867379.516664997</v>
      </c>
      <c r="AE380" s="176">
        <v>278810819.61664099</v>
      </c>
      <c r="AF380" s="176">
        <v>7077777.7777770003</v>
      </c>
      <c r="AG380" s="176">
        <v>57587476.865553997</v>
      </c>
      <c r="AH380" s="342" t="str">
        <f t="shared" si="45"/>
        <v/>
      </c>
      <c r="AI380">
        <v>2600</v>
      </c>
      <c r="AJ380" t="s">
        <v>317</v>
      </c>
      <c r="AK380" t="s">
        <v>1121</v>
      </c>
      <c r="AL380" s="245">
        <f t="shared" si="46"/>
        <v>147361283.12999701</v>
      </c>
      <c r="AM380" s="245">
        <f t="shared" si="47"/>
        <v>501859475.30995381</v>
      </c>
      <c r="AN380" s="245">
        <f t="shared" si="48"/>
        <v>12739999.999998601</v>
      </c>
      <c r="AO380" s="245">
        <f t="shared" si="49"/>
        <v>103657458.35799721</v>
      </c>
      <c r="AP380" s="176"/>
      <c r="AQ380" s="176"/>
      <c r="AR380">
        <v>2600</v>
      </c>
      <c r="AS380" t="s">
        <v>317</v>
      </c>
      <c r="AT380" t="s">
        <v>1121</v>
      </c>
      <c r="AU380" s="176">
        <v>143057250.23109499</v>
      </c>
      <c r="AW380">
        <v>2600</v>
      </c>
      <c r="AX380" t="s">
        <v>317</v>
      </c>
      <c r="AY380" t="s">
        <v>1121</v>
      </c>
      <c r="AZ380" s="176">
        <v>34387853.379993998</v>
      </c>
      <c r="BA380" s="342" t="str">
        <f t="shared" si="52"/>
        <v/>
      </c>
      <c r="BB380">
        <v>2600</v>
      </c>
      <c r="BC380" t="s">
        <v>317</v>
      </c>
      <c r="BD380" t="s">
        <v>1121</v>
      </c>
      <c r="BE380" s="243">
        <f t="shared" si="53"/>
        <v>170567532.93509018</v>
      </c>
    </row>
    <row r="381" spans="1:57">
      <c r="A381">
        <v>2620</v>
      </c>
      <c r="B381" t="s">
        <v>318</v>
      </c>
      <c r="C381" t="s">
        <v>1122</v>
      </c>
      <c r="D381" s="176">
        <v>212722190.58987701</v>
      </c>
      <c r="E381">
        <v>0</v>
      </c>
      <c r="G381">
        <v>2620</v>
      </c>
      <c r="H381" t="s">
        <v>318</v>
      </c>
      <c r="I381" t="s">
        <v>1122</v>
      </c>
      <c r="J381" s="176">
        <v>56922891.614431001</v>
      </c>
      <c r="K381">
        <v>0</v>
      </c>
      <c r="L381" s="342" t="str">
        <f t="shared" si="50"/>
        <v/>
      </c>
      <c r="M381">
        <v>2620</v>
      </c>
      <c r="N381" t="s">
        <v>318</v>
      </c>
      <c r="O381" t="s">
        <v>1122</v>
      </c>
      <c r="P381" s="243">
        <f t="shared" si="51"/>
        <v>258260503.8814218</v>
      </c>
      <c r="S381">
        <v>2620</v>
      </c>
      <c r="T381" t="s">
        <v>318</v>
      </c>
      <c r="U381" t="s">
        <v>1122</v>
      </c>
      <c r="V381" s="176">
        <v>57141852.275553003</v>
      </c>
      <c r="W381" s="176">
        <v>284984528.69994199</v>
      </c>
      <c r="X381" s="176">
        <v>0</v>
      </c>
      <c r="Y381" s="176">
        <v>88908799.775545001</v>
      </c>
      <c r="Z381" s="176"/>
      <c r="AA381">
        <v>2620</v>
      </c>
      <c r="AB381" s="176" t="s">
        <v>318</v>
      </c>
      <c r="AC381" s="176" t="s">
        <v>1122</v>
      </c>
      <c r="AD381" s="176">
        <v>57141852.275553003</v>
      </c>
      <c r="AE381" s="176">
        <v>284984528.69994199</v>
      </c>
      <c r="AF381" s="176">
        <v>0</v>
      </c>
      <c r="AG381" s="176">
        <v>88908799.775545001</v>
      </c>
      <c r="AH381" s="342" t="str">
        <f t="shared" si="45"/>
        <v/>
      </c>
      <c r="AI381">
        <v>2620</v>
      </c>
      <c r="AJ381" t="s">
        <v>318</v>
      </c>
      <c r="AK381" t="s">
        <v>1122</v>
      </c>
      <c r="AL381" s="245">
        <f t="shared" si="46"/>
        <v>102855334.09599541</v>
      </c>
      <c r="AM381" s="245">
        <f t="shared" si="47"/>
        <v>512972151.6598956</v>
      </c>
      <c r="AN381" s="245">
        <f t="shared" si="48"/>
        <v>0</v>
      </c>
      <c r="AO381" s="245">
        <f t="shared" si="49"/>
        <v>160035839.595981</v>
      </c>
      <c r="AP381" s="176"/>
      <c r="AQ381" s="176"/>
      <c r="AR381">
        <v>2620</v>
      </c>
      <c r="AS381" t="s">
        <v>318</v>
      </c>
      <c r="AT381" t="s">
        <v>1122</v>
      </c>
      <c r="AU381" s="176">
        <v>41261287.293325</v>
      </c>
      <c r="AW381">
        <v>2620</v>
      </c>
      <c r="AX381" t="s">
        <v>318</v>
      </c>
      <c r="AY381" t="s">
        <v>1122</v>
      </c>
      <c r="AZ381" s="176">
        <v>3311424.1933329999</v>
      </c>
      <c r="BA381" s="342" t="str">
        <f t="shared" si="52"/>
        <v/>
      </c>
      <c r="BB381">
        <v>2620</v>
      </c>
      <c r="BC381" t="s">
        <v>318</v>
      </c>
      <c r="BD381" t="s">
        <v>1122</v>
      </c>
      <c r="BE381" s="243">
        <f t="shared" si="53"/>
        <v>43910426.647991396</v>
      </c>
    </row>
    <row r="382" spans="1:57">
      <c r="A382">
        <v>2620</v>
      </c>
      <c r="B382" t="s">
        <v>318</v>
      </c>
      <c r="C382" t="s">
        <v>1123</v>
      </c>
      <c r="D382" s="176">
        <v>437040762.44766301</v>
      </c>
      <c r="E382">
        <v>0</v>
      </c>
      <c r="G382">
        <v>2620</v>
      </c>
      <c r="H382" t="s">
        <v>318</v>
      </c>
      <c r="I382" t="s">
        <v>1123</v>
      </c>
      <c r="J382" s="176">
        <v>209301016.40330499</v>
      </c>
      <c r="K382">
        <v>0</v>
      </c>
      <c r="L382" s="342" t="str">
        <f t="shared" si="50"/>
        <v/>
      </c>
      <c r="M382">
        <v>2620</v>
      </c>
      <c r="N382" t="s">
        <v>318</v>
      </c>
      <c r="O382" t="s">
        <v>1123</v>
      </c>
      <c r="P382" s="243">
        <f t="shared" si="51"/>
        <v>604481575.57030702</v>
      </c>
      <c r="S382">
        <v>2620</v>
      </c>
      <c r="T382" t="s">
        <v>318</v>
      </c>
      <c r="U382" t="s">
        <v>1123</v>
      </c>
      <c r="V382" s="176">
        <v>105546890.874442</v>
      </c>
      <c r="W382" s="176">
        <v>363770878.42104501</v>
      </c>
      <c r="X382" s="176">
        <v>0</v>
      </c>
      <c r="Y382" s="176">
        <v>146814747.18888199</v>
      </c>
      <c r="Z382" s="176"/>
      <c r="AA382">
        <v>2620</v>
      </c>
      <c r="AB382" s="176" t="s">
        <v>318</v>
      </c>
      <c r="AC382" s="176" t="s">
        <v>1123</v>
      </c>
      <c r="AD382" s="176">
        <v>105546890.874442</v>
      </c>
      <c r="AE382" s="176">
        <v>363770878.42104501</v>
      </c>
      <c r="AF382">
        <v>0</v>
      </c>
      <c r="AG382" s="176">
        <v>146814747.18888199</v>
      </c>
      <c r="AH382" s="342" t="str">
        <f t="shared" si="45"/>
        <v/>
      </c>
      <c r="AI382">
        <v>2620</v>
      </c>
      <c r="AJ382" t="s">
        <v>318</v>
      </c>
      <c r="AK382" t="s">
        <v>1123</v>
      </c>
      <c r="AL382" s="245">
        <f t="shared" si="46"/>
        <v>189984403.57399559</v>
      </c>
      <c r="AM382" s="245">
        <f t="shared" si="47"/>
        <v>654787581.15788102</v>
      </c>
      <c r="AN382" s="245">
        <f t="shared" si="48"/>
        <v>0</v>
      </c>
      <c r="AO382" s="245">
        <f t="shared" si="49"/>
        <v>264266544.9399876</v>
      </c>
      <c r="AP382" s="176"/>
      <c r="AQ382" s="176"/>
      <c r="AR382">
        <v>2620</v>
      </c>
      <c r="AS382" t="s">
        <v>318</v>
      </c>
      <c r="AT382" t="s">
        <v>1123</v>
      </c>
      <c r="AU382" s="176">
        <v>22212899.086658999</v>
      </c>
      <c r="AW382">
        <v>2620</v>
      </c>
      <c r="AX382" t="s">
        <v>318</v>
      </c>
      <c r="AY382" t="s">
        <v>1123</v>
      </c>
      <c r="AZ382" s="176">
        <v>8237170.0533309998</v>
      </c>
      <c r="BA382" s="342" t="str">
        <f t="shared" si="52"/>
        <v/>
      </c>
      <c r="BB382">
        <v>2620</v>
      </c>
      <c r="BC382" t="s">
        <v>318</v>
      </c>
      <c r="BD382" t="s">
        <v>1123</v>
      </c>
      <c r="BE382" s="243">
        <f t="shared" si="53"/>
        <v>28802635.129323799</v>
      </c>
    </row>
    <row r="383" spans="1:57">
      <c r="A383">
        <v>2680</v>
      </c>
      <c r="B383" t="s">
        <v>1542</v>
      </c>
      <c r="C383" t="s">
        <v>1094</v>
      </c>
      <c r="D383" s="176">
        <v>377083971.295488</v>
      </c>
      <c r="E383">
        <v>0</v>
      </c>
      <c r="G383">
        <v>2680</v>
      </c>
      <c r="H383" t="s">
        <v>1542</v>
      </c>
      <c r="I383" t="s">
        <v>1094</v>
      </c>
      <c r="J383" s="176">
        <v>154844272.04887801</v>
      </c>
      <c r="K383">
        <v>0</v>
      </c>
      <c r="L383" s="342" t="str">
        <f t="shared" si="50"/>
        <v/>
      </c>
      <c r="M383">
        <v>2680</v>
      </c>
      <c r="N383" t="s">
        <v>1542</v>
      </c>
      <c r="O383" t="s">
        <v>1094</v>
      </c>
      <c r="P383" s="243">
        <f t="shared" si="51"/>
        <v>500959388.9345904</v>
      </c>
      <c r="S383">
        <v>2680</v>
      </c>
      <c r="T383" t="s">
        <v>1542</v>
      </c>
      <c r="U383" t="s">
        <v>1094</v>
      </c>
      <c r="V383" s="176">
        <v>45957267.073331997</v>
      </c>
      <c r="W383" s="176">
        <v>92066900.665524006</v>
      </c>
      <c r="X383" s="176">
        <v>0</v>
      </c>
      <c r="Y383" s="176">
        <v>7530044.4444439998</v>
      </c>
      <c r="Z383" s="176"/>
      <c r="AA383">
        <v>2680</v>
      </c>
      <c r="AB383" s="176" t="s">
        <v>1542</v>
      </c>
      <c r="AC383" s="176" t="s">
        <v>1094</v>
      </c>
      <c r="AD383" s="176">
        <v>45957267.073331997</v>
      </c>
      <c r="AE383" s="176">
        <v>92066900.665524006</v>
      </c>
      <c r="AF383" s="176">
        <v>0</v>
      </c>
      <c r="AG383" s="176">
        <v>7530044.4444439998</v>
      </c>
      <c r="AH383" s="342" t="str">
        <f t="shared" si="45"/>
        <v/>
      </c>
      <c r="AI383">
        <v>2680</v>
      </c>
      <c r="AJ383" t="s">
        <v>1542</v>
      </c>
      <c r="AK383" t="s">
        <v>1094</v>
      </c>
      <c r="AL383" s="245">
        <f t="shared" si="46"/>
        <v>82723080.731997594</v>
      </c>
      <c r="AM383" s="245">
        <f t="shared" si="47"/>
        <v>165720421.19794321</v>
      </c>
      <c r="AN383" s="245">
        <f t="shared" si="48"/>
        <v>0</v>
      </c>
      <c r="AO383" s="245">
        <f t="shared" si="49"/>
        <v>13554079.999999199</v>
      </c>
      <c r="AP383" s="176"/>
      <c r="AQ383" s="176"/>
      <c r="AR383">
        <v>2680</v>
      </c>
      <c r="AS383" t="s">
        <v>1542</v>
      </c>
      <c r="AT383" t="s">
        <v>1094</v>
      </c>
      <c r="AU383" s="176">
        <v>16345063.822199</v>
      </c>
      <c r="AW383">
        <v>2680</v>
      </c>
      <c r="AX383" t="s">
        <v>1542</v>
      </c>
      <c r="AY383" t="s">
        <v>1094</v>
      </c>
      <c r="AZ383" s="176">
        <v>8157181.2844420001</v>
      </c>
      <c r="BA383" s="342" t="str">
        <f t="shared" si="52"/>
        <v/>
      </c>
      <c r="BB383">
        <v>2680</v>
      </c>
      <c r="BC383" t="s">
        <v>1542</v>
      </c>
      <c r="BD383" t="s">
        <v>1094</v>
      </c>
      <c r="BE383" s="243">
        <f t="shared" si="53"/>
        <v>22870808.849752601</v>
      </c>
    </row>
    <row r="384" spans="1:57">
      <c r="A384">
        <v>2680</v>
      </c>
      <c r="B384" t="s">
        <v>1542</v>
      </c>
      <c r="C384" t="s">
        <v>1968</v>
      </c>
      <c r="D384" s="176">
        <v>3431266.245538</v>
      </c>
      <c r="E384">
        <v>0</v>
      </c>
      <c r="G384">
        <v>2680</v>
      </c>
      <c r="H384" t="s">
        <v>1542</v>
      </c>
      <c r="I384" t="s">
        <v>1968</v>
      </c>
      <c r="J384" s="176">
        <v>261648.74444400001</v>
      </c>
      <c r="K384">
        <v>0</v>
      </c>
      <c r="L384" s="342" t="str">
        <f t="shared" si="50"/>
        <v/>
      </c>
      <c r="M384">
        <v>2680</v>
      </c>
      <c r="N384" t="s">
        <v>1542</v>
      </c>
      <c r="O384" t="s">
        <v>1968</v>
      </c>
      <c r="P384" s="243">
        <f t="shared" si="51"/>
        <v>3640585.2410932002</v>
      </c>
      <c r="S384">
        <v>2680</v>
      </c>
      <c r="T384" t="s">
        <v>1542</v>
      </c>
      <c r="U384" t="s">
        <v>1968</v>
      </c>
      <c r="V384" s="176">
        <v>5193218.8888879996</v>
      </c>
      <c r="W384" s="176">
        <v>22265280.869984001</v>
      </c>
      <c r="X384">
        <v>0</v>
      </c>
      <c r="Y384" s="176">
        <v>0</v>
      </c>
      <c r="Z384" s="176"/>
      <c r="AA384">
        <v>2680</v>
      </c>
      <c r="AB384" s="176" t="s">
        <v>1542</v>
      </c>
      <c r="AC384" s="176" t="s">
        <v>1968</v>
      </c>
      <c r="AD384" s="176">
        <v>5193218.8888879996</v>
      </c>
      <c r="AE384" s="176">
        <v>22265280.869984001</v>
      </c>
      <c r="AF384">
        <v>0</v>
      </c>
      <c r="AG384" s="176">
        <v>0</v>
      </c>
      <c r="AH384" s="342" t="str">
        <f t="shared" si="45"/>
        <v/>
      </c>
      <c r="AI384">
        <v>2680</v>
      </c>
      <c r="AJ384" t="s">
        <v>1542</v>
      </c>
      <c r="AK384" t="s">
        <v>1968</v>
      </c>
      <c r="AL384" s="245">
        <f t="shared" si="46"/>
        <v>9347793.9999984</v>
      </c>
      <c r="AM384" s="245">
        <f t="shared" si="47"/>
        <v>40077505.565971203</v>
      </c>
      <c r="AN384" s="245">
        <f t="shared" si="48"/>
        <v>0</v>
      </c>
      <c r="AO384" s="245">
        <f t="shared" si="49"/>
        <v>0</v>
      </c>
      <c r="AP384" s="176"/>
      <c r="AQ384" s="176"/>
      <c r="AR384">
        <v>2680</v>
      </c>
      <c r="AS384" t="s">
        <v>1542</v>
      </c>
      <c r="AT384" t="s">
        <v>1968</v>
      </c>
      <c r="AU384" s="176">
        <v>61316.145555000003</v>
      </c>
      <c r="AW384">
        <v>2680</v>
      </c>
      <c r="AX384" t="s">
        <v>1542</v>
      </c>
      <c r="AY384" t="s">
        <v>1968</v>
      </c>
      <c r="AZ384" s="176">
        <v>0</v>
      </c>
      <c r="BA384" s="342" t="str">
        <f t="shared" si="52"/>
        <v/>
      </c>
      <c r="BB384">
        <v>2680</v>
      </c>
      <c r="BC384" t="s">
        <v>1542</v>
      </c>
      <c r="BD384" t="s">
        <v>1968</v>
      </c>
      <c r="BE384" s="243">
        <f t="shared" si="53"/>
        <v>61316.145555000003</v>
      </c>
    </row>
    <row r="385" spans="1:57">
      <c r="A385">
        <v>3000</v>
      </c>
      <c r="B385" t="s">
        <v>319</v>
      </c>
      <c r="C385" t="s">
        <v>1125</v>
      </c>
      <c r="D385" s="176">
        <v>269276915.50216001</v>
      </c>
      <c r="E385">
        <v>0</v>
      </c>
      <c r="G385">
        <v>3000</v>
      </c>
      <c r="H385" t="s">
        <v>319</v>
      </c>
      <c r="I385" t="s">
        <v>1125</v>
      </c>
      <c r="J385" s="176">
        <v>168472219.14664999</v>
      </c>
      <c r="K385">
        <v>0</v>
      </c>
      <c r="L385" s="342" t="str">
        <f t="shared" si="50"/>
        <v/>
      </c>
      <c r="M385">
        <v>3000</v>
      </c>
      <c r="N385" t="s">
        <v>319</v>
      </c>
      <c r="O385" t="s">
        <v>1125</v>
      </c>
      <c r="P385" s="243">
        <f t="shared" si="51"/>
        <v>404054690.81948</v>
      </c>
      <c r="S385">
        <v>3000</v>
      </c>
      <c r="T385" t="s">
        <v>319</v>
      </c>
      <c r="U385" t="s">
        <v>1125</v>
      </c>
      <c r="V385" s="176">
        <v>129740517.74555101</v>
      </c>
      <c r="W385" s="176">
        <v>363275185.518857</v>
      </c>
      <c r="X385" s="176">
        <v>0</v>
      </c>
      <c r="Y385" s="176">
        <v>88772672.222221002</v>
      </c>
      <c r="Z385" s="176"/>
      <c r="AA385">
        <v>3000</v>
      </c>
      <c r="AB385" s="176" t="s">
        <v>319</v>
      </c>
      <c r="AC385" s="176" t="s">
        <v>1125</v>
      </c>
      <c r="AD385" s="176">
        <v>129740517.74555101</v>
      </c>
      <c r="AE385" s="176">
        <v>363275185.518857</v>
      </c>
      <c r="AF385">
        <v>0</v>
      </c>
      <c r="AG385" s="176">
        <v>88772672.222221002</v>
      </c>
      <c r="AH385" s="342" t="str">
        <f t="shared" si="45"/>
        <v/>
      </c>
      <c r="AI385">
        <v>3000</v>
      </c>
      <c r="AJ385" t="s">
        <v>319</v>
      </c>
      <c r="AK385" t="s">
        <v>1125</v>
      </c>
      <c r="AL385" s="245">
        <f t="shared" si="46"/>
        <v>233532931.94199181</v>
      </c>
      <c r="AM385" s="245">
        <f t="shared" si="47"/>
        <v>653895333.93394256</v>
      </c>
      <c r="AN385" s="245">
        <f t="shared" si="48"/>
        <v>0</v>
      </c>
      <c r="AO385" s="245">
        <f t="shared" si="49"/>
        <v>159790809.99999779</v>
      </c>
      <c r="AP385" s="176"/>
      <c r="AQ385" s="176"/>
      <c r="AR385">
        <v>3000</v>
      </c>
      <c r="AS385" t="s">
        <v>319</v>
      </c>
      <c r="AT385" t="s">
        <v>1125</v>
      </c>
      <c r="AU385" s="176">
        <v>91774153.634432003</v>
      </c>
      <c r="AW385">
        <v>3000</v>
      </c>
      <c r="AX385" t="s">
        <v>319</v>
      </c>
      <c r="AY385" t="s">
        <v>1125</v>
      </c>
      <c r="AZ385" s="176">
        <v>19579744.397775002</v>
      </c>
      <c r="BA385" s="342" t="str">
        <f t="shared" si="52"/>
        <v/>
      </c>
      <c r="BB385">
        <v>3000</v>
      </c>
      <c r="BC385" t="s">
        <v>319</v>
      </c>
      <c r="BD385" t="s">
        <v>1125</v>
      </c>
      <c r="BE385" s="243">
        <f t="shared" si="53"/>
        <v>107437949.15265201</v>
      </c>
    </row>
    <row r="386" spans="1:57">
      <c r="A386">
        <v>3000</v>
      </c>
      <c r="B386" t="s">
        <v>319</v>
      </c>
      <c r="C386" t="s">
        <v>1572</v>
      </c>
      <c r="D386" s="176">
        <v>179453989.96329299</v>
      </c>
      <c r="E386">
        <v>0</v>
      </c>
      <c r="G386">
        <v>3000</v>
      </c>
      <c r="H386" t="s">
        <v>319</v>
      </c>
      <c r="I386" t="s">
        <v>1572</v>
      </c>
      <c r="J386" s="176">
        <v>70739663.563321993</v>
      </c>
      <c r="K386">
        <v>0</v>
      </c>
      <c r="L386" s="342" t="str">
        <f t="shared" si="50"/>
        <v/>
      </c>
      <c r="M386">
        <v>3000</v>
      </c>
      <c r="N386" t="s">
        <v>319</v>
      </c>
      <c r="O386" t="s">
        <v>1572</v>
      </c>
      <c r="P386" s="243">
        <f t="shared" si="51"/>
        <v>236045720.8139506</v>
      </c>
      <c r="S386">
        <v>3000</v>
      </c>
      <c r="T386" t="s">
        <v>319</v>
      </c>
      <c r="U386" t="s">
        <v>1572</v>
      </c>
      <c r="V386" s="176">
        <v>44244877.368886001</v>
      </c>
      <c r="W386" s="176">
        <v>148129313.60219899</v>
      </c>
      <c r="X386" s="176">
        <v>0</v>
      </c>
      <c r="Y386" s="176">
        <v>22054742.69111</v>
      </c>
      <c r="Z386" s="176"/>
      <c r="AA386">
        <v>3000</v>
      </c>
      <c r="AB386" s="176" t="s">
        <v>319</v>
      </c>
      <c r="AC386" s="176" t="s">
        <v>1572</v>
      </c>
      <c r="AD386" s="176">
        <v>44244877.368886001</v>
      </c>
      <c r="AE386" s="176">
        <v>148129313.60219899</v>
      </c>
      <c r="AF386" s="176">
        <v>0</v>
      </c>
      <c r="AG386" s="176">
        <v>22054742.69111</v>
      </c>
      <c r="AH386" s="342" t="str">
        <f t="shared" si="45"/>
        <v/>
      </c>
      <c r="AI386">
        <v>3000</v>
      </c>
      <c r="AJ386" t="s">
        <v>319</v>
      </c>
      <c r="AK386" t="s">
        <v>1572</v>
      </c>
      <c r="AL386" s="245">
        <f t="shared" si="46"/>
        <v>79640779.263994813</v>
      </c>
      <c r="AM386" s="245">
        <f t="shared" si="47"/>
        <v>266632764.48395818</v>
      </c>
      <c r="AN386" s="245">
        <f t="shared" si="48"/>
        <v>0</v>
      </c>
      <c r="AO386" s="245">
        <f t="shared" si="49"/>
        <v>39698536.843998</v>
      </c>
      <c r="AP386" s="176"/>
      <c r="AQ386" s="176"/>
      <c r="AR386">
        <v>3000</v>
      </c>
      <c r="AS386" t="s">
        <v>319</v>
      </c>
      <c r="AT386" t="s">
        <v>1572</v>
      </c>
      <c r="AU386" s="176">
        <v>11869880.797775</v>
      </c>
      <c r="AW386">
        <v>3000</v>
      </c>
      <c r="AX386" t="s">
        <v>319</v>
      </c>
      <c r="AY386" t="s">
        <v>1572</v>
      </c>
      <c r="AZ386" s="176">
        <v>3937408.7244440001</v>
      </c>
      <c r="BA386" s="342" t="str">
        <f t="shared" si="52"/>
        <v/>
      </c>
      <c r="BB386">
        <v>3000</v>
      </c>
      <c r="BC386" t="s">
        <v>319</v>
      </c>
      <c r="BD386" t="s">
        <v>1572</v>
      </c>
      <c r="BE386" s="243">
        <f t="shared" si="53"/>
        <v>15019807.777330201</v>
      </c>
    </row>
    <row r="387" spans="1:57">
      <c r="A387">
        <v>3000</v>
      </c>
      <c r="B387" t="s">
        <v>319</v>
      </c>
      <c r="C387" t="s">
        <v>1755</v>
      </c>
      <c r="D387" s="176">
        <v>55865194.812182002</v>
      </c>
      <c r="E387">
        <v>0</v>
      </c>
      <c r="G387">
        <v>3000</v>
      </c>
      <c r="H387" t="s">
        <v>319</v>
      </c>
      <c r="I387" t="s">
        <v>1755</v>
      </c>
      <c r="J387" s="176">
        <v>15261750.362214999</v>
      </c>
      <c r="K387">
        <v>0</v>
      </c>
      <c r="L387" s="342" t="str">
        <f t="shared" si="50"/>
        <v/>
      </c>
      <c r="M387">
        <v>3000</v>
      </c>
      <c r="N387" t="s">
        <v>319</v>
      </c>
      <c r="O387" t="s">
        <v>1755</v>
      </c>
      <c r="P387" s="243">
        <f t="shared" si="51"/>
        <v>68074595.101953998</v>
      </c>
      <c r="S387">
        <v>3000</v>
      </c>
      <c r="T387" t="s">
        <v>319</v>
      </c>
      <c r="U387" t="s">
        <v>1755</v>
      </c>
      <c r="V387" s="176">
        <v>49678384.724441998</v>
      </c>
      <c r="W387" s="176">
        <v>162478109.46553501</v>
      </c>
      <c r="X387" s="176">
        <v>2650880</v>
      </c>
      <c r="Y387" s="176">
        <v>11657524.671111001</v>
      </c>
      <c r="Z387" s="176"/>
      <c r="AA387">
        <v>3000</v>
      </c>
      <c r="AB387" s="176" t="s">
        <v>319</v>
      </c>
      <c r="AC387" s="176" t="s">
        <v>1755</v>
      </c>
      <c r="AD387" s="176">
        <v>49678384.724441998</v>
      </c>
      <c r="AE387" s="176">
        <v>162478109.46553501</v>
      </c>
      <c r="AF387" s="176">
        <v>2650880</v>
      </c>
      <c r="AG387" s="176">
        <v>11657524.671111001</v>
      </c>
      <c r="AH387" s="342" t="str">
        <f t="shared" si="45"/>
        <v/>
      </c>
      <c r="AI387">
        <v>3000</v>
      </c>
      <c r="AJ387" t="s">
        <v>319</v>
      </c>
      <c r="AK387" t="s">
        <v>1755</v>
      </c>
      <c r="AL387" s="245">
        <f t="shared" si="46"/>
        <v>89421092.503995597</v>
      </c>
      <c r="AM387" s="245">
        <f t="shared" si="47"/>
        <v>292460597.03796303</v>
      </c>
      <c r="AN387" s="245">
        <f t="shared" si="48"/>
        <v>4771584</v>
      </c>
      <c r="AO387" s="245">
        <f t="shared" si="49"/>
        <v>20983544.407999802</v>
      </c>
      <c r="AP387" s="176"/>
      <c r="AQ387" s="176"/>
      <c r="AR387">
        <v>3000</v>
      </c>
      <c r="AS387" t="s">
        <v>319</v>
      </c>
      <c r="AT387" t="s">
        <v>1755</v>
      </c>
      <c r="AU387" s="176">
        <v>2543072.8266650001</v>
      </c>
      <c r="AW387">
        <v>3000</v>
      </c>
      <c r="AX387" t="s">
        <v>319</v>
      </c>
      <c r="AY387" t="s">
        <v>1755</v>
      </c>
      <c r="AZ387" s="176">
        <v>0</v>
      </c>
      <c r="BA387" s="342" t="str">
        <f t="shared" si="52"/>
        <v/>
      </c>
      <c r="BB387">
        <v>3000</v>
      </c>
      <c r="BC387" t="s">
        <v>319</v>
      </c>
      <c r="BD387" t="s">
        <v>1755</v>
      </c>
      <c r="BE387" s="243">
        <f t="shared" si="53"/>
        <v>2543072.8266650001</v>
      </c>
    </row>
    <row r="388" spans="1:57">
      <c r="A388">
        <v>3000</v>
      </c>
      <c r="B388" t="s">
        <v>319</v>
      </c>
      <c r="C388" t="s">
        <v>1129</v>
      </c>
      <c r="D388" s="176">
        <v>160443216.99320701</v>
      </c>
      <c r="E388">
        <v>0</v>
      </c>
      <c r="G388">
        <v>3000</v>
      </c>
      <c r="H388" t="s">
        <v>319</v>
      </c>
      <c r="I388" t="s">
        <v>1129</v>
      </c>
      <c r="J388" s="176">
        <v>137931271.17554</v>
      </c>
      <c r="K388">
        <v>0</v>
      </c>
      <c r="L388" s="342" t="str">
        <f t="shared" si="50"/>
        <v/>
      </c>
      <c r="M388">
        <v>3000</v>
      </c>
      <c r="N388" t="s">
        <v>319</v>
      </c>
      <c r="O388" t="s">
        <v>1129</v>
      </c>
      <c r="P388" s="243">
        <f t="shared" si="51"/>
        <v>270788233.93363905</v>
      </c>
      <c r="S388">
        <v>3000</v>
      </c>
      <c r="T388" t="s">
        <v>319</v>
      </c>
      <c r="U388" t="s">
        <v>1129</v>
      </c>
      <c r="V388" s="176">
        <v>92004019.711106002</v>
      </c>
      <c r="W388" s="176">
        <v>343472083.67884499</v>
      </c>
      <c r="X388" s="176">
        <v>0</v>
      </c>
      <c r="Y388" s="176">
        <v>26837895.833330002</v>
      </c>
      <c r="Z388" s="176"/>
      <c r="AA388">
        <v>3000</v>
      </c>
      <c r="AB388" s="176" t="s">
        <v>319</v>
      </c>
      <c r="AC388" s="176" t="s">
        <v>1129</v>
      </c>
      <c r="AD388" s="176">
        <v>92004019.711106002</v>
      </c>
      <c r="AE388" s="176">
        <v>343472083.67884499</v>
      </c>
      <c r="AF388" s="176">
        <v>0</v>
      </c>
      <c r="AG388" s="176">
        <v>26837895.833330002</v>
      </c>
      <c r="AH388" s="342" t="str">
        <f t="shared" ref="AH388:AH451" si="54">IF(AND(M388 = S388, O388 = U388), "", "ATT")</f>
        <v/>
      </c>
      <c r="AI388">
        <v>3000</v>
      </c>
      <c r="AJ388" t="s">
        <v>319</v>
      </c>
      <c r="AK388" t="s">
        <v>1129</v>
      </c>
      <c r="AL388" s="245">
        <f t="shared" ref="AL388:AL451" si="55">V388+(AD388*0.8)</f>
        <v>165607235.47999081</v>
      </c>
      <c r="AM388" s="245">
        <f t="shared" ref="AM388:AM451" si="56">W388+(AE388*0.8)</f>
        <v>618249750.62192106</v>
      </c>
      <c r="AN388" s="245">
        <f t="shared" ref="AN388:AN451" si="57">X388+(AF388*0.8)</f>
        <v>0</v>
      </c>
      <c r="AO388" s="245">
        <f t="shared" ref="AO388:AO451" si="58">Y388+(AG388*0.8)</f>
        <v>48308212.49999401</v>
      </c>
      <c r="AP388" s="176"/>
      <c r="AQ388" s="176"/>
      <c r="AR388">
        <v>3000</v>
      </c>
      <c r="AS388" t="s">
        <v>319</v>
      </c>
      <c r="AT388" t="s">
        <v>1129</v>
      </c>
      <c r="AU388" s="176">
        <v>23194213.564436</v>
      </c>
      <c r="AW388">
        <v>3000</v>
      </c>
      <c r="AX388" t="s">
        <v>319</v>
      </c>
      <c r="AY388" t="s">
        <v>1129</v>
      </c>
      <c r="AZ388" s="176">
        <v>6012791.4377769995</v>
      </c>
      <c r="BA388" s="342" t="str">
        <f t="shared" si="52"/>
        <v/>
      </c>
      <c r="BB388">
        <v>3000</v>
      </c>
      <c r="BC388" t="s">
        <v>319</v>
      </c>
      <c r="BD388" t="s">
        <v>1129</v>
      </c>
      <c r="BE388" s="243">
        <f t="shared" si="53"/>
        <v>28004446.714657601</v>
      </c>
    </row>
    <row r="389" spans="1:57">
      <c r="A389">
        <v>3010</v>
      </c>
      <c r="B389" t="s">
        <v>320</v>
      </c>
      <c r="C389" t="s">
        <v>1135</v>
      </c>
      <c r="D389" s="176">
        <v>99191100.851080999</v>
      </c>
      <c r="E389">
        <v>0</v>
      </c>
      <c r="G389">
        <v>3010</v>
      </c>
      <c r="H389" t="s">
        <v>320</v>
      </c>
      <c r="I389" t="s">
        <v>1135</v>
      </c>
      <c r="J389" s="176">
        <v>52180855.595544003</v>
      </c>
      <c r="K389">
        <v>0</v>
      </c>
      <c r="L389" s="342" t="str">
        <f t="shared" ref="L389:L452" si="59">IF(AND(A389 = G389, C389 = I389), "", "ATT")</f>
        <v/>
      </c>
      <c r="M389">
        <v>3010</v>
      </c>
      <c r="N389" t="s">
        <v>320</v>
      </c>
      <c r="O389" t="s">
        <v>1135</v>
      </c>
      <c r="P389" s="243">
        <f t="shared" ref="P389:P452" si="60">D389+(J389*0.8)</f>
        <v>140935785.3275162</v>
      </c>
      <c r="S389">
        <v>3010</v>
      </c>
      <c r="T389" t="s">
        <v>320</v>
      </c>
      <c r="U389" t="s">
        <v>1135</v>
      </c>
      <c r="V389" s="176">
        <v>11726274.33</v>
      </c>
      <c r="W389" s="176">
        <v>36407823.888879001</v>
      </c>
      <c r="X389" s="176">
        <v>0</v>
      </c>
      <c r="Y389" s="176">
        <v>31114978.333330002</v>
      </c>
      <c r="Z389" s="176"/>
      <c r="AA389">
        <v>3010</v>
      </c>
      <c r="AB389" s="176" t="s">
        <v>320</v>
      </c>
      <c r="AC389" s="176" t="s">
        <v>1135</v>
      </c>
      <c r="AD389" s="176">
        <v>11726274.33</v>
      </c>
      <c r="AE389" s="176">
        <v>36407823.888879001</v>
      </c>
      <c r="AF389">
        <v>0</v>
      </c>
      <c r="AG389" s="176">
        <v>31114978.333330002</v>
      </c>
      <c r="AH389" s="342" t="str">
        <f t="shared" si="54"/>
        <v/>
      </c>
      <c r="AI389">
        <v>3010</v>
      </c>
      <c r="AJ389" t="s">
        <v>320</v>
      </c>
      <c r="AK389" t="s">
        <v>1135</v>
      </c>
      <c r="AL389" s="245">
        <f t="shared" si="55"/>
        <v>21107293.794</v>
      </c>
      <c r="AM389" s="245">
        <f t="shared" si="56"/>
        <v>65534082.999982208</v>
      </c>
      <c r="AN389" s="245">
        <f t="shared" si="57"/>
        <v>0</v>
      </c>
      <c r="AO389" s="245">
        <f t="shared" si="58"/>
        <v>56006960.99999401</v>
      </c>
      <c r="AP389" s="176"/>
      <c r="AQ389" s="176"/>
      <c r="AR389">
        <v>3010</v>
      </c>
      <c r="AS389" t="s">
        <v>320</v>
      </c>
      <c r="AT389" t="s">
        <v>1135</v>
      </c>
      <c r="AU389" s="176">
        <v>13898078.796664</v>
      </c>
      <c r="AW389">
        <v>3010</v>
      </c>
      <c r="AX389" t="s">
        <v>320</v>
      </c>
      <c r="AY389" t="s">
        <v>1135</v>
      </c>
      <c r="AZ389" s="176">
        <v>2015585.6466649999</v>
      </c>
      <c r="BA389" s="342" t="str">
        <f t="shared" ref="BA389:BA452" si="61">IF(AND(AR389 = AW389, AT389 = AY389), "", "ATT")</f>
        <v/>
      </c>
      <c r="BB389">
        <v>3010</v>
      </c>
      <c r="BC389" t="s">
        <v>320</v>
      </c>
      <c r="BD389" t="s">
        <v>1135</v>
      </c>
      <c r="BE389" s="243">
        <f t="shared" ref="BE389:BE452" si="62">AU389+(0.8*AZ389)</f>
        <v>15510547.313996</v>
      </c>
    </row>
    <row r="390" spans="1:57">
      <c r="A390">
        <v>3010</v>
      </c>
      <c r="B390" t="s">
        <v>320</v>
      </c>
      <c r="C390" t="s">
        <v>1126</v>
      </c>
      <c r="D390" s="176">
        <v>339530838.23097402</v>
      </c>
      <c r="E390">
        <v>0</v>
      </c>
      <c r="G390">
        <v>3010</v>
      </c>
      <c r="H390" t="s">
        <v>320</v>
      </c>
      <c r="I390" t="s">
        <v>1126</v>
      </c>
      <c r="J390" s="176">
        <v>305210912.65440398</v>
      </c>
      <c r="K390">
        <v>0</v>
      </c>
      <c r="L390" s="342" t="str">
        <f t="shared" si="59"/>
        <v/>
      </c>
      <c r="M390">
        <v>3010</v>
      </c>
      <c r="N390" t="s">
        <v>320</v>
      </c>
      <c r="O390" t="s">
        <v>1126</v>
      </c>
      <c r="P390" s="243">
        <f t="shared" si="60"/>
        <v>583699568.35449719</v>
      </c>
      <c r="S390">
        <v>3010</v>
      </c>
      <c r="T390" t="s">
        <v>320</v>
      </c>
      <c r="U390" t="s">
        <v>1126</v>
      </c>
      <c r="V390" s="176">
        <v>68898887.196665004</v>
      </c>
      <c r="W390" s="176">
        <v>358381879.05659598</v>
      </c>
      <c r="X390">
        <v>6000000</v>
      </c>
      <c r="Y390" s="176">
        <v>478976113.70998102</v>
      </c>
      <c r="Z390" s="176"/>
      <c r="AA390">
        <v>3010</v>
      </c>
      <c r="AB390" s="176" t="s">
        <v>320</v>
      </c>
      <c r="AC390" s="176" t="s">
        <v>1126</v>
      </c>
      <c r="AD390" s="176">
        <v>68898887.196665004</v>
      </c>
      <c r="AE390" s="176">
        <v>358381879.05659598</v>
      </c>
      <c r="AF390">
        <v>6000000</v>
      </c>
      <c r="AG390" s="176">
        <v>478976113.70998102</v>
      </c>
      <c r="AH390" s="342" t="str">
        <f t="shared" si="54"/>
        <v/>
      </c>
      <c r="AI390">
        <v>3010</v>
      </c>
      <c r="AJ390" t="s">
        <v>320</v>
      </c>
      <c r="AK390" t="s">
        <v>1126</v>
      </c>
      <c r="AL390" s="245">
        <f t="shared" si="55"/>
        <v>124017996.95399702</v>
      </c>
      <c r="AM390" s="245">
        <f t="shared" si="56"/>
        <v>645087382.30187273</v>
      </c>
      <c r="AN390" s="245">
        <f t="shared" si="57"/>
        <v>10800000</v>
      </c>
      <c r="AO390" s="245">
        <f t="shared" si="58"/>
        <v>862157004.67796588</v>
      </c>
      <c r="AP390" s="176"/>
      <c r="AQ390" s="176"/>
      <c r="AR390">
        <v>3010</v>
      </c>
      <c r="AS390" t="s">
        <v>320</v>
      </c>
      <c r="AT390" t="s">
        <v>1126</v>
      </c>
      <c r="AU390" s="176">
        <v>13412459.682209</v>
      </c>
      <c r="AW390">
        <v>3010</v>
      </c>
      <c r="AX390" t="s">
        <v>320</v>
      </c>
      <c r="AY390" t="s">
        <v>1126</v>
      </c>
      <c r="AZ390" s="176">
        <v>11642560.51444</v>
      </c>
      <c r="BA390" s="342" t="str">
        <f t="shared" si="61"/>
        <v/>
      </c>
      <c r="BB390">
        <v>3010</v>
      </c>
      <c r="BC390" t="s">
        <v>320</v>
      </c>
      <c r="BD390" t="s">
        <v>1126</v>
      </c>
      <c r="BE390" s="243">
        <f t="shared" si="62"/>
        <v>22726508.093761001</v>
      </c>
    </row>
    <row r="391" spans="1:57">
      <c r="A391">
        <v>3010</v>
      </c>
      <c r="B391" t="s">
        <v>320</v>
      </c>
      <c r="C391" t="s">
        <v>1969</v>
      </c>
      <c r="D391" s="176">
        <v>128517428.795514</v>
      </c>
      <c r="E391">
        <v>0</v>
      </c>
      <c r="G391">
        <v>3010</v>
      </c>
      <c r="H391" t="s">
        <v>320</v>
      </c>
      <c r="I391" t="s">
        <v>1969</v>
      </c>
      <c r="J391" s="176">
        <v>49157380.669987001</v>
      </c>
      <c r="K391">
        <v>0</v>
      </c>
      <c r="L391" s="342" t="str">
        <f t="shared" si="59"/>
        <v/>
      </c>
      <c r="M391">
        <v>3010</v>
      </c>
      <c r="N391" t="s">
        <v>320</v>
      </c>
      <c r="O391" t="s">
        <v>1969</v>
      </c>
      <c r="P391" s="243">
        <f t="shared" si="60"/>
        <v>167843333.3315036</v>
      </c>
      <c r="S391">
        <v>3010</v>
      </c>
      <c r="T391" t="s">
        <v>320</v>
      </c>
      <c r="U391" t="s">
        <v>1969</v>
      </c>
      <c r="V391" s="176">
        <v>30062562.920000002</v>
      </c>
      <c r="W391" s="176">
        <v>108013143.76553699</v>
      </c>
      <c r="X391" s="176">
        <v>0</v>
      </c>
      <c r="Y391" s="176">
        <v>143152623.16332901</v>
      </c>
      <c r="Z391" s="176"/>
      <c r="AA391">
        <v>3010</v>
      </c>
      <c r="AB391" s="176" t="s">
        <v>320</v>
      </c>
      <c r="AC391" s="176" t="s">
        <v>1969</v>
      </c>
      <c r="AD391" s="176">
        <v>30062562.920000002</v>
      </c>
      <c r="AE391" s="176">
        <v>108013143.76553699</v>
      </c>
      <c r="AF391" s="176">
        <v>0</v>
      </c>
      <c r="AG391" s="176">
        <v>143152623.16332901</v>
      </c>
      <c r="AH391" s="342" t="str">
        <f t="shared" si="54"/>
        <v/>
      </c>
      <c r="AI391">
        <v>3010</v>
      </c>
      <c r="AJ391" t="s">
        <v>320</v>
      </c>
      <c r="AK391" t="s">
        <v>1969</v>
      </c>
      <c r="AL391" s="245">
        <f t="shared" si="55"/>
        <v>54112613.256000005</v>
      </c>
      <c r="AM391" s="245">
        <f t="shared" si="56"/>
        <v>194423658.77796659</v>
      </c>
      <c r="AN391" s="245">
        <f t="shared" si="57"/>
        <v>0</v>
      </c>
      <c r="AO391" s="245">
        <f t="shared" si="58"/>
        <v>257674721.6939922</v>
      </c>
      <c r="AP391" s="176"/>
      <c r="AQ391" s="176"/>
      <c r="AR391">
        <v>3010</v>
      </c>
      <c r="AS391" t="s">
        <v>320</v>
      </c>
      <c r="AT391" t="s">
        <v>1969</v>
      </c>
      <c r="AU391" s="176">
        <v>865003.75888700003</v>
      </c>
      <c r="AW391">
        <v>3010</v>
      </c>
      <c r="AX391" t="s">
        <v>320</v>
      </c>
      <c r="AY391" t="s">
        <v>1969</v>
      </c>
      <c r="AZ391" s="176">
        <v>1727096.7944420001</v>
      </c>
      <c r="BA391" s="342" t="str">
        <f t="shared" si="61"/>
        <v/>
      </c>
      <c r="BB391">
        <v>3010</v>
      </c>
      <c r="BC391" t="s">
        <v>320</v>
      </c>
      <c r="BD391" t="s">
        <v>1969</v>
      </c>
      <c r="BE391" s="243">
        <f t="shared" si="62"/>
        <v>2246681.1944406</v>
      </c>
    </row>
    <row r="392" spans="1:57">
      <c r="A392">
        <v>3020</v>
      </c>
      <c r="B392" t="s">
        <v>321</v>
      </c>
      <c r="C392" t="s">
        <v>1573</v>
      </c>
      <c r="D392" s="176">
        <v>423421621.395459</v>
      </c>
      <c r="E392">
        <v>0</v>
      </c>
      <c r="G392">
        <v>3020</v>
      </c>
      <c r="H392" t="s">
        <v>321</v>
      </c>
      <c r="I392" t="s">
        <v>1573</v>
      </c>
      <c r="J392" s="176">
        <v>77980002.754433006</v>
      </c>
      <c r="K392">
        <v>0</v>
      </c>
      <c r="L392" s="342" t="str">
        <f t="shared" si="59"/>
        <v/>
      </c>
      <c r="M392">
        <v>3020</v>
      </c>
      <c r="N392" t="s">
        <v>321</v>
      </c>
      <c r="O392" t="s">
        <v>1573</v>
      </c>
      <c r="P392" s="243">
        <f t="shared" si="60"/>
        <v>485805623.5990054</v>
      </c>
      <c r="S392">
        <v>3020</v>
      </c>
      <c r="T392" t="s">
        <v>321</v>
      </c>
      <c r="U392" t="s">
        <v>1573</v>
      </c>
      <c r="V392" s="176">
        <v>50467438.799997002</v>
      </c>
      <c r="W392" s="176">
        <v>185495440.14329299</v>
      </c>
      <c r="X392" s="176">
        <v>0</v>
      </c>
      <c r="Y392" s="176">
        <v>34616884.555554003</v>
      </c>
      <c r="Z392" s="176"/>
      <c r="AA392">
        <v>3020</v>
      </c>
      <c r="AB392" s="176" t="s">
        <v>321</v>
      </c>
      <c r="AC392" s="176" t="s">
        <v>1573</v>
      </c>
      <c r="AD392" s="176">
        <v>50467438.799997002</v>
      </c>
      <c r="AE392" s="176">
        <v>185495440.14329299</v>
      </c>
      <c r="AF392">
        <v>0</v>
      </c>
      <c r="AG392" s="176">
        <v>34616884.555554003</v>
      </c>
      <c r="AH392" s="342" t="str">
        <f t="shared" si="54"/>
        <v/>
      </c>
      <c r="AI392">
        <v>3020</v>
      </c>
      <c r="AJ392" t="s">
        <v>321</v>
      </c>
      <c r="AK392" t="s">
        <v>1573</v>
      </c>
      <c r="AL392" s="245">
        <f t="shared" si="55"/>
        <v>90841389.839994609</v>
      </c>
      <c r="AM392" s="245">
        <f t="shared" si="56"/>
        <v>333891792.25792742</v>
      </c>
      <c r="AN392" s="245">
        <f t="shared" si="57"/>
        <v>0</v>
      </c>
      <c r="AO392" s="245">
        <f t="shared" si="58"/>
        <v>62310392.199997202</v>
      </c>
      <c r="AP392" s="176"/>
      <c r="AQ392" s="176"/>
      <c r="AR392">
        <v>3020</v>
      </c>
      <c r="AS392" t="s">
        <v>321</v>
      </c>
      <c r="AT392" t="s">
        <v>1573</v>
      </c>
      <c r="AU392" s="176">
        <v>46524831.918869004</v>
      </c>
      <c r="AW392">
        <v>3020</v>
      </c>
      <c r="AX392" t="s">
        <v>321</v>
      </c>
      <c r="AY392" t="s">
        <v>1573</v>
      </c>
      <c r="AZ392" s="176">
        <v>13004679.283330999</v>
      </c>
      <c r="BA392" s="342" t="str">
        <f t="shared" si="61"/>
        <v/>
      </c>
      <c r="BB392">
        <v>3020</v>
      </c>
      <c r="BC392" t="s">
        <v>321</v>
      </c>
      <c r="BD392" t="s">
        <v>1573</v>
      </c>
      <c r="BE392" s="243">
        <f t="shared" si="62"/>
        <v>56928575.345533803</v>
      </c>
    </row>
    <row r="393" spans="1:57">
      <c r="A393">
        <v>3020</v>
      </c>
      <c r="B393" t="s">
        <v>321</v>
      </c>
      <c r="C393" t="s">
        <v>1970</v>
      </c>
      <c r="D393" s="176">
        <v>157679753.814358</v>
      </c>
      <c r="E393">
        <v>0</v>
      </c>
      <c r="G393">
        <v>3020</v>
      </c>
      <c r="H393" t="s">
        <v>321</v>
      </c>
      <c r="I393" t="s">
        <v>1970</v>
      </c>
      <c r="J393" s="176">
        <v>75178141.296653003</v>
      </c>
      <c r="K393">
        <v>0</v>
      </c>
      <c r="L393" s="342" t="str">
        <f t="shared" si="59"/>
        <v/>
      </c>
      <c r="M393">
        <v>3020</v>
      </c>
      <c r="N393" t="s">
        <v>321</v>
      </c>
      <c r="O393" t="s">
        <v>1970</v>
      </c>
      <c r="P393" s="243">
        <f t="shared" si="60"/>
        <v>217822266.8516804</v>
      </c>
      <c r="S393">
        <v>3020</v>
      </c>
      <c r="T393" t="s">
        <v>321</v>
      </c>
      <c r="U393" t="s">
        <v>1970</v>
      </c>
      <c r="V393" s="176">
        <v>18609616.495554</v>
      </c>
      <c r="W393" s="176">
        <v>92928035.206649005</v>
      </c>
      <c r="X393" s="176">
        <v>700000</v>
      </c>
      <c r="Y393" s="176">
        <v>12491053.444443</v>
      </c>
      <c r="Z393" s="176"/>
      <c r="AA393">
        <v>3020</v>
      </c>
      <c r="AB393" s="176" t="s">
        <v>321</v>
      </c>
      <c r="AC393" s="176" t="s">
        <v>1970</v>
      </c>
      <c r="AD393" s="176">
        <v>18609616.495554</v>
      </c>
      <c r="AE393" s="176">
        <v>92928035.206649005</v>
      </c>
      <c r="AF393" s="176">
        <v>700000</v>
      </c>
      <c r="AG393" s="176">
        <v>12491053.444443</v>
      </c>
      <c r="AH393" s="342" t="str">
        <f t="shared" si="54"/>
        <v/>
      </c>
      <c r="AI393">
        <v>3020</v>
      </c>
      <c r="AJ393" t="s">
        <v>321</v>
      </c>
      <c r="AK393" t="s">
        <v>1970</v>
      </c>
      <c r="AL393" s="245">
        <f t="shared" si="55"/>
        <v>33497309.6919972</v>
      </c>
      <c r="AM393" s="245">
        <f t="shared" si="56"/>
        <v>167270463.37196821</v>
      </c>
      <c r="AN393" s="245">
        <f t="shared" si="57"/>
        <v>1260000</v>
      </c>
      <c r="AO393" s="245">
        <f t="shared" si="58"/>
        <v>22483896.199997403</v>
      </c>
      <c r="AP393" s="176"/>
      <c r="AQ393" s="176"/>
      <c r="AR393">
        <v>3020</v>
      </c>
      <c r="AS393" t="s">
        <v>321</v>
      </c>
      <c r="AT393" t="s">
        <v>1970</v>
      </c>
      <c r="AU393" s="176">
        <v>16552043.286657</v>
      </c>
      <c r="AW393">
        <v>3020</v>
      </c>
      <c r="AX393" t="s">
        <v>321</v>
      </c>
      <c r="AY393" t="s">
        <v>1970</v>
      </c>
      <c r="AZ393">
        <v>5044280.638886</v>
      </c>
      <c r="BA393" s="342" t="str">
        <f t="shared" si="61"/>
        <v/>
      </c>
      <c r="BB393">
        <v>3020</v>
      </c>
      <c r="BC393" t="s">
        <v>321</v>
      </c>
      <c r="BD393" t="s">
        <v>1970</v>
      </c>
      <c r="BE393" s="243">
        <f t="shared" si="62"/>
        <v>20587467.797765799</v>
      </c>
    </row>
    <row r="394" spans="1:57">
      <c r="A394">
        <v>3020</v>
      </c>
      <c r="B394" t="s">
        <v>321</v>
      </c>
      <c r="C394" t="s">
        <v>1756</v>
      </c>
      <c r="D394" s="176">
        <v>147460547.87436301</v>
      </c>
      <c r="E394">
        <v>0</v>
      </c>
      <c r="G394">
        <v>3020</v>
      </c>
      <c r="H394" t="s">
        <v>321</v>
      </c>
      <c r="I394" t="s">
        <v>1756</v>
      </c>
      <c r="J394" s="176">
        <v>38482340.496657997</v>
      </c>
      <c r="K394">
        <v>0</v>
      </c>
      <c r="L394" s="342" t="str">
        <f t="shared" si="59"/>
        <v/>
      </c>
      <c r="M394">
        <v>3020</v>
      </c>
      <c r="N394" t="s">
        <v>321</v>
      </c>
      <c r="O394" t="s">
        <v>1756</v>
      </c>
      <c r="P394" s="243">
        <f t="shared" si="60"/>
        <v>178246420.27168941</v>
      </c>
      <c r="S394">
        <v>3020</v>
      </c>
      <c r="T394" t="s">
        <v>321</v>
      </c>
      <c r="U394" t="s">
        <v>1756</v>
      </c>
      <c r="V394" s="176">
        <v>41292341.144444004</v>
      </c>
      <c r="W394" s="176">
        <v>96551864.068858996</v>
      </c>
      <c r="X394" s="176">
        <v>1000000</v>
      </c>
      <c r="Y394" s="176">
        <v>8369119.7199999997</v>
      </c>
      <c r="Z394" s="176"/>
      <c r="AA394">
        <v>3020</v>
      </c>
      <c r="AB394" s="176" t="s">
        <v>321</v>
      </c>
      <c r="AC394" s="176" t="s">
        <v>1756</v>
      </c>
      <c r="AD394" s="176">
        <v>41292341.144444004</v>
      </c>
      <c r="AE394" s="176">
        <v>96551864.068858996</v>
      </c>
      <c r="AF394" s="176">
        <v>1000000</v>
      </c>
      <c r="AG394" s="176">
        <v>8369119.7199999997</v>
      </c>
      <c r="AH394" s="342" t="str">
        <f t="shared" si="54"/>
        <v/>
      </c>
      <c r="AI394">
        <v>3020</v>
      </c>
      <c r="AJ394" t="s">
        <v>321</v>
      </c>
      <c r="AK394" t="s">
        <v>1756</v>
      </c>
      <c r="AL394" s="245">
        <f t="shared" si="55"/>
        <v>74326214.059999213</v>
      </c>
      <c r="AM394" s="245">
        <f t="shared" si="56"/>
        <v>173793355.32394618</v>
      </c>
      <c r="AN394" s="245">
        <f t="shared" si="57"/>
        <v>1800000</v>
      </c>
      <c r="AO394" s="245">
        <f t="shared" si="58"/>
        <v>15064415.495999999</v>
      </c>
      <c r="AP394" s="176"/>
      <c r="AQ394" s="176"/>
      <c r="AR394">
        <v>3020</v>
      </c>
      <c r="AS394" t="s">
        <v>321</v>
      </c>
      <c r="AT394" t="s">
        <v>1756</v>
      </c>
      <c r="AU394" s="176">
        <v>11567938.923322</v>
      </c>
      <c r="AW394">
        <v>3020</v>
      </c>
      <c r="AX394" t="s">
        <v>321</v>
      </c>
      <c r="AY394" t="s">
        <v>1756</v>
      </c>
      <c r="AZ394" s="176">
        <v>19812417.002220999</v>
      </c>
      <c r="BA394" s="342" t="str">
        <f t="shared" si="61"/>
        <v/>
      </c>
      <c r="BB394">
        <v>3020</v>
      </c>
      <c r="BC394" t="s">
        <v>321</v>
      </c>
      <c r="BD394" t="s">
        <v>1756</v>
      </c>
      <c r="BE394" s="243">
        <f t="shared" si="62"/>
        <v>27417872.525098801</v>
      </c>
    </row>
    <row r="395" spans="1:57">
      <c r="A395">
        <v>3100</v>
      </c>
      <c r="B395" t="s">
        <v>322</v>
      </c>
      <c r="C395" t="s">
        <v>1128</v>
      </c>
      <c r="D395" s="176">
        <v>289780154.11431301</v>
      </c>
      <c r="E395">
        <v>0</v>
      </c>
      <c r="G395">
        <v>3100</v>
      </c>
      <c r="H395" t="s">
        <v>322</v>
      </c>
      <c r="I395" t="s">
        <v>1128</v>
      </c>
      <c r="J395" s="176">
        <v>169825037.047741</v>
      </c>
      <c r="K395">
        <v>0</v>
      </c>
      <c r="L395" s="342" t="str">
        <f t="shared" si="59"/>
        <v/>
      </c>
      <c r="M395">
        <v>3100</v>
      </c>
      <c r="N395" t="s">
        <v>322</v>
      </c>
      <c r="O395" t="s">
        <v>1128</v>
      </c>
      <c r="P395" s="243">
        <f t="shared" si="60"/>
        <v>425640183.75250578</v>
      </c>
      <c r="S395">
        <v>3100</v>
      </c>
      <c r="T395" t="s">
        <v>322</v>
      </c>
      <c r="U395" t="s">
        <v>1128</v>
      </c>
      <c r="V395" s="176">
        <v>177376637.74666399</v>
      </c>
      <c r="W395" s="176">
        <v>479602581.214396</v>
      </c>
      <c r="X395" s="176">
        <v>10439967.777775999</v>
      </c>
      <c r="Y395" s="176">
        <v>132364303.359983</v>
      </c>
      <c r="Z395" s="176"/>
      <c r="AA395">
        <v>3100</v>
      </c>
      <c r="AB395" s="176" t="s">
        <v>322</v>
      </c>
      <c r="AC395" s="176" t="s">
        <v>1128</v>
      </c>
      <c r="AD395" s="176">
        <v>177376637.74666399</v>
      </c>
      <c r="AE395" s="176">
        <v>479602581.214396</v>
      </c>
      <c r="AF395" s="176">
        <v>10439967.777775999</v>
      </c>
      <c r="AG395" s="176">
        <v>132364303.359983</v>
      </c>
      <c r="AH395" s="342" t="str">
        <f t="shared" si="54"/>
        <v/>
      </c>
      <c r="AI395">
        <v>3100</v>
      </c>
      <c r="AJ395" t="s">
        <v>322</v>
      </c>
      <c r="AK395" t="s">
        <v>1128</v>
      </c>
      <c r="AL395" s="245">
        <f t="shared" si="55"/>
        <v>319277947.94399518</v>
      </c>
      <c r="AM395" s="245">
        <f t="shared" si="56"/>
        <v>863284646.18591285</v>
      </c>
      <c r="AN395" s="245">
        <f t="shared" si="57"/>
        <v>18791941.9999968</v>
      </c>
      <c r="AO395" s="245">
        <f t="shared" si="58"/>
        <v>238255746.0479694</v>
      </c>
      <c r="AP395" s="176"/>
      <c r="AQ395" s="176"/>
      <c r="AR395">
        <v>3100</v>
      </c>
      <c r="AS395" t="s">
        <v>322</v>
      </c>
      <c r="AT395" t="s">
        <v>1128</v>
      </c>
      <c r="AU395" s="176">
        <v>27773758.061097998</v>
      </c>
      <c r="AW395">
        <v>3100</v>
      </c>
      <c r="AX395" t="s">
        <v>322</v>
      </c>
      <c r="AY395" t="s">
        <v>1128</v>
      </c>
      <c r="AZ395" s="176">
        <v>10450384.622217</v>
      </c>
      <c r="BA395" s="342" t="str">
        <f t="shared" si="61"/>
        <v/>
      </c>
      <c r="BB395">
        <v>3100</v>
      </c>
      <c r="BC395" t="s">
        <v>322</v>
      </c>
      <c r="BD395" t="s">
        <v>1128</v>
      </c>
      <c r="BE395" s="243">
        <f t="shared" si="62"/>
        <v>36134065.7588716</v>
      </c>
    </row>
    <row r="396" spans="1:57">
      <c r="A396">
        <v>3100</v>
      </c>
      <c r="B396" t="s">
        <v>322</v>
      </c>
      <c r="C396" t="s">
        <v>1124</v>
      </c>
      <c r="D396" s="176">
        <v>290592556.00987202</v>
      </c>
      <c r="E396">
        <v>0</v>
      </c>
      <c r="G396">
        <v>3100</v>
      </c>
      <c r="H396" t="s">
        <v>322</v>
      </c>
      <c r="I396" t="s">
        <v>1124</v>
      </c>
      <c r="J396" s="176">
        <v>153744345.19997001</v>
      </c>
      <c r="K396">
        <v>0</v>
      </c>
      <c r="L396" s="342" t="str">
        <f t="shared" si="59"/>
        <v/>
      </c>
      <c r="M396">
        <v>3100</v>
      </c>
      <c r="N396" t="s">
        <v>322</v>
      </c>
      <c r="O396" t="s">
        <v>1124</v>
      </c>
      <c r="P396" s="243">
        <f t="shared" si="60"/>
        <v>413588032.16984802</v>
      </c>
      <c r="S396">
        <v>3100</v>
      </c>
      <c r="T396" t="s">
        <v>322</v>
      </c>
      <c r="U396" t="s">
        <v>1124</v>
      </c>
      <c r="V396" s="176">
        <v>68529037.121110007</v>
      </c>
      <c r="W396" s="176">
        <v>290108977.20992798</v>
      </c>
      <c r="X396">
        <v>4000000</v>
      </c>
      <c r="Y396" s="176">
        <v>127535310.277771</v>
      </c>
      <c r="Z396" s="176"/>
      <c r="AA396">
        <v>3100</v>
      </c>
      <c r="AB396" s="176" t="s">
        <v>322</v>
      </c>
      <c r="AC396" s="176" t="s">
        <v>1124</v>
      </c>
      <c r="AD396" s="176">
        <v>68529037.121110007</v>
      </c>
      <c r="AE396" s="176">
        <v>290108977.20992798</v>
      </c>
      <c r="AF396">
        <v>4000000</v>
      </c>
      <c r="AG396" s="176">
        <v>127535310.277771</v>
      </c>
      <c r="AH396" s="342" t="str">
        <f t="shared" si="54"/>
        <v/>
      </c>
      <c r="AI396">
        <v>3100</v>
      </c>
      <c r="AJ396" t="s">
        <v>322</v>
      </c>
      <c r="AK396" t="s">
        <v>1124</v>
      </c>
      <c r="AL396" s="245">
        <f t="shared" si="55"/>
        <v>123352266.81799802</v>
      </c>
      <c r="AM396" s="245">
        <f t="shared" si="56"/>
        <v>522196158.97787035</v>
      </c>
      <c r="AN396" s="245">
        <f t="shared" si="57"/>
        <v>7200000</v>
      </c>
      <c r="AO396" s="245">
        <f t="shared" si="58"/>
        <v>229563558.49998778</v>
      </c>
      <c r="AP396" s="176"/>
      <c r="AQ396" s="176"/>
      <c r="AR396">
        <v>3100</v>
      </c>
      <c r="AS396" t="s">
        <v>322</v>
      </c>
      <c r="AT396" t="s">
        <v>1124</v>
      </c>
      <c r="AU396" s="176">
        <v>18391598.266651999</v>
      </c>
      <c r="AW396">
        <v>3100</v>
      </c>
      <c r="AX396" t="s">
        <v>322</v>
      </c>
      <c r="AY396" t="s">
        <v>1124</v>
      </c>
      <c r="AZ396" s="176">
        <v>22279700.336661</v>
      </c>
      <c r="BA396" s="342" t="str">
        <f t="shared" si="61"/>
        <v/>
      </c>
      <c r="BB396">
        <v>3100</v>
      </c>
      <c r="BC396" t="s">
        <v>322</v>
      </c>
      <c r="BD396" t="s">
        <v>1124</v>
      </c>
      <c r="BE396" s="243">
        <f t="shared" si="62"/>
        <v>36215358.535980798</v>
      </c>
    </row>
    <row r="397" spans="1:57">
      <c r="A397">
        <v>3130</v>
      </c>
      <c r="B397" t="s">
        <v>323</v>
      </c>
      <c r="C397" t="s">
        <v>1971</v>
      </c>
      <c r="D397" s="176">
        <v>73326678.782192007</v>
      </c>
      <c r="E397">
        <v>0</v>
      </c>
      <c r="G397">
        <v>3130</v>
      </c>
      <c r="H397" t="s">
        <v>323</v>
      </c>
      <c r="I397" t="s">
        <v>1971</v>
      </c>
      <c r="J397" s="176">
        <v>32620554.627774</v>
      </c>
      <c r="K397">
        <v>0</v>
      </c>
      <c r="L397" s="342" t="str">
        <f t="shared" si="59"/>
        <v/>
      </c>
      <c r="M397">
        <v>3130</v>
      </c>
      <c r="N397" t="s">
        <v>323</v>
      </c>
      <c r="O397" t="s">
        <v>1971</v>
      </c>
      <c r="P397" s="243">
        <f t="shared" si="60"/>
        <v>99423122.48441121</v>
      </c>
      <c r="S397">
        <v>3130</v>
      </c>
      <c r="T397" t="s">
        <v>323</v>
      </c>
      <c r="U397" t="s">
        <v>1971</v>
      </c>
      <c r="V397" s="176">
        <v>14581817.791108999</v>
      </c>
      <c r="W397" s="176">
        <v>123441583.444426</v>
      </c>
      <c r="X397" s="176">
        <v>579700</v>
      </c>
      <c r="Y397" s="176">
        <v>17812937.401108</v>
      </c>
      <c r="Z397" s="176"/>
      <c r="AA397">
        <v>3130</v>
      </c>
      <c r="AB397" s="176" t="s">
        <v>323</v>
      </c>
      <c r="AC397" s="176" t="s">
        <v>1971</v>
      </c>
      <c r="AD397" s="176">
        <v>14581817.791108999</v>
      </c>
      <c r="AE397" s="176">
        <v>123441583.444426</v>
      </c>
      <c r="AF397">
        <v>579700</v>
      </c>
      <c r="AG397" s="176">
        <v>17812937.401108</v>
      </c>
      <c r="AH397" s="342" t="str">
        <f t="shared" si="54"/>
        <v/>
      </c>
      <c r="AI397">
        <v>3130</v>
      </c>
      <c r="AJ397" t="s">
        <v>323</v>
      </c>
      <c r="AK397" t="s">
        <v>1971</v>
      </c>
      <c r="AL397" s="245">
        <f t="shared" si="55"/>
        <v>26247272.0239962</v>
      </c>
      <c r="AM397" s="245">
        <f t="shared" si="56"/>
        <v>222194850.19996679</v>
      </c>
      <c r="AN397" s="245">
        <f t="shared" si="57"/>
        <v>1043460</v>
      </c>
      <c r="AO397" s="245">
        <f t="shared" si="58"/>
        <v>32063287.321994402</v>
      </c>
      <c r="AP397" s="176"/>
      <c r="AQ397" s="176"/>
      <c r="AR397">
        <v>3130</v>
      </c>
      <c r="AS397" t="s">
        <v>323</v>
      </c>
      <c r="AT397" t="s">
        <v>1971</v>
      </c>
      <c r="AU397" s="176">
        <v>943494.82777600002</v>
      </c>
      <c r="AW397">
        <v>3130</v>
      </c>
      <c r="AX397" t="s">
        <v>323</v>
      </c>
      <c r="AY397" t="s">
        <v>1971</v>
      </c>
      <c r="AZ397" s="176">
        <v>2191531.2977769999</v>
      </c>
      <c r="BA397" s="342" t="str">
        <f t="shared" si="61"/>
        <v/>
      </c>
      <c r="BB397">
        <v>3130</v>
      </c>
      <c r="BC397" t="s">
        <v>323</v>
      </c>
      <c r="BD397" t="s">
        <v>1971</v>
      </c>
      <c r="BE397" s="243">
        <f t="shared" si="62"/>
        <v>2696719.8659975999</v>
      </c>
    </row>
    <row r="398" spans="1:57">
      <c r="A398">
        <v>3130</v>
      </c>
      <c r="B398" t="s">
        <v>323</v>
      </c>
      <c r="C398" t="s">
        <v>1757</v>
      </c>
      <c r="D398" s="176">
        <v>299849328.96656501</v>
      </c>
      <c r="E398">
        <v>0</v>
      </c>
      <c r="G398">
        <v>3130</v>
      </c>
      <c r="H398" t="s">
        <v>323</v>
      </c>
      <c r="I398" t="s">
        <v>1757</v>
      </c>
      <c r="J398" s="176">
        <v>155267783.48109999</v>
      </c>
      <c r="K398">
        <v>0</v>
      </c>
      <c r="L398" s="342" t="str">
        <f t="shared" si="59"/>
        <v/>
      </c>
      <c r="M398">
        <v>3130</v>
      </c>
      <c r="N398" t="s">
        <v>323</v>
      </c>
      <c r="O398" t="s">
        <v>1757</v>
      </c>
      <c r="P398" s="243">
        <f t="shared" si="60"/>
        <v>424063555.751445</v>
      </c>
      <c r="S398">
        <v>3130</v>
      </c>
      <c r="T398" t="s">
        <v>323</v>
      </c>
      <c r="U398" t="s">
        <v>1757</v>
      </c>
      <c r="V398" s="176">
        <v>39212983.743331999</v>
      </c>
      <c r="W398" s="176">
        <v>257448055.74660099</v>
      </c>
      <c r="X398" s="176">
        <v>3776360</v>
      </c>
      <c r="Y398" s="176">
        <v>48642079.065549999</v>
      </c>
      <c r="Z398" s="176"/>
      <c r="AA398">
        <v>3130</v>
      </c>
      <c r="AB398" s="176" t="s">
        <v>323</v>
      </c>
      <c r="AC398" s="176" t="s">
        <v>1757</v>
      </c>
      <c r="AD398" s="176">
        <v>39212983.743331999</v>
      </c>
      <c r="AE398" s="176">
        <v>257448055.74660099</v>
      </c>
      <c r="AF398" s="176">
        <v>3776360</v>
      </c>
      <c r="AG398" s="176">
        <v>48642079.065549999</v>
      </c>
      <c r="AH398" s="342" t="str">
        <f t="shared" si="54"/>
        <v/>
      </c>
      <c r="AI398">
        <v>3130</v>
      </c>
      <c r="AJ398" t="s">
        <v>323</v>
      </c>
      <c r="AK398" t="s">
        <v>1757</v>
      </c>
      <c r="AL398" s="245">
        <f t="shared" si="55"/>
        <v>70583370.737997591</v>
      </c>
      <c r="AM398" s="245">
        <f t="shared" si="56"/>
        <v>463406500.34388179</v>
      </c>
      <c r="AN398" s="245">
        <f t="shared" si="57"/>
        <v>6797448</v>
      </c>
      <c r="AO398" s="245">
        <f t="shared" si="58"/>
        <v>87555742.317990005</v>
      </c>
      <c r="AP398" s="176"/>
      <c r="AQ398" s="176"/>
      <c r="AR398">
        <v>3130</v>
      </c>
      <c r="AS398" t="s">
        <v>323</v>
      </c>
      <c r="AT398" t="s">
        <v>1757</v>
      </c>
      <c r="AU398" s="176">
        <v>83944707.959984004</v>
      </c>
      <c r="AW398">
        <v>3130</v>
      </c>
      <c r="AX398" t="s">
        <v>323</v>
      </c>
      <c r="AY398" t="s">
        <v>1757</v>
      </c>
      <c r="AZ398" s="176">
        <v>58077144.665554002</v>
      </c>
      <c r="BA398" s="342" t="str">
        <f t="shared" si="61"/>
        <v/>
      </c>
      <c r="BB398">
        <v>3130</v>
      </c>
      <c r="BC398" t="s">
        <v>323</v>
      </c>
      <c r="BD398" t="s">
        <v>1757</v>
      </c>
      <c r="BE398" s="243">
        <f t="shared" si="62"/>
        <v>130406423.69242722</v>
      </c>
    </row>
    <row r="399" spans="1:57">
      <c r="A399">
        <v>3200</v>
      </c>
      <c r="B399" t="s">
        <v>324</v>
      </c>
      <c r="C399" t="s">
        <v>1130</v>
      </c>
      <c r="D399" s="176">
        <v>183644916.51991099</v>
      </c>
      <c r="E399">
        <v>0</v>
      </c>
      <c r="G399">
        <v>3200</v>
      </c>
      <c r="H399" t="s">
        <v>324</v>
      </c>
      <c r="I399" t="s">
        <v>1130</v>
      </c>
      <c r="J399" s="176">
        <v>38657231.693319</v>
      </c>
      <c r="K399">
        <v>0</v>
      </c>
      <c r="L399" s="342" t="str">
        <f t="shared" si="59"/>
        <v/>
      </c>
      <c r="M399">
        <v>3200</v>
      </c>
      <c r="N399" t="s">
        <v>324</v>
      </c>
      <c r="O399" t="s">
        <v>1130</v>
      </c>
      <c r="P399" s="243">
        <f t="shared" si="60"/>
        <v>214570701.8745662</v>
      </c>
      <c r="S399">
        <v>3200</v>
      </c>
      <c r="T399" t="s">
        <v>324</v>
      </c>
      <c r="U399" t="s">
        <v>1130</v>
      </c>
      <c r="V399" s="176">
        <v>64988093.424442001</v>
      </c>
      <c r="W399" s="176">
        <v>260888458.333267</v>
      </c>
      <c r="X399" s="176">
        <v>0</v>
      </c>
      <c r="Y399" s="176">
        <v>22251867.777775999</v>
      </c>
      <c r="Z399" s="176"/>
      <c r="AA399">
        <v>3200</v>
      </c>
      <c r="AB399" s="176" t="s">
        <v>324</v>
      </c>
      <c r="AC399" s="176" t="s">
        <v>1130</v>
      </c>
      <c r="AD399" s="176">
        <v>64988093.424442001</v>
      </c>
      <c r="AE399" s="176">
        <v>260888458.333267</v>
      </c>
      <c r="AF399" s="176">
        <v>0</v>
      </c>
      <c r="AG399" s="176">
        <v>22251867.777775999</v>
      </c>
      <c r="AH399" s="342" t="str">
        <f t="shared" si="54"/>
        <v/>
      </c>
      <c r="AI399">
        <v>3200</v>
      </c>
      <c r="AJ399" t="s">
        <v>324</v>
      </c>
      <c r="AK399" t="s">
        <v>1130</v>
      </c>
      <c r="AL399" s="245">
        <f t="shared" si="55"/>
        <v>116978568.16399559</v>
      </c>
      <c r="AM399" s="245">
        <f t="shared" si="56"/>
        <v>469599224.99988061</v>
      </c>
      <c r="AN399" s="245">
        <f t="shared" si="57"/>
        <v>0</v>
      </c>
      <c r="AO399" s="245">
        <f t="shared" si="58"/>
        <v>40053361.999996796</v>
      </c>
      <c r="AP399" s="176"/>
      <c r="AQ399" s="176"/>
      <c r="AR399">
        <v>3200</v>
      </c>
      <c r="AS399" t="s">
        <v>324</v>
      </c>
      <c r="AT399" t="s">
        <v>1130</v>
      </c>
      <c r="AU399" s="176">
        <v>6798497.2722129999</v>
      </c>
      <c r="AW399">
        <v>3200</v>
      </c>
      <c r="AX399" t="s">
        <v>324</v>
      </c>
      <c r="AY399" t="s">
        <v>1130</v>
      </c>
      <c r="AZ399" s="176">
        <v>942565.91888799996</v>
      </c>
      <c r="BA399" s="342" t="str">
        <f t="shared" si="61"/>
        <v/>
      </c>
      <c r="BB399">
        <v>3200</v>
      </c>
      <c r="BC399" t="s">
        <v>324</v>
      </c>
      <c r="BD399" t="s">
        <v>1130</v>
      </c>
      <c r="BE399" s="243">
        <f t="shared" si="62"/>
        <v>7552550.0073234001</v>
      </c>
    </row>
    <row r="400" spans="1:57">
      <c r="A400">
        <v>3200</v>
      </c>
      <c r="B400" t="s">
        <v>324</v>
      </c>
      <c r="C400" t="s">
        <v>1131</v>
      </c>
      <c r="D400" s="176">
        <v>687389273.804268</v>
      </c>
      <c r="E400">
        <v>0</v>
      </c>
      <c r="G400">
        <v>3200</v>
      </c>
      <c r="H400" t="s">
        <v>324</v>
      </c>
      <c r="I400" t="s">
        <v>1131</v>
      </c>
      <c r="J400" s="176">
        <v>585874432.16440296</v>
      </c>
      <c r="K400">
        <v>0</v>
      </c>
      <c r="L400" s="342" t="str">
        <f t="shared" si="59"/>
        <v/>
      </c>
      <c r="M400">
        <v>3200</v>
      </c>
      <c r="N400" t="s">
        <v>324</v>
      </c>
      <c r="O400" t="s">
        <v>1131</v>
      </c>
      <c r="P400" s="243">
        <f t="shared" si="60"/>
        <v>1156088819.5357904</v>
      </c>
      <c r="S400">
        <v>3200</v>
      </c>
      <c r="T400" t="s">
        <v>324</v>
      </c>
      <c r="U400" t="s">
        <v>1131</v>
      </c>
      <c r="V400" s="176">
        <v>190116662.878885</v>
      </c>
      <c r="W400" s="176">
        <v>763276472.51879203</v>
      </c>
      <c r="X400">
        <v>1034960</v>
      </c>
      <c r="Y400" s="176">
        <v>46448604.999998003</v>
      </c>
      <c r="Z400" s="176"/>
      <c r="AA400">
        <v>3200</v>
      </c>
      <c r="AB400" s="176" t="s">
        <v>324</v>
      </c>
      <c r="AC400" s="176" t="s">
        <v>1131</v>
      </c>
      <c r="AD400" s="176">
        <v>190116662.878885</v>
      </c>
      <c r="AE400" s="176">
        <v>763276472.51879203</v>
      </c>
      <c r="AF400">
        <v>1034960</v>
      </c>
      <c r="AG400" s="176">
        <v>46448604.999998003</v>
      </c>
      <c r="AH400" s="342" t="str">
        <f t="shared" si="54"/>
        <v/>
      </c>
      <c r="AI400">
        <v>3200</v>
      </c>
      <c r="AJ400" t="s">
        <v>324</v>
      </c>
      <c r="AK400" t="s">
        <v>1131</v>
      </c>
      <c r="AL400" s="245">
        <f t="shared" si="55"/>
        <v>342209993.18199301</v>
      </c>
      <c r="AM400" s="245">
        <f t="shared" si="56"/>
        <v>1373897650.5338256</v>
      </c>
      <c r="AN400" s="245">
        <f t="shared" si="57"/>
        <v>1862928</v>
      </c>
      <c r="AO400" s="245">
        <f t="shared" si="58"/>
        <v>83607488.999996409</v>
      </c>
      <c r="AP400" s="176"/>
      <c r="AQ400" s="176"/>
      <c r="AR400">
        <v>3200</v>
      </c>
      <c r="AS400" t="s">
        <v>324</v>
      </c>
      <c r="AT400" t="s">
        <v>1131</v>
      </c>
      <c r="AU400" s="176">
        <v>110212903.946647</v>
      </c>
      <c r="AW400">
        <v>3200</v>
      </c>
      <c r="AX400" t="s">
        <v>324</v>
      </c>
      <c r="AY400" t="s">
        <v>1131</v>
      </c>
      <c r="AZ400" s="176">
        <v>147850559.549992</v>
      </c>
      <c r="BA400" s="342" t="str">
        <f t="shared" si="61"/>
        <v/>
      </c>
      <c r="BB400">
        <v>3200</v>
      </c>
      <c r="BC400" t="s">
        <v>324</v>
      </c>
      <c r="BD400" t="s">
        <v>1131</v>
      </c>
      <c r="BE400" s="243">
        <f t="shared" si="62"/>
        <v>228493351.5866406</v>
      </c>
    </row>
    <row r="401" spans="1:57">
      <c r="A401">
        <v>3210</v>
      </c>
      <c r="B401" t="s">
        <v>325</v>
      </c>
      <c r="C401" t="s">
        <v>1132</v>
      </c>
      <c r="D401" s="176">
        <v>345286499.724383</v>
      </c>
      <c r="E401">
        <v>0</v>
      </c>
      <c r="G401">
        <v>3210</v>
      </c>
      <c r="H401" t="s">
        <v>325</v>
      </c>
      <c r="I401" t="s">
        <v>1132</v>
      </c>
      <c r="J401" s="176">
        <v>209987946.55330199</v>
      </c>
      <c r="K401">
        <v>0</v>
      </c>
      <c r="L401" s="342" t="str">
        <f t="shared" si="59"/>
        <v/>
      </c>
      <c r="M401">
        <v>3210</v>
      </c>
      <c r="N401" t="s">
        <v>325</v>
      </c>
      <c r="O401" t="s">
        <v>1132</v>
      </c>
      <c r="P401" s="243">
        <f t="shared" si="60"/>
        <v>513276856.96702456</v>
      </c>
      <c r="S401">
        <v>3210</v>
      </c>
      <c r="T401" t="s">
        <v>325</v>
      </c>
      <c r="U401" t="s">
        <v>1132</v>
      </c>
      <c r="V401" s="176">
        <v>178016805.60332999</v>
      </c>
      <c r="W401" s="176">
        <v>485824688.58441001</v>
      </c>
      <c r="X401" s="176">
        <v>0</v>
      </c>
      <c r="Y401" s="176">
        <v>30031291.666664999</v>
      </c>
      <c r="Z401" s="176"/>
      <c r="AA401">
        <v>3210</v>
      </c>
      <c r="AB401" s="176" t="s">
        <v>325</v>
      </c>
      <c r="AC401" s="176" t="s">
        <v>1132</v>
      </c>
      <c r="AD401" s="176">
        <v>178016805.60332999</v>
      </c>
      <c r="AE401" s="176">
        <v>485824688.58441001</v>
      </c>
      <c r="AF401" s="176">
        <v>0</v>
      </c>
      <c r="AG401" s="176">
        <v>30031291.666664999</v>
      </c>
      <c r="AH401" s="342" t="str">
        <f t="shared" si="54"/>
        <v/>
      </c>
      <c r="AI401">
        <v>3210</v>
      </c>
      <c r="AJ401" t="s">
        <v>325</v>
      </c>
      <c r="AK401" t="s">
        <v>1132</v>
      </c>
      <c r="AL401" s="245">
        <f t="shared" si="55"/>
        <v>320430250.08599401</v>
      </c>
      <c r="AM401" s="245">
        <f t="shared" si="56"/>
        <v>874484439.45193803</v>
      </c>
      <c r="AN401" s="245">
        <f t="shared" si="57"/>
        <v>0</v>
      </c>
      <c r="AO401" s="245">
        <f t="shared" si="58"/>
        <v>54056324.999997005</v>
      </c>
      <c r="AP401" s="176"/>
      <c r="AQ401" s="176"/>
      <c r="AR401">
        <v>3210</v>
      </c>
      <c r="AS401" t="s">
        <v>325</v>
      </c>
      <c r="AT401" t="s">
        <v>1132</v>
      </c>
      <c r="AU401" s="176">
        <v>60343238.627769001</v>
      </c>
      <c r="AW401">
        <v>3210</v>
      </c>
      <c r="AX401" t="s">
        <v>325</v>
      </c>
      <c r="AY401" t="s">
        <v>1132</v>
      </c>
      <c r="AZ401" s="176">
        <v>108618662.15999</v>
      </c>
      <c r="BA401" s="342" t="str">
        <f t="shared" si="61"/>
        <v/>
      </c>
      <c r="BB401">
        <v>3210</v>
      </c>
      <c r="BC401" t="s">
        <v>325</v>
      </c>
      <c r="BD401" t="s">
        <v>1132</v>
      </c>
      <c r="BE401" s="243">
        <f t="shared" si="62"/>
        <v>147238168.35576099</v>
      </c>
    </row>
    <row r="402" spans="1:57">
      <c r="A402">
        <v>3210</v>
      </c>
      <c r="B402" t="s">
        <v>325</v>
      </c>
      <c r="C402" t="s">
        <v>1758</v>
      </c>
      <c r="D402" s="176">
        <v>142537953.324339</v>
      </c>
      <c r="E402">
        <v>0</v>
      </c>
      <c r="G402">
        <v>3210</v>
      </c>
      <c r="H402" t="s">
        <v>325</v>
      </c>
      <c r="I402" t="s">
        <v>1758</v>
      </c>
      <c r="J402" s="176">
        <v>73139378.054418996</v>
      </c>
      <c r="K402">
        <v>0</v>
      </c>
      <c r="L402" s="342" t="str">
        <f t="shared" si="59"/>
        <v/>
      </c>
      <c r="M402">
        <v>3210</v>
      </c>
      <c r="N402" t="s">
        <v>325</v>
      </c>
      <c r="O402" t="s">
        <v>1758</v>
      </c>
      <c r="P402" s="243">
        <f t="shared" si="60"/>
        <v>201049455.76787421</v>
      </c>
      <c r="S402">
        <v>3210</v>
      </c>
      <c r="T402" t="s">
        <v>325</v>
      </c>
      <c r="U402" t="s">
        <v>1758</v>
      </c>
      <c r="V402" s="176">
        <v>68467926.145551994</v>
      </c>
      <c r="W402" s="176">
        <v>201535804.00662401</v>
      </c>
      <c r="X402">
        <v>0</v>
      </c>
      <c r="Y402" s="176">
        <v>10236664.666665001</v>
      </c>
      <c r="Z402" s="176"/>
      <c r="AA402">
        <v>3210</v>
      </c>
      <c r="AB402" s="176" t="s">
        <v>325</v>
      </c>
      <c r="AC402" s="176" t="s">
        <v>1758</v>
      </c>
      <c r="AD402" s="176">
        <v>68467926.145551994</v>
      </c>
      <c r="AE402" s="176">
        <v>201535804.00662401</v>
      </c>
      <c r="AF402">
        <v>0</v>
      </c>
      <c r="AG402" s="176">
        <v>10236664.666665001</v>
      </c>
      <c r="AH402" s="342" t="str">
        <f t="shared" si="54"/>
        <v/>
      </c>
      <c r="AI402">
        <v>3210</v>
      </c>
      <c r="AJ402" t="s">
        <v>325</v>
      </c>
      <c r="AK402" t="s">
        <v>1758</v>
      </c>
      <c r="AL402" s="245">
        <f t="shared" si="55"/>
        <v>123242267.0619936</v>
      </c>
      <c r="AM402" s="245">
        <f t="shared" si="56"/>
        <v>362764447.21192324</v>
      </c>
      <c r="AN402" s="245">
        <f t="shared" si="57"/>
        <v>0</v>
      </c>
      <c r="AO402" s="245">
        <f t="shared" si="58"/>
        <v>18425996.399997003</v>
      </c>
      <c r="AP402" s="176"/>
      <c r="AQ402" s="176"/>
      <c r="AR402">
        <v>3210</v>
      </c>
      <c r="AS402" t="s">
        <v>325</v>
      </c>
      <c r="AT402" t="s">
        <v>1758</v>
      </c>
      <c r="AU402" s="176">
        <v>7541123.7277699998</v>
      </c>
      <c r="AW402">
        <v>3210</v>
      </c>
      <c r="AX402" t="s">
        <v>325</v>
      </c>
      <c r="AY402" t="s">
        <v>1758</v>
      </c>
      <c r="AZ402" s="176">
        <v>16379847.737774</v>
      </c>
      <c r="BA402" s="342" t="str">
        <f t="shared" si="61"/>
        <v/>
      </c>
      <c r="BB402">
        <v>3210</v>
      </c>
      <c r="BC402" t="s">
        <v>325</v>
      </c>
      <c r="BD402" t="s">
        <v>1758</v>
      </c>
      <c r="BE402" s="243">
        <f t="shared" si="62"/>
        <v>20645001.917989202</v>
      </c>
    </row>
    <row r="403" spans="1:57">
      <c r="A403">
        <v>3210</v>
      </c>
      <c r="B403" t="s">
        <v>325</v>
      </c>
      <c r="C403" t="s">
        <v>1759</v>
      </c>
      <c r="D403" s="176">
        <v>110925032.36879499</v>
      </c>
      <c r="E403">
        <v>0</v>
      </c>
      <c r="G403">
        <v>3210</v>
      </c>
      <c r="H403" t="s">
        <v>325</v>
      </c>
      <c r="I403" t="s">
        <v>1759</v>
      </c>
      <c r="J403" s="176">
        <v>84515063.918864995</v>
      </c>
      <c r="K403">
        <v>0</v>
      </c>
      <c r="L403" s="342" t="str">
        <f t="shared" si="59"/>
        <v/>
      </c>
      <c r="M403">
        <v>3210</v>
      </c>
      <c r="N403" t="s">
        <v>325</v>
      </c>
      <c r="O403" t="s">
        <v>1759</v>
      </c>
      <c r="P403" s="243">
        <f t="shared" si="60"/>
        <v>178537083.503887</v>
      </c>
      <c r="S403">
        <v>3210</v>
      </c>
      <c r="T403" t="s">
        <v>325</v>
      </c>
      <c r="U403" t="s">
        <v>1759</v>
      </c>
      <c r="V403" s="176">
        <v>68461609.978885993</v>
      </c>
      <c r="W403" s="176">
        <v>148459868.84886</v>
      </c>
      <c r="X403" s="176">
        <v>0</v>
      </c>
      <c r="Y403" s="176">
        <v>9139907.3222199995</v>
      </c>
      <c r="Z403" s="176"/>
      <c r="AA403">
        <v>3210</v>
      </c>
      <c r="AB403" s="176" t="s">
        <v>325</v>
      </c>
      <c r="AC403" s="176" t="s">
        <v>1759</v>
      </c>
      <c r="AD403" s="176">
        <v>68461609.978885993</v>
      </c>
      <c r="AE403" s="176">
        <v>148459868.84886</v>
      </c>
      <c r="AF403" s="176">
        <v>0</v>
      </c>
      <c r="AG403" s="176">
        <v>9139907.3222199995</v>
      </c>
      <c r="AH403" s="342" t="str">
        <f t="shared" si="54"/>
        <v/>
      </c>
      <c r="AI403">
        <v>3210</v>
      </c>
      <c r="AJ403" t="s">
        <v>325</v>
      </c>
      <c r="AK403" t="s">
        <v>1759</v>
      </c>
      <c r="AL403" s="245">
        <f t="shared" si="55"/>
        <v>123230897.9619948</v>
      </c>
      <c r="AM403" s="245">
        <f t="shared" si="56"/>
        <v>267227763.927948</v>
      </c>
      <c r="AN403" s="245">
        <f t="shared" si="57"/>
        <v>0</v>
      </c>
      <c r="AO403" s="245">
        <f t="shared" si="58"/>
        <v>16451833.179995999</v>
      </c>
      <c r="AP403" s="176"/>
      <c r="AQ403" s="176"/>
      <c r="AR403">
        <v>3210</v>
      </c>
      <c r="AS403" t="s">
        <v>325</v>
      </c>
      <c r="AT403" t="s">
        <v>1759</v>
      </c>
      <c r="AU403" s="176">
        <v>2361593.6311090002</v>
      </c>
      <c r="AW403">
        <v>3210</v>
      </c>
      <c r="AX403" t="s">
        <v>325</v>
      </c>
      <c r="AY403" t="s">
        <v>1759</v>
      </c>
      <c r="AZ403" s="176">
        <v>3840486.1055529998</v>
      </c>
      <c r="BA403" s="342" t="str">
        <f t="shared" si="61"/>
        <v/>
      </c>
      <c r="BB403">
        <v>3210</v>
      </c>
      <c r="BC403" t="s">
        <v>325</v>
      </c>
      <c r="BD403" t="s">
        <v>1759</v>
      </c>
      <c r="BE403" s="243">
        <f t="shared" si="62"/>
        <v>5433982.5155514004</v>
      </c>
    </row>
    <row r="404" spans="1:57">
      <c r="A404">
        <v>3220</v>
      </c>
      <c r="B404" t="s">
        <v>326</v>
      </c>
      <c r="C404" t="s">
        <v>1133</v>
      </c>
      <c r="D404" s="176">
        <v>183720019.152147</v>
      </c>
      <c r="E404">
        <v>0</v>
      </c>
      <c r="G404">
        <v>3220</v>
      </c>
      <c r="H404" t="s">
        <v>326</v>
      </c>
      <c r="I404" t="s">
        <v>1133</v>
      </c>
      <c r="J404" s="176">
        <v>105224972.303308</v>
      </c>
      <c r="K404">
        <v>0</v>
      </c>
      <c r="L404" s="342" t="str">
        <f t="shared" si="59"/>
        <v/>
      </c>
      <c r="M404">
        <v>3220</v>
      </c>
      <c r="N404" t="s">
        <v>326</v>
      </c>
      <c r="O404" t="s">
        <v>1133</v>
      </c>
      <c r="P404" s="243">
        <f t="shared" si="60"/>
        <v>267899996.99479342</v>
      </c>
      <c r="S404">
        <v>3220</v>
      </c>
      <c r="T404" t="s">
        <v>326</v>
      </c>
      <c r="U404" t="s">
        <v>1133</v>
      </c>
      <c r="V404" s="176">
        <v>55558442.903332002</v>
      </c>
      <c r="W404" s="176">
        <v>136972967.927742</v>
      </c>
      <c r="X404" s="176">
        <v>0</v>
      </c>
      <c r="Y404" s="176">
        <v>23374754.285555001</v>
      </c>
      <c r="Z404" s="176"/>
      <c r="AA404">
        <v>3220</v>
      </c>
      <c r="AB404" s="176" t="s">
        <v>326</v>
      </c>
      <c r="AC404" s="176" t="s">
        <v>1133</v>
      </c>
      <c r="AD404" s="176">
        <v>55558442.903332002</v>
      </c>
      <c r="AE404" s="176">
        <v>136972967.927742</v>
      </c>
      <c r="AF404" s="176">
        <v>0</v>
      </c>
      <c r="AG404" s="176">
        <v>23374754.285555001</v>
      </c>
      <c r="AH404" s="342" t="str">
        <f t="shared" si="54"/>
        <v/>
      </c>
      <c r="AI404">
        <v>3220</v>
      </c>
      <c r="AJ404" t="s">
        <v>326</v>
      </c>
      <c r="AK404" t="s">
        <v>1133</v>
      </c>
      <c r="AL404" s="245">
        <f t="shared" si="55"/>
        <v>100005197.2259976</v>
      </c>
      <c r="AM404" s="245">
        <f t="shared" si="56"/>
        <v>246551342.26993561</v>
      </c>
      <c r="AN404" s="245">
        <f t="shared" si="57"/>
        <v>0</v>
      </c>
      <c r="AO404" s="245">
        <f t="shared" si="58"/>
        <v>42074557.713999003</v>
      </c>
      <c r="AP404" s="176"/>
      <c r="AQ404" s="176"/>
      <c r="AR404">
        <v>3220</v>
      </c>
      <c r="AS404" t="s">
        <v>326</v>
      </c>
      <c r="AT404" t="s">
        <v>1133</v>
      </c>
      <c r="AU404" s="176">
        <v>23645230.22555</v>
      </c>
      <c r="AW404">
        <v>3220</v>
      </c>
      <c r="AX404" t="s">
        <v>326</v>
      </c>
      <c r="AY404" t="s">
        <v>1133</v>
      </c>
      <c r="AZ404" s="176">
        <v>32392045.901105002</v>
      </c>
      <c r="BA404" s="342" t="str">
        <f t="shared" si="61"/>
        <v/>
      </c>
      <c r="BB404">
        <v>3220</v>
      </c>
      <c r="BC404" t="s">
        <v>326</v>
      </c>
      <c r="BD404" t="s">
        <v>1133</v>
      </c>
      <c r="BE404" s="243">
        <f t="shared" si="62"/>
        <v>49558866.946434006</v>
      </c>
    </row>
    <row r="405" spans="1:57">
      <c r="A405">
        <v>3220</v>
      </c>
      <c r="B405" t="s">
        <v>326</v>
      </c>
      <c r="C405" t="s">
        <v>1760</v>
      </c>
      <c r="D405" s="176">
        <v>126734567.65662</v>
      </c>
      <c r="E405">
        <v>0</v>
      </c>
      <c r="G405">
        <v>3220</v>
      </c>
      <c r="H405" t="s">
        <v>326</v>
      </c>
      <c r="I405" t="s">
        <v>1760</v>
      </c>
      <c r="J405" s="176">
        <v>50968372.938878</v>
      </c>
      <c r="K405">
        <v>0</v>
      </c>
      <c r="L405" s="342" t="str">
        <f t="shared" si="59"/>
        <v/>
      </c>
      <c r="M405">
        <v>3220</v>
      </c>
      <c r="N405" t="s">
        <v>326</v>
      </c>
      <c r="O405" t="s">
        <v>1760</v>
      </c>
      <c r="P405" s="243">
        <f t="shared" si="60"/>
        <v>167509266.00772241</v>
      </c>
      <c r="S405">
        <v>3220</v>
      </c>
      <c r="T405" t="s">
        <v>326</v>
      </c>
      <c r="U405" t="s">
        <v>1760</v>
      </c>
      <c r="V405" s="176">
        <v>24565879.333333001</v>
      </c>
      <c r="W405" s="176">
        <v>84758689.85774</v>
      </c>
      <c r="X405" s="176">
        <v>1000000</v>
      </c>
      <c r="Y405" s="176">
        <v>6270449.5</v>
      </c>
      <c r="Z405" s="176"/>
      <c r="AA405">
        <v>3220</v>
      </c>
      <c r="AB405" s="176" t="s">
        <v>326</v>
      </c>
      <c r="AC405" s="176" t="s">
        <v>1760</v>
      </c>
      <c r="AD405" s="176">
        <v>24565879.333333001</v>
      </c>
      <c r="AE405" s="176">
        <v>84758689.85774</v>
      </c>
      <c r="AF405">
        <v>1000000</v>
      </c>
      <c r="AG405" s="176">
        <v>6270449.5</v>
      </c>
      <c r="AH405" s="342" t="str">
        <f t="shared" si="54"/>
        <v/>
      </c>
      <c r="AI405">
        <v>3220</v>
      </c>
      <c r="AJ405" t="s">
        <v>326</v>
      </c>
      <c r="AK405" t="s">
        <v>1760</v>
      </c>
      <c r="AL405" s="245">
        <f t="shared" si="55"/>
        <v>44218582.799999401</v>
      </c>
      <c r="AM405" s="245">
        <f t="shared" si="56"/>
        <v>152565641.74393201</v>
      </c>
      <c r="AN405" s="245">
        <f t="shared" si="57"/>
        <v>1800000</v>
      </c>
      <c r="AO405" s="245">
        <f t="shared" si="58"/>
        <v>11286809.100000001</v>
      </c>
      <c r="AP405" s="176"/>
      <c r="AQ405" s="176"/>
      <c r="AR405">
        <v>3220</v>
      </c>
      <c r="AS405" t="s">
        <v>326</v>
      </c>
      <c r="AT405" t="s">
        <v>1760</v>
      </c>
      <c r="AU405" s="176">
        <v>46360377.491102003</v>
      </c>
      <c r="AW405">
        <v>3220</v>
      </c>
      <c r="AX405" t="s">
        <v>326</v>
      </c>
      <c r="AY405" t="s">
        <v>1760</v>
      </c>
      <c r="AZ405" s="176">
        <v>15969885.363329001</v>
      </c>
      <c r="BA405" s="342" t="str">
        <f t="shared" si="61"/>
        <v/>
      </c>
      <c r="BB405">
        <v>3220</v>
      </c>
      <c r="BC405" t="s">
        <v>326</v>
      </c>
      <c r="BD405" t="s">
        <v>1760</v>
      </c>
      <c r="BE405" s="243">
        <f t="shared" si="62"/>
        <v>59136285.781765208</v>
      </c>
    </row>
    <row r="406" spans="1:57">
      <c r="A406">
        <v>3220</v>
      </c>
      <c r="B406" t="s">
        <v>326</v>
      </c>
      <c r="C406" t="s">
        <v>1574</v>
      </c>
      <c r="D406" s="176">
        <v>253107435.96104899</v>
      </c>
      <c r="E406">
        <v>0</v>
      </c>
      <c r="G406">
        <v>3220</v>
      </c>
      <c r="H406" t="s">
        <v>326</v>
      </c>
      <c r="I406" t="s">
        <v>1574</v>
      </c>
      <c r="J406" s="176">
        <v>221974560.097745</v>
      </c>
      <c r="K406">
        <v>0</v>
      </c>
      <c r="L406" s="342" t="str">
        <f t="shared" si="59"/>
        <v/>
      </c>
      <c r="M406">
        <v>3220</v>
      </c>
      <c r="N406" t="s">
        <v>326</v>
      </c>
      <c r="O406" t="s">
        <v>1574</v>
      </c>
      <c r="P406" s="243">
        <f t="shared" si="60"/>
        <v>430687084.03924501</v>
      </c>
      <c r="S406">
        <v>3220</v>
      </c>
      <c r="T406" t="s">
        <v>326</v>
      </c>
      <c r="U406" t="s">
        <v>1574</v>
      </c>
      <c r="V406" s="176">
        <v>93580695.041109994</v>
      </c>
      <c r="W406" s="176">
        <v>248439460.27109101</v>
      </c>
      <c r="X406">
        <v>0</v>
      </c>
      <c r="Y406" s="176">
        <v>29250434.763331998</v>
      </c>
      <c r="Z406" s="176"/>
      <c r="AA406">
        <v>3220</v>
      </c>
      <c r="AB406" s="176" t="s">
        <v>326</v>
      </c>
      <c r="AC406" s="176" t="s">
        <v>1574</v>
      </c>
      <c r="AD406" s="176">
        <v>93580695.041109994</v>
      </c>
      <c r="AE406" s="176">
        <v>248439460.27109101</v>
      </c>
      <c r="AF406">
        <v>0</v>
      </c>
      <c r="AG406" s="176">
        <v>29250434.763331998</v>
      </c>
      <c r="AH406" s="342" t="str">
        <f t="shared" si="54"/>
        <v/>
      </c>
      <c r="AI406">
        <v>3220</v>
      </c>
      <c r="AJ406" t="s">
        <v>326</v>
      </c>
      <c r="AK406" t="s">
        <v>1574</v>
      </c>
      <c r="AL406" s="245">
        <f t="shared" si="55"/>
        <v>168445251.07399797</v>
      </c>
      <c r="AM406" s="245">
        <f t="shared" si="56"/>
        <v>447191028.4879638</v>
      </c>
      <c r="AN406" s="245">
        <f t="shared" si="57"/>
        <v>0</v>
      </c>
      <c r="AO406" s="245">
        <f t="shared" si="58"/>
        <v>52650782.573997602</v>
      </c>
      <c r="AP406" s="176"/>
      <c r="AQ406" s="176"/>
      <c r="AR406">
        <v>3220</v>
      </c>
      <c r="AS406" t="s">
        <v>326</v>
      </c>
      <c r="AT406" t="s">
        <v>1574</v>
      </c>
      <c r="AU406" s="176">
        <v>46614251.388880998</v>
      </c>
      <c r="AW406">
        <v>3220</v>
      </c>
      <c r="AX406" t="s">
        <v>326</v>
      </c>
      <c r="AY406" t="s">
        <v>1574</v>
      </c>
      <c r="AZ406" s="176">
        <v>38110380.894437</v>
      </c>
      <c r="BA406" s="342" t="str">
        <f t="shared" si="61"/>
        <v/>
      </c>
      <c r="BB406">
        <v>3220</v>
      </c>
      <c r="BC406" t="s">
        <v>326</v>
      </c>
      <c r="BD406" t="s">
        <v>1574</v>
      </c>
      <c r="BE406" s="243">
        <f t="shared" si="62"/>
        <v>77102556.104430601</v>
      </c>
    </row>
    <row r="407" spans="1:57">
      <c r="A407">
        <v>3230</v>
      </c>
      <c r="B407" t="s">
        <v>327</v>
      </c>
      <c r="C407" t="s">
        <v>1134</v>
      </c>
      <c r="D407" s="176">
        <v>222086317.177674</v>
      </c>
      <c r="E407">
        <v>0</v>
      </c>
      <c r="G407">
        <v>3230</v>
      </c>
      <c r="H407" t="s">
        <v>327</v>
      </c>
      <c r="I407" t="s">
        <v>1134</v>
      </c>
      <c r="J407" s="176">
        <v>86711592.285541996</v>
      </c>
      <c r="K407">
        <v>0</v>
      </c>
      <c r="L407" s="342" t="str">
        <f t="shared" si="59"/>
        <v/>
      </c>
      <c r="M407">
        <v>3230</v>
      </c>
      <c r="N407" t="s">
        <v>327</v>
      </c>
      <c r="O407" t="s">
        <v>1134</v>
      </c>
      <c r="P407" s="243">
        <f t="shared" si="60"/>
        <v>291455591.00610757</v>
      </c>
      <c r="S407">
        <v>3230</v>
      </c>
      <c r="T407" t="s">
        <v>327</v>
      </c>
      <c r="U407" t="s">
        <v>1134</v>
      </c>
      <c r="V407" s="176">
        <v>76601443.848886997</v>
      </c>
      <c r="W407" s="176">
        <v>209713310.23218799</v>
      </c>
      <c r="X407" s="176">
        <v>100000</v>
      </c>
      <c r="Y407" s="176">
        <v>33759909.233329996</v>
      </c>
      <c r="Z407" s="176"/>
      <c r="AA407">
        <v>3230</v>
      </c>
      <c r="AB407" s="176" t="s">
        <v>327</v>
      </c>
      <c r="AC407" s="176" t="s">
        <v>1134</v>
      </c>
      <c r="AD407" s="176">
        <v>76601443.848886997</v>
      </c>
      <c r="AE407" s="176">
        <v>209713310.23218799</v>
      </c>
      <c r="AF407" s="176">
        <v>100000</v>
      </c>
      <c r="AG407" s="176">
        <v>33759909.233329996</v>
      </c>
      <c r="AH407" s="342" t="str">
        <f t="shared" si="54"/>
        <v/>
      </c>
      <c r="AI407">
        <v>3230</v>
      </c>
      <c r="AJ407" t="s">
        <v>327</v>
      </c>
      <c r="AK407" t="s">
        <v>1134</v>
      </c>
      <c r="AL407" s="245">
        <f t="shared" si="55"/>
        <v>137882598.92799661</v>
      </c>
      <c r="AM407" s="245">
        <f t="shared" si="56"/>
        <v>377483958.41793835</v>
      </c>
      <c r="AN407" s="245">
        <f t="shared" si="57"/>
        <v>180000</v>
      </c>
      <c r="AO407" s="245">
        <f t="shared" si="58"/>
        <v>60767836.619994</v>
      </c>
      <c r="AP407" s="176"/>
      <c r="AQ407" s="176"/>
      <c r="AR407">
        <v>3230</v>
      </c>
      <c r="AS407" t="s">
        <v>327</v>
      </c>
      <c r="AT407" t="s">
        <v>1134</v>
      </c>
      <c r="AU407" s="176">
        <v>113588071.89331099</v>
      </c>
      <c r="AW407">
        <v>3230</v>
      </c>
      <c r="AX407" t="s">
        <v>327</v>
      </c>
      <c r="AY407" t="s">
        <v>1134</v>
      </c>
      <c r="AZ407" s="176">
        <v>71075551.782218993</v>
      </c>
      <c r="BA407" s="342" t="str">
        <f t="shared" si="61"/>
        <v/>
      </c>
      <c r="BB407">
        <v>3230</v>
      </c>
      <c r="BC407" t="s">
        <v>327</v>
      </c>
      <c r="BD407" t="s">
        <v>1134</v>
      </c>
      <c r="BE407" s="243">
        <f t="shared" si="62"/>
        <v>170448513.31908619</v>
      </c>
    </row>
    <row r="408" spans="1:57">
      <c r="A408">
        <v>3230</v>
      </c>
      <c r="B408" t="s">
        <v>327</v>
      </c>
      <c r="C408" t="s">
        <v>1761</v>
      </c>
      <c r="D408" s="176">
        <v>73326812.826611996</v>
      </c>
      <c r="E408">
        <v>0</v>
      </c>
      <c r="G408">
        <v>3230</v>
      </c>
      <c r="H408" t="s">
        <v>327</v>
      </c>
      <c r="I408" t="s">
        <v>1761</v>
      </c>
      <c r="J408" s="176">
        <v>13849132.681104001</v>
      </c>
      <c r="K408">
        <v>0</v>
      </c>
      <c r="L408" s="342" t="str">
        <f t="shared" si="59"/>
        <v/>
      </c>
      <c r="M408">
        <v>3230</v>
      </c>
      <c r="N408" t="s">
        <v>327</v>
      </c>
      <c r="O408" t="s">
        <v>1761</v>
      </c>
      <c r="P408" s="243">
        <f t="shared" si="60"/>
        <v>84406118.971495196</v>
      </c>
      <c r="S408">
        <v>3230</v>
      </c>
      <c r="T408" t="s">
        <v>327</v>
      </c>
      <c r="U408" t="s">
        <v>1761</v>
      </c>
      <c r="V408" s="176">
        <v>52496719.926664002</v>
      </c>
      <c r="W408" s="176">
        <v>104849671.429977</v>
      </c>
      <c r="X408">
        <v>0</v>
      </c>
      <c r="Y408" s="176">
        <v>14364341.339999</v>
      </c>
      <c r="Z408" s="176"/>
      <c r="AA408">
        <v>3230</v>
      </c>
      <c r="AB408" s="176" t="s">
        <v>327</v>
      </c>
      <c r="AC408" s="176" t="s">
        <v>1761</v>
      </c>
      <c r="AD408" s="176">
        <v>52496719.926664002</v>
      </c>
      <c r="AE408" s="176">
        <v>104849671.429977</v>
      </c>
      <c r="AF408">
        <v>0</v>
      </c>
      <c r="AG408" s="176">
        <v>14364341.339999</v>
      </c>
      <c r="AH408" s="342" t="str">
        <f t="shared" si="54"/>
        <v/>
      </c>
      <c r="AI408">
        <v>3230</v>
      </c>
      <c r="AJ408" t="s">
        <v>327</v>
      </c>
      <c r="AK408" t="s">
        <v>1761</v>
      </c>
      <c r="AL408" s="245">
        <f t="shared" si="55"/>
        <v>94494095.867995203</v>
      </c>
      <c r="AM408" s="245">
        <f t="shared" si="56"/>
        <v>188729408.57395861</v>
      </c>
      <c r="AN408" s="245">
        <f t="shared" si="57"/>
        <v>0</v>
      </c>
      <c r="AO408" s="245">
        <f t="shared" si="58"/>
        <v>25855814.411998197</v>
      </c>
      <c r="AP408" s="176"/>
      <c r="AQ408" s="176"/>
      <c r="AR408">
        <v>3230</v>
      </c>
      <c r="AS408" t="s">
        <v>327</v>
      </c>
      <c r="AT408" t="s">
        <v>1761</v>
      </c>
      <c r="AU408" s="176">
        <v>5186762.6266569998</v>
      </c>
      <c r="AW408">
        <v>3230</v>
      </c>
      <c r="AX408" t="s">
        <v>327</v>
      </c>
      <c r="AY408" t="s">
        <v>1761</v>
      </c>
      <c r="AZ408" s="176">
        <v>12089.526666</v>
      </c>
      <c r="BA408" s="342" t="str">
        <f t="shared" si="61"/>
        <v/>
      </c>
      <c r="BB408">
        <v>3230</v>
      </c>
      <c r="BC408" t="s">
        <v>327</v>
      </c>
      <c r="BD408" t="s">
        <v>1761</v>
      </c>
      <c r="BE408" s="243">
        <f t="shared" si="62"/>
        <v>5196434.2479897998</v>
      </c>
    </row>
    <row r="409" spans="1:57">
      <c r="A409">
        <v>3230</v>
      </c>
      <c r="B409" t="s">
        <v>327</v>
      </c>
      <c r="C409" t="s">
        <v>1972</v>
      </c>
      <c r="D409" s="176">
        <v>100022152.493297</v>
      </c>
      <c r="E409">
        <v>0</v>
      </c>
      <c r="G409">
        <v>3230</v>
      </c>
      <c r="H409" t="s">
        <v>327</v>
      </c>
      <c r="I409" t="s">
        <v>1972</v>
      </c>
      <c r="J409" s="176">
        <v>29808851.758882999</v>
      </c>
      <c r="K409">
        <v>0</v>
      </c>
      <c r="L409" s="342" t="str">
        <f t="shared" si="59"/>
        <v/>
      </c>
      <c r="M409">
        <v>3230</v>
      </c>
      <c r="N409" t="s">
        <v>327</v>
      </c>
      <c r="O409" t="s">
        <v>1972</v>
      </c>
      <c r="P409" s="243">
        <f t="shared" si="60"/>
        <v>123869233.9004034</v>
      </c>
      <c r="S409">
        <v>3230</v>
      </c>
      <c r="T409" t="s">
        <v>327</v>
      </c>
      <c r="U409" t="s">
        <v>1972</v>
      </c>
      <c r="V409" s="176">
        <v>55034419.756665997</v>
      </c>
      <c r="W409" s="176">
        <v>128207726.771098</v>
      </c>
      <c r="X409" s="176">
        <v>0</v>
      </c>
      <c r="Y409" s="176">
        <v>14342491</v>
      </c>
      <c r="Z409" s="176"/>
      <c r="AA409">
        <v>3230</v>
      </c>
      <c r="AB409" s="176" t="s">
        <v>327</v>
      </c>
      <c r="AC409" s="176" t="s">
        <v>1972</v>
      </c>
      <c r="AD409" s="176">
        <v>55034419.756665997</v>
      </c>
      <c r="AE409" s="176">
        <v>128207726.771098</v>
      </c>
      <c r="AF409" s="176">
        <v>0</v>
      </c>
      <c r="AG409" s="176">
        <v>14342491</v>
      </c>
      <c r="AH409" s="342" t="str">
        <f t="shared" si="54"/>
        <v/>
      </c>
      <c r="AI409">
        <v>3230</v>
      </c>
      <c r="AJ409" t="s">
        <v>327</v>
      </c>
      <c r="AK409" t="s">
        <v>1972</v>
      </c>
      <c r="AL409" s="245">
        <f t="shared" si="55"/>
        <v>99061955.561998799</v>
      </c>
      <c r="AM409" s="245">
        <f t="shared" si="56"/>
        <v>230773908.18797642</v>
      </c>
      <c r="AN409" s="245">
        <f t="shared" si="57"/>
        <v>0</v>
      </c>
      <c r="AO409" s="245">
        <f t="shared" si="58"/>
        <v>25816483.800000001</v>
      </c>
      <c r="AP409" s="176"/>
      <c r="AQ409" s="176"/>
      <c r="AR409">
        <v>3230</v>
      </c>
      <c r="AS409" t="s">
        <v>327</v>
      </c>
      <c r="AT409" t="s">
        <v>1972</v>
      </c>
      <c r="AU409" s="176">
        <v>79003667.266653001</v>
      </c>
      <c r="AW409">
        <v>3230</v>
      </c>
      <c r="AX409" t="s">
        <v>327</v>
      </c>
      <c r="AY409" t="s">
        <v>1972</v>
      </c>
      <c r="AZ409" s="176">
        <v>87217898.792219996</v>
      </c>
      <c r="BA409" s="342" t="str">
        <f t="shared" si="61"/>
        <v/>
      </c>
      <c r="BB409">
        <v>3230</v>
      </c>
      <c r="BC409" t="s">
        <v>327</v>
      </c>
      <c r="BD409" t="s">
        <v>1972</v>
      </c>
      <c r="BE409" s="243">
        <f t="shared" si="62"/>
        <v>148777986.30042899</v>
      </c>
    </row>
    <row r="410" spans="1:57">
      <c r="A410">
        <v>3510</v>
      </c>
      <c r="B410" t="s">
        <v>328</v>
      </c>
      <c r="C410" t="s">
        <v>1127</v>
      </c>
      <c r="D410" s="176">
        <v>209709443.74214</v>
      </c>
      <c r="E410">
        <v>0</v>
      </c>
      <c r="G410">
        <v>3510</v>
      </c>
      <c r="H410" t="s">
        <v>328</v>
      </c>
      <c r="I410" t="s">
        <v>1127</v>
      </c>
      <c r="J410" s="176">
        <v>132743212.281087</v>
      </c>
      <c r="K410">
        <v>0</v>
      </c>
      <c r="L410" s="342" t="str">
        <f t="shared" si="59"/>
        <v/>
      </c>
      <c r="M410">
        <v>3510</v>
      </c>
      <c r="N410" t="s">
        <v>328</v>
      </c>
      <c r="O410" t="s">
        <v>1127</v>
      </c>
      <c r="P410" s="243">
        <f t="shared" si="60"/>
        <v>315904013.56700957</v>
      </c>
      <c r="S410">
        <v>3510</v>
      </c>
      <c r="T410" t="s">
        <v>328</v>
      </c>
      <c r="U410" t="s">
        <v>1127</v>
      </c>
      <c r="V410" s="176">
        <v>65162488.698886998</v>
      </c>
      <c r="W410" s="176">
        <v>296133343.32772601</v>
      </c>
      <c r="X410" s="176">
        <v>0</v>
      </c>
      <c r="Y410" s="176">
        <v>40063939.277776003</v>
      </c>
      <c r="Z410" s="176"/>
      <c r="AA410">
        <v>3510</v>
      </c>
      <c r="AB410" s="176" t="s">
        <v>328</v>
      </c>
      <c r="AC410" s="176" t="s">
        <v>1127</v>
      </c>
      <c r="AD410" s="176">
        <v>65162488.698886998</v>
      </c>
      <c r="AE410" s="176">
        <v>296133343.32772601</v>
      </c>
      <c r="AF410" s="176">
        <v>0</v>
      </c>
      <c r="AG410" s="176">
        <v>40063939.277776003</v>
      </c>
      <c r="AH410" s="342" t="str">
        <f t="shared" si="54"/>
        <v/>
      </c>
      <c r="AI410">
        <v>3510</v>
      </c>
      <c r="AJ410" t="s">
        <v>328</v>
      </c>
      <c r="AK410" t="s">
        <v>1127</v>
      </c>
      <c r="AL410" s="245">
        <f t="shared" si="55"/>
        <v>117292479.65799659</v>
      </c>
      <c r="AM410" s="245">
        <f t="shared" si="56"/>
        <v>533040017.98990679</v>
      </c>
      <c r="AN410" s="245">
        <f t="shared" si="57"/>
        <v>0</v>
      </c>
      <c r="AO410" s="245">
        <f t="shared" si="58"/>
        <v>72115090.699996799</v>
      </c>
      <c r="AP410" s="176"/>
      <c r="AQ410" s="176"/>
      <c r="AR410">
        <v>3510</v>
      </c>
      <c r="AS410" t="s">
        <v>328</v>
      </c>
      <c r="AT410" t="s">
        <v>1127</v>
      </c>
      <c r="AU410" s="176">
        <v>32042311.919991001</v>
      </c>
      <c r="AW410">
        <v>3510</v>
      </c>
      <c r="AX410" t="s">
        <v>328</v>
      </c>
      <c r="AY410" t="s">
        <v>1127</v>
      </c>
      <c r="AZ410" s="176">
        <v>11942641.197774</v>
      </c>
      <c r="BA410" s="342" t="str">
        <f t="shared" si="61"/>
        <v/>
      </c>
      <c r="BB410">
        <v>3510</v>
      </c>
      <c r="BC410" t="s">
        <v>328</v>
      </c>
      <c r="BD410" t="s">
        <v>1127</v>
      </c>
      <c r="BE410" s="243">
        <f t="shared" si="62"/>
        <v>41596424.878210202</v>
      </c>
    </row>
    <row r="411" spans="1:57">
      <c r="A411">
        <v>3510</v>
      </c>
      <c r="B411" t="s">
        <v>328</v>
      </c>
      <c r="C411" t="s">
        <v>1136</v>
      </c>
      <c r="D411" s="176">
        <v>253069027.08767101</v>
      </c>
      <c r="E411">
        <v>0</v>
      </c>
      <c r="G411">
        <v>3510</v>
      </c>
      <c r="H411" t="s">
        <v>328</v>
      </c>
      <c r="I411" t="s">
        <v>1136</v>
      </c>
      <c r="J411" s="176">
        <v>146626170.323311</v>
      </c>
      <c r="K411">
        <v>0</v>
      </c>
      <c r="L411" s="342" t="str">
        <f t="shared" si="59"/>
        <v/>
      </c>
      <c r="M411">
        <v>3510</v>
      </c>
      <c r="N411" t="s">
        <v>328</v>
      </c>
      <c r="O411" t="s">
        <v>1136</v>
      </c>
      <c r="P411" s="243">
        <f t="shared" si="60"/>
        <v>370369963.34631979</v>
      </c>
      <c r="S411">
        <v>3510</v>
      </c>
      <c r="T411" t="s">
        <v>328</v>
      </c>
      <c r="U411" t="s">
        <v>1136</v>
      </c>
      <c r="V411" s="176">
        <v>84640760.536663994</v>
      </c>
      <c r="W411" s="176">
        <v>330858551.60439998</v>
      </c>
      <c r="X411" s="176">
        <v>1794311.1111109999</v>
      </c>
      <c r="Y411" s="176">
        <v>22309483.443332002</v>
      </c>
      <c r="Z411" s="176"/>
      <c r="AA411">
        <v>3510</v>
      </c>
      <c r="AB411" s="176" t="s">
        <v>328</v>
      </c>
      <c r="AC411" s="176" t="s">
        <v>1136</v>
      </c>
      <c r="AD411" s="176">
        <v>84640760.536663994</v>
      </c>
      <c r="AE411" s="176">
        <v>330858551.60439998</v>
      </c>
      <c r="AF411" s="176">
        <v>1794311.1111109999</v>
      </c>
      <c r="AG411" s="176">
        <v>22309483.443332002</v>
      </c>
      <c r="AH411" s="342" t="str">
        <f t="shared" si="54"/>
        <v/>
      </c>
      <c r="AI411">
        <v>3510</v>
      </c>
      <c r="AJ411" t="s">
        <v>328</v>
      </c>
      <c r="AK411" t="s">
        <v>1136</v>
      </c>
      <c r="AL411" s="245">
        <f t="shared" si="55"/>
        <v>152353368.96599519</v>
      </c>
      <c r="AM411" s="245">
        <f t="shared" si="56"/>
        <v>595545392.8879199</v>
      </c>
      <c r="AN411" s="245">
        <f t="shared" si="57"/>
        <v>3229759.9999997998</v>
      </c>
      <c r="AO411" s="245">
        <f t="shared" si="58"/>
        <v>40157070.1979976</v>
      </c>
      <c r="AP411" s="176"/>
      <c r="AQ411" s="176"/>
      <c r="AR411">
        <v>3510</v>
      </c>
      <c r="AS411" t="s">
        <v>328</v>
      </c>
      <c r="AT411" t="s">
        <v>1136</v>
      </c>
      <c r="AU411" s="176">
        <v>20650819.751104001</v>
      </c>
      <c r="AW411">
        <v>3510</v>
      </c>
      <c r="AX411" t="s">
        <v>328</v>
      </c>
      <c r="AY411" t="s">
        <v>1136</v>
      </c>
      <c r="AZ411">
        <v>10481199.476663999</v>
      </c>
      <c r="BA411" s="342" t="str">
        <f t="shared" si="61"/>
        <v/>
      </c>
      <c r="BB411">
        <v>3510</v>
      </c>
      <c r="BC411" t="s">
        <v>328</v>
      </c>
      <c r="BD411" t="s">
        <v>1136</v>
      </c>
      <c r="BE411" s="243">
        <f t="shared" si="62"/>
        <v>29035779.332435202</v>
      </c>
    </row>
    <row r="412" spans="1:57">
      <c r="A412">
        <v>4000</v>
      </c>
      <c r="B412" t="s">
        <v>329</v>
      </c>
      <c r="C412" t="s">
        <v>1137</v>
      </c>
      <c r="D412" s="176">
        <v>192342470.86426699</v>
      </c>
      <c r="E412">
        <v>0</v>
      </c>
      <c r="G412">
        <v>4000</v>
      </c>
      <c r="H412" t="s">
        <v>329</v>
      </c>
      <c r="I412" t="s">
        <v>1137</v>
      </c>
      <c r="J412" s="176">
        <v>109693500.29441901</v>
      </c>
      <c r="K412">
        <v>0</v>
      </c>
      <c r="L412" s="342" t="str">
        <f t="shared" si="59"/>
        <v/>
      </c>
      <c r="M412">
        <v>4000</v>
      </c>
      <c r="N412" t="s">
        <v>329</v>
      </c>
      <c r="O412" t="s">
        <v>1137</v>
      </c>
      <c r="P412" s="243">
        <f t="shared" si="60"/>
        <v>280097271.0998022</v>
      </c>
      <c r="S412">
        <v>4000</v>
      </c>
      <c r="T412" t="s">
        <v>329</v>
      </c>
      <c r="U412" t="s">
        <v>1137</v>
      </c>
      <c r="V412" s="176">
        <v>109869160.128883</v>
      </c>
      <c r="W412" s="176">
        <v>340317199.71658099</v>
      </c>
      <c r="X412" s="176">
        <v>3907048</v>
      </c>
      <c r="Y412" s="176">
        <v>23260528.806662999</v>
      </c>
      <c r="Z412" s="176"/>
      <c r="AA412">
        <v>4000</v>
      </c>
      <c r="AB412" s="176" t="s">
        <v>329</v>
      </c>
      <c r="AC412" s="176" t="s">
        <v>1137</v>
      </c>
      <c r="AD412" s="176">
        <v>109869160.128883</v>
      </c>
      <c r="AE412" s="176">
        <v>340317199.71658099</v>
      </c>
      <c r="AF412" s="176">
        <v>3907048</v>
      </c>
      <c r="AG412" s="176">
        <v>23260528.806662999</v>
      </c>
      <c r="AH412" s="342" t="str">
        <f t="shared" si="54"/>
        <v/>
      </c>
      <c r="AI412">
        <v>4000</v>
      </c>
      <c r="AJ412" t="s">
        <v>329</v>
      </c>
      <c r="AK412" t="s">
        <v>1137</v>
      </c>
      <c r="AL412" s="245">
        <f t="shared" si="55"/>
        <v>197764488.23198941</v>
      </c>
      <c r="AM412" s="245">
        <f t="shared" si="56"/>
        <v>612570959.48984575</v>
      </c>
      <c r="AN412" s="245">
        <f t="shared" si="57"/>
        <v>7032686.4000000004</v>
      </c>
      <c r="AO412" s="245">
        <f t="shared" si="58"/>
        <v>41868951.851993397</v>
      </c>
      <c r="AP412" s="176"/>
      <c r="AQ412" s="176"/>
      <c r="AR412">
        <v>4000</v>
      </c>
      <c r="AS412" t="s">
        <v>329</v>
      </c>
      <c r="AT412" t="s">
        <v>1137</v>
      </c>
      <c r="AU412" s="176">
        <v>25456006.899982002</v>
      </c>
      <c r="AW412">
        <v>4000</v>
      </c>
      <c r="AX412" t="s">
        <v>329</v>
      </c>
      <c r="AY412" t="s">
        <v>1137</v>
      </c>
      <c r="AZ412" s="176">
        <v>32148120.681106001</v>
      </c>
      <c r="BA412" s="342" t="str">
        <f t="shared" si="61"/>
        <v/>
      </c>
      <c r="BB412">
        <v>4000</v>
      </c>
      <c r="BC412" t="s">
        <v>329</v>
      </c>
      <c r="BD412" t="s">
        <v>1137</v>
      </c>
      <c r="BE412" s="243">
        <f t="shared" si="62"/>
        <v>51174503.444866806</v>
      </c>
    </row>
    <row r="413" spans="1:57">
      <c r="A413">
        <v>4000</v>
      </c>
      <c r="B413" t="s">
        <v>329</v>
      </c>
      <c r="C413" t="s">
        <v>1139</v>
      </c>
      <c r="D413" s="176">
        <v>128976364.168799</v>
      </c>
      <c r="E413">
        <v>0</v>
      </c>
      <c r="G413">
        <v>4000</v>
      </c>
      <c r="H413" t="s">
        <v>329</v>
      </c>
      <c r="I413" t="s">
        <v>1139</v>
      </c>
      <c r="J413" s="176">
        <v>61245715.669974998</v>
      </c>
      <c r="K413">
        <v>0</v>
      </c>
      <c r="L413" s="342" t="str">
        <f t="shared" si="59"/>
        <v/>
      </c>
      <c r="M413">
        <v>4000</v>
      </c>
      <c r="N413" t="s">
        <v>329</v>
      </c>
      <c r="O413" t="s">
        <v>1139</v>
      </c>
      <c r="P413" s="243">
        <f t="shared" si="60"/>
        <v>177972936.704779</v>
      </c>
      <c r="S413">
        <v>4000</v>
      </c>
      <c r="T413" t="s">
        <v>329</v>
      </c>
      <c r="U413" t="s">
        <v>1139</v>
      </c>
      <c r="V413" s="176">
        <v>56532773.919996001</v>
      </c>
      <c r="W413" s="176">
        <v>154862083.01106799</v>
      </c>
      <c r="X413" s="176">
        <v>0</v>
      </c>
      <c r="Y413" s="176">
        <v>15338375.999998</v>
      </c>
      <c r="Z413" s="176"/>
      <c r="AA413">
        <v>4000</v>
      </c>
      <c r="AB413" s="176" t="s">
        <v>329</v>
      </c>
      <c r="AC413" s="176" t="s">
        <v>1139</v>
      </c>
      <c r="AD413" s="176">
        <v>56532773.919996001</v>
      </c>
      <c r="AE413" s="176">
        <v>154862083.01106799</v>
      </c>
      <c r="AF413">
        <v>0</v>
      </c>
      <c r="AG413" s="176">
        <v>15338375.999998</v>
      </c>
      <c r="AH413" s="342" t="str">
        <f t="shared" si="54"/>
        <v/>
      </c>
      <c r="AI413">
        <v>4000</v>
      </c>
      <c r="AJ413" t="s">
        <v>329</v>
      </c>
      <c r="AK413" t="s">
        <v>1139</v>
      </c>
      <c r="AL413" s="245">
        <f t="shared" si="55"/>
        <v>101758993.05599281</v>
      </c>
      <c r="AM413" s="245">
        <f t="shared" si="56"/>
        <v>278751749.41992235</v>
      </c>
      <c r="AN413" s="245">
        <f t="shared" si="57"/>
        <v>0</v>
      </c>
      <c r="AO413" s="245">
        <f t="shared" si="58"/>
        <v>27609076.799996398</v>
      </c>
      <c r="AP413" s="176"/>
      <c r="AQ413" s="176"/>
      <c r="AR413">
        <v>4000</v>
      </c>
      <c r="AS413" t="s">
        <v>329</v>
      </c>
      <c r="AT413" t="s">
        <v>1139</v>
      </c>
      <c r="AU413" s="176">
        <v>5921433.122215</v>
      </c>
      <c r="AW413">
        <v>4000</v>
      </c>
      <c r="AX413" t="s">
        <v>329</v>
      </c>
      <c r="AY413" t="s">
        <v>1139</v>
      </c>
      <c r="AZ413" s="176">
        <v>6727031.5755540002</v>
      </c>
      <c r="BA413" s="342" t="str">
        <f t="shared" si="61"/>
        <v/>
      </c>
      <c r="BB413">
        <v>4000</v>
      </c>
      <c r="BC413" t="s">
        <v>329</v>
      </c>
      <c r="BD413" t="s">
        <v>1139</v>
      </c>
      <c r="BE413" s="243">
        <f t="shared" si="62"/>
        <v>11303058.3826582</v>
      </c>
    </row>
    <row r="414" spans="1:57">
      <c r="A414">
        <v>4000</v>
      </c>
      <c r="B414" t="s">
        <v>329</v>
      </c>
      <c r="C414" t="s">
        <v>996</v>
      </c>
      <c r="D414" s="176">
        <v>152374271.055509</v>
      </c>
      <c r="E414">
        <v>0</v>
      </c>
      <c r="G414">
        <v>4000</v>
      </c>
      <c r="H414" t="s">
        <v>329</v>
      </c>
      <c r="I414" t="s">
        <v>996</v>
      </c>
      <c r="J414" s="176">
        <v>111892017.81775799</v>
      </c>
      <c r="K414">
        <v>0</v>
      </c>
      <c r="L414" s="342" t="str">
        <f t="shared" si="59"/>
        <v/>
      </c>
      <c r="M414">
        <v>4000</v>
      </c>
      <c r="N414" t="s">
        <v>329</v>
      </c>
      <c r="O414" t="s">
        <v>996</v>
      </c>
      <c r="P414" s="243">
        <f t="shared" si="60"/>
        <v>241887885.30971539</v>
      </c>
      <c r="S414">
        <v>4000</v>
      </c>
      <c r="T414" t="s">
        <v>329</v>
      </c>
      <c r="U414" t="s">
        <v>996</v>
      </c>
      <c r="V414" s="176">
        <v>128322224.32111</v>
      </c>
      <c r="W414" s="176">
        <v>477354826.981071</v>
      </c>
      <c r="X414" s="176">
        <v>195533.33333299999</v>
      </c>
      <c r="Y414" s="176">
        <v>49115093.953331001</v>
      </c>
      <c r="Z414" s="176"/>
      <c r="AA414">
        <v>4000</v>
      </c>
      <c r="AB414" s="176" t="s">
        <v>329</v>
      </c>
      <c r="AC414" s="176" t="s">
        <v>996</v>
      </c>
      <c r="AD414" s="176">
        <v>128322224.32111</v>
      </c>
      <c r="AE414" s="176">
        <v>477354826.981071</v>
      </c>
      <c r="AF414" s="176">
        <v>195533.33333299999</v>
      </c>
      <c r="AG414" s="176">
        <v>49115093.953331001</v>
      </c>
      <c r="AH414" s="342" t="str">
        <f t="shared" si="54"/>
        <v/>
      </c>
      <c r="AI414">
        <v>4000</v>
      </c>
      <c r="AJ414" t="s">
        <v>329</v>
      </c>
      <c r="AK414" t="s">
        <v>996</v>
      </c>
      <c r="AL414" s="245">
        <f t="shared" si="55"/>
        <v>230980003.777998</v>
      </c>
      <c r="AM414" s="245">
        <f t="shared" si="56"/>
        <v>859238688.56592774</v>
      </c>
      <c r="AN414" s="245">
        <f t="shared" si="57"/>
        <v>351959.9999994</v>
      </c>
      <c r="AO414" s="245">
        <f t="shared" si="58"/>
        <v>88407169.115995795</v>
      </c>
      <c r="AP414" s="176"/>
      <c r="AQ414" s="176"/>
      <c r="AR414">
        <v>4000</v>
      </c>
      <c r="AS414" t="s">
        <v>329</v>
      </c>
      <c r="AT414" t="s">
        <v>996</v>
      </c>
      <c r="AU414" s="176">
        <v>43415929.704437003</v>
      </c>
      <c r="AW414">
        <v>4000</v>
      </c>
      <c r="AX414" t="s">
        <v>329</v>
      </c>
      <c r="AY414" t="s">
        <v>996</v>
      </c>
      <c r="AZ414" s="176">
        <v>26618492.284442</v>
      </c>
      <c r="BA414" s="342" t="str">
        <f t="shared" si="61"/>
        <v/>
      </c>
      <c r="BB414">
        <v>4000</v>
      </c>
      <c r="BC414" t="s">
        <v>329</v>
      </c>
      <c r="BD414" t="s">
        <v>996</v>
      </c>
      <c r="BE414" s="243">
        <f t="shared" si="62"/>
        <v>64710723.531990603</v>
      </c>
    </row>
    <row r="415" spans="1:57">
      <c r="A415">
        <v>4000</v>
      </c>
      <c r="B415" t="s">
        <v>329</v>
      </c>
      <c r="C415" t="s">
        <v>1138</v>
      </c>
      <c r="D415" s="176">
        <v>350840847.05438602</v>
      </c>
      <c r="E415">
        <v>0</v>
      </c>
      <c r="G415">
        <v>4000</v>
      </c>
      <c r="H415" t="s">
        <v>329</v>
      </c>
      <c r="I415" t="s">
        <v>1138</v>
      </c>
      <c r="J415" s="176">
        <v>221471042.195537</v>
      </c>
      <c r="K415">
        <v>0</v>
      </c>
      <c r="L415" s="342" t="str">
        <f t="shared" si="59"/>
        <v/>
      </c>
      <c r="M415">
        <v>4000</v>
      </c>
      <c r="N415" t="s">
        <v>329</v>
      </c>
      <c r="O415" t="s">
        <v>1138</v>
      </c>
      <c r="P415" s="243">
        <f t="shared" si="60"/>
        <v>528017680.81081563</v>
      </c>
      <c r="S415">
        <v>4000</v>
      </c>
      <c r="T415" t="s">
        <v>329</v>
      </c>
      <c r="U415" t="s">
        <v>1138</v>
      </c>
      <c r="V415" s="176">
        <v>40086934.358887002</v>
      </c>
      <c r="W415" s="176">
        <v>312097446.15330702</v>
      </c>
      <c r="X415" s="176">
        <v>0</v>
      </c>
      <c r="Y415" s="176">
        <v>103005976.795553</v>
      </c>
      <c r="Z415" s="176"/>
      <c r="AA415">
        <v>4000</v>
      </c>
      <c r="AB415" s="176" t="s">
        <v>329</v>
      </c>
      <c r="AC415" s="176" t="s">
        <v>1138</v>
      </c>
      <c r="AD415" s="176">
        <v>40086934.358887002</v>
      </c>
      <c r="AE415" s="176">
        <v>312097446.15330702</v>
      </c>
      <c r="AF415" s="176">
        <v>0</v>
      </c>
      <c r="AG415" s="176">
        <v>103005976.795553</v>
      </c>
      <c r="AH415" s="342" t="str">
        <f t="shared" si="54"/>
        <v/>
      </c>
      <c r="AI415">
        <v>4000</v>
      </c>
      <c r="AJ415" t="s">
        <v>329</v>
      </c>
      <c r="AK415" t="s">
        <v>1138</v>
      </c>
      <c r="AL415" s="245">
        <f t="shared" si="55"/>
        <v>72156481.845996603</v>
      </c>
      <c r="AM415" s="245">
        <f t="shared" si="56"/>
        <v>561775403.07595265</v>
      </c>
      <c r="AN415" s="245">
        <f t="shared" si="57"/>
        <v>0</v>
      </c>
      <c r="AO415" s="245">
        <f t="shared" si="58"/>
        <v>185410758.2319954</v>
      </c>
      <c r="AP415" s="176"/>
      <c r="AQ415" s="176"/>
      <c r="AR415">
        <v>4000</v>
      </c>
      <c r="AS415" t="s">
        <v>329</v>
      </c>
      <c r="AT415" t="s">
        <v>1138</v>
      </c>
      <c r="AU415" s="176">
        <v>68047843.478872001</v>
      </c>
      <c r="AW415">
        <v>4000</v>
      </c>
      <c r="AX415" t="s">
        <v>329</v>
      </c>
      <c r="AY415" t="s">
        <v>1138</v>
      </c>
      <c r="AZ415" s="176">
        <v>48854605.559996001</v>
      </c>
      <c r="BA415" s="342" t="str">
        <f t="shared" si="61"/>
        <v/>
      </c>
      <c r="BB415">
        <v>4000</v>
      </c>
      <c r="BC415" t="s">
        <v>329</v>
      </c>
      <c r="BD415" t="s">
        <v>1138</v>
      </c>
      <c r="BE415" s="243">
        <f t="shared" si="62"/>
        <v>107131527.9268688</v>
      </c>
    </row>
    <row r="416" spans="1:57">
      <c r="A416">
        <v>4010</v>
      </c>
      <c r="B416" t="s">
        <v>330</v>
      </c>
      <c r="C416" t="s">
        <v>1575</v>
      </c>
      <c r="D416" s="176">
        <v>47153221.764420003</v>
      </c>
      <c r="E416">
        <v>0</v>
      </c>
      <c r="G416">
        <v>4010</v>
      </c>
      <c r="H416" t="s">
        <v>330</v>
      </c>
      <c r="I416" t="s">
        <v>1575</v>
      </c>
      <c r="J416" s="176">
        <v>28589565.285548002</v>
      </c>
      <c r="K416">
        <v>0</v>
      </c>
      <c r="L416" s="342" t="str">
        <f t="shared" si="59"/>
        <v/>
      </c>
      <c r="M416">
        <v>4010</v>
      </c>
      <c r="N416" t="s">
        <v>330</v>
      </c>
      <c r="O416" t="s">
        <v>1575</v>
      </c>
      <c r="P416" s="243">
        <f t="shared" si="60"/>
        <v>70024873.99285841</v>
      </c>
      <c r="S416">
        <v>4010</v>
      </c>
      <c r="T416" t="s">
        <v>330</v>
      </c>
      <c r="U416" t="s">
        <v>1575</v>
      </c>
      <c r="V416" s="176">
        <v>15681510.15</v>
      </c>
      <c r="W416" s="176">
        <v>45132471.761101</v>
      </c>
      <c r="X416" s="176">
        <v>0</v>
      </c>
      <c r="Y416" s="176">
        <v>1266666.6666659999</v>
      </c>
      <c r="Z416" s="176"/>
      <c r="AA416">
        <v>4010</v>
      </c>
      <c r="AB416" s="176" t="s">
        <v>330</v>
      </c>
      <c r="AC416" s="176" t="s">
        <v>1575</v>
      </c>
      <c r="AD416" s="176">
        <v>15681510.15</v>
      </c>
      <c r="AE416" s="176">
        <v>45132471.761101</v>
      </c>
      <c r="AF416">
        <v>0</v>
      </c>
      <c r="AG416" s="176">
        <v>1266666.6666659999</v>
      </c>
      <c r="AH416" s="342" t="str">
        <f t="shared" si="54"/>
        <v/>
      </c>
      <c r="AI416">
        <v>4010</v>
      </c>
      <c r="AJ416" t="s">
        <v>330</v>
      </c>
      <c r="AK416" t="s">
        <v>1575</v>
      </c>
      <c r="AL416" s="245">
        <f t="shared" si="55"/>
        <v>28226718.270000003</v>
      </c>
      <c r="AM416" s="245">
        <f t="shared" si="56"/>
        <v>81238449.169981807</v>
      </c>
      <c r="AN416" s="245">
        <f t="shared" si="57"/>
        <v>0</v>
      </c>
      <c r="AO416" s="245">
        <f t="shared" si="58"/>
        <v>2279999.9999988</v>
      </c>
      <c r="AP416" s="176"/>
      <c r="AQ416" s="176"/>
      <c r="AR416">
        <v>4010</v>
      </c>
      <c r="AS416" t="s">
        <v>330</v>
      </c>
      <c r="AT416" t="s">
        <v>1575</v>
      </c>
      <c r="AU416" s="176">
        <v>94153.468888000003</v>
      </c>
      <c r="AW416">
        <v>4010</v>
      </c>
      <c r="AX416" t="s">
        <v>330</v>
      </c>
      <c r="AY416" t="s">
        <v>1575</v>
      </c>
      <c r="AZ416" s="176">
        <v>2011435.618887</v>
      </c>
      <c r="BA416" s="342" t="str">
        <f t="shared" si="61"/>
        <v/>
      </c>
      <c r="BB416">
        <v>4010</v>
      </c>
      <c r="BC416" t="s">
        <v>330</v>
      </c>
      <c r="BD416" t="s">
        <v>1575</v>
      </c>
      <c r="BE416" s="243">
        <f t="shared" si="62"/>
        <v>1703301.9639976001</v>
      </c>
    </row>
    <row r="417" spans="1:57">
      <c r="A417">
        <v>4010</v>
      </c>
      <c r="B417" t="s">
        <v>330</v>
      </c>
      <c r="C417" t="s">
        <v>1141</v>
      </c>
      <c r="D417" s="176">
        <v>187994488.338797</v>
      </c>
      <c r="E417">
        <v>0</v>
      </c>
      <c r="G417">
        <v>4010</v>
      </c>
      <c r="H417" t="s">
        <v>330</v>
      </c>
      <c r="I417" t="s">
        <v>1141</v>
      </c>
      <c r="J417" s="176">
        <v>82089581.641094998</v>
      </c>
      <c r="K417">
        <v>0</v>
      </c>
      <c r="L417" s="342" t="str">
        <f t="shared" si="59"/>
        <v/>
      </c>
      <c r="M417">
        <v>4010</v>
      </c>
      <c r="N417" t="s">
        <v>330</v>
      </c>
      <c r="O417" t="s">
        <v>1141</v>
      </c>
      <c r="P417" s="243">
        <f t="shared" si="60"/>
        <v>253666153.65167302</v>
      </c>
      <c r="S417">
        <v>4010</v>
      </c>
      <c r="T417" t="s">
        <v>330</v>
      </c>
      <c r="U417" t="s">
        <v>1141</v>
      </c>
      <c r="V417" s="176">
        <v>54163984.463333003</v>
      </c>
      <c r="W417" s="176">
        <v>261261070.79218701</v>
      </c>
      <c r="X417" s="176">
        <v>0</v>
      </c>
      <c r="Y417" s="176">
        <v>19468945</v>
      </c>
      <c r="Z417" s="176"/>
      <c r="AA417">
        <v>4010</v>
      </c>
      <c r="AB417" s="176" t="s">
        <v>330</v>
      </c>
      <c r="AC417" s="176" t="s">
        <v>1141</v>
      </c>
      <c r="AD417" s="176">
        <v>54163984.463333003</v>
      </c>
      <c r="AE417" s="176">
        <v>261261070.79218701</v>
      </c>
      <c r="AF417" s="176">
        <v>0</v>
      </c>
      <c r="AG417" s="176">
        <v>19468945</v>
      </c>
      <c r="AH417" s="342" t="str">
        <f t="shared" si="54"/>
        <v/>
      </c>
      <c r="AI417">
        <v>4010</v>
      </c>
      <c r="AJ417" t="s">
        <v>330</v>
      </c>
      <c r="AK417" t="s">
        <v>1141</v>
      </c>
      <c r="AL417" s="245">
        <f t="shared" si="55"/>
        <v>97495172.033999413</v>
      </c>
      <c r="AM417" s="245">
        <f t="shared" si="56"/>
        <v>470269927.42593658</v>
      </c>
      <c r="AN417" s="245">
        <f t="shared" si="57"/>
        <v>0</v>
      </c>
      <c r="AO417" s="245">
        <f t="shared" si="58"/>
        <v>35044101</v>
      </c>
      <c r="AP417" s="176"/>
      <c r="AQ417" s="176"/>
      <c r="AR417">
        <v>4010</v>
      </c>
      <c r="AS417" t="s">
        <v>330</v>
      </c>
      <c r="AT417" t="s">
        <v>1141</v>
      </c>
      <c r="AU417" s="176">
        <v>4102342.9233309999</v>
      </c>
      <c r="AW417">
        <v>4010</v>
      </c>
      <c r="AX417" t="s">
        <v>330</v>
      </c>
      <c r="AY417" t="s">
        <v>1141</v>
      </c>
      <c r="AZ417" s="176">
        <v>3183285.197776</v>
      </c>
      <c r="BA417" s="342" t="str">
        <f t="shared" si="61"/>
        <v/>
      </c>
      <c r="BB417">
        <v>4010</v>
      </c>
      <c r="BC417" t="s">
        <v>330</v>
      </c>
      <c r="BD417" t="s">
        <v>1141</v>
      </c>
      <c r="BE417" s="243">
        <f t="shared" si="62"/>
        <v>6648971.0815517996</v>
      </c>
    </row>
    <row r="418" spans="1:57">
      <c r="A418">
        <v>4010</v>
      </c>
      <c r="B418" t="s">
        <v>330</v>
      </c>
      <c r="C418" t="s">
        <v>1762</v>
      </c>
      <c r="D418" s="176">
        <v>101796235.093271</v>
      </c>
      <c r="E418">
        <v>0</v>
      </c>
      <c r="G418">
        <v>4010</v>
      </c>
      <c r="H418" t="s">
        <v>330</v>
      </c>
      <c r="I418" t="s">
        <v>1762</v>
      </c>
      <c r="J418" s="176">
        <v>38190878.781094998</v>
      </c>
      <c r="K418">
        <v>0</v>
      </c>
      <c r="L418" s="342" t="str">
        <f t="shared" si="59"/>
        <v/>
      </c>
      <c r="M418">
        <v>4010</v>
      </c>
      <c r="N418" t="s">
        <v>330</v>
      </c>
      <c r="O418" t="s">
        <v>1762</v>
      </c>
      <c r="P418" s="243">
        <f t="shared" si="60"/>
        <v>132348938.118147</v>
      </c>
      <c r="S418">
        <v>4010</v>
      </c>
      <c r="T418" t="s">
        <v>330</v>
      </c>
      <c r="U418" t="s">
        <v>1762</v>
      </c>
      <c r="V418" s="176">
        <v>25990663.426665999</v>
      </c>
      <c r="W418" s="176">
        <v>93442507.309968993</v>
      </c>
      <c r="X418">
        <v>500000</v>
      </c>
      <c r="Y418" s="176">
        <v>2761328.2222219999</v>
      </c>
      <c r="Z418" s="176"/>
      <c r="AA418">
        <v>4010</v>
      </c>
      <c r="AB418" s="176" t="s">
        <v>330</v>
      </c>
      <c r="AC418" s="176" t="s">
        <v>1762</v>
      </c>
      <c r="AD418" s="176">
        <v>25990663.426665999</v>
      </c>
      <c r="AE418" s="176">
        <v>93442507.309968993</v>
      </c>
      <c r="AF418">
        <v>500000</v>
      </c>
      <c r="AG418" s="176">
        <v>2761328.2222219999</v>
      </c>
      <c r="AH418" s="342" t="str">
        <f t="shared" si="54"/>
        <v/>
      </c>
      <c r="AI418">
        <v>4010</v>
      </c>
      <c r="AJ418" t="s">
        <v>330</v>
      </c>
      <c r="AK418" t="s">
        <v>1762</v>
      </c>
      <c r="AL418" s="245">
        <f t="shared" si="55"/>
        <v>46783194.167998798</v>
      </c>
      <c r="AM418" s="245">
        <f t="shared" si="56"/>
        <v>168196513.1579442</v>
      </c>
      <c r="AN418" s="245">
        <f t="shared" si="57"/>
        <v>900000</v>
      </c>
      <c r="AO418" s="245">
        <f t="shared" si="58"/>
        <v>4970390.7999996003</v>
      </c>
      <c r="AP418" s="176"/>
      <c r="AQ418" s="176"/>
      <c r="AR418">
        <v>4010</v>
      </c>
      <c r="AS418" t="s">
        <v>330</v>
      </c>
      <c r="AT418" t="s">
        <v>1762</v>
      </c>
      <c r="AU418" s="176">
        <v>4220468.1144390004</v>
      </c>
      <c r="AW418">
        <v>4010</v>
      </c>
      <c r="AX418" t="s">
        <v>330</v>
      </c>
      <c r="AY418" t="s">
        <v>1762</v>
      </c>
      <c r="AZ418" s="176">
        <v>10296971.303332999</v>
      </c>
      <c r="BA418" s="342" t="str">
        <f t="shared" si="61"/>
        <v/>
      </c>
      <c r="BB418">
        <v>4010</v>
      </c>
      <c r="BC418" t="s">
        <v>330</v>
      </c>
      <c r="BD418" t="s">
        <v>1762</v>
      </c>
      <c r="BE418" s="243">
        <f t="shared" si="62"/>
        <v>12458045.157105401</v>
      </c>
    </row>
    <row r="419" spans="1:57">
      <c r="A419">
        <v>4010</v>
      </c>
      <c r="B419" t="s">
        <v>330</v>
      </c>
      <c r="C419" t="s">
        <v>1763</v>
      </c>
      <c r="D419" s="176">
        <v>554341816.240978</v>
      </c>
      <c r="E419">
        <v>0</v>
      </c>
      <c r="G419">
        <v>4010</v>
      </c>
      <c r="H419" t="s">
        <v>330</v>
      </c>
      <c r="I419" t="s">
        <v>1763</v>
      </c>
      <c r="J419" s="176">
        <v>291340055.63883698</v>
      </c>
      <c r="K419">
        <v>0</v>
      </c>
      <c r="L419" s="342" t="str">
        <f t="shared" si="59"/>
        <v/>
      </c>
      <c r="M419">
        <v>4010</v>
      </c>
      <c r="N419" t="s">
        <v>330</v>
      </c>
      <c r="O419" t="s">
        <v>1763</v>
      </c>
      <c r="P419" s="243">
        <f t="shared" si="60"/>
        <v>787413860.75204754</v>
      </c>
      <c r="S419">
        <v>4010</v>
      </c>
      <c r="T419" t="s">
        <v>330</v>
      </c>
      <c r="U419" t="s">
        <v>1763</v>
      </c>
      <c r="V419" s="176">
        <v>98264949.285550997</v>
      </c>
      <c r="W419" s="176">
        <v>291065886.37997502</v>
      </c>
      <c r="X419" s="176">
        <v>0</v>
      </c>
      <c r="Y419" s="176">
        <v>24174925.111106999</v>
      </c>
      <c r="Z419" s="176"/>
      <c r="AA419">
        <v>4010</v>
      </c>
      <c r="AB419" s="176" t="s">
        <v>330</v>
      </c>
      <c r="AC419" s="176" t="s">
        <v>1763</v>
      </c>
      <c r="AD419" s="176">
        <v>98264949.285550997</v>
      </c>
      <c r="AE419" s="176">
        <v>291065886.37997502</v>
      </c>
      <c r="AF419">
        <v>0</v>
      </c>
      <c r="AG419" s="176">
        <v>24174925.111106999</v>
      </c>
      <c r="AH419" s="342" t="str">
        <f t="shared" si="54"/>
        <v/>
      </c>
      <c r="AI419">
        <v>4010</v>
      </c>
      <c r="AJ419" t="s">
        <v>330</v>
      </c>
      <c r="AK419" t="s">
        <v>1763</v>
      </c>
      <c r="AL419" s="245">
        <f t="shared" si="55"/>
        <v>176876908.71399179</v>
      </c>
      <c r="AM419" s="245">
        <f t="shared" si="56"/>
        <v>523918595.48395503</v>
      </c>
      <c r="AN419" s="245">
        <f t="shared" si="57"/>
        <v>0</v>
      </c>
      <c r="AO419" s="245">
        <f t="shared" si="58"/>
        <v>43514865.199992597</v>
      </c>
      <c r="AP419" s="176"/>
      <c r="AQ419" s="176"/>
      <c r="AR419">
        <v>4010</v>
      </c>
      <c r="AS419" t="s">
        <v>330</v>
      </c>
      <c r="AT419" t="s">
        <v>1763</v>
      </c>
      <c r="AU419" s="176">
        <v>13210539.83444</v>
      </c>
      <c r="AW419">
        <v>4010</v>
      </c>
      <c r="AX419" t="s">
        <v>330</v>
      </c>
      <c r="AY419" t="s">
        <v>1763</v>
      </c>
      <c r="AZ419" s="176">
        <v>5823427.4677719995</v>
      </c>
      <c r="BA419" s="342" t="str">
        <f t="shared" si="61"/>
        <v/>
      </c>
      <c r="BB419">
        <v>4010</v>
      </c>
      <c r="BC419" t="s">
        <v>330</v>
      </c>
      <c r="BD419" t="s">
        <v>1763</v>
      </c>
      <c r="BE419" s="243">
        <f t="shared" si="62"/>
        <v>17869281.808657601</v>
      </c>
    </row>
    <row r="420" spans="1:57">
      <c r="A420">
        <v>4020</v>
      </c>
      <c r="B420" t="s">
        <v>331</v>
      </c>
      <c r="C420" t="s">
        <v>1143</v>
      </c>
      <c r="D420" s="176">
        <v>163066905.033259</v>
      </c>
      <c r="E420">
        <v>0</v>
      </c>
      <c r="G420">
        <v>4020</v>
      </c>
      <c r="H420" t="s">
        <v>331</v>
      </c>
      <c r="I420" t="s">
        <v>1143</v>
      </c>
      <c r="J420" s="176">
        <v>92877031.052203998</v>
      </c>
      <c r="K420">
        <v>0</v>
      </c>
      <c r="L420" s="342" t="str">
        <f t="shared" si="59"/>
        <v/>
      </c>
      <c r="M420">
        <v>4020</v>
      </c>
      <c r="N420" t="s">
        <v>331</v>
      </c>
      <c r="O420" t="s">
        <v>1143</v>
      </c>
      <c r="P420" s="243">
        <f t="shared" si="60"/>
        <v>237368529.8750222</v>
      </c>
      <c r="S420">
        <v>4020</v>
      </c>
      <c r="T420" t="s">
        <v>331</v>
      </c>
      <c r="U420" t="s">
        <v>1143</v>
      </c>
      <c r="V420" s="176">
        <v>92241719.341107994</v>
      </c>
      <c r="W420" s="176">
        <v>249171739.454411</v>
      </c>
      <c r="X420">
        <v>0</v>
      </c>
      <c r="Y420" s="176">
        <v>13423454.222221</v>
      </c>
      <c r="Z420" s="176"/>
      <c r="AA420">
        <v>4020</v>
      </c>
      <c r="AB420" s="176" t="s">
        <v>331</v>
      </c>
      <c r="AC420" s="176" t="s">
        <v>1143</v>
      </c>
      <c r="AD420" s="176">
        <v>92241719.341107994</v>
      </c>
      <c r="AE420" s="176">
        <v>249171739.454411</v>
      </c>
      <c r="AF420">
        <v>0</v>
      </c>
      <c r="AG420" s="176">
        <v>13423454.222221</v>
      </c>
      <c r="AH420" s="342" t="str">
        <f t="shared" si="54"/>
        <v/>
      </c>
      <c r="AI420">
        <v>4020</v>
      </c>
      <c r="AJ420" t="s">
        <v>331</v>
      </c>
      <c r="AK420" t="s">
        <v>1143</v>
      </c>
      <c r="AL420" s="245">
        <f t="shared" si="55"/>
        <v>166035094.81399441</v>
      </c>
      <c r="AM420" s="245">
        <f t="shared" si="56"/>
        <v>448509131.01793981</v>
      </c>
      <c r="AN420" s="245">
        <f t="shared" si="57"/>
        <v>0</v>
      </c>
      <c r="AO420" s="245">
        <f t="shared" si="58"/>
        <v>24162217.599997804</v>
      </c>
      <c r="AP420" s="176"/>
      <c r="AQ420" s="176"/>
      <c r="AR420">
        <v>4020</v>
      </c>
      <c r="AS420" t="s">
        <v>331</v>
      </c>
      <c r="AT420" t="s">
        <v>1143</v>
      </c>
      <c r="AU420" s="176">
        <v>6385172.9999930002</v>
      </c>
      <c r="AW420">
        <v>4020</v>
      </c>
      <c r="AX420" t="s">
        <v>331</v>
      </c>
      <c r="AY420" t="s">
        <v>1143</v>
      </c>
      <c r="AZ420" s="176">
        <v>5389180.5677739996</v>
      </c>
      <c r="BA420" s="342" t="str">
        <f t="shared" si="61"/>
        <v/>
      </c>
      <c r="BB420">
        <v>4020</v>
      </c>
      <c r="BC420" t="s">
        <v>331</v>
      </c>
      <c r="BD420" t="s">
        <v>1143</v>
      </c>
      <c r="BE420" s="243">
        <f t="shared" si="62"/>
        <v>10696517.4542122</v>
      </c>
    </row>
    <row r="421" spans="1:57">
      <c r="A421">
        <v>4020</v>
      </c>
      <c r="B421" t="s">
        <v>331</v>
      </c>
      <c r="C421" t="s">
        <v>1142</v>
      </c>
      <c r="D421" s="176">
        <v>273689324.33657199</v>
      </c>
      <c r="E421">
        <v>0</v>
      </c>
      <c r="G421">
        <v>4020</v>
      </c>
      <c r="H421" t="s">
        <v>331</v>
      </c>
      <c r="I421" t="s">
        <v>1142</v>
      </c>
      <c r="J421" s="176">
        <v>144964025.075537</v>
      </c>
      <c r="K421">
        <v>0</v>
      </c>
      <c r="L421" s="342" t="str">
        <f t="shared" si="59"/>
        <v/>
      </c>
      <c r="M421">
        <v>4020</v>
      </c>
      <c r="N421" t="s">
        <v>331</v>
      </c>
      <c r="O421" t="s">
        <v>1142</v>
      </c>
      <c r="P421" s="243">
        <f t="shared" si="60"/>
        <v>389660544.39700162</v>
      </c>
      <c r="S421">
        <v>4020</v>
      </c>
      <c r="T421" t="s">
        <v>331</v>
      </c>
      <c r="U421" t="s">
        <v>1142</v>
      </c>
      <c r="V421" s="176">
        <v>70168361.463330999</v>
      </c>
      <c r="W421" s="176">
        <v>323072047.67885602</v>
      </c>
      <c r="X421">
        <v>0</v>
      </c>
      <c r="Y421" s="176">
        <v>9743787.1666650008</v>
      </c>
      <c r="Z421" s="176"/>
      <c r="AA421">
        <v>4020</v>
      </c>
      <c r="AB421" s="176" t="s">
        <v>331</v>
      </c>
      <c r="AC421" s="176" t="s">
        <v>1142</v>
      </c>
      <c r="AD421" s="176">
        <v>70168361.463330999</v>
      </c>
      <c r="AE421" s="176">
        <v>323072047.67885602</v>
      </c>
      <c r="AF421">
        <v>0</v>
      </c>
      <c r="AG421" s="176">
        <v>9743787.1666650008</v>
      </c>
      <c r="AH421" s="342" t="str">
        <f t="shared" si="54"/>
        <v/>
      </c>
      <c r="AI421">
        <v>4020</v>
      </c>
      <c r="AJ421" t="s">
        <v>331</v>
      </c>
      <c r="AK421" t="s">
        <v>1142</v>
      </c>
      <c r="AL421" s="245">
        <f t="shared" si="55"/>
        <v>126303050.6339958</v>
      </c>
      <c r="AM421" s="245">
        <f t="shared" si="56"/>
        <v>581529685.8219409</v>
      </c>
      <c r="AN421" s="245">
        <f t="shared" si="57"/>
        <v>0</v>
      </c>
      <c r="AO421" s="245">
        <f t="shared" si="58"/>
        <v>17538816.899997003</v>
      </c>
      <c r="AP421" s="176"/>
      <c r="AQ421" s="176"/>
      <c r="AR421">
        <v>4020</v>
      </c>
      <c r="AS421" t="s">
        <v>331</v>
      </c>
      <c r="AT421" t="s">
        <v>1142</v>
      </c>
      <c r="AU421" s="176">
        <v>40894368.706657998</v>
      </c>
      <c r="AW421">
        <v>4020</v>
      </c>
      <c r="AX421" t="s">
        <v>331</v>
      </c>
      <c r="AY421" t="s">
        <v>1142</v>
      </c>
      <c r="AZ421" s="176">
        <v>27440995.839995999</v>
      </c>
      <c r="BA421" s="342" t="str">
        <f t="shared" si="61"/>
        <v/>
      </c>
      <c r="BB421">
        <v>4020</v>
      </c>
      <c r="BC421" t="s">
        <v>331</v>
      </c>
      <c r="BD421" t="s">
        <v>1142</v>
      </c>
      <c r="BE421" s="243">
        <f t="shared" si="62"/>
        <v>62847165.3786548</v>
      </c>
    </row>
    <row r="422" spans="1:57">
      <c r="A422">
        <v>4020</v>
      </c>
      <c r="B422" t="s">
        <v>331</v>
      </c>
      <c r="C422" t="s">
        <v>1765</v>
      </c>
      <c r="D422" s="176">
        <v>49776051.849969</v>
      </c>
      <c r="E422">
        <v>0</v>
      </c>
      <c r="G422">
        <v>4020</v>
      </c>
      <c r="H422" t="s">
        <v>331</v>
      </c>
      <c r="I422" t="s">
        <v>1765</v>
      </c>
      <c r="J422" s="176">
        <v>40471748.154435001</v>
      </c>
      <c r="K422">
        <v>0</v>
      </c>
      <c r="L422" s="342" t="str">
        <f t="shared" si="59"/>
        <v/>
      </c>
      <c r="M422">
        <v>4020</v>
      </c>
      <c r="N422" t="s">
        <v>331</v>
      </c>
      <c r="O422" t="s">
        <v>1765</v>
      </c>
      <c r="P422" s="243">
        <f t="shared" si="60"/>
        <v>82153450.373517007</v>
      </c>
      <c r="S422">
        <v>4020</v>
      </c>
      <c r="T422" t="s">
        <v>331</v>
      </c>
      <c r="U422" t="s">
        <v>1765</v>
      </c>
      <c r="V422" s="176">
        <v>24872036.266663998</v>
      </c>
      <c r="W422" s="176">
        <v>72919752.154421002</v>
      </c>
      <c r="X422" s="176">
        <v>0</v>
      </c>
      <c r="Y422" s="176">
        <v>3399200.931111</v>
      </c>
      <c r="Z422" s="176"/>
      <c r="AA422">
        <v>4020</v>
      </c>
      <c r="AB422" s="176" t="s">
        <v>331</v>
      </c>
      <c r="AC422" s="176" t="s">
        <v>1765</v>
      </c>
      <c r="AD422" s="176">
        <v>24872036.266663998</v>
      </c>
      <c r="AE422" s="176">
        <v>72919752.154421002</v>
      </c>
      <c r="AF422">
        <v>0</v>
      </c>
      <c r="AG422" s="176">
        <v>3399200.931111</v>
      </c>
      <c r="AH422" s="342" t="str">
        <f t="shared" si="54"/>
        <v/>
      </c>
      <c r="AI422">
        <v>4020</v>
      </c>
      <c r="AJ422" t="s">
        <v>331</v>
      </c>
      <c r="AK422" t="s">
        <v>1765</v>
      </c>
      <c r="AL422" s="245">
        <f t="shared" si="55"/>
        <v>44769665.279995203</v>
      </c>
      <c r="AM422" s="245">
        <f t="shared" si="56"/>
        <v>131255553.87795781</v>
      </c>
      <c r="AN422" s="245">
        <f t="shared" si="57"/>
        <v>0</v>
      </c>
      <c r="AO422" s="245">
        <f t="shared" si="58"/>
        <v>6118561.6759997997</v>
      </c>
      <c r="AP422" s="176"/>
      <c r="AQ422" s="176"/>
      <c r="AR422">
        <v>4020</v>
      </c>
      <c r="AS422" t="s">
        <v>331</v>
      </c>
      <c r="AT422" t="s">
        <v>1765</v>
      </c>
      <c r="AU422" s="176">
        <v>1732157.7677750001</v>
      </c>
      <c r="AW422">
        <v>4020</v>
      </c>
      <c r="AX422" t="s">
        <v>331</v>
      </c>
      <c r="AY422" t="s">
        <v>1765</v>
      </c>
      <c r="AZ422" s="176">
        <v>11055679.424443001</v>
      </c>
      <c r="BA422" s="342" t="str">
        <f t="shared" si="61"/>
        <v/>
      </c>
      <c r="BB422">
        <v>4020</v>
      </c>
      <c r="BC422" t="s">
        <v>331</v>
      </c>
      <c r="BD422" t="s">
        <v>1765</v>
      </c>
      <c r="BE422" s="243">
        <f t="shared" si="62"/>
        <v>10576701.307329401</v>
      </c>
    </row>
    <row r="423" spans="1:57">
      <c r="A423">
        <v>4020</v>
      </c>
      <c r="B423" t="s">
        <v>331</v>
      </c>
      <c r="C423" t="s">
        <v>1764</v>
      </c>
      <c r="D423" s="176">
        <v>88486629.968852997</v>
      </c>
      <c r="E423">
        <v>0</v>
      </c>
      <c r="G423">
        <v>4020</v>
      </c>
      <c r="H423" t="s">
        <v>331</v>
      </c>
      <c r="I423" t="s">
        <v>1764</v>
      </c>
      <c r="J423" s="176">
        <v>23984627.844434999</v>
      </c>
      <c r="K423">
        <v>0</v>
      </c>
      <c r="L423" s="342" t="str">
        <f t="shared" si="59"/>
        <v/>
      </c>
      <c r="M423">
        <v>4020</v>
      </c>
      <c r="N423" t="s">
        <v>331</v>
      </c>
      <c r="O423" t="s">
        <v>1764</v>
      </c>
      <c r="P423" s="243">
        <f t="shared" si="60"/>
        <v>107674332.24440099</v>
      </c>
      <c r="S423">
        <v>4020</v>
      </c>
      <c r="T423" t="s">
        <v>331</v>
      </c>
      <c r="U423" t="s">
        <v>1764</v>
      </c>
      <c r="V423" s="176">
        <v>26555523.416664999</v>
      </c>
      <c r="W423" s="176">
        <v>78613845.872208998</v>
      </c>
      <c r="X423" s="176">
        <v>11610776.6</v>
      </c>
      <c r="Y423" s="176">
        <v>7363107.7777770003</v>
      </c>
      <c r="Z423" s="176"/>
      <c r="AA423">
        <v>4020</v>
      </c>
      <c r="AB423" s="176" t="s">
        <v>331</v>
      </c>
      <c r="AC423" s="176" t="s">
        <v>1764</v>
      </c>
      <c r="AD423" s="176">
        <v>26555523.416664999</v>
      </c>
      <c r="AE423" s="176">
        <v>78613845.872208998</v>
      </c>
      <c r="AF423" s="176">
        <v>11610776.6</v>
      </c>
      <c r="AG423" s="176">
        <v>7363107.7777770003</v>
      </c>
      <c r="AH423" s="342" t="str">
        <f t="shared" si="54"/>
        <v/>
      </c>
      <c r="AI423">
        <v>4020</v>
      </c>
      <c r="AJ423" t="s">
        <v>331</v>
      </c>
      <c r="AK423" t="s">
        <v>1764</v>
      </c>
      <c r="AL423" s="245">
        <f t="shared" si="55"/>
        <v>47799942.149996996</v>
      </c>
      <c r="AM423" s="245">
        <f t="shared" si="56"/>
        <v>141504922.56997621</v>
      </c>
      <c r="AN423" s="245">
        <f t="shared" si="57"/>
        <v>20899397.879999999</v>
      </c>
      <c r="AO423" s="245">
        <f t="shared" si="58"/>
        <v>13253593.999998601</v>
      </c>
      <c r="AP423" s="176"/>
      <c r="AQ423" s="176"/>
      <c r="AR423">
        <v>4020</v>
      </c>
      <c r="AS423" t="s">
        <v>331</v>
      </c>
      <c r="AT423" t="s">
        <v>1764</v>
      </c>
      <c r="AU423" s="176">
        <v>3416306.1744420002</v>
      </c>
      <c r="AW423">
        <v>4020</v>
      </c>
      <c r="AX423" t="s">
        <v>331</v>
      </c>
      <c r="AY423" t="s">
        <v>1764</v>
      </c>
      <c r="AZ423" s="176">
        <v>3563291.035555</v>
      </c>
      <c r="BA423" s="342" t="str">
        <f t="shared" si="61"/>
        <v/>
      </c>
      <c r="BB423">
        <v>4020</v>
      </c>
      <c r="BC423" t="s">
        <v>331</v>
      </c>
      <c r="BD423" t="s">
        <v>1764</v>
      </c>
      <c r="BE423" s="243">
        <f t="shared" si="62"/>
        <v>6266939.002886001</v>
      </c>
    </row>
    <row r="424" spans="1:57">
      <c r="A424">
        <v>4020</v>
      </c>
      <c r="B424" t="s">
        <v>331</v>
      </c>
      <c r="C424" t="s">
        <v>1576</v>
      </c>
      <c r="D424" s="176">
        <v>51509663.149917997</v>
      </c>
      <c r="E424">
        <v>0</v>
      </c>
      <c r="G424">
        <v>4020</v>
      </c>
      <c r="H424" t="s">
        <v>331</v>
      </c>
      <c r="I424" t="s">
        <v>1576</v>
      </c>
      <c r="J424" s="176">
        <v>15416421.103321999</v>
      </c>
      <c r="K424">
        <v>0</v>
      </c>
      <c r="L424" s="342" t="str">
        <f t="shared" si="59"/>
        <v/>
      </c>
      <c r="M424">
        <v>4020</v>
      </c>
      <c r="N424" t="s">
        <v>331</v>
      </c>
      <c r="O424" t="s">
        <v>1576</v>
      </c>
      <c r="P424" s="243">
        <f t="shared" si="60"/>
        <v>63842800.0325756</v>
      </c>
      <c r="S424">
        <v>4020</v>
      </c>
      <c r="T424" t="s">
        <v>331</v>
      </c>
      <c r="U424" t="s">
        <v>1576</v>
      </c>
      <c r="V424" s="176">
        <v>32357010.723331001</v>
      </c>
      <c r="W424" s="176">
        <v>79708170.678850994</v>
      </c>
      <c r="X424" s="176">
        <v>0</v>
      </c>
      <c r="Y424" s="176">
        <v>0</v>
      </c>
      <c r="Z424" s="176"/>
      <c r="AA424">
        <v>4020</v>
      </c>
      <c r="AB424" s="176" t="s">
        <v>331</v>
      </c>
      <c r="AC424" s="176" t="s">
        <v>1576</v>
      </c>
      <c r="AD424" s="176">
        <v>32357010.723331001</v>
      </c>
      <c r="AE424" s="176">
        <v>79708170.678850994</v>
      </c>
      <c r="AF424" s="176">
        <v>0</v>
      </c>
      <c r="AG424" s="176">
        <v>0</v>
      </c>
      <c r="AH424" s="342" t="str">
        <f t="shared" si="54"/>
        <v/>
      </c>
      <c r="AI424">
        <v>4020</v>
      </c>
      <c r="AJ424" t="s">
        <v>331</v>
      </c>
      <c r="AK424" t="s">
        <v>1576</v>
      </c>
      <c r="AL424" s="245">
        <f t="shared" si="55"/>
        <v>58242619.301995799</v>
      </c>
      <c r="AM424" s="245">
        <f t="shared" si="56"/>
        <v>143474707.22193179</v>
      </c>
      <c r="AN424" s="245">
        <f t="shared" si="57"/>
        <v>0</v>
      </c>
      <c r="AO424" s="245">
        <f t="shared" si="58"/>
        <v>0</v>
      </c>
      <c r="AP424" s="176"/>
      <c r="AQ424" s="176"/>
      <c r="AR424">
        <v>4020</v>
      </c>
      <c r="AS424" t="s">
        <v>331</v>
      </c>
      <c r="AT424" t="s">
        <v>1576</v>
      </c>
      <c r="AU424" s="176">
        <v>568841.12110999995</v>
      </c>
      <c r="AW424">
        <v>4020</v>
      </c>
      <c r="AX424" t="s">
        <v>331</v>
      </c>
      <c r="AY424" t="s">
        <v>1576</v>
      </c>
      <c r="AZ424">
        <v>1942076.706666</v>
      </c>
      <c r="BA424" s="342" t="str">
        <f t="shared" si="61"/>
        <v/>
      </c>
      <c r="BB424">
        <v>4020</v>
      </c>
      <c r="BC424" t="s">
        <v>331</v>
      </c>
      <c r="BD424" t="s">
        <v>1576</v>
      </c>
      <c r="BE424" s="243">
        <f t="shared" si="62"/>
        <v>2122502.4864427997</v>
      </c>
    </row>
    <row r="425" spans="1:57">
      <c r="A425">
        <v>4020</v>
      </c>
      <c r="B425" t="s">
        <v>331</v>
      </c>
      <c r="C425" t="s">
        <v>1973</v>
      </c>
      <c r="D425" s="176">
        <v>32338017.119987</v>
      </c>
      <c r="E425">
        <v>0</v>
      </c>
      <c r="G425">
        <v>4020</v>
      </c>
      <c r="H425" t="s">
        <v>331</v>
      </c>
      <c r="I425" t="s">
        <v>1973</v>
      </c>
      <c r="J425" s="176">
        <v>2711925.3433289998</v>
      </c>
      <c r="K425">
        <v>0</v>
      </c>
      <c r="L425" s="342" t="str">
        <f t="shared" si="59"/>
        <v/>
      </c>
      <c r="M425">
        <v>4020</v>
      </c>
      <c r="N425" t="s">
        <v>331</v>
      </c>
      <c r="O425" t="s">
        <v>1973</v>
      </c>
      <c r="P425" s="243">
        <f t="shared" si="60"/>
        <v>34507557.394650199</v>
      </c>
      <c r="S425">
        <v>4020</v>
      </c>
      <c r="T425" t="s">
        <v>331</v>
      </c>
      <c r="U425" t="s">
        <v>1973</v>
      </c>
      <c r="V425" s="176">
        <v>16330889.321110999</v>
      </c>
      <c r="W425" s="176">
        <v>60560923.602218002</v>
      </c>
      <c r="X425" s="176">
        <v>0</v>
      </c>
      <c r="Y425" s="176">
        <v>3000000</v>
      </c>
      <c r="Z425" s="176"/>
      <c r="AA425">
        <v>4020</v>
      </c>
      <c r="AB425" s="176" t="s">
        <v>331</v>
      </c>
      <c r="AC425" s="176" t="s">
        <v>1973</v>
      </c>
      <c r="AD425" s="176">
        <v>16330889.321110999</v>
      </c>
      <c r="AE425" s="176">
        <v>60560923.602218002</v>
      </c>
      <c r="AF425">
        <v>0</v>
      </c>
      <c r="AG425" s="176">
        <v>3000000</v>
      </c>
      <c r="AH425" s="342" t="str">
        <f t="shared" si="54"/>
        <v/>
      </c>
      <c r="AI425">
        <v>4020</v>
      </c>
      <c r="AJ425" t="s">
        <v>331</v>
      </c>
      <c r="AK425" t="s">
        <v>1973</v>
      </c>
      <c r="AL425" s="245">
        <f t="shared" si="55"/>
        <v>29395600.7779998</v>
      </c>
      <c r="AM425" s="245">
        <f t="shared" si="56"/>
        <v>109009662.4839924</v>
      </c>
      <c r="AN425" s="245">
        <f t="shared" si="57"/>
        <v>0</v>
      </c>
      <c r="AO425" s="245">
        <f t="shared" si="58"/>
        <v>5400000</v>
      </c>
      <c r="AP425" s="176"/>
      <c r="AQ425" s="176"/>
      <c r="AR425">
        <v>4020</v>
      </c>
      <c r="AS425" t="s">
        <v>331</v>
      </c>
      <c r="AT425" t="s">
        <v>1973</v>
      </c>
      <c r="AU425" s="176">
        <v>26122080.848886002</v>
      </c>
      <c r="AW425">
        <v>4020</v>
      </c>
      <c r="AX425" t="s">
        <v>331</v>
      </c>
      <c r="AY425" t="s">
        <v>1973</v>
      </c>
      <c r="AZ425" s="176">
        <v>6938321.9033329999</v>
      </c>
      <c r="BA425" s="342" t="str">
        <f t="shared" si="61"/>
        <v/>
      </c>
      <c r="BB425">
        <v>4020</v>
      </c>
      <c r="BC425" t="s">
        <v>331</v>
      </c>
      <c r="BD425" t="s">
        <v>1973</v>
      </c>
      <c r="BE425" s="243">
        <f t="shared" si="62"/>
        <v>31672738.3715524</v>
      </c>
    </row>
    <row r="426" spans="1:57">
      <c r="A426">
        <v>4030</v>
      </c>
      <c r="B426" t="s">
        <v>332</v>
      </c>
      <c r="C426" t="s">
        <v>1140</v>
      </c>
      <c r="D426" s="176">
        <v>237348385.24992201</v>
      </c>
      <c r="E426">
        <v>0</v>
      </c>
      <c r="G426">
        <v>4030</v>
      </c>
      <c r="H426" t="s">
        <v>332</v>
      </c>
      <c r="I426" t="s">
        <v>1140</v>
      </c>
      <c r="J426" s="176">
        <v>134720150.374428</v>
      </c>
      <c r="K426">
        <v>0</v>
      </c>
      <c r="L426" s="342" t="str">
        <f t="shared" si="59"/>
        <v/>
      </c>
      <c r="M426">
        <v>4030</v>
      </c>
      <c r="N426" t="s">
        <v>332</v>
      </c>
      <c r="O426" t="s">
        <v>1140</v>
      </c>
      <c r="P426" s="243">
        <f t="shared" si="60"/>
        <v>345124505.5494644</v>
      </c>
      <c r="S426">
        <v>4030</v>
      </c>
      <c r="T426" t="s">
        <v>332</v>
      </c>
      <c r="U426" t="s">
        <v>1140</v>
      </c>
      <c r="V426" s="176">
        <v>42173131.779999003</v>
      </c>
      <c r="W426" s="176">
        <v>191567420.215516</v>
      </c>
      <c r="X426">
        <v>2248100</v>
      </c>
      <c r="Y426" s="176">
        <v>6787749.9999980005</v>
      </c>
      <c r="Z426" s="176"/>
      <c r="AA426">
        <v>4030</v>
      </c>
      <c r="AB426" s="176" t="s">
        <v>332</v>
      </c>
      <c r="AC426" s="176" t="s">
        <v>1140</v>
      </c>
      <c r="AD426" s="176">
        <v>42173131.779999003</v>
      </c>
      <c r="AE426" s="176">
        <v>191567420.215516</v>
      </c>
      <c r="AF426">
        <v>2248100</v>
      </c>
      <c r="AG426" s="176">
        <v>6787749.9999980005</v>
      </c>
      <c r="AH426" s="342" t="str">
        <f t="shared" si="54"/>
        <v/>
      </c>
      <c r="AI426">
        <v>4030</v>
      </c>
      <c r="AJ426" t="s">
        <v>332</v>
      </c>
      <c r="AK426" t="s">
        <v>1140</v>
      </c>
      <c r="AL426" s="245">
        <f t="shared" si="55"/>
        <v>75911637.203998208</v>
      </c>
      <c r="AM426" s="245">
        <f t="shared" si="56"/>
        <v>344821356.38792884</v>
      </c>
      <c r="AN426" s="245">
        <f t="shared" si="57"/>
        <v>4046580</v>
      </c>
      <c r="AO426" s="245">
        <f t="shared" si="58"/>
        <v>12217949.999996401</v>
      </c>
      <c r="AP426" s="176"/>
      <c r="AQ426" s="176"/>
      <c r="AR426">
        <v>4030</v>
      </c>
      <c r="AS426" t="s">
        <v>332</v>
      </c>
      <c r="AT426" t="s">
        <v>1140</v>
      </c>
      <c r="AU426" s="176">
        <v>28699965.164439</v>
      </c>
      <c r="AW426">
        <v>4030</v>
      </c>
      <c r="AX426" t="s">
        <v>332</v>
      </c>
      <c r="AY426" t="s">
        <v>1140</v>
      </c>
      <c r="AZ426" s="176">
        <v>32307077.539997999</v>
      </c>
      <c r="BA426" s="342" t="str">
        <f t="shared" si="61"/>
        <v/>
      </c>
      <c r="BB426">
        <v>4030</v>
      </c>
      <c r="BC426" t="s">
        <v>332</v>
      </c>
      <c r="BD426" t="s">
        <v>1140</v>
      </c>
      <c r="BE426" s="243">
        <f t="shared" si="62"/>
        <v>54545627.196437404</v>
      </c>
    </row>
    <row r="427" spans="1:57">
      <c r="A427">
        <v>4030</v>
      </c>
      <c r="B427" t="s">
        <v>332</v>
      </c>
      <c r="C427" t="s">
        <v>1144</v>
      </c>
      <c r="D427" s="176">
        <v>207639172.23104599</v>
      </c>
      <c r="E427">
        <v>0</v>
      </c>
      <c r="G427">
        <v>4030</v>
      </c>
      <c r="H427" t="s">
        <v>332</v>
      </c>
      <c r="I427" t="s">
        <v>1144</v>
      </c>
      <c r="J427" s="176">
        <v>118030729.10887399</v>
      </c>
      <c r="K427">
        <v>0</v>
      </c>
      <c r="L427" s="342" t="str">
        <f t="shared" si="59"/>
        <v/>
      </c>
      <c r="M427">
        <v>4030</v>
      </c>
      <c r="N427" t="s">
        <v>332</v>
      </c>
      <c r="O427" t="s">
        <v>1144</v>
      </c>
      <c r="P427" s="243">
        <f t="shared" si="60"/>
        <v>302063755.5181452</v>
      </c>
      <c r="S427">
        <v>4030</v>
      </c>
      <c r="T427" t="s">
        <v>332</v>
      </c>
      <c r="U427" t="s">
        <v>1144</v>
      </c>
      <c r="V427" s="176">
        <v>79814337.835554004</v>
      </c>
      <c r="W427" s="176">
        <v>274290908.27772897</v>
      </c>
      <c r="X427">
        <v>2059700</v>
      </c>
      <c r="Y427" s="176">
        <v>13761338.491107</v>
      </c>
      <c r="Z427" s="176"/>
      <c r="AA427">
        <v>4030</v>
      </c>
      <c r="AB427" s="176" t="s">
        <v>332</v>
      </c>
      <c r="AC427" s="176" t="s">
        <v>1144</v>
      </c>
      <c r="AD427" s="176">
        <v>79814337.835554004</v>
      </c>
      <c r="AE427" s="176">
        <v>274290908.27772897</v>
      </c>
      <c r="AF427">
        <v>2059700</v>
      </c>
      <c r="AG427" s="176">
        <v>13761338.491107</v>
      </c>
      <c r="AH427" s="342" t="str">
        <f t="shared" si="54"/>
        <v/>
      </c>
      <c r="AI427">
        <v>4030</v>
      </c>
      <c r="AJ427" t="s">
        <v>332</v>
      </c>
      <c r="AK427" t="s">
        <v>1144</v>
      </c>
      <c r="AL427" s="245">
        <f t="shared" si="55"/>
        <v>143665808.1039972</v>
      </c>
      <c r="AM427" s="245">
        <f t="shared" si="56"/>
        <v>493723634.89991218</v>
      </c>
      <c r="AN427" s="245">
        <f t="shared" si="57"/>
        <v>3707460</v>
      </c>
      <c r="AO427" s="245">
        <f t="shared" si="58"/>
        <v>24770409.283992603</v>
      </c>
      <c r="AP427" s="176"/>
      <c r="AQ427" s="176"/>
      <c r="AR427">
        <v>4030</v>
      </c>
      <c r="AS427" t="s">
        <v>332</v>
      </c>
      <c r="AT427" t="s">
        <v>1144</v>
      </c>
      <c r="AU427" s="176">
        <v>29048585.649985999</v>
      </c>
      <c r="AW427">
        <v>4030</v>
      </c>
      <c r="AX427" t="s">
        <v>332</v>
      </c>
      <c r="AY427" t="s">
        <v>1144</v>
      </c>
      <c r="AZ427" s="176">
        <v>39915528.434436999</v>
      </c>
      <c r="BA427" s="342" t="str">
        <f t="shared" si="61"/>
        <v/>
      </c>
      <c r="BB427">
        <v>4030</v>
      </c>
      <c r="BC427" t="s">
        <v>332</v>
      </c>
      <c r="BD427" t="s">
        <v>1144</v>
      </c>
      <c r="BE427" s="243">
        <f t="shared" si="62"/>
        <v>60981008.3975356</v>
      </c>
    </row>
    <row r="428" spans="1:57">
      <c r="A428">
        <v>4030</v>
      </c>
      <c r="B428" t="s">
        <v>332</v>
      </c>
      <c r="C428" t="s">
        <v>1766</v>
      </c>
      <c r="D428" s="176">
        <v>105792134.562171</v>
      </c>
      <c r="E428">
        <v>0</v>
      </c>
      <c r="G428">
        <v>4030</v>
      </c>
      <c r="H428" t="s">
        <v>332</v>
      </c>
      <c r="I428" t="s">
        <v>1766</v>
      </c>
      <c r="J428" s="176">
        <v>61628122.902211003</v>
      </c>
      <c r="K428">
        <v>0</v>
      </c>
      <c r="L428" s="342" t="str">
        <f t="shared" si="59"/>
        <v/>
      </c>
      <c r="M428">
        <v>4030</v>
      </c>
      <c r="N428" t="s">
        <v>332</v>
      </c>
      <c r="O428" t="s">
        <v>1766</v>
      </c>
      <c r="P428" s="243">
        <f t="shared" si="60"/>
        <v>155094632.8839398</v>
      </c>
      <c r="S428">
        <v>4030</v>
      </c>
      <c r="T428" t="s">
        <v>332</v>
      </c>
      <c r="U428" t="s">
        <v>1766</v>
      </c>
      <c r="V428" s="176">
        <v>31813822.144441999</v>
      </c>
      <c r="W428" s="176">
        <v>115453806.781065</v>
      </c>
      <c r="X428">
        <v>1812800</v>
      </c>
      <c r="Y428" s="176">
        <v>8863289.5555550009</v>
      </c>
      <c r="Z428" s="176"/>
      <c r="AA428">
        <v>4030</v>
      </c>
      <c r="AB428" s="176" t="s">
        <v>332</v>
      </c>
      <c r="AC428" s="176" t="s">
        <v>1766</v>
      </c>
      <c r="AD428" s="176">
        <v>31813822.144441999</v>
      </c>
      <c r="AE428" s="176">
        <v>115453806.781065</v>
      </c>
      <c r="AF428">
        <v>1812800</v>
      </c>
      <c r="AG428" s="176">
        <v>8863289.5555550009</v>
      </c>
      <c r="AH428" s="342" t="str">
        <f t="shared" si="54"/>
        <v/>
      </c>
      <c r="AI428">
        <v>4030</v>
      </c>
      <c r="AJ428" t="s">
        <v>332</v>
      </c>
      <c r="AK428" t="s">
        <v>1766</v>
      </c>
      <c r="AL428" s="245">
        <f t="shared" si="55"/>
        <v>57264879.859995604</v>
      </c>
      <c r="AM428" s="245">
        <f t="shared" si="56"/>
        <v>207816852.205917</v>
      </c>
      <c r="AN428" s="245">
        <f t="shared" si="57"/>
        <v>3263040</v>
      </c>
      <c r="AO428" s="245">
        <f t="shared" si="58"/>
        <v>15953921.199999001</v>
      </c>
      <c r="AP428" s="176"/>
      <c r="AQ428" s="176"/>
      <c r="AR428">
        <v>4030</v>
      </c>
      <c r="AS428" t="s">
        <v>332</v>
      </c>
      <c r="AT428" t="s">
        <v>1766</v>
      </c>
      <c r="AU428" s="176">
        <v>16437027.279991001</v>
      </c>
      <c r="AW428">
        <v>4030</v>
      </c>
      <c r="AX428" t="s">
        <v>332</v>
      </c>
      <c r="AY428" t="s">
        <v>1766</v>
      </c>
      <c r="AZ428">
        <v>5547806.9911099998</v>
      </c>
      <c r="BA428" s="342" t="str">
        <f t="shared" si="61"/>
        <v/>
      </c>
      <c r="BB428">
        <v>4030</v>
      </c>
      <c r="BC428" t="s">
        <v>332</v>
      </c>
      <c r="BD428" t="s">
        <v>1766</v>
      </c>
      <c r="BE428" s="243">
        <f t="shared" si="62"/>
        <v>20875272.872879002</v>
      </c>
    </row>
    <row r="429" spans="1:57">
      <c r="A429">
        <v>4030</v>
      </c>
      <c r="B429" t="s">
        <v>332</v>
      </c>
      <c r="C429" t="s">
        <v>1145</v>
      </c>
      <c r="D429" s="176">
        <v>172231059.512162</v>
      </c>
      <c r="E429">
        <v>0</v>
      </c>
      <c r="G429">
        <v>4030</v>
      </c>
      <c r="H429" t="s">
        <v>332</v>
      </c>
      <c r="I429" t="s">
        <v>1145</v>
      </c>
      <c r="J429" s="176">
        <v>136471866.44887099</v>
      </c>
      <c r="K429">
        <v>0</v>
      </c>
      <c r="L429" s="342" t="str">
        <f t="shared" si="59"/>
        <v/>
      </c>
      <c r="M429">
        <v>4030</v>
      </c>
      <c r="N429" t="s">
        <v>332</v>
      </c>
      <c r="O429" t="s">
        <v>1145</v>
      </c>
      <c r="P429" s="243">
        <f t="shared" si="60"/>
        <v>281408552.67125881</v>
      </c>
      <c r="S429">
        <v>4030</v>
      </c>
      <c r="T429" t="s">
        <v>332</v>
      </c>
      <c r="U429" t="s">
        <v>1145</v>
      </c>
      <c r="V429" s="176">
        <v>117099725.99111</v>
      </c>
      <c r="W429" s="176">
        <v>293818451.71886098</v>
      </c>
      <c r="X429" s="176">
        <v>4806188.8888879996</v>
      </c>
      <c r="Y429" s="176">
        <v>55553108.778885998</v>
      </c>
      <c r="Z429" s="176"/>
      <c r="AA429">
        <v>4030</v>
      </c>
      <c r="AB429" s="176" t="s">
        <v>332</v>
      </c>
      <c r="AC429" s="176" t="s">
        <v>1145</v>
      </c>
      <c r="AD429" s="176">
        <v>117099725.99111</v>
      </c>
      <c r="AE429" s="176">
        <v>293818451.71886098</v>
      </c>
      <c r="AF429" s="176">
        <v>4806188.8888879996</v>
      </c>
      <c r="AG429" s="176">
        <v>55553108.778885998</v>
      </c>
      <c r="AH429" s="342" t="str">
        <f t="shared" si="54"/>
        <v/>
      </c>
      <c r="AI429">
        <v>4030</v>
      </c>
      <c r="AJ429" t="s">
        <v>332</v>
      </c>
      <c r="AK429" t="s">
        <v>1145</v>
      </c>
      <c r="AL429" s="245">
        <f t="shared" si="55"/>
        <v>210779506.78399801</v>
      </c>
      <c r="AM429" s="245">
        <f t="shared" si="56"/>
        <v>528873213.09394979</v>
      </c>
      <c r="AN429" s="245">
        <f t="shared" si="57"/>
        <v>8651139.9999984</v>
      </c>
      <c r="AO429" s="245">
        <f t="shared" si="58"/>
        <v>99995595.801994801</v>
      </c>
      <c r="AP429" s="176"/>
      <c r="AQ429" s="176"/>
      <c r="AR429">
        <v>4030</v>
      </c>
      <c r="AS429" t="s">
        <v>332</v>
      </c>
      <c r="AT429" t="s">
        <v>1145</v>
      </c>
      <c r="AU429" s="176">
        <v>48214824.334439002</v>
      </c>
      <c r="AW429">
        <v>4030</v>
      </c>
      <c r="AX429" t="s">
        <v>332</v>
      </c>
      <c r="AY429" t="s">
        <v>1145</v>
      </c>
      <c r="AZ429" s="176">
        <v>18060068.574439999</v>
      </c>
      <c r="BA429" s="342" t="str">
        <f t="shared" si="61"/>
        <v/>
      </c>
      <c r="BB429">
        <v>4030</v>
      </c>
      <c r="BC429" t="s">
        <v>332</v>
      </c>
      <c r="BD429" t="s">
        <v>1145</v>
      </c>
      <c r="BE429" s="243">
        <f t="shared" si="62"/>
        <v>62662879.193991005</v>
      </c>
    </row>
    <row r="430" spans="1:57">
      <c r="A430">
        <v>4200</v>
      </c>
      <c r="B430" t="s">
        <v>333</v>
      </c>
      <c r="C430" t="s">
        <v>1771</v>
      </c>
      <c r="D430" s="176">
        <v>76532372.622195005</v>
      </c>
      <c r="E430">
        <v>0</v>
      </c>
      <c r="G430">
        <v>4200</v>
      </c>
      <c r="H430" t="s">
        <v>333</v>
      </c>
      <c r="I430" t="s">
        <v>1771</v>
      </c>
      <c r="J430" s="176">
        <v>55312420.065544002</v>
      </c>
      <c r="K430">
        <v>0</v>
      </c>
      <c r="L430" s="342" t="str">
        <f t="shared" si="59"/>
        <v/>
      </c>
      <c r="M430">
        <v>4200</v>
      </c>
      <c r="N430" t="s">
        <v>333</v>
      </c>
      <c r="O430" t="s">
        <v>1771</v>
      </c>
      <c r="P430" s="243">
        <f t="shared" si="60"/>
        <v>120782308.67463021</v>
      </c>
      <c r="S430">
        <v>4200</v>
      </c>
      <c r="T430" t="s">
        <v>333</v>
      </c>
      <c r="U430" t="s">
        <v>1771</v>
      </c>
      <c r="V430" s="176">
        <v>25533311.267776001</v>
      </c>
      <c r="W430" s="176">
        <v>50577025.511101</v>
      </c>
      <c r="X430" s="176">
        <v>0</v>
      </c>
      <c r="Y430" s="176">
        <v>2594488.6666660002</v>
      </c>
      <c r="Z430" s="176"/>
      <c r="AA430">
        <v>4200</v>
      </c>
      <c r="AB430" s="176" t="s">
        <v>333</v>
      </c>
      <c r="AC430" s="176" t="s">
        <v>1771</v>
      </c>
      <c r="AD430" s="176">
        <v>25533311.267776001</v>
      </c>
      <c r="AE430" s="176">
        <v>50577025.511101</v>
      </c>
      <c r="AF430" s="176">
        <v>0</v>
      </c>
      <c r="AG430" s="176">
        <v>2594488.6666660002</v>
      </c>
      <c r="AH430" s="342" t="str">
        <f t="shared" si="54"/>
        <v/>
      </c>
      <c r="AI430">
        <v>4200</v>
      </c>
      <c r="AJ430" t="s">
        <v>333</v>
      </c>
      <c r="AK430" t="s">
        <v>1771</v>
      </c>
      <c r="AL430" s="245">
        <f t="shared" si="55"/>
        <v>45959960.281996801</v>
      </c>
      <c r="AM430" s="245">
        <f t="shared" si="56"/>
        <v>91038645.919981807</v>
      </c>
      <c r="AN430" s="245">
        <f t="shared" si="57"/>
        <v>0</v>
      </c>
      <c r="AO430" s="245">
        <f t="shared" si="58"/>
        <v>4670079.5999988001</v>
      </c>
      <c r="AP430" s="176"/>
      <c r="AQ430" s="176"/>
      <c r="AR430">
        <v>4200</v>
      </c>
      <c r="AS430" t="s">
        <v>333</v>
      </c>
      <c r="AT430" t="s">
        <v>1771</v>
      </c>
      <c r="AU430" s="176">
        <v>6467676.0899970001</v>
      </c>
      <c r="AW430">
        <v>4200</v>
      </c>
      <c r="AX430" t="s">
        <v>333</v>
      </c>
      <c r="AY430" t="s">
        <v>1771</v>
      </c>
      <c r="AZ430" s="176">
        <v>1019781.5222220001</v>
      </c>
      <c r="BA430" s="342" t="str">
        <f t="shared" si="61"/>
        <v/>
      </c>
      <c r="BB430">
        <v>4200</v>
      </c>
      <c r="BC430" t="s">
        <v>333</v>
      </c>
      <c r="BD430" t="s">
        <v>1771</v>
      </c>
      <c r="BE430" s="243">
        <f t="shared" si="62"/>
        <v>7283501.3077745996</v>
      </c>
    </row>
    <row r="431" spans="1:57">
      <c r="A431">
        <v>4200</v>
      </c>
      <c r="B431" t="s">
        <v>333</v>
      </c>
      <c r="C431" t="s">
        <v>1147</v>
      </c>
      <c r="D431" s="176">
        <v>491937711.38213098</v>
      </c>
      <c r="E431">
        <v>0</v>
      </c>
      <c r="G431">
        <v>4200</v>
      </c>
      <c r="H431" t="s">
        <v>333</v>
      </c>
      <c r="I431" t="s">
        <v>1147</v>
      </c>
      <c r="J431" s="176">
        <v>379208594.38219702</v>
      </c>
      <c r="K431">
        <v>0</v>
      </c>
      <c r="L431" s="342" t="str">
        <f t="shared" si="59"/>
        <v/>
      </c>
      <c r="M431">
        <v>4200</v>
      </c>
      <c r="N431" t="s">
        <v>333</v>
      </c>
      <c r="O431" t="s">
        <v>1147</v>
      </c>
      <c r="P431" s="243">
        <f t="shared" si="60"/>
        <v>795304586.88788867</v>
      </c>
      <c r="S431">
        <v>4200</v>
      </c>
      <c r="T431" t="s">
        <v>333</v>
      </c>
      <c r="U431" t="s">
        <v>1147</v>
      </c>
      <c r="V431" s="176">
        <v>107659659.657776</v>
      </c>
      <c r="W431" s="176">
        <v>259045718.37553301</v>
      </c>
      <c r="X431">
        <v>1000000</v>
      </c>
      <c r="Y431" s="176">
        <v>108786896.761106</v>
      </c>
      <c r="Z431" s="176"/>
      <c r="AA431">
        <v>4200</v>
      </c>
      <c r="AB431" s="176" t="s">
        <v>333</v>
      </c>
      <c r="AC431" s="176" t="s">
        <v>1147</v>
      </c>
      <c r="AD431" s="176">
        <v>107659659.657776</v>
      </c>
      <c r="AE431" s="176">
        <v>259045718.37553301</v>
      </c>
      <c r="AF431">
        <v>1000000</v>
      </c>
      <c r="AG431" s="176">
        <v>108786896.761106</v>
      </c>
      <c r="AH431" s="342" t="str">
        <f t="shared" si="54"/>
        <v/>
      </c>
      <c r="AI431">
        <v>4200</v>
      </c>
      <c r="AJ431" t="s">
        <v>333</v>
      </c>
      <c r="AK431" t="s">
        <v>1147</v>
      </c>
      <c r="AL431" s="245">
        <f t="shared" si="55"/>
        <v>193787387.38399678</v>
      </c>
      <c r="AM431" s="245">
        <f t="shared" si="56"/>
        <v>466282293.07595944</v>
      </c>
      <c r="AN431" s="245">
        <f t="shared" si="57"/>
        <v>1800000</v>
      </c>
      <c r="AO431" s="245">
        <f t="shared" si="58"/>
        <v>195816414.16999081</v>
      </c>
      <c r="AP431" s="176"/>
      <c r="AQ431" s="176"/>
      <c r="AR431">
        <v>4200</v>
      </c>
      <c r="AS431" t="s">
        <v>333</v>
      </c>
      <c r="AT431" t="s">
        <v>1147</v>
      </c>
      <c r="AU431" s="176">
        <v>125389568.248879</v>
      </c>
      <c r="AW431">
        <v>4200</v>
      </c>
      <c r="AX431" t="s">
        <v>333</v>
      </c>
      <c r="AY431" t="s">
        <v>1147</v>
      </c>
      <c r="AZ431" s="176">
        <v>125308032.481105</v>
      </c>
      <c r="BA431" s="342" t="str">
        <f t="shared" si="61"/>
        <v/>
      </c>
      <c r="BB431">
        <v>4200</v>
      </c>
      <c r="BC431" t="s">
        <v>333</v>
      </c>
      <c r="BD431" t="s">
        <v>1147</v>
      </c>
      <c r="BE431" s="243">
        <f t="shared" si="62"/>
        <v>225635994.23376301</v>
      </c>
    </row>
    <row r="432" spans="1:57">
      <c r="A432">
        <v>4200</v>
      </c>
      <c r="B432" t="s">
        <v>333</v>
      </c>
      <c r="C432" t="s">
        <v>1146</v>
      </c>
      <c r="D432" s="176">
        <v>256003512.70987901</v>
      </c>
      <c r="E432">
        <v>0</v>
      </c>
      <c r="G432">
        <v>4200</v>
      </c>
      <c r="H432" t="s">
        <v>333</v>
      </c>
      <c r="I432" t="s">
        <v>1146</v>
      </c>
      <c r="J432" s="176">
        <v>164114790.17220801</v>
      </c>
      <c r="K432">
        <v>0</v>
      </c>
      <c r="L432" s="342" t="str">
        <f t="shared" si="59"/>
        <v/>
      </c>
      <c r="M432">
        <v>4200</v>
      </c>
      <c r="N432" t="s">
        <v>333</v>
      </c>
      <c r="O432" t="s">
        <v>1146</v>
      </c>
      <c r="P432" s="243">
        <f t="shared" si="60"/>
        <v>387295344.8476454</v>
      </c>
      <c r="S432">
        <v>4200</v>
      </c>
      <c r="T432" t="s">
        <v>333</v>
      </c>
      <c r="U432" t="s">
        <v>1146</v>
      </c>
      <c r="V432" s="176">
        <v>51842070.417776003</v>
      </c>
      <c r="W432" s="176">
        <v>134703333.17996401</v>
      </c>
      <c r="X432">
        <v>0</v>
      </c>
      <c r="Y432" s="176">
        <v>72493134.844441995</v>
      </c>
      <c r="Z432" s="176"/>
      <c r="AA432">
        <v>4200</v>
      </c>
      <c r="AB432" s="176" t="s">
        <v>333</v>
      </c>
      <c r="AC432" s="176" t="s">
        <v>1146</v>
      </c>
      <c r="AD432" s="176">
        <v>51842070.417776003</v>
      </c>
      <c r="AE432" s="176">
        <v>134703333.17996401</v>
      </c>
      <c r="AF432">
        <v>0</v>
      </c>
      <c r="AG432" s="176">
        <v>72493134.844441995</v>
      </c>
      <c r="AH432" s="342" t="str">
        <f t="shared" si="54"/>
        <v/>
      </c>
      <c r="AI432">
        <v>4200</v>
      </c>
      <c r="AJ432" t="s">
        <v>333</v>
      </c>
      <c r="AK432" t="s">
        <v>1146</v>
      </c>
      <c r="AL432" s="245">
        <f t="shared" si="55"/>
        <v>93315726.751996815</v>
      </c>
      <c r="AM432" s="245">
        <f t="shared" si="56"/>
        <v>242465999.72393522</v>
      </c>
      <c r="AN432" s="245">
        <f t="shared" si="57"/>
        <v>0</v>
      </c>
      <c r="AO432" s="245">
        <f t="shared" si="58"/>
        <v>130487642.71999559</v>
      </c>
      <c r="AP432" s="176"/>
      <c r="AQ432" s="176"/>
      <c r="AR432">
        <v>4200</v>
      </c>
      <c r="AS432" t="s">
        <v>333</v>
      </c>
      <c r="AT432" t="s">
        <v>1146</v>
      </c>
      <c r="AU432" s="176">
        <v>13176286.912218001</v>
      </c>
      <c r="AW432">
        <v>4200</v>
      </c>
      <c r="AX432" t="s">
        <v>333</v>
      </c>
      <c r="AY432" t="s">
        <v>1146</v>
      </c>
      <c r="AZ432">
        <v>11160285.356665</v>
      </c>
      <c r="BA432" s="342" t="str">
        <f t="shared" si="61"/>
        <v/>
      </c>
      <c r="BB432">
        <v>4200</v>
      </c>
      <c r="BC432" t="s">
        <v>333</v>
      </c>
      <c r="BD432" t="s">
        <v>1146</v>
      </c>
      <c r="BE432" s="243">
        <f t="shared" si="62"/>
        <v>22104515.197549999</v>
      </c>
    </row>
    <row r="433" spans="1:57">
      <c r="A433">
        <v>4200</v>
      </c>
      <c r="B433" t="s">
        <v>333</v>
      </c>
      <c r="C433" t="s">
        <v>1148</v>
      </c>
      <c r="D433" s="176">
        <v>343469047.309919</v>
      </c>
      <c r="E433">
        <v>0</v>
      </c>
      <c r="G433">
        <v>4200</v>
      </c>
      <c r="H433" t="s">
        <v>333</v>
      </c>
      <c r="I433" t="s">
        <v>1148</v>
      </c>
      <c r="J433" s="176">
        <v>239037420.47220299</v>
      </c>
      <c r="K433">
        <v>0</v>
      </c>
      <c r="L433" s="342" t="str">
        <f t="shared" si="59"/>
        <v/>
      </c>
      <c r="M433">
        <v>4200</v>
      </c>
      <c r="N433" t="s">
        <v>333</v>
      </c>
      <c r="O433" t="s">
        <v>1148</v>
      </c>
      <c r="P433" s="243">
        <f t="shared" si="60"/>
        <v>534698983.68768144</v>
      </c>
      <c r="S433">
        <v>4200</v>
      </c>
      <c r="T433" t="s">
        <v>333</v>
      </c>
      <c r="U433" t="s">
        <v>1148</v>
      </c>
      <c r="V433" s="176">
        <v>107910474.458886</v>
      </c>
      <c r="W433" s="176">
        <v>293197511.66106701</v>
      </c>
      <c r="X433" s="176">
        <v>6262822</v>
      </c>
      <c r="Y433" s="176">
        <v>42491210.488885999</v>
      </c>
      <c r="Z433" s="176"/>
      <c r="AA433">
        <v>4200</v>
      </c>
      <c r="AB433" s="176" t="s">
        <v>333</v>
      </c>
      <c r="AC433" s="176" t="s">
        <v>1148</v>
      </c>
      <c r="AD433" s="176">
        <v>107910474.458886</v>
      </c>
      <c r="AE433" s="176">
        <v>293197511.66106701</v>
      </c>
      <c r="AF433" s="176">
        <v>6262822</v>
      </c>
      <c r="AG433" s="176">
        <v>42491210.488885999</v>
      </c>
      <c r="AH433" s="342" t="str">
        <f t="shared" si="54"/>
        <v/>
      </c>
      <c r="AI433">
        <v>4200</v>
      </c>
      <c r="AJ433" t="s">
        <v>333</v>
      </c>
      <c r="AK433" t="s">
        <v>1148</v>
      </c>
      <c r="AL433" s="245">
        <f t="shared" si="55"/>
        <v>194238854.02599481</v>
      </c>
      <c r="AM433" s="245">
        <f t="shared" si="56"/>
        <v>527755520.98992062</v>
      </c>
      <c r="AN433" s="245">
        <f t="shared" si="57"/>
        <v>11273079.600000001</v>
      </c>
      <c r="AO433" s="245">
        <f t="shared" si="58"/>
        <v>76484178.87999481</v>
      </c>
      <c r="AP433" s="176"/>
      <c r="AQ433" s="176"/>
      <c r="AR433">
        <v>4200</v>
      </c>
      <c r="AS433" t="s">
        <v>333</v>
      </c>
      <c r="AT433" t="s">
        <v>1148</v>
      </c>
      <c r="AU433" s="176">
        <v>20787070.224436</v>
      </c>
      <c r="AW433">
        <v>4200</v>
      </c>
      <c r="AX433" t="s">
        <v>333</v>
      </c>
      <c r="AY433" t="s">
        <v>1148</v>
      </c>
      <c r="AZ433" s="176">
        <v>17692258.061108001</v>
      </c>
      <c r="BA433" s="342" t="str">
        <f t="shared" si="61"/>
        <v/>
      </c>
      <c r="BB433">
        <v>4200</v>
      </c>
      <c r="BC433" t="s">
        <v>333</v>
      </c>
      <c r="BD433" t="s">
        <v>1148</v>
      </c>
      <c r="BE433" s="243">
        <f t="shared" si="62"/>
        <v>34940876.673322402</v>
      </c>
    </row>
    <row r="434" spans="1:57">
      <c r="A434">
        <v>4200</v>
      </c>
      <c r="B434" t="s">
        <v>333</v>
      </c>
      <c r="C434" t="s">
        <v>1767</v>
      </c>
      <c r="D434" s="176">
        <v>99749076.833296001</v>
      </c>
      <c r="E434">
        <v>0</v>
      </c>
      <c r="G434">
        <v>4200</v>
      </c>
      <c r="H434" t="s">
        <v>333</v>
      </c>
      <c r="I434" t="s">
        <v>1767</v>
      </c>
      <c r="J434" s="176">
        <v>41597170.816657998</v>
      </c>
      <c r="K434">
        <v>0</v>
      </c>
      <c r="L434" s="342" t="str">
        <f t="shared" si="59"/>
        <v/>
      </c>
      <c r="M434">
        <v>4200</v>
      </c>
      <c r="N434" t="s">
        <v>333</v>
      </c>
      <c r="O434" t="s">
        <v>1767</v>
      </c>
      <c r="P434" s="243">
        <f t="shared" si="60"/>
        <v>133026813.48662239</v>
      </c>
      <c r="S434">
        <v>4200</v>
      </c>
      <c r="T434" t="s">
        <v>333</v>
      </c>
      <c r="U434" t="s">
        <v>1767</v>
      </c>
      <c r="V434" s="176">
        <v>24821613.98</v>
      </c>
      <c r="W434" s="176">
        <v>91636594.247755006</v>
      </c>
      <c r="X434" s="176">
        <v>0</v>
      </c>
      <c r="Y434" s="176">
        <v>10148851.613332</v>
      </c>
      <c r="Z434" s="176"/>
      <c r="AA434">
        <v>4200</v>
      </c>
      <c r="AB434" s="176" t="s">
        <v>333</v>
      </c>
      <c r="AC434" s="176" t="s">
        <v>1767</v>
      </c>
      <c r="AD434" s="176">
        <v>24821613.98</v>
      </c>
      <c r="AE434" s="176">
        <v>91636594.247755006</v>
      </c>
      <c r="AF434">
        <v>0</v>
      </c>
      <c r="AG434" s="176">
        <v>10148851.613332</v>
      </c>
      <c r="AH434" s="342" t="str">
        <f t="shared" si="54"/>
        <v/>
      </c>
      <c r="AI434">
        <v>4200</v>
      </c>
      <c r="AJ434" t="s">
        <v>333</v>
      </c>
      <c r="AK434" t="s">
        <v>1767</v>
      </c>
      <c r="AL434" s="245">
        <f t="shared" si="55"/>
        <v>44678905.164000005</v>
      </c>
      <c r="AM434" s="245">
        <f t="shared" si="56"/>
        <v>164945869.64595902</v>
      </c>
      <c r="AN434" s="245">
        <f t="shared" si="57"/>
        <v>0</v>
      </c>
      <c r="AO434" s="245">
        <f t="shared" si="58"/>
        <v>18267932.9039976</v>
      </c>
      <c r="AP434" s="176"/>
      <c r="AQ434" s="176"/>
      <c r="AR434">
        <v>4200</v>
      </c>
      <c r="AS434" t="s">
        <v>333</v>
      </c>
      <c r="AT434" t="s">
        <v>1767</v>
      </c>
      <c r="AU434" s="176">
        <v>9463623.2677749991</v>
      </c>
      <c r="AW434">
        <v>4200</v>
      </c>
      <c r="AX434" t="s">
        <v>333</v>
      </c>
      <c r="AY434" t="s">
        <v>1767</v>
      </c>
      <c r="AZ434" s="176">
        <v>6115344.5566659998</v>
      </c>
      <c r="BA434" s="342" t="str">
        <f t="shared" si="61"/>
        <v/>
      </c>
      <c r="BB434">
        <v>4200</v>
      </c>
      <c r="BC434" t="s">
        <v>333</v>
      </c>
      <c r="BD434" t="s">
        <v>1767</v>
      </c>
      <c r="BE434" s="243">
        <f t="shared" si="62"/>
        <v>14355898.913107799</v>
      </c>
    </row>
    <row r="435" spans="1:57">
      <c r="A435">
        <v>4200</v>
      </c>
      <c r="B435" t="s">
        <v>333</v>
      </c>
      <c r="C435" t="s">
        <v>1149</v>
      </c>
      <c r="D435" s="176">
        <v>314930306.96881199</v>
      </c>
      <c r="E435">
        <v>0</v>
      </c>
      <c r="G435">
        <v>4200</v>
      </c>
      <c r="H435" t="s">
        <v>333</v>
      </c>
      <c r="I435" t="s">
        <v>1149</v>
      </c>
      <c r="J435" s="176">
        <v>185324370.436645</v>
      </c>
      <c r="K435">
        <v>0</v>
      </c>
      <c r="L435" s="342" t="str">
        <f t="shared" si="59"/>
        <v/>
      </c>
      <c r="M435">
        <v>4200</v>
      </c>
      <c r="N435" t="s">
        <v>333</v>
      </c>
      <c r="O435" t="s">
        <v>1149</v>
      </c>
      <c r="P435" s="243">
        <f t="shared" si="60"/>
        <v>463189803.31812799</v>
      </c>
      <c r="S435">
        <v>4200</v>
      </c>
      <c r="T435" t="s">
        <v>333</v>
      </c>
      <c r="U435" t="s">
        <v>1149</v>
      </c>
      <c r="V435" s="176">
        <v>89299144.223333001</v>
      </c>
      <c r="W435" s="176">
        <v>366677908.14219302</v>
      </c>
      <c r="X435">
        <v>15127084</v>
      </c>
      <c r="Y435" s="176">
        <v>34184637.111107998</v>
      </c>
      <c r="Z435" s="176"/>
      <c r="AA435">
        <v>4200</v>
      </c>
      <c r="AB435" s="176" t="s">
        <v>333</v>
      </c>
      <c r="AC435" s="176" t="s">
        <v>1149</v>
      </c>
      <c r="AD435" s="176">
        <v>89299144.223333001</v>
      </c>
      <c r="AE435" s="176">
        <v>366677908.14219302</v>
      </c>
      <c r="AF435">
        <v>15127084</v>
      </c>
      <c r="AG435" s="176">
        <v>34184637.111107998</v>
      </c>
      <c r="AH435" s="342" t="str">
        <f t="shared" si="54"/>
        <v/>
      </c>
      <c r="AI435">
        <v>4200</v>
      </c>
      <c r="AJ435" t="s">
        <v>333</v>
      </c>
      <c r="AK435" t="s">
        <v>1149</v>
      </c>
      <c r="AL435" s="245">
        <f t="shared" si="55"/>
        <v>160738459.6019994</v>
      </c>
      <c r="AM435" s="245">
        <f t="shared" si="56"/>
        <v>660020234.65594745</v>
      </c>
      <c r="AN435" s="245">
        <f t="shared" si="57"/>
        <v>27228751.200000003</v>
      </c>
      <c r="AO435" s="245">
        <f t="shared" si="58"/>
        <v>61532346.799994394</v>
      </c>
      <c r="AP435" s="176"/>
      <c r="AQ435" s="176"/>
      <c r="AR435">
        <v>4200</v>
      </c>
      <c r="AS435" t="s">
        <v>333</v>
      </c>
      <c r="AT435" t="s">
        <v>1149</v>
      </c>
      <c r="AU435" s="176">
        <v>132338727.611095</v>
      </c>
      <c r="AW435">
        <v>4200</v>
      </c>
      <c r="AX435" t="s">
        <v>333</v>
      </c>
      <c r="AY435" t="s">
        <v>1149</v>
      </c>
      <c r="AZ435" s="176">
        <v>69938521.163324997</v>
      </c>
      <c r="BA435" s="342" t="str">
        <f t="shared" si="61"/>
        <v/>
      </c>
      <c r="BB435">
        <v>4200</v>
      </c>
      <c r="BC435" t="s">
        <v>333</v>
      </c>
      <c r="BD435" t="s">
        <v>1149</v>
      </c>
      <c r="BE435" s="243">
        <f t="shared" si="62"/>
        <v>188289544.54175499</v>
      </c>
    </row>
    <row r="436" spans="1:57">
      <c r="A436">
        <v>4220</v>
      </c>
      <c r="B436" t="s">
        <v>334</v>
      </c>
      <c r="C436" t="s">
        <v>1770</v>
      </c>
      <c r="D436" s="176">
        <v>846578321.30438995</v>
      </c>
      <c r="E436">
        <v>0</v>
      </c>
      <c r="G436">
        <v>4220</v>
      </c>
      <c r="H436" t="s">
        <v>334</v>
      </c>
      <c r="I436" t="s">
        <v>1770</v>
      </c>
      <c r="J436" s="176">
        <v>584507259.55554199</v>
      </c>
      <c r="K436">
        <v>0</v>
      </c>
      <c r="L436" s="342" t="str">
        <f t="shared" si="59"/>
        <v/>
      </c>
      <c r="M436">
        <v>4220</v>
      </c>
      <c r="N436" t="s">
        <v>334</v>
      </c>
      <c r="O436" t="s">
        <v>1770</v>
      </c>
      <c r="P436" s="243">
        <f t="shared" si="60"/>
        <v>1314184128.9488235</v>
      </c>
      <c r="S436">
        <v>4220</v>
      </c>
      <c r="T436" t="s">
        <v>334</v>
      </c>
      <c r="U436" t="s">
        <v>1770</v>
      </c>
      <c r="V436" s="176">
        <v>34876473.822219998</v>
      </c>
      <c r="W436" s="176">
        <v>160872857.621093</v>
      </c>
      <c r="X436" s="176">
        <v>0</v>
      </c>
      <c r="Y436" s="176">
        <v>192162476.185554</v>
      </c>
      <c r="Z436" s="176"/>
      <c r="AA436">
        <v>4220</v>
      </c>
      <c r="AB436" s="176" t="s">
        <v>334</v>
      </c>
      <c r="AC436" s="176" t="s">
        <v>1770</v>
      </c>
      <c r="AD436" s="176">
        <v>34876473.822219998</v>
      </c>
      <c r="AE436" s="176">
        <v>160872857.621093</v>
      </c>
      <c r="AF436" s="176">
        <v>0</v>
      </c>
      <c r="AG436" s="176">
        <v>192162476.185554</v>
      </c>
      <c r="AH436" s="342" t="str">
        <f t="shared" si="54"/>
        <v/>
      </c>
      <c r="AI436">
        <v>4220</v>
      </c>
      <c r="AJ436" t="s">
        <v>334</v>
      </c>
      <c r="AK436" t="s">
        <v>1770</v>
      </c>
      <c r="AL436" s="245">
        <f t="shared" si="55"/>
        <v>62777652.879996002</v>
      </c>
      <c r="AM436" s="245">
        <f t="shared" si="56"/>
        <v>289571143.71796739</v>
      </c>
      <c r="AN436" s="245">
        <f t="shared" si="57"/>
        <v>0</v>
      </c>
      <c r="AO436" s="245">
        <f t="shared" si="58"/>
        <v>345892457.1339972</v>
      </c>
      <c r="AP436" s="176"/>
      <c r="AQ436" s="176"/>
      <c r="AR436">
        <v>4220</v>
      </c>
      <c r="AS436" t="s">
        <v>334</v>
      </c>
      <c r="AT436" t="s">
        <v>1770</v>
      </c>
      <c r="AU436" s="176">
        <v>4881021.7833129996</v>
      </c>
      <c r="AW436">
        <v>4220</v>
      </c>
      <c r="AX436" t="s">
        <v>334</v>
      </c>
      <c r="AY436" t="s">
        <v>1770</v>
      </c>
      <c r="AZ436" s="176">
        <v>102005.387777</v>
      </c>
      <c r="BA436" s="342" t="str">
        <f t="shared" si="61"/>
        <v/>
      </c>
      <c r="BB436">
        <v>4220</v>
      </c>
      <c r="BC436" t="s">
        <v>334</v>
      </c>
      <c r="BD436" t="s">
        <v>1770</v>
      </c>
      <c r="BE436" s="243">
        <f t="shared" si="62"/>
        <v>4962626.0935346</v>
      </c>
    </row>
    <row r="437" spans="1:57">
      <c r="A437">
        <v>4220</v>
      </c>
      <c r="B437" t="s">
        <v>334</v>
      </c>
      <c r="C437" t="s">
        <v>1974</v>
      </c>
      <c r="D437" s="176">
        <v>39652661.634429</v>
      </c>
      <c r="E437">
        <v>0</v>
      </c>
      <c r="G437">
        <v>4220</v>
      </c>
      <c r="H437" t="s">
        <v>334</v>
      </c>
      <c r="I437" t="s">
        <v>1974</v>
      </c>
      <c r="J437" s="176">
        <v>20222690.927772</v>
      </c>
      <c r="K437">
        <v>0</v>
      </c>
      <c r="L437" s="342" t="str">
        <f t="shared" si="59"/>
        <v/>
      </c>
      <c r="M437">
        <v>4220</v>
      </c>
      <c r="N437" t="s">
        <v>334</v>
      </c>
      <c r="O437" t="s">
        <v>1974</v>
      </c>
      <c r="P437" s="243">
        <f t="shared" si="60"/>
        <v>55830814.376646601</v>
      </c>
      <c r="S437">
        <v>4220</v>
      </c>
      <c r="T437" t="s">
        <v>334</v>
      </c>
      <c r="U437" t="s">
        <v>1974</v>
      </c>
      <c r="V437" s="176">
        <v>10358147.573333001</v>
      </c>
      <c r="W437" s="176">
        <v>71335794.491105005</v>
      </c>
      <c r="X437" s="176">
        <v>0</v>
      </c>
      <c r="Y437" s="176">
        <v>9946599.5777770001</v>
      </c>
      <c r="Z437" s="176"/>
      <c r="AA437">
        <v>4220</v>
      </c>
      <c r="AB437" s="176" t="s">
        <v>334</v>
      </c>
      <c r="AC437" s="176" t="s">
        <v>1974</v>
      </c>
      <c r="AD437" s="176">
        <v>10358147.573333001</v>
      </c>
      <c r="AE437" s="176">
        <v>71335794.491105005</v>
      </c>
      <c r="AF437" s="176">
        <v>0</v>
      </c>
      <c r="AG437" s="176">
        <v>9946599.5777770001</v>
      </c>
      <c r="AH437" s="342" t="str">
        <f t="shared" si="54"/>
        <v/>
      </c>
      <c r="AI437">
        <v>4220</v>
      </c>
      <c r="AJ437" t="s">
        <v>334</v>
      </c>
      <c r="AK437" t="s">
        <v>1974</v>
      </c>
      <c r="AL437" s="245">
        <f t="shared" si="55"/>
        <v>18644665.631999403</v>
      </c>
      <c r="AM437" s="245">
        <f t="shared" si="56"/>
        <v>128404430.08398901</v>
      </c>
      <c r="AN437" s="245">
        <f t="shared" si="57"/>
        <v>0</v>
      </c>
      <c r="AO437" s="245">
        <f t="shared" si="58"/>
        <v>17903879.239998601</v>
      </c>
      <c r="AP437" s="176"/>
      <c r="AQ437" s="176"/>
      <c r="AR437">
        <v>4220</v>
      </c>
      <c r="AS437" t="s">
        <v>334</v>
      </c>
      <c r="AT437" t="s">
        <v>1974</v>
      </c>
      <c r="AU437" s="176">
        <v>777356.08444200002</v>
      </c>
      <c r="AW437">
        <v>4220</v>
      </c>
      <c r="AX437" t="s">
        <v>334</v>
      </c>
      <c r="AY437" t="s">
        <v>1974</v>
      </c>
      <c r="AZ437" s="176">
        <v>0</v>
      </c>
      <c r="BA437" s="342" t="str">
        <f t="shared" si="61"/>
        <v/>
      </c>
      <c r="BB437">
        <v>4220</v>
      </c>
      <c r="BC437" t="s">
        <v>334</v>
      </c>
      <c r="BD437" t="s">
        <v>1974</v>
      </c>
      <c r="BE437" s="243">
        <f t="shared" si="62"/>
        <v>777356.08444200002</v>
      </c>
    </row>
    <row r="438" spans="1:57">
      <c r="A438">
        <v>4220</v>
      </c>
      <c r="B438" t="s">
        <v>334</v>
      </c>
      <c r="C438" t="s">
        <v>1049</v>
      </c>
      <c r="D438" s="176">
        <v>122685953.56211101</v>
      </c>
      <c r="E438">
        <v>0</v>
      </c>
      <c r="G438">
        <v>4220</v>
      </c>
      <c r="H438" t="s">
        <v>334</v>
      </c>
      <c r="I438" t="s">
        <v>1049</v>
      </c>
      <c r="J438" s="176">
        <v>46629978.359985001</v>
      </c>
      <c r="K438">
        <v>0</v>
      </c>
      <c r="L438" s="342" t="str">
        <f t="shared" si="59"/>
        <v/>
      </c>
      <c r="M438">
        <v>4220</v>
      </c>
      <c r="N438" t="s">
        <v>334</v>
      </c>
      <c r="O438" t="s">
        <v>1049</v>
      </c>
      <c r="P438" s="243">
        <f t="shared" si="60"/>
        <v>159989936.250099</v>
      </c>
      <c r="S438">
        <v>4220</v>
      </c>
      <c r="T438" t="s">
        <v>334</v>
      </c>
      <c r="U438" t="s">
        <v>1049</v>
      </c>
      <c r="V438" s="176">
        <v>49939516.087775998</v>
      </c>
      <c r="W438" s="176">
        <v>101037478.55108599</v>
      </c>
      <c r="X438" s="176">
        <v>0</v>
      </c>
      <c r="Y438" s="176">
        <v>25209045.999999002</v>
      </c>
      <c r="Z438" s="176"/>
      <c r="AA438">
        <v>4220</v>
      </c>
      <c r="AB438" s="176" t="s">
        <v>334</v>
      </c>
      <c r="AC438" s="176" t="s">
        <v>1049</v>
      </c>
      <c r="AD438" s="176">
        <v>49939516.087775998</v>
      </c>
      <c r="AE438" s="176">
        <v>101037478.55108599</v>
      </c>
      <c r="AF438" s="176">
        <v>0</v>
      </c>
      <c r="AG438" s="176">
        <v>25209045.999999002</v>
      </c>
      <c r="AH438" s="342" t="str">
        <f t="shared" si="54"/>
        <v/>
      </c>
      <c r="AI438">
        <v>4220</v>
      </c>
      <c r="AJ438" t="s">
        <v>334</v>
      </c>
      <c r="AK438" t="s">
        <v>1049</v>
      </c>
      <c r="AL438" s="245">
        <f t="shared" si="55"/>
        <v>89891128.957996801</v>
      </c>
      <c r="AM438" s="245">
        <f t="shared" si="56"/>
        <v>181867461.39195478</v>
      </c>
      <c r="AN438" s="245">
        <f t="shared" si="57"/>
        <v>0</v>
      </c>
      <c r="AO438" s="245">
        <f t="shared" si="58"/>
        <v>45376282.799998209</v>
      </c>
      <c r="AP438" s="176"/>
      <c r="AQ438" s="176"/>
      <c r="AR438">
        <v>4220</v>
      </c>
      <c r="AS438" t="s">
        <v>334</v>
      </c>
      <c r="AT438" t="s">
        <v>1049</v>
      </c>
      <c r="AU438" s="176">
        <v>927683.41666300001</v>
      </c>
      <c r="AW438">
        <v>4220</v>
      </c>
      <c r="AX438" t="s">
        <v>334</v>
      </c>
      <c r="AY438" t="s">
        <v>1049</v>
      </c>
      <c r="AZ438" s="176">
        <v>1661589.125555</v>
      </c>
      <c r="BA438" s="342" t="str">
        <f t="shared" si="61"/>
        <v/>
      </c>
      <c r="BB438">
        <v>4220</v>
      </c>
      <c r="BC438" t="s">
        <v>334</v>
      </c>
      <c r="BD438" t="s">
        <v>1049</v>
      </c>
      <c r="BE438" s="243">
        <f t="shared" si="62"/>
        <v>2256954.7171070003</v>
      </c>
    </row>
    <row r="439" spans="1:57">
      <c r="A439">
        <v>4220</v>
      </c>
      <c r="B439" t="s">
        <v>334</v>
      </c>
      <c r="C439" t="s">
        <v>1769</v>
      </c>
      <c r="D439" s="176">
        <v>55260533.948849</v>
      </c>
      <c r="E439">
        <v>0</v>
      </c>
      <c r="G439">
        <v>4220</v>
      </c>
      <c r="H439" t="s">
        <v>334</v>
      </c>
      <c r="I439" t="s">
        <v>1769</v>
      </c>
      <c r="J439" s="176">
        <v>42592504.442213997</v>
      </c>
      <c r="K439">
        <v>0</v>
      </c>
      <c r="L439" s="342" t="str">
        <f t="shared" si="59"/>
        <v/>
      </c>
      <c r="M439">
        <v>4220</v>
      </c>
      <c r="N439" t="s">
        <v>334</v>
      </c>
      <c r="O439" t="s">
        <v>1769</v>
      </c>
      <c r="P439" s="243">
        <f t="shared" si="60"/>
        <v>89334537.50262019</v>
      </c>
      <c r="S439">
        <v>4220</v>
      </c>
      <c r="T439" t="s">
        <v>334</v>
      </c>
      <c r="U439" t="s">
        <v>1769</v>
      </c>
      <c r="V439" s="176">
        <v>54486732.608888</v>
      </c>
      <c r="W439" s="176">
        <v>158287380.649979</v>
      </c>
      <c r="X439" s="176">
        <v>0</v>
      </c>
      <c r="Y439" s="176">
        <v>6479217.7777770003</v>
      </c>
      <c r="Z439" s="176"/>
      <c r="AA439">
        <v>4220</v>
      </c>
      <c r="AB439" s="176" t="s">
        <v>334</v>
      </c>
      <c r="AC439" s="176" t="s">
        <v>1769</v>
      </c>
      <c r="AD439" s="176">
        <v>54486732.608888</v>
      </c>
      <c r="AE439" s="176">
        <v>158287380.649979</v>
      </c>
      <c r="AF439">
        <v>0</v>
      </c>
      <c r="AG439" s="176">
        <v>6479217.7777770003</v>
      </c>
      <c r="AH439" s="342" t="str">
        <f t="shared" si="54"/>
        <v/>
      </c>
      <c r="AI439">
        <v>4220</v>
      </c>
      <c r="AJ439" t="s">
        <v>334</v>
      </c>
      <c r="AK439" t="s">
        <v>1769</v>
      </c>
      <c r="AL439" s="245">
        <f t="shared" si="55"/>
        <v>98076118.6959984</v>
      </c>
      <c r="AM439" s="245">
        <f t="shared" si="56"/>
        <v>284917285.16996217</v>
      </c>
      <c r="AN439" s="245">
        <f t="shared" si="57"/>
        <v>0</v>
      </c>
      <c r="AO439" s="245">
        <f t="shared" si="58"/>
        <v>11662591.999998601</v>
      </c>
      <c r="AP439" s="176"/>
      <c r="AQ439" s="176"/>
      <c r="AR439">
        <v>4220</v>
      </c>
      <c r="AS439" t="s">
        <v>334</v>
      </c>
      <c r="AT439" t="s">
        <v>1769</v>
      </c>
      <c r="AU439" s="176">
        <v>104682707.487772</v>
      </c>
      <c r="AW439">
        <v>4220</v>
      </c>
      <c r="AX439" t="s">
        <v>334</v>
      </c>
      <c r="AY439" t="s">
        <v>1769</v>
      </c>
      <c r="AZ439" s="176">
        <v>104410114.416666</v>
      </c>
      <c r="BA439" s="342" t="str">
        <f t="shared" si="61"/>
        <v/>
      </c>
      <c r="BB439">
        <v>4220</v>
      </c>
      <c r="BC439" t="s">
        <v>334</v>
      </c>
      <c r="BD439" t="s">
        <v>1769</v>
      </c>
      <c r="BE439" s="243">
        <f t="shared" si="62"/>
        <v>188210799.02110481</v>
      </c>
    </row>
    <row r="440" spans="1:57">
      <c r="A440">
        <v>4220</v>
      </c>
      <c r="B440" t="s">
        <v>334</v>
      </c>
      <c r="C440" t="s">
        <v>1975</v>
      </c>
      <c r="D440" s="176">
        <v>268533356.89438999</v>
      </c>
      <c r="E440">
        <v>0</v>
      </c>
      <c r="G440">
        <v>4220</v>
      </c>
      <c r="H440" t="s">
        <v>334</v>
      </c>
      <c r="I440" t="s">
        <v>1975</v>
      </c>
      <c r="J440" s="176">
        <v>160840025.18665099</v>
      </c>
      <c r="K440">
        <v>0</v>
      </c>
      <c r="L440" s="342" t="str">
        <f t="shared" si="59"/>
        <v/>
      </c>
      <c r="M440">
        <v>4220</v>
      </c>
      <c r="N440" t="s">
        <v>334</v>
      </c>
      <c r="O440" t="s">
        <v>1975</v>
      </c>
      <c r="P440" s="243">
        <f t="shared" si="60"/>
        <v>397205377.04371077</v>
      </c>
      <c r="S440">
        <v>4220</v>
      </c>
      <c r="T440" t="s">
        <v>334</v>
      </c>
      <c r="U440" t="s">
        <v>1975</v>
      </c>
      <c r="V440" s="176">
        <v>41270091.794444002</v>
      </c>
      <c r="W440" s="176">
        <v>138595970.809984</v>
      </c>
      <c r="X440" s="176">
        <v>0</v>
      </c>
      <c r="Y440" s="176">
        <v>246047315.08332199</v>
      </c>
      <c r="Z440" s="176"/>
      <c r="AA440">
        <v>4220</v>
      </c>
      <c r="AB440" s="176" t="s">
        <v>334</v>
      </c>
      <c r="AC440" s="176" t="s">
        <v>1975</v>
      </c>
      <c r="AD440" s="176">
        <v>41270091.794444002</v>
      </c>
      <c r="AE440" s="176">
        <v>138595970.809984</v>
      </c>
      <c r="AF440" s="176">
        <v>0</v>
      </c>
      <c r="AG440" s="176">
        <v>246047315.08332199</v>
      </c>
      <c r="AH440" s="342" t="str">
        <f t="shared" si="54"/>
        <v/>
      </c>
      <c r="AI440">
        <v>4220</v>
      </c>
      <c r="AJ440" t="s">
        <v>334</v>
      </c>
      <c r="AK440" t="s">
        <v>1975</v>
      </c>
      <c r="AL440" s="245">
        <f t="shared" si="55"/>
        <v>74286165.229999214</v>
      </c>
      <c r="AM440" s="245">
        <f t="shared" si="56"/>
        <v>249472747.45797122</v>
      </c>
      <c r="AN440" s="245">
        <f t="shared" si="57"/>
        <v>0</v>
      </c>
      <c r="AO440" s="245">
        <f t="shared" si="58"/>
        <v>442885167.14997959</v>
      </c>
      <c r="AP440" s="176"/>
      <c r="AQ440" s="176"/>
      <c r="AR440">
        <v>4220</v>
      </c>
      <c r="AS440" t="s">
        <v>334</v>
      </c>
      <c r="AT440" t="s">
        <v>1975</v>
      </c>
      <c r="AU440" s="176">
        <v>36566912.713326998</v>
      </c>
      <c r="AW440">
        <v>4220</v>
      </c>
      <c r="AX440" t="s">
        <v>334</v>
      </c>
      <c r="AY440" t="s">
        <v>1975</v>
      </c>
      <c r="AZ440" s="176">
        <v>30025351.699997999</v>
      </c>
      <c r="BA440" s="342" t="str">
        <f t="shared" si="61"/>
        <v/>
      </c>
      <c r="BB440">
        <v>4220</v>
      </c>
      <c r="BC440" t="s">
        <v>334</v>
      </c>
      <c r="BD440" t="s">
        <v>1975</v>
      </c>
      <c r="BE440" s="243">
        <f t="shared" si="62"/>
        <v>60587194.073325396</v>
      </c>
    </row>
    <row r="441" spans="1:57">
      <c r="A441">
        <v>4230</v>
      </c>
      <c r="B441" t="s">
        <v>335</v>
      </c>
      <c r="C441" t="s">
        <v>1577</v>
      </c>
      <c r="D441" s="176">
        <v>97383206.756623998</v>
      </c>
      <c r="E441">
        <v>0</v>
      </c>
      <c r="G441">
        <v>4230</v>
      </c>
      <c r="H441" t="s">
        <v>335</v>
      </c>
      <c r="I441" t="s">
        <v>1577</v>
      </c>
      <c r="J441" s="176">
        <v>58981266.161099002</v>
      </c>
      <c r="K441">
        <v>0</v>
      </c>
      <c r="L441" s="342" t="str">
        <f t="shared" si="59"/>
        <v/>
      </c>
      <c r="M441">
        <v>4230</v>
      </c>
      <c r="N441" t="s">
        <v>335</v>
      </c>
      <c r="O441" t="s">
        <v>1577</v>
      </c>
      <c r="P441" s="243">
        <f t="shared" si="60"/>
        <v>144568219.68550318</v>
      </c>
      <c r="S441">
        <v>4230</v>
      </c>
      <c r="T441" t="s">
        <v>335</v>
      </c>
      <c r="U441" t="s">
        <v>1577</v>
      </c>
      <c r="V441" s="176">
        <v>30224532.077776998</v>
      </c>
      <c r="W441" s="176">
        <v>168029705.15995201</v>
      </c>
      <c r="X441" s="176">
        <v>0</v>
      </c>
      <c r="Y441" s="176">
        <v>6856804.4444439998</v>
      </c>
      <c r="Z441" s="176"/>
      <c r="AA441">
        <v>4230</v>
      </c>
      <c r="AB441" s="176" t="s">
        <v>335</v>
      </c>
      <c r="AC441" s="176" t="s">
        <v>1577</v>
      </c>
      <c r="AD441" s="176">
        <v>30224532.077776998</v>
      </c>
      <c r="AE441" s="176">
        <v>168029705.15995201</v>
      </c>
      <c r="AF441" s="176">
        <v>0</v>
      </c>
      <c r="AG441" s="176">
        <v>6856804.4444439998</v>
      </c>
      <c r="AH441" s="342" t="str">
        <f t="shared" si="54"/>
        <v/>
      </c>
      <c r="AI441">
        <v>4230</v>
      </c>
      <c r="AJ441" t="s">
        <v>335</v>
      </c>
      <c r="AK441" t="s">
        <v>1577</v>
      </c>
      <c r="AL441" s="245">
        <f t="shared" si="55"/>
        <v>54404157.739998594</v>
      </c>
      <c r="AM441" s="245">
        <f t="shared" si="56"/>
        <v>302453469.28791362</v>
      </c>
      <c r="AN441" s="245">
        <f t="shared" si="57"/>
        <v>0</v>
      </c>
      <c r="AO441" s="245">
        <f t="shared" si="58"/>
        <v>12342247.999999199</v>
      </c>
      <c r="AP441" s="176"/>
      <c r="AQ441" s="176"/>
      <c r="AR441">
        <v>4230</v>
      </c>
      <c r="AS441" t="s">
        <v>335</v>
      </c>
      <c r="AT441" t="s">
        <v>1577</v>
      </c>
      <c r="AU441" s="176">
        <v>25991905.169994</v>
      </c>
      <c r="AW441">
        <v>4230</v>
      </c>
      <c r="AX441" t="s">
        <v>335</v>
      </c>
      <c r="AY441" t="s">
        <v>1577</v>
      </c>
      <c r="AZ441" s="176">
        <v>23237447.493331999</v>
      </c>
      <c r="BA441" s="342" t="str">
        <f t="shared" si="61"/>
        <v/>
      </c>
      <c r="BB441">
        <v>4230</v>
      </c>
      <c r="BC441" t="s">
        <v>335</v>
      </c>
      <c r="BD441" t="s">
        <v>1577</v>
      </c>
      <c r="BE441" s="243">
        <f t="shared" si="62"/>
        <v>44581863.164659604</v>
      </c>
    </row>
    <row r="442" spans="1:57">
      <c r="A442">
        <v>4230</v>
      </c>
      <c r="B442" t="s">
        <v>335</v>
      </c>
      <c r="C442" t="s">
        <v>1162</v>
      </c>
      <c r="D442" s="176">
        <v>240772963.09879601</v>
      </c>
      <c r="E442">
        <v>0</v>
      </c>
      <c r="G442">
        <v>4230</v>
      </c>
      <c r="H442" t="s">
        <v>335</v>
      </c>
      <c r="I442" t="s">
        <v>1162</v>
      </c>
      <c r="J442" s="176">
        <v>115365235.91665</v>
      </c>
      <c r="K442">
        <v>0</v>
      </c>
      <c r="L442" s="342" t="str">
        <f t="shared" si="59"/>
        <v/>
      </c>
      <c r="M442">
        <v>4230</v>
      </c>
      <c r="N442" t="s">
        <v>335</v>
      </c>
      <c r="O442" t="s">
        <v>1162</v>
      </c>
      <c r="P442" s="243">
        <f t="shared" si="60"/>
        <v>333065151.83211601</v>
      </c>
      <c r="S442">
        <v>4230</v>
      </c>
      <c r="T442" t="s">
        <v>335</v>
      </c>
      <c r="U442" t="s">
        <v>1162</v>
      </c>
      <c r="V442" s="176">
        <v>44222370.017777003</v>
      </c>
      <c r="W442" s="176">
        <v>207198952.05664101</v>
      </c>
      <c r="X442" s="176">
        <v>600000</v>
      </c>
      <c r="Y442" s="176">
        <v>16285128.555552</v>
      </c>
      <c r="Z442" s="176"/>
      <c r="AA442">
        <v>4230</v>
      </c>
      <c r="AB442" s="176" t="s">
        <v>335</v>
      </c>
      <c r="AC442" s="176" t="s">
        <v>1162</v>
      </c>
      <c r="AD442" s="176">
        <v>44222370.017777003</v>
      </c>
      <c r="AE442" s="176">
        <v>207198952.05664101</v>
      </c>
      <c r="AF442" s="176">
        <v>600000</v>
      </c>
      <c r="AG442" s="176">
        <v>16285128.555552</v>
      </c>
      <c r="AH442" s="342" t="str">
        <f t="shared" si="54"/>
        <v/>
      </c>
      <c r="AI442">
        <v>4230</v>
      </c>
      <c r="AJ442" t="s">
        <v>335</v>
      </c>
      <c r="AK442" t="s">
        <v>1162</v>
      </c>
      <c r="AL442" s="245">
        <f t="shared" si="55"/>
        <v>79600266.031998605</v>
      </c>
      <c r="AM442" s="245">
        <f t="shared" si="56"/>
        <v>372958113.70195383</v>
      </c>
      <c r="AN442" s="245">
        <f t="shared" si="57"/>
        <v>1080000</v>
      </c>
      <c r="AO442" s="245">
        <f t="shared" si="58"/>
        <v>29313231.399993598</v>
      </c>
      <c r="AP442" s="176"/>
      <c r="AQ442" s="176"/>
      <c r="AR442">
        <v>4230</v>
      </c>
      <c r="AS442" t="s">
        <v>335</v>
      </c>
      <c r="AT442" t="s">
        <v>1162</v>
      </c>
      <c r="AU442" s="176">
        <v>47017539.184432</v>
      </c>
      <c r="AW442">
        <v>4230</v>
      </c>
      <c r="AX442" t="s">
        <v>335</v>
      </c>
      <c r="AY442" t="s">
        <v>1162</v>
      </c>
      <c r="AZ442" s="176">
        <v>53680556.981105998</v>
      </c>
      <c r="BA442" s="342" t="str">
        <f t="shared" si="61"/>
        <v/>
      </c>
      <c r="BB442">
        <v>4230</v>
      </c>
      <c r="BC442" t="s">
        <v>335</v>
      </c>
      <c r="BD442" t="s">
        <v>1162</v>
      </c>
      <c r="BE442" s="243">
        <f t="shared" si="62"/>
        <v>89961984.769316792</v>
      </c>
    </row>
    <row r="443" spans="1:57">
      <c r="A443">
        <v>4230</v>
      </c>
      <c r="B443" t="s">
        <v>335</v>
      </c>
      <c r="C443" t="s">
        <v>1012</v>
      </c>
      <c r="D443" s="176">
        <v>293730501.68656498</v>
      </c>
      <c r="E443">
        <v>0</v>
      </c>
      <c r="G443">
        <v>4230</v>
      </c>
      <c r="H443" t="s">
        <v>335</v>
      </c>
      <c r="I443" t="s">
        <v>1012</v>
      </c>
      <c r="J443" s="176">
        <v>208991123.10775399</v>
      </c>
      <c r="K443">
        <v>0</v>
      </c>
      <c r="L443" s="342" t="str">
        <f t="shared" si="59"/>
        <v/>
      </c>
      <c r="M443">
        <v>4230</v>
      </c>
      <c r="N443" t="s">
        <v>335</v>
      </c>
      <c r="O443" t="s">
        <v>1012</v>
      </c>
      <c r="P443" s="243">
        <f t="shared" si="60"/>
        <v>460923400.17276818</v>
      </c>
      <c r="S443">
        <v>4230</v>
      </c>
      <c r="T443" t="s">
        <v>335</v>
      </c>
      <c r="U443" t="s">
        <v>1012</v>
      </c>
      <c r="V443" s="176">
        <v>54432452.25333</v>
      </c>
      <c r="W443" s="176">
        <v>354980128.99550098</v>
      </c>
      <c r="X443" s="176">
        <v>100000</v>
      </c>
      <c r="Y443" s="176">
        <v>11073376.560000001</v>
      </c>
      <c r="Z443" s="176"/>
      <c r="AA443">
        <v>4230</v>
      </c>
      <c r="AB443" s="176" t="s">
        <v>335</v>
      </c>
      <c r="AC443" s="176" t="s">
        <v>1012</v>
      </c>
      <c r="AD443" s="176">
        <v>54432452.25333</v>
      </c>
      <c r="AE443" s="176">
        <v>354980128.99550098</v>
      </c>
      <c r="AF443">
        <v>100000</v>
      </c>
      <c r="AG443" s="176">
        <v>11073376.560000001</v>
      </c>
      <c r="AH443" s="342" t="str">
        <f t="shared" si="54"/>
        <v/>
      </c>
      <c r="AI443">
        <v>4230</v>
      </c>
      <c r="AJ443" t="s">
        <v>335</v>
      </c>
      <c r="AK443" t="s">
        <v>1012</v>
      </c>
      <c r="AL443" s="245">
        <f t="shared" si="55"/>
        <v>97978414.055994004</v>
      </c>
      <c r="AM443" s="245">
        <f t="shared" si="56"/>
        <v>638964232.1919018</v>
      </c>
      <c r="AN443" s="245">
        <f t="shared" si="57"/>
        <v>180000</v>
      </c>
      <c r="AO443" s="245">
        <f t="shared" si="58"/>
        <v>19932077.808000002</v>
      </c>
      <c r="AP443" s="176"/>
      <c r="AQ443" s="176"/>
      <c r="AR443">
        <v>4230</v>
      </c>
      <c r="AS443" t="s">
        <v>335</v>
      </c>
      <c r="AT443" t="s">
        <v>1012</v>
      </c>
      <c r="AU443" s="176">
        <v>10948740.343323</v>
      </c>
      <c r="AW443">
        <v>4230</v>
      </c>
      <c r="AX443" t="s">
        <v>335</v>
      </c>
      <c r="AY443" t="s">
        <v>1012</v>
      </c>
      <c r="AZ443" s="176">
        <v>22455946.196664002</v>
      </c>
      <c r="BA443" s="342" t="str">
        <f t="shared" si="61"/>
        <v/>
      </c>
      <c r="BB443">
        <v>4230</v>
      </c>
      <c r="BC443" t="s">
        <v>335</v>
      </c>
      <c r="BD443" t="s">
        <v>1012</v>
      </c>
      <c r="BE443" s="243">
        <f t="shared" si="62"/>
        <v>28913497.300654203</v>
      </c>
    </row>
    <row r="444" spans="1:57">
      <c r="A444">
        <v>4230</v>
      </c>
      <c r="B444" t="s">
        <v>335</v>
      </c>
      <c r="C444" t="s">
        <v>1768</v>
      </c>
      <c r="D444" s="176">
        <v>48501630.404413</v>
      </c>
      <c r="E444">
        <v>0</v>
      </c>
      <c r="G444">
        <v>4230</v>
      </c>
      <c r="H444" t="s">
        <v>335</v>
      </c>
      <c r="I444" t="s">
        <v>1768</v>
      </c>
      <c r="J444" s="176">
        <v>27016384.157768</v>
      </c>
      <c r="K444">
        <v>0</v>
      </c>
      <c r="L444" s="342" t="str">
        <f t="shared" si="59"/>
        <v/>
      </c>
      <c r="M444">
        <v>4230</v>
      </c>
      <c r="N444" t="s">
        <v>335</v>
      </c>
      <c r="O444" t="s">
        <v>1768</v>
      </c>
      <c r="P444" s="243">
        <f t="shared" si="60"/>
        <v>70114737.730627403</v>
      </c>
      <c r="S444">
        <v>4230</v>
      </c>
      <c r="T444" t="s">
        <v>335</v>
      </c>
      <c r="U444" t="s">
        <v>1768</v>
      </c>
      <c r="V444" s="176">
        <v>116640561.773333</v>
      </c>
      <c r="W444" s="176">
        <v>62961363.703303002</v>
      </c>
      <c r="X444" s="176">
        <v>0</v>
      </c>
      <c r="Y444" s="176">
        <v>279600</v>
      </c>
      <c r="Z444" s="176"/>
      <c r="AA444">
        <v>4230</v>
      </c>
      <c r="AB444" s="176" t="s">
        <v>335</v>
      </c>
      <c r="AC444" s="176" t="s">
        <v>1768</v>
      </c>
      <c r="AD444" s="176">
        <v>116640561.773333</v>
      </c>
      <c r="AE444" s="176">
        <v>62961363.703303002</v>
      </c>
      <c r="AF444" s="176">
        <v>0</v>
      </c>
      <c r="AG444" s="176">
        <v>279600</v>
      </c>
      <c r="AH444" s="342" t="str">
        <f t="shared" si="54"/>
        <v/>
      </c>
      <c r="AI444">
        <v>4230</v>
      </c>
      <c r="AJ444" t="s">
        <v>335</v>
      </c>
      <c r="AK444" t="s">
        <v>1768</v>
      </c>
      <c r="AL444" s="245">
        <f t="shared" si="55"/>
        <v>209953011.19199941</v>
      </c>
      <c r="AM444" s="245">
        <f t="shared" si="56"/>
        <v>113330454.66594541</v>
      </c>
      <c r="AN444" s="245">
        <f t="shared" si="57"/>
        <v>0</v>
      </c>
      <c r="AO444" s="245">
        <f t="shared" si="58"/>
        <v>503280</v>
      </c>
      <c r="AP444" s="176"/>
      <c r="AQ444" s="176"/>
      <c r="AR444">
        <v>4230</v>
      </c>
      <c r="AS444" t="s">
        <v>335</v>
      </c>
      <c r="AT444" t="s">
        <v>1768</v>
      </c>
      <c r="AU444" s="176">
        <v>459714.74221900001</v>
      </c>
      <c r="AW444">
        <v>4230</v>
      </c>
      <c r="AX444" t="s">
        <v>335</v>
      </c>
      <c r="AY444" t="s">
        <v>1768</v>
      </c>
      <c r="AZ444" s="176">
        <v>1474828.3044439999</v>
      </c>
      <c r="BA444" s="342" t="str">
        <f t="shared" si="61"/>
        <v/>
      </c>
      <c r="BB444">
        <v>4230</v>
      </c>
      <c r="BC444" t="s">
        <v>335</v>
      </c>
      <c r="BD444" t="s">
        <v>1768</v>
      </c>
      <c r="BE444" s="243">
        <f t="shared" si="62"/>
        <v>1639577.3857741999</v>
      </c>
    </row>
    <row r="445" spans="1:57">
      <c r="A445">
        <v>4240</v>
      </c>
      <c r="B445" t="s">
        <v>336</v>
      </c>
      <c r="C445" t="s">
        <v>1152</v>
      </c>
      <c r="D445" s="176">
        <v>614385413.32655895</v>
      </c>
      <c r="E445">
        <v>0</v>
      </c>
      <c r="G445">
        <v>4240</v>
      </c>
      <c r="H445" t="s">
        <v>336</v>
      </c>
      <c r="I445" t="s">
        <v>1152</v>
      </c>
      <c r="J445" s="176">
        <v>265230179.21108299</v>
      </c>
      <c r="K445">
        <v>0</v>
      </c>
      <c r="L445" s="342" t="str">
        <f t="shared" si="59"/>
        <v/>
      </c>
      <c r="M445">
        <v>4240</v>
      </c>
      <c r="N445" t="s">
        <v>336</v>
      </c>
      <c r="O445" t="s">
        <v>1152</v>
      </c>
      <c r="P445" s="243">
        <f t="shared" si="60"/>
        <v>826569556.69542539</v>
      </c>
      <c r="S445">
        <v>4240</v>
      </c>
      <c r="T445" t="s">
        <v>336</v>
      </c>
      <c r="U445" t="s">
        <v>1152</v>
      </c>
      <c r="V445" s="176">
        <v>105402612.923333</v>
      </c>
      <c r="W445" s="176">
        <v>417606022.299959</v>
      </c>
      <c r="X445" s="176">
        <v>1125600</v>
      </c>
      <c r="Y445" s="176">
        <v>36891165.359998003</v>
      </c>
      <c r="Z445" s="176"/>
      <c r="AA445">
        <v>4240</v>
      </c>
      <c r="AB445" s="176" t="s">
        <v>336</v>
      </c>
      <c r="AC445" s="176" t="s">
        <v>1152</v>
      </c>
      <c r="AD445" s="176">
        <v>105402612.923333</v>
      </c>
      <c r="AE445" s="176">
        <v>417606022.299959</v>
      </c>
      <c r="AF445" s="176">
        <v>1125600</v>
      </c>
      <c r="AG445" s="176">
        <v>36891165.359998003</v>
      </c>
      <c r="AH445" s="342" t="str">
        <f t="shared" si="54"/>
        <v/>
      </c>
      <c r="AI445">
        <v>4240</v>
      </c>
      <c r="AJ445" t="s">
        <v>336</v>
      </c>
      <c r="AK445" t="s">
        <v>1152</v>
      </c>
      <c r="AL445" s="245">
        <f t="shared" si="55"/>
        <v>189724703.26199943</v>
      </c>
      <c r="AM445" s="245">
        <f t="shared" si="56"/>
        <v>751690840.1399262</v>
      </c>
      <c r="AN445" s="245">
        <f t="shared" si="57"/>
        <v>2026080</v>
      </c>
      <c r="AO445" s="245">
        <f t="shared" si="58"/>
        <v>66404097.647996411</v>
      </c>
      <c r="AP445" s="176"/>
      <c r="AQ445" s="176"/>
      <c r="AR445">
        <v>4240</v>
      </c>
      <c r="AS445" t="s">
        <v>336</v>
      </c>
      <c r="AT445" t="s">
        <v>1152</v>
      </c>
      <c r="AU445" s="176">
        <v>264111768.25886399</v>
      </c>
      <c r="AW445">
        <v>4240</v>
      </c>
      <c r="AX445" t="s">
        <v>336</v>
      </c>
      <c r="AY445" t="s">
        <v>1152</v>
      </c>
      <c r="AZ445" s="176">
        <v>48207628.664433002</v>
      </c>
      <c r="BA445" s="342" t="str">
        <f t="shared" si="61"/>
        <v/>
      </c>
      <c r="BB445">
        <v>4240</v>
      </c>
      <c r="BC445" t="s">
        <v>336</v>
      </c>
      <c r="BD445" t="s">
        <v>1152</v>
      </c>
      <c r="BE445" s="243">
        <f t="shared" si="62"/>
        <v>302677871.19041038</v>
      </c>
    </row>
    <row r="446" spans="1:57">
      <c r="A446">
        <v>4240</v>
      </c>
      <c r="B446" t="s">
        <v>336</v>
      </c>
      <c r="C446" t="s">
        <v>1154</v>
      </c>
      <c r="D446" s="176">
        <v>192808846.52995199</v>
      </c>
      <c r="E446">
        <v>0</v>
      </c>
      <c r="G446">
        <v>4240</v>
      </c>
      <c r="H446" t="s">
        <v>336</v>
      </c>
      <c r="I446" t="s">
        <v>1154</v>
      </c>
      <c r="J446" s="176">
        <v>117283346.762207</v>
      </c>
      <c r="K446">
        <v>0</v>
      </c>
      <c r="L446" s="342" t="str">
        <f t="shared" si="59"/>
        <v/>
      </c>
      <c r="M446">
        <v>4240</v>
      </c>
      <c r="N446" t="s">
        <v>336</v>
      </c>
      <c r="O446" t="s">
        <v>1154</v>
      </c>
      <c r="P446" s="243">
        <f t="shared" si="60"/>
        <v>286635523.93971759</v>
      </c>
      <c r="S446">
        <v>4240</v>
      </c>
      <c r="T446" t="s">
        <v>336</v>
      </c>
      <c r="U446" t="s">
        <v>1154</v>
      </c>
      <c r="V446" s="176">
        <v>73155959.271109998</v>
      </c>
      <c r="W446" s="176">
        <v>361749091.023296</v>
      </c>
      <c r="X446" s="176">
        <v>0</v>
      </c>
      <c r="Y446" s="176">
        <v>15605828.066666</v>
      </c>
      <c r="Z446" s="176"/>
      <c r="AA446">
        <v>4240</v>
      </c>
      <c r="AB446" s="176" t="s">
        <v>336</v>
      </c>
      <c r="AC446" s="176" t="s">
        <v>1154</v>
      </c>
      <c r="AD446" s="176">
        <v>73155959.271109998</v>
      </c>
      <c r="AE446" s="176">
        <v>361749091.023296</v>
      </c>
      <c r="AF446" s="176">
        <v>0</v>
      </c>
      <c r="AG446" s="176">
        <v>15605828.066666</v>
      </c>
      <c r="AH446" s="342" t="str">
        <f t="shared" si="54"/>
        <v/>
      </c>
      <c r="AI446">
        <v>4240</v>
      </c>
      <c r="AJ446" t="s">
        <v>336</v>
      </c>
      <c r="AK446" t="s">
        <v>1154</v>
      </c>
      <c r="AL446" s="245">
        <f t="shared" si="55"/>
        <v>131680726.687998</v>
      </c>
      <c r="AM446" s="245">
        <f t="shared" si="56"/>
        <v>651148363.84193277</v>
      </c>
      <c r="AN446" s="245">
        <f t="shared" si="57"/>
        <v>0</v>
      </c>
      <c r="AO446" s="245">
        <f t="shared" si="58"/>
        <v>28090490.5199988</v>
      </c>
      <c r="AP446" s="176"/>
      <c r="AQ446" s="176"/>
      <c r="AR446">
        <v>4240</v>
      </c>
      <c r="AS446" t="s">
        <v>336</v>
      </c>
      <c r="AT446" t="s">
        <v>1154</v>
      </c>
      <c r="AU446" s="176">
        <v>16162979.933326</v>
      </c>
      <c r="AW446">
        <v>4240</v>
      </c>
      <c r="AX446" t="s">
        <v>336</v>
      </c>
      <c r="AY446" t="s">
        <v>1154</v>
      </c>
      <c r="AZ446">
        <v>4984138.7055529999</v>
      </c>
      <c r="BA446" s="342" t="str">
        <f t="shared" si="61"/>
        <v/>
      </c>
      <c r="BB446">
        <v>4240</v>
      </c>
      <c r="BC446" t="s">
        <v>336</v>
      </c>
      <c r="BD446" t="s">
        <v>1154</v>
      </c>
      <c r="BE446" s="243">
        <f t="shared" si="62"/>
        <v>20150290.897768401</v>
      </c>
    </row>
    <row r="447" spans="1:57">
      <c r="A447">
        <v>4240</v>
      </c>
      <c r="B447" t="s">
        <v>336</v>
      </c>
      <c r="C447" t="s">
        <v>1153</v>
      </c>
      <c r="D447" s="176">
        <v>387882528.41652602</v>
      </c>
      <c r="E447">
        <v>0</v>
      </c>
      <c r="G447">
        <v>4240</v>
      </c>
      <c r="H447" t="s">
        <v>336</v>
      </c>
      <c r="I447" t="s">
        <v>1153</v>
      </c>
      <c r="J447" s="176">
        <v>153774396.036634</v>
      </c>
      <c r="K447">
        <v>0</v>
      </c>
      <c r="L447" s="342" t="str">
        <f t="shared" si="59"/>
        <v/>
      </c>
      <c r="M447">
        <v>4240</v>
      </c>
      <c r="N447" t="s">
        <v>336</v>
      </c>
      <c r="O447" t="s">
        <v>1153</v>
      </c>
      <c r="P447" s="243">
        <f t="shared" si="60"/>
        <v>510902045.24583322</v>
      </c>
      <c r="S447">
        <v>4240</v>
      </c>
      <c r="T447" t="s">
        <v>336</v>
      </c>
      <c r="U447" t="s">
        <v>1153</v>
      </c>
      <c r="V447" s="176">
        <v>83665401.659999996</v>
      </c>
      <c r="W447" s="176">
        <v>247662551.67551899</v>
      </c>
      <c r="X447" s="176">
        <v>558800</v>
      </c>
      <c r="Y447" s="176">
        <v>10434569.599995</v>
      </c>
      <c r="Z447" s="176"/>
      <c r="AA447">
        <v>4240</v>
      </c>
      <c r="AB447" s="176" t="s">
        <v>336</v>
      </c>
      <c r="AC447" s="176" t="s">
        <v>1153</v>
      </c>
      <c r="AD447" s="176">
        <v>83665401.659999996</v>
      </c>
      <c r="AE447" s="176">
        <v>247662551.67551899</v>
      </c>
      <c r="AF447" s="176">
        <v>558800</v>
      </c>
      <c r="AG447" s="176">
        <v>10434569.599995</v>
      </c>
      <c r="AH447" s="342" t="str">
        <f t="shared" si="54"/>
        <v/>
      </c>
      <c r="AI447">
        <v>4240</v>
      </c>
      <c r="AJ447" t="s">
        <v>336</v>
      </c>
      <c r="AK447" t="s">
        <v>1153</v>
      </c>
      <c r="AL447" s="245">
        <f t="shared" si="55"/>
        <v>150597722.98800001</v>
      </c>
      <c r="AM447" s="245">
        <f t="shared" si="56"/>
        <v>445792593.01593423</v>
      </c>
      <c r="AN447" s="245">
        <f t="shared" si="57"/>
        <v>1005840</v>
      </c>
      <c r="AO447" s="245">
        <f t="shared" si="58"/>
        <v>18782225.279991001</v>
      </c>
      <c r="AP447" s="176"/>
      <c r="AQ447" s="176"/>
      <c r="AR447">
        <v>4240</v>
      </c>
      <c r="AS447" t="s">
        <v>336</v>
      </c>
      <c r="AT447" t="s">
        <v>1153</v>
      </c>
      <c r="AU447" s="176">
        <v>59184636.124430001</v>
      </c>
      <c r="AW447">
        <v>4240</v>
      </c>
      <c r="AX447" t="s">
        <v>336</v>
      </c>
      <c r="AY447" t="s">
        <v>1153</v>
      </c>
      <c r="AZ447" s="176">
        <v>39861058.512212999</v>
      </c>
      <c r="BA447" s="342" t="str">
        <f t="shared" si="61"/>
        <v/>
      </c>
      <c r="BB447">
        <v>4240</v>
      </c>
      <c r="BC447" t="s">
        <v>336</v>
      </c>
      <c r="BD447" t="s">
        <v>1153</v>
      </c>
      <c r="BE447" s="243">
        <f t="shared" si="62"/>
        <v>91073482.934200406</v>
      </c>
    </row>
    <row r="448" spans="1:57">
      <c r="A448">
        <v>4240</v>
      </c>
      <c r="B448" t="s">
        <v>336</v>
      </c>
      <c r="C448" t="s">
        <v>1772</v>
      </c>
      <c r="D448" s="176">
        <v>177844496.791051</v>
      </c>
      <c r="E448">
        <v>0</v>
      </c>
      <c r="G448">
        <v>4240</v>
      </c>
      <c r="H448" t="s">
        <v>336</v>
      </c>
      <c r="I448" t="s">
        <v>1772</v>
      </c>
      <c r="J448" s="176">
        <v>67348819.961100996</v>
      </c>
      <c r="K448">
        <v>0</v>
      </c>
      <c r="L448" s="342" t="str">
        <f t="shared" si="59"/>
        <v/>
      </c>
      <c r="M448">
        <v>4240</v>
      </c>
      <c r="N448" t="s">
        <v>336</v>
      </c>
      <c r="O448" t="s">
        <v>1772</v>
      </c>
      <c r="P448" s="243">
        <f t="shared" si="60"/>
        <v>231723552.7599318</v>
      </c>
      <c r="S448">
        <v>4240</v>
      </c>
      <c r="T448" t="s">
        <v>336</v>
      </c>
      <c r="U448" t="s">
        <v>1772</v>
      </c>
      <c r="V448" s="176">
        <v>35740936.573333003</v>
      </c>
      <c r="W448" s="176">
        <v>155716572.24219799</v>
      </c>
      <c r="X448" s="176">
        <v>0</v>
      </c>
      <c r="Y448" s="176">
        <v>11304806</v>
      </c>
      <c r="Z448" s="176"/>
      <c r="AA448">
        <v>4240</v>
      </c>
      <c r="AB448" s="176" t="s">
        <v>336</v>
      </c>
      <c r="AC448" s="176" t="s">
        <v>1772</v>
      </c>
      <c r="AD448" s="176">
        <v>35740936.573333003</v>
      </c>
      <c r="AE448" s="176">
        <v>155716572.24219799</v>
      </c>
      <c r="AF448" s="176">
        <v>0</v>
      </c>
      <c r="AG448" s="176">
        <v>11304806</v>
      </c>
      <c r="AH448" s="342" t="str">
        <f t="shared" si="54"/>
        <v/>
      </c>
      <c r="AI448">
        <v>4240</v>
      </c>
      <c r="AJ448" t="s">
        <v>336</v>
      </c>
      <c r="AK448" t="s">
        <v>1772</v>
      </c>
      <c r="AL448" s="245">
        <f t="shared" si="55"/>
        <v>64333685.831999406</v>
      </c>
      <c r="AM448" s="245">
        <f t="shared" si="56"/>
        <v>280289830.03595638</v>
      </c>
      <c r="AN448" s="245">
        <f t="shared" si="57"/>
        <v>0</v>
      </c>
      <c r="AO448" s="245">
        <f t="shared" si="58"/>
        <v>20348650.800000001</v>
      </c>
      <c r="AP448" s="176"/>
      <c r="AQ448" s="176"/>
      <c r="AR448">
        <v>4240</v>
      </c>
      <c r="AS448" t="s">
        <v>336</v>
      </c>
      <c r="AT448" t="s">
        <v>1772</v>
      </c>
      <c r="AU448" s="176">
        <v>21573255.918880001</v>
      </c>
      <c r="AW448">
        <v>4240</v>
      </c>
      <c r="AX448" t="s">
        <v>336</v>
      </c>
      <c r="AY448" t="s">
        <v>1772</v>
      </c>
      <c r="AZ448" s="176">
        <v>11099290.842219001</v>
      </c>
      <c r="BA448" s="342" t="str">
        <f t="shared" si="61"/>
        <v/>
      </c>
      <c r="BB448">
        <v>4240</v>
      </c>
      <c r="BC448" t="s">
        <v>336</v>
      </c>
      <c r="BD448" t="s">
        <v>1772</v>
      </c>
      <c r="BE448" s="243">
        <f t="shared" si="62"/>
        <v>30452688.592655204</v>
      </c>
    </row>
    <row r="449" spans="1:57">
      <c r="A449">
        <v>4240</v>
      </c>
      <c r="B449" t="s">
        <v>336</v>
      </c>
      <c r="C449" t="s">
        <v>1976</v>
      </c>
      <c r="D449" s="176">
        <v>90897053.696614996</v>
      </c>
      <c r="E449">
        <v>0</v>
      </c>
      <c r="G449">
        <v>4240</v>
      </c>
      <c r="H449" t="s">
        <v>336</v>
      </c>
      <c r="I449" t="s">
        <v>1976</v>
      </c>
      <c r="J449" s="176">
        <v>12359195.185549</v>
      </c>
      <c r="K449">
        <v>0</v>
      </c>
      <c r="L449" s="342" t="str">
        <f t="shared" si="59"/>
        <v/>
      </c>
      <c r="M449">
        <v>4240</v>
      </c>
      <c r="N449" t="s">
        <v>336</v>
      </c>
      <c r="O449" t="s">
        <v>1976</v>
      </c>
      <c r="P449" s="243">
        <f t="shared" si="60"/>
        <v>100784409.84505419</v>
      </c>
      <c r="S449">
        <v>4240</v>
      </c>
      <c r="T449" t="s">
        <v>336</v>
      </c>
      <c r="U449" t="s">
        <v>1976</v>
      </c>
      <c r="V449" s="176">
        <v>11689610.07</v>
      </c>
      <c r="W449" s="176">
        <v>54698858.798874997</v>
      </c>
      <c r="X449" s="176">
        <v>0</v>
      </c>
      <c r="Y449" s="176">
        <v>2527855.7777769999</v>
      </c>
      <c r="Z449" s="176"/>
      <c r="AA449">
        <v>4240</v>
      </c>
      <c r="AB449" s="176" t="s">
        <v>336</v>
      </c>
      <c r="AC449" s="176" t="s">
        <v>1976</v>
      </c>
      <c r="AD449" s="176">
        <v>11689610.07</v>
      </c>
      <c r="AE449" s="176">
        <v>54698858.798874997</v>
      </c>
      <c r="AF449" s="176">
        <v>0</v>
      </c>
      <c r="AG449" s="176">
        <v>2527855.7777769999</v>
      </c>
      <c r="AH449" s="342" t="str">
        <f t="shared" si="54"/>
        <v/>
      </c>
      <c r="AI449">
        <v>4240</v>
      </c>
      <c r="AJ449" t="s">
        <v>336</v>
      </c>
      <c r="AK449" t="s">
        <v>1976</v>
      </c>
      <c r="AL449" s="245">
        <f t="shared" si="55"/>
        <v>21041298.126000002</v>
      </c>
      <c r="AM449" s="245">
        <f t="shared" si="56"/>
        <v>98457945.837974995</v>
      </c>
      <c r="AN449" s="245">
        <f t="shared" si="57"/>
        <v>0</v>
      </c>
      <c r="AO449" s="245">
        <f t="shared" si="58"/>
        <v>4550140.3999985997</v>
      </c>
      <c r="AP449" s="176"/>
      <c r="AQ449" s="176"/>
      <c r="AR449">
        <v>4240</v>
      </c>
      <c r="AS449" t="s">
        <v>336</v>
      </c>
      <c r="AT449" t="s">
        <v>1976</v>
      </c>
      <c r="AU449" s="176">
        <v>3919966.5022160001</v>
      </c>
      <c r="AW449">
        <v>4240</v>
      </c>
      <c r="AX449" t="s">
        <v>336</v>
      </c>
      <c r="AY449" t="s">
        <v>1976</v>
      </c>
      <c r="AZ449" s="176">
        <v>0</v>
      </c>
      <c r="BA449" s="342" t="str">
        <f t="shared" si="61"/>
        <v/>
      </c>
      <c r="BB449">
        <v>4240</v>
      </c>
      <c r="BC449" t="s">
        <v>336</v>
      </c>
      <c r="BD449" t="s">
        <v>1976</v>
      </c>
      <c r="BE449" s="243">
        <f t="shared" si="62"/>
        <v>3919966.5022160001</v>
      </c>
    </row>
    <row r="450" spans="1:57">
      <c r="A450">
        <v>4250</v>
      </c>
      <c r="B450" t="s">
        <v>337</v>
      </c>
      <c r="C450" t="s">
        <v>1578</v>
      </c>
      <c r="D450" s="176">
        <v>384686967.28660703</v>
      </c>
      <c r="E450">
        <v>0</v>
      </c>
      <c r="G450">
        <v>4250</v>
      </c>
      <c r="H450" t="s">
        <v>337</v>
      </c>
      <c r="I450" t="s">
        <v>1578</v>
      </c>
      <c r="J450" s="176">
        <v>191159886.73331401</v>
      </c>
      <c r="K450">
        <v>0</v>
      </c>
      <c r="L450" s="342" t="str">
        <f t="shared" si="59"/>
        <v/>
      </c>
      <c r="M450">
        <v>4250</v>
      </c>
      <c r="N450" t="s">
        <v>337</v>
      </c>
      <c r="O450" t="s">
        <v>1578</v>
      </c>
      <c r="P450" s="243">
        <f t="shared" si="60"/>
        <v>537614876.6732583</v>
      </c>
      <c r="S450">
        <v>4250</v>
      </c>
      <c r="T450" t="s">
        <v>337</v>
      </c>
      <c r="U450" t="s">
        <v>1578</v>
      </c>
      <c r="V450" s="176">
        <v>68789534.901108995</v>
      </c>
      <c r="W450" s="176">
        <v>412227144.31662798</v>
      </c>
      <c r="X450" s="176">
        <v>0</v>
      </c>
      <c r="Y450" s="176">
        <v>54214949.827776998</v>
      </c>
      <c r="Z450" s="176"/>
      <c r="AA450">
        <v>4250</v>
      </c>
      <c r="AB450" s="176" t="s">
        <v>337</v>
      </c>
      <c r="AC450" s="176" t="s">
        <v>1578</v>
      </c>
      <c r="AD450" s="176">
        <v>68789534.901108995</v>
      </c>
      <c r="AE450" s="176">
        <v>412227144.31662798</v>
      </c>
      <c r="AF450" s="176">
        <v>0</v>
      </c>
      <c r="AG450" s="176">
        <v>54214949.827776998</v>
      </c>
      <c r="AH450" s="342" t="str">
        <f t="shared" si="54"/>
        <v/>
      </c>
      <c r="AI450">
        <v>4250</v>
      </c>
      <c r="AJ450" t="s">
        <v>337</v>
      </c>
      <c r="AK450" t="s">
        <v>1578</v>
      </c>
      <c r="AL450" s="245">
        <f t="shared" si="55"/>
        <v>123821162.8219962</v>
      </c>
      <c r="AM450" s="245">
        <f t="shared" si="56"/>
        <v>742008859.76993036</v>
      </c>
      <c r="AN450" s="245">
        <f t="shared" si="57"/>
        <v>0</v>
      </c>
      <c r="AO450" s="245">
        <f t="shared" si="58"/>
        <v>97586909.689998597</v>
      </c>
      <c r="AP450" s="176"/>
      <c r="AQ450" s="176"/>
      <c r="AR450">
        <v>4250</v>
      </c>
      <c r="AS450" t="s">
        <v>337</v>
      </c>
      <c r="AT450" t="s">
        <v>1578</v>
      </c>
      <c r="AU450" s="176">
        <v>147279602.57554299</v>
      </c>
      <c r="AW450">
        <v>4250</v>
      </c>
      <c r="AX450" t="s">
        <v>337</v>
      </c>
      <c r="AY450" t="s">
        <v>1578</v>
      </c>
      <c r="AZ450" s="176">
        <v>86603874.776662007</v>
      </c>
      <c r="BA450" s="342" t="str">
        <f t="shared" si="61"/>
        <v/>
      </c>
      <c r="BB450">
        <v>4250</v>
      </c>
      <c r="BC450" t="s">
        <v>337</v>
      </c>
      <c r="BD450" t="s">
        <v>1578</v>
      </c>
      <c r="BE450" s="243">
        <f t="shared" si="62"/>
        <v>216562702.39687258</v>
      </c>
    </row>
    <row r="451" spans="1:57">
      <c r="A451">
        <v>4250</v>
      </c>
      <c r="B451" t="s">
        <v>337</v>
      </c>
      <c r="C451" t="s">
        <v>1977</v>
      </c>
      <c r="D451" s="176">
        <v>147422852.82996199</v>
      </c>
      <c r="E451">
        <v>0</v>
      </c>
      <c r="G451">
        <v>4250</v>
      </c>
      <c r="H451" t="s">
        <v>337</v>
      </c>
      <c r="I451" t="s">
        <v>1977</v>
      </c>
      <c r="J451" s="176">
        <v>74195652.176659003</v>
      </c>
      <c r="K451">
        <v>0</v>
      </c>
      <c r="L451" s="342" t="str">
        <f t="shared" si="59"/>
        <v/>
      </c>
      <c r="M451">
        <v>4250</v>
      </c>
      <c r="N451" t="s">
        <v>337</v>
      </c>
      <c r="O451" t="s">
        <v>1977</v>
      </c>
      <c r="P451" s="243">
        <f t="shared" si="60"/>
        <v>206779374.57128918</v>
      </c>
      <c r="S451">
        <v>4250</v>
      </c>
      <c r="T451" t="s">
        <v>337</v>
      </c>
      <c r="U451" t="s">
        <v>1977</v>
      </c>
      <c r="V451" s="176">
        <v>29912216.463332999</v>
      </c>
      <c r="W451" s="176">
        <v>95327901.553322002</v>
      </c>
      <c r="X451" s="176">
        <v>0</v>
      </c>
      <c r="Y451" s="176">
        <v>9946319.4633329995</v>
      </c>
      <c r="Z451" s="176"/>
      <c r="AA451">
        <v>4250</v>
      </c>
      <c r="AB451" s="176" t="s">
        <v>337</v>
      </c>
      <c r="AC451" s="176" t="s">
        <v>1977</v>
      </c>
      <c r="AD451" s="176">
        <v>29912216.463332999</v>
      </c>
      <c r="AE451" s="176">
        <v>95327901.553322002</v>
      </c>
      <c r="AF451" s="176">
        <v>0</v>
      </c>
      <c r="AG451" s="176">
        <v>9946319.4633329995</v>
      </c>
      <c r="AH451" s="342" t="str">
        <f t="shared" si="54"/>
        <v/>
      </c>
      <c r="AI451">
        <v>4250</v>
      </c>
      <c r="AJ451" t="s">
        <v>337</v>
      </c>
      <c r="AK451" t="s">
        <v>1977</v>
      </c>
      <c r="AL451" s="245">
        <f t="shared" si="55"/>
        <v>53841989.6339994</v>
      </c>
      <c r="AM451" s="245">
        <f t="shared" si="56"/>
        <v>171590222.79597962</v>
      </c>
      <c r="AN451" s="245">
        <f t="shared" si="57"/>
        <v>0</v>
      </c>
      <c r="AO451" s="245">
        <f t="shared" si="58"/>
        <v>17903375.033999398</v>
      </c>
      <c r="AP451" s="176"/>
      <c r="AQ451" s="176"/>
      <c r="AR451">
        <v>4250</v>
      </c>
      <c r="AS451" t="s">
        <v>337</v>
      </c>
      <c r="AT451" t="s">
        <v>1977</v>
      </c>
      <c r="AU451" s="176">
        <v>14160294.758886</v>
      </c>
      <c r="AW451">
        <v>4250</v>
      </c>
      <c r="AX451" t="s">
        <v>337</v>
      </c>
      <c r="AY451" t="s">
        <v>1977</v>
      </c>
      <c r="AZ451" s="176">
        <v>6221669.7088879999</v>
      </c>
      <c r="BA451" s="342" t="str">
        <f t="shared" si="61"/>
        <v/>
      </c>
      <c r="BB451">
        <v>4250</v>
      </c>
      <c r="BC451" t="s">
        <v>337</v>
      </c>
      <c r="BD451" t="s">
        <v>1977</v>
      </c>
      <c r="BE451" s="243">
        <f t="shared" si="62"/>
        <v>19137630.525996402</v>
      </c>
    </row>
    <row r="452" spans="1:57">
      <c r="A452">
        <v>4250</v>
      </c>
      <c r="B452" t="s">
        <v>337</v>
      </c>
      <c r="C452" t="s">
        <v>1978</v>
      </c>
      <c r="D452" s="176">
        <v>56226876.088877998</v>
      </c>
      <c r="E452">
        <v>0</v>
      </c>
      <c r="G452">
        <v>4250</v>
      </c>
      <c r="H452" t="s">
        <v>337</v>
      </c>
      <c r="I452" t="s">
        <v>1978</v>
      </c>
      <c r="J452" s="176">
        <v>19089320.264440998</v>
      </c>
      <c r="K452">
        <v>0</v>
      </c>
      <c r="L452" s="342" t="str">
        <f t="shared" si="59"/>
        <v/>
      </c>
      <c r="M452">
        <v>4250</v>
      </c>
      <c r="N452" t="s">
        <v>337</v>
      </c>
      <c r="O452" t="s">
        <v>1978</v>
      </c>
      <c r="P452" s="243">
        <f t="shared" si="60"/>
        <v>71498332.300430804</v>
      </c>
      <c r="S452">
        <v>4250</v>
      </c>
      <c r="T452" t="s">
        <v>337</v>
      </c>
      <c r="U452" t="s">
        <v>1978</v>
      </c>
      <c r="V452" s="176">
        <v>16813631.372221999</v>
      </c>
      <c r="W452" s="176">
        <v>178117274.03443801</v>
      </c>
      <c r="X452">
        <v>2006654</v>
      </c>
      <c r="Y452" s="176">
        <v>7279850</v>
      </c>
      <c r="Z452" s="176"/>
      <c r="AA452">
        <v>4250</v>
      </c>
      <c r="AB452" s="176" t="s">
        <v>337</v>
      </c>
      <c r="AC452" s="176" t="s">
        <v>1978</v>
      </c>
      <c r="AD452" s="176">
        <v>16813631.372221999</v>
      </c>
      <c r="AE452" s="176">
        <v>178117274.03443801</v>
      </c>
      <c r="AF452">
        <v>2006654</v>
      </c>
      <c r="AG452" s="176">
        <v>7279850</v>
      </c>
      <c r="AH452" s="342" t="str">
        <f t="shared" ref="AH452:AH515" si="63">IF(AND(M452 = S452, O452 = U452), "", "ATT")</f>
        <v/>
      </c>
      <c r="AI452">
        <v>4250</v>
      </c>
      <c r="AJ452" t="s">
        <v>337</v>
      </c>
      <c r="AK452" t="s">
        <v>1978</v>
      </c>
      <c r="AL452" s="245">
        <f t="shared" ref="AL452:AL515" si="64">V452+(AD452*0.8)</f>
        <v>30264536.469999596</v>
      </c>
      <c r="AM452" s="245">
        <f t="shared" ref="AM452:AM515" si="65">W452+(AE452*0.8)</f>
        <v>320611093.2619884</v>
      </c>
      <c r="AN452" s="245">
        <f t="shared" ref="AN452:AN515" si="66">X452+(AF452*0.8)</f>
        <v>3611977.2</v>
      </c>
      <c r="AO452" s="245">
        <f t="shared" ref="AO452:AO515" si="67">Y452+(AG452*0.8)</f>
        <v>13103730</v>
      </c>
      <c r="AP452" s="176"/>
      <c r="AQ452" s="176"/>
      <c r="AR452">
        <v>4250</v>
      </c>
      <c r="AS452" t="s">
        <v>337</v>
      </c>
      <c r="AT452" t="s">
        <v>1978</v>
      </c>
      <c r="AU452" s="176">
        <v>24467533.268886</v>
      </c>
      <c r="AW452">
        <v>4250</v>
      </c>
      <c r="AX452" t="s">
        <v>337</v>
      </c>
      <c r="AY452" t="s">
        <v>1978</v>
      </c>
      <c r="AZ452" s="176">
        <v>26212500.187773999</v>
      </c>
      <c r="BA452" s="342" t="str">
        <f t="shared" si="61"/>
        <v/>
      </c>
      <c r="BB452">
        <v>4250</v>
      </c>
      <c r="BC452" t="s">
        <v>337</v>
      </c>
      <c r="BD452" t="s">
        <v>1978</v>
      </c>
      <c r="BE452" s="243">
        <f t="shared" si="62"/>
        <v>45437533.419105202</v>
      </c>
    </row>
    <row r="453" spans="1:57">
      <c r="A453">
        <v>4250</v>
      </c>
      <c r="B453" t="s">
        <v>337</v>
      </c>
      <c r="C453" t="s">
        <v>1040</v>
      </c>
      <c r="D453" s="176">
        <v>198614852.549927</v>
      </c>
      <c r="E453">
        <v>0</v>
      </c>
      <c r="G453">
        <v>4250</v>
      </c>
      <c r="H453" t="s">
        <v>337</v>
      </c>
      <c r="I453" t="s">
        <v>1040</v>
      </c>
      <c r="J453" s="176">
        <v>74275674.823318005</v>
      </c>
      <c r="K453">
        <v>0</v>
      </c>
      <c r="L453" s="342" t="str">
        <f t="shared" ref="L453:L516" si="68">IF(AND(A453 = G453, C453 = I453), "", "ATT")</f>
        <v/>
      </c>
      <c r="M453">
        <v>4250</v>
      </c>
      <c r="N453" t="s">
        <v>337</v>
      </c>
      <c r="O453" t="s">
        <v>1040</v>
      </c>
      <c r="P453" s="243">
        <f t="shared" ref="P453:P516" si="69">D453+(J453*0.8)</f>
        <v>258035392.40858141</v>
      </c>
      <c r="S453">
        <v>4250</v>
      </c>
      <c r="T453" t="s">
        <v>337</v>
      </c>
      <c r="U453" t="s">
        <v>1040</v>
      </c>
      <c r="V453" s="176">
        <v>78141291.649995998</v>
      </c>
      <c r="W453" s="176">
        <v>344809448.38552302</v>
      </c>
      <c r="X453" s="176">
        <v>0</v>
      </c>
      <c r="Y453" s="176">
        <v>11800457.555554001</v>
      </c>
      <c r="Z453" s="176"/>
      <c r="AA453">
        <v>4250</v>
      </c>
      <c r="AB453" s="176" t="s">
        <v>337</v>
      </c>
      <c r="AC453" s="176" t="s">
        <v>1040</v>
      </c>
      <c r="AD453" s="176">
        <v>78141291.649995998</v>
      </c>
      <c r="AE453" s="176">
        <v>344809448.38552302</v>
      </c>
      <c r="AF453" s="176">
        <v>0</v>
      </c>
      <c r="AG453" s="176">
        <v>11800457.555554001</v>
      </c>
      <c r="AH453" s="342" t="str">
        <f t="shared" si="63"/>
        <v/>
      </c>
      <c r="AI453">
        <v>4250</v>
      </c>
      <c r="AJ453" t="s">
        <v>337</v>
      </c>
      <c r="AK453" t="s">
        <v>1040</v>
      </c>
      <c r="AL453" s="245">
        <f t="shared" si="64"/>
        <v>140654324.96999282</v>
      </c>
      <c r="AM453" s="245">
        <f t="shared" si="65"/>
        <v>620657007.09394145</v>
      </c>
      <c r="AN453" s="245">
        <f t="shared" si="66"/>
        <v>0</v>
      </c>
      <c r="AO453" s="245">
        <f t="shared" si="67"/>
        <v>21240823.5999972</v>
      </c>
      <c r="AP453" s="176"/>
      <c r="AQ453" s="176"/>
      <c r="AR453">
        <v>4250</v>
      </c>
      <c r="AS453" t="s">
        <v>337</v>
      </c>
      <c r="AT453" t="s">
        <v>1040</v>
      </c>
      <c r="AU453" s="176">
        <v>14929121.565551</v>
      </c>
      <c r="AW453">
        <v>4250</v>
      </c>
      <c r="AX453" t="s">
        <v>337</v>
      </c>
      <c r="AY453" t="s">
        <v>1040</v>
      </c>
      <c r="AZ453" s="176">
        <v>1419501.0288879999</v>
      </c>
      <c r="BA453" s="342" t="str">
        <f t="shared" ref="BA453:BA516" si="70">IF(AND(AR453 = AW453, AT453 = AY453), "", "ATT")</f>
        <v/>
      </c>
      <c r="BB453">
        <v>4250</v>
      </c>
      <c r="BC453" t="s">
        <v>337</v>
      </c>
      <c r="BD453" t="s">
        <v>1040</v>
      </c>
      <c r="BE453" s="243">
        <f t="shared" ref="BE453:BE516" si="71">AU453+(0.8*AZ453)</f>
        <v>16064722.388661399</v>
      </c>
    </row>
    <row r="454" spans="1:57">
      <c r="A454">
        <v>4250</v>
      </c>
      <c r="B454" t="s">
        <v>337</v>
      </c>
      <c r="C454" t="s">
        <v>1155</v>
      </c>
      <c r="D454" s="176">
        <v>261958546.02541</v>
      </c>
      <c r="E454">
        <v>0</v>
      </c>
      <c r="G454">
        <v>4250</v>
      </c>
      <c r="H454" t="s">
        <v>337</v>
      </c>
      <c r="I454" t="s">
        <v>1155</v>
      </c>
      <c r="J454" s="176">
        <v>86787463.135525003</v>
      </c>
      <c r="K454">
        <v>0</v>
      </c>
      <c r="L454" s="342" t="str">
        <f t="shared" si="68"/>
        <v/>
      </c>
      <c r="M454">
        <v>4250</v>
      </c>
      <c r="N454" t="s">
        <v>337</v>
      </c>
      <c r="O454" t="s">
        <v>1155</v>
      </c>
      <c r="P454" s="243">
        <f t="shared" si="69"/>
        <v>331388516.53382999</v>
      </c>
      <c r="S454">
        <v>4250</v>
      </c>
      <c r="T454" t="s">
        <v>337</v>
      </c>
      <c r="U454" t="s">
        <v>1155</v>
      </c>
      <c r="V454" s="176">
        <v>93081257.984442994</v>
      </c>
      <c r="W454" s="176">
        <v>203149420.499953</v>
      </c>
      <c r="X454">
        <v>184128</v>
      </c>
      <c r="Y454" s="176">
        <v>14357800.461111</v>
      </c>
      <c r="Z454" s="176"/>
      <c r="AA454">
        <v>4250</v>
      </c>
      <c r="AB454" s="176" t="s">
        <v>337</v>
      </c>
      <c r="AC454" s="176" t="s">
        <v>1155</v>
      </c>
      <c r="AD454" s="176">
        <v>93081257.984442994</v>
      </c>
      <c r="AE454" s="176">
        <v>203149420.499953</v>
      </c>
      <c r="AF454">
        <v>184128</v>
      </c>
      <c r="AG454" s="176">
        <v>14357800.461111</v>
      </c>
      <c r="AH454" s="342" t="str">
        <f t="shared" si="63"/>
        <v/>
      </c>
      <c r="AI454">
        <v>4250</v>
      </c>
      <c r="AJ454" t="s">
        <v>337</v>
      </c>
      <c r="AK454" t="s">
        <v>1155</v>
      </c>
      <c r="AL454" s="245">
        <f t="shared" si="64"/>
        <v>167546264.37199739</v>
      </c>
      <c r="AM454" s="245">
        <f t="shared" si="65"/>
        <v>365668956.89991546</v>
      </c>
      <c r="AN454" s="245">
        <f t="shared" si="66"/>
        <v>331430.40000000002</v>
      </c>
      <c r="AO454" s="245">
        <f t="shared" si="67"/>
        <v>25844040.829999801</v>
      </c>
      <c r="AP454" s="176"/>
      <c r="AQ454" s="176"/>
      <c r="AR454">
        <v>4250</v>
      </c>
      <c r="AS454" t="s">
        <v>337</v>
      </c>
      <c r="AT454" t="s">
        <v>1155</v>
      </c>
      <c r="AU454" s="176">
        <v>21471594.257766001</v>
      </c>
      <c r="AW454">
        <v>4250</v>
      </c>
      <c r="AX454" t="s">
        <v>337</v>
      </c>
      <c r="AY454" t="s">
        <v>1155</v>
      </c>
      <c r="AZ454">
        <v>21990284.039994001</v>
      </c>
      <c r="BA454" s="342" t="str">
        <f t="shared" si="70"/>
        <v/>
      </c>
      <c r="BB454">
        <v>4250</v>
      </c>
      <c r="BC454" t="s">
        <v>337</v>
      </c>
      <c r="BD454" t="s">
        <v>1155</v>
      </c>
      <c r="BE454" s="243">
        <f t="shared" si="71"/>
        <v>39063821.489761204</v>
      </c>
    </row>
    <row r="455" spans="1:57">
      <c r="A455">
        <v>4260</v>
      </c>
      <c r="B455" t="s">
        <v>338</v>
      </c>
      <c r="C455" t="s">
        <v>1157</v>
      </c>
      <c r="D455" s="176">
        <v>119017637.53880399</v>
      </c>
      <c r="E455">
        <v>0</v>
      </c>
      <c r="G455">
        <v>4260</v>
      </c>
      <c r="H455" t="s">
        <v>338</v>
      </c>
      <c r="I455" t="s">
        <v>1157</v>
      </c>
      <c r="J455" s="176">
        <v>92068063.476656005</v>
      </c>
      <c r="K455">
        <v>0</v>
      </c>
      <c r="L455" s="342" t="str">
        <f t="shared" si="68"/>
        <v/>
      </c>
      <c r="M455">
        <v>4260</v>
      </c>
      <c r="N455" t="s">
        <v>338</v>
      </c>
      <c r="O455" t="s">
        <v>1157</v>
      </c>
      <c r="P455" s="243">
        <f t="shared" si="69"/>
        <v>192672088.3201288</v>
      </c>
      <c r="S455">
        <v>4260</v>
      </c>
      <c r="T455" t="s">
        <v>338</v>
      </c>
      <c r="U455" t="s">
        <v>1157</v>
      </c>
      <c r="V455" s="176">
        <v>68512092.109999999</v>
      </c>
      <c r="W455" s="176">
        <v>230219009.79774299</v>
      </c>
      <c r="X455" s="176">
        <v>0</v>
      </c>
      <c r="Y455" s="176">
        <v>30656244.444444001</v>
      </c>
      <c r="Z455" s="176"/>
      <c r="AA455">
        <v>4260</v>
      </c>
      <c r="AB455" s="176" t="s">
        <v>338</v>
      </c>
      <c r="AC455" s="176" t="s">
        <v>1157</v>
      </c>
      <c r="AD455" s="176">
        <v>68512092.109999999</v>
      </c>
      <c r="AE455" s="176">
        <v>230219009.79774299</v>
      </c>
      <c r="AF455" s="176">
        <v>0</v>
      </c>
      <c r="AG455" s="176">
        <v>30656244.444444001</v>
      </c>
      <c r="AH455" s="342" t="str">
        <f t="shared" si="63"/>
        <v/>
      </c>
      <c r="AI455">
        <v>4260</v>
      </c>
      <c r="AJ455" t="s">
        <v>338</v>
      </c>
      <c r="AK455" t="s">
        <v>1157</v>
      </c>
      <c r="AL455" s="245">
        <f t="shared" si="64"/>
        <v>123321765.79800001</v>
      </c>
      <c r="AM455" s="245">
        <f t="shared" si="65"/>
        <v>414394217.63593739</v>
      </c>
      <c r="AN455" s="245">
        <f t="shared" si="66"/>
        <v>0</v>
      </c>
      <c r="AO455" s="245">
        <f t="shared" si="67"/>
        <v>55181239.999999203</v>
      </c>
      <c r="AP455" s="176"/>
      <c r="AQ455" s="176"/>
      <c r="AR455">
        <v>4260</v>
      </c>
      <c r="AS455" t="s">
        <v>338</v>
      </c>
      <c r="AT455" t="s">
        <v>1157</v>
      </c>
      <c r="AU455" s="176">
        <v>71338011.717769995</v>
      </c>
      <c r="AW455">
        <v>4260</v>
      </c>
      <c r="AX455" t="s">
        <v>338</v>
      </c>
      <c r="AY455" t="s">
        <v>1157</v>
      </c>
      <c r="AZ455" s="176">
        <v>64647865.382219002</v>
      </c>
      <c r="BA455" s="342" t="str">
        <f t="shared" si="70"/>
        <v/>
      </c>
      <c r="BB455">
        <v>4260</v>
      </c>
      <c r="BC455" t="s">
        <v>338</v>
      </c>
      <c r="BD455" t="s">
        <v>1157</v>
      </c>
      <c r="BE455" s="243">
        <f t="shared" si="71"/>
        <v>123056304.02354521</v>
      </c>
    </row>
    <row r="456" spans="1:57">
      <c r="A456">
        <v>4260</v>
      </c>
      <c r="B456" t="s">
        <v>338</v>
      </c>
      <c r="C456" t="s">
        <v>1158</v>
      </c>
      <c r="D456" s="176">
        <v>329776465.12213999</v>
      </c>
      <c r="E456">
        <v>0</v>
      </c>
      <c r="G456">
        <v>4260</v>
      </c>
      <c r="H456" t="s">
        <v>338</v>
      </c>
      <c r="I456" t="s">
        <v>1158</v>
      </c>
      <c r="J456" s="176">
        <v>227916052.038863</v>
      </c>
      <c r="K456">
        <v>0</v>
      </c>
      <c r="L456" s="342" t="str">
        <f t="shared" si="68"/>
        <v/>
      </c>
      <c r="M456">
        <v>4260</v>
      </c>
      <c r="N456" t="s">
        <v>338</v>
      </c>
      <c r="O456" t="s">
        <v>1158</v>
      </c>
      <c r="P456" s="243">
        <f t="shared" si="69"/>
        <v>512109306.75323039</v>
      </c>
      <c r="S456">
        <v>4260</v>
      </c>
      <c r="T456" t="s">
        <v>338</v>
      </c>
      <c r="U456" t="s">
        <v>1158</v>
      </c>
      <c r="V456" s="176">
        <v>38111517.647776999</v>
      </c>
      <c r="W456" s="176">
        <v>264422283.53885499</v>
      </c>
      <c r="X456" s="176">
        <v>498440</v>
      </c>
      <c r="Y456" s="176">
        <v>34504105.622218996</v>
      </c>
      <c r="Z456" s="176"/>
      <c r="AA456">
        <v>4260</v>
      </c>
      <c r="AB456" s="176" t="s">
        <v>338</v>
      </c>
      <c r="AC456" s="176" t="s">
        <v>1158</v>
      </c>
      <c r="AD456" s="176">
        <v>38111517.647776999</v>
      </c>
      <c r="AE456" s="176">
        <v>264422283.53885499</v>
      </c>
      <c r="AF456" s="176">
        <v>498440</v>
      </c>
      <c r="AG456" s="176">
        <v>34504105.622218996</v>
      </c>
      <c r="AH456" s="342" t="str">
        <f t="shared" si="63"/>
        <v/>
      </c>
      <c r="AI456">
        <v>4260</v>
      </c>
      <c r="AJ456" t="s">
        <v>338</v>
      </c>
      <c r="AK456" t="s">
        <v>1158</v>
      </c>
      <c r="AL456" s="245">
        <f t="shared" si="64"/>
        <v>68600731.765998602</v>
      </c>
      <c r="AM456" s="245">
        <f t="shared" si="65"/>
        <v>475960110.36993897</v>
      </c>
      <c r="AN456" s="245">
        <f t="shared" si="66"/>
        <v>897192</v>
      </c>
      <c r="AO456" s="245">
        <f t="shared" si="67"/>
        <v>62107390.119994193</v>
      </c>
      <c r="AP456" s="176"/>
      <c r="AQ456" s="176"/>
      <c r="AR456">
        <v>4260</v>
      </c>
      <c r="AS456" t="s">
        <v>338</v>
      </c>
      <c r="AT456" t="s">
        <v>1158</v>
      </c>
      <c r="AU456" s="176">
        <v>138303161.03219801</v>
      </c>
      <c r="AW456">
        <v>4260</v>
      </c>
      <c r="AX456" t="s">
        <v>338</v>
      </c>
      <c r="AY456" t="s">
        <v>1158</v>
      </c>
      <c r="AZ456" s="176">
        <v>138078237.00777</v>
      </c>
      <c r="BA456" s="342" t="str">
        <f t="shared" si="70"/>
        <v/>
      </c>
      <c r="BB456">
        <v>4260</v>
      </c>
      <c r="BC456" t="s">
        <v>338</v>
      </c>
      <c r="BD456" t="s">
        <v>1158</v>
      </c>
      <c r="BE456" s="243">
        <f t="shared" si="71"/>
        <v>248765750.63841403</v>
      </c>
    </row>
    <row r="457" spans="1:57">
      <c r="A457">
        <v>4260</v>
      </c>
      <c r="B457" t="s">
        <v>338</v>
      </c>
      <c r="C457" t="s">
        <v>1156</v>
      </c>
      <c r="D457" s="176">
        <v>172388068.22213101</v>
      </c>
      <c r="E457">
        <v>0</v>
      </c>
      <c r="G457">
        <v>4260</v>
      </c>
      <c r="H457" t="s">
        <v>338</v>
      </c>
      <c r="I457" t="s">
        <v>1156</v>
      </c>
      <c r="J457" s="176">
        <v>88116508.565540001</v>
      </c>
      <c r="K457">
        <v>0</v>
      </c>
      <c r="L457" s="342" t="str">
        <f t="shared" si="68"/>
        <v/>
      </c>
      <c r="M457">
        <v>4260</v>
      </c>
      <c r="N457" t="s">
        <v>338</v>
      </c>
      <c r="O457" t="s">
        <v>1156</v>
      </c>
      <c r="P457" s="243">
        <f t="shared" si="69"/>
        <v>242881275.07456303</v>
      </c>
      <c r="S457">
        <v>4260</v>
      </c>
      <c r="T457" t="s">
        <v>338</v>
      </c>
      <c r="U457" t="s">
        <v>1156</v>
      </c>
      <c r="V457" s="176">
        <v>59533239.643330999</v>
      </c>
      <c r="W457" s="176">
        <v>231983547.77551299</v>
      </c>
      <c r="X457" s="176">
        <v>2000000</v>
      </c>
      <c r="Y457" s="176">
        <v>4674038.8888879996</v>
      </c>
      <c r="Z457" s="176"/>
      <c r="AA457">
        <v>4260</v>
      </c>
      <c r="AB457" s="176" t="s">
        <v>338</v>
      </c>
      <c r="AC457" s="176" t="s">
        <v>1156</v>
      </c>
      <c r="AD457" s="176">
        <v>59533239.643330999</v>
      </c>
      <c r="AE457" s="176">
        <v>231983547.77551299</v>
      </c>
      <c r="AF457" s="176">
        <v>2000000</v>
      </c>
      <c r="AG457" s="176">
        <v>4674038.8888879996</v>
      </c>
      <c r="AH457" s="342" t="str">
        <f t="shared" si="63"/>
        <v/>
      </c>
      <c r="AI457">
        <v>4260</v>
      </c>
      <c r="AJ457" t="s">
        <v>338</v>
      </c>
      <c r="AK457" t="s">
        <v>1156</v>
      </c>
      <c r="AL457" s="245">
        <f t="shared" si="64"/>
        <v>107159831.35799581</v>
      </c>
      <c r="AM457" s="245">
        <f t="shared" si="65"/>
        <v>417570385.9959234</v>
      </c>
      <c r="AN457" s="245">
        <f t="shared" si="66"/>
        <v>3600000</v>
      </c>
      <c r="AO457" s="245">
        <f t="shared" si="67"/>
        <v>8413269.9999984</v>
      </c>
      <c r="AP457" s="176"/>
      <c r="AQ457" s="176"/>
      <c r="AR457">
        <v>4260</v>
      </c>
      <c r="AS457" t="s">
        <v>338</v>
      </c>
      <c r="AT457" t="s">
        <v>1156</v>
      </c>
      <c r="AU457" s="176">
        <v>32495645.256655</v>
      </c>
      <c r="AW457">
        <v>4260</v>
      </c>
      <c r="AX457" t="s">
        <v>338</v>
      </c>
      <c r="AY457" t="s">
        <v>1156</v>
      </c>
      <c r="AZ457" s="176">
        <v>75906971.765552998</v>
      </c>
      <c r="BA457" s="342" t="str">
        <f t="shared" si="70"/>
        <v/>
      </c>
      <c r="BB457">
        <v>4260</v>
      </c>
      <c r="BC457" t="s">
        <v>338</v>
      </c>
      <c r="BD457" t="s">
        <v>1156</v>
      </c>
      <c r="BE457" s="243">
        <f t="shared" si="71"/>
        <v>93221222.669097394</v>
      </c>
    </row>
    <row r="458" spans="1:57">
      <c r="A458">
        <v>4270</v>
      </c>
      <c r="B458" t="s">
        <v>339</v>
      </c>
      <c r="C458" t="s">
        <v>1159</v>
      </c>
      <c r="D458" s="176">
        <v>265704136.439962</v>
      </c>
      <c r="E458">
        <v>0</v>
      </c>
      <c r="G458">
        <v>4270</v>
      </c>
      <c r="H458" t="s">
        <v>339</v>
      </c>
      <c r="I458" t="s">
        <v>1159</v>
      </c>
      <c r="J458" s="176">
        <v>256571692.803316</v>
      </c>
      <c r="K458">
        <v>0</v>
      </c>
      <c r="L458" s="342" t="str">
        <f t="shared" si="68"/>
        <v/>
      </c>
      <c r="M458">
        <v>4270</v>
      </c>
      <c r="N458" t="s">
        <v>339</v>
      </c>
      <c r="O458" t="s">
        <v>1159</v>
      </c>
      <c r="P458" s="243">
        <f t="shared" si="69"/>
        <v>470961490.6826148</v>
      </c>
      <c r="S458">
        <v>4270</v>
      </c>
      <c r="T458" t="s">
        <v>339</v>
      </c>
      <c r="U458" t="s">
        <v>1159</v>
      </c>
      <c r="V458" s="176">
        <v>41676673.435553998</v>
      </c>
      <c r="W458" s="176">
        <v>150469390.22108501</v>
      </c>
      <c r="X458" s="176">
        <v>0</v>
      </c>
      <c r="Y458" s="176">
        <v>18262948.333331998</v>
      </c>
      <c r="Z458" s="176"/>
      <c r="AA458">
        <v>4270</v>
      </c>
      <c r="AB458" s="176" t="s">
        <v>339</v>
      </c>
      <c r="AC458" s="176" t="s">
        <v>1159</v>
      </c>
      <c r="AD458" s="176">
        <v>41676673.435553998</v>
      </c>
      <c r="AE458" s="176">
        <v>150469390.22108501</v>
      </c>
      <c r="AF458" s="176">
        <v>0</v>
      </c>
      <c r="AG458" s="176">
        <v>18262948.333331998</v>
      </c>
      <c r="AH458" s="342" t="str">
        <f t="shared" si="63"/>
        <v/>
      </c>
      <c r="AI458">
        <v>4270</v>
      </c>
      <c r="AJ458" t="s">
        <v>339</v>
      </c>
      <c r="AK458" t="s">
        <v>1159</v>
      </c>
      <c r="AL458" s="245">
        <f t="shared" si="64"/>
        <v>75018012.183997199</v>
      </c>
      <c r="AM458" s="245">
        <f t="shared" si="65"/>
        <v>270844902.39795303</v>
      </c>
      <c r="AN458" s="245">
        <f t="shared" si="66"/>
        <v>0</v>
      </c>
      <c r="AO458" s="245">
        <f t="shared" si="67"/>
        <v>32873306.999997597</v>
      </c>
      <c r="AP458" s="176"/>
      <c r="AQ458" s="176"/>
      <c r="AR458">
        <v>4270</v>
      </c>
      <c r="AS458" t="s">
        <v>339</v>
      </c>
      <c r="AT458" t="s">
        <v>1159</v>
      </c>
      <c r="AU458" s="176">
        <v>60286734.025545001</v>
      </c>
      <c r="AW458">
        <v>4270</v>
      </c>
      <c r="AX458" t="s">
        <v>339</v>
      </c>
      <c r="AY458" t="s">
        <v>1159</v>
      </c>
      <c r="AZ458" s="176">
        <v>16823178.596664</v>
      </c>
      <c r="BA458" s="342" t="str">
        <f t="shared" si="70"/>
        <v/>
      </c>
      <c r="BB458">
        <v>4270</v>
      </c>
      <c r="BC458" t="s">
        <v>339</v>
      </c>
      <c r="BD458" t="s">
        <v>1159</v>
      </c>
      <c r="BE458" s="243">
        <f t="shared" si="71"/>
        <v>73745276.902876198</v>
      </c>
    </row>
    <row r="459" spans="1:57">
      <c r="A459">
        <v>4270</v>
      </c>
      <c r="B459" t="s">
        <v>339</v>
      </c>
      <c r="C459" t="s">
        <v>1579</v>
      </c>
      <c r="D459" s="176">
        <v>74514158.173291996</v>
      </c>
      <c r="E459">
        <v>0</v>
      </c>
      <c r="G459">
        <v>4270</v>
      </c>
      <c r="H459" t="s">
        <v>339</v>
      </c>
      <c r="I459" t="s">
        <v>1579</v>
      </c>
      <c r="J459" s="176">
        <v>14260832.494434999</v>
      </c>
      <c r="K459">
        <v>0</v>
      </c>
      <c r="L459" s="342" t="str">
        <f t="shared" si="68"/>
        <v/>
      </c>
      <c r="M459">
        <v>4270</v>
      </c>
      <c r="N459" t="s">
        <v>339</v>
      </c>
      <c r="O459" t="s">
        <v>1579</v>
      </c>
      <c r="P459" s="243">
        <f t="shared" si="69"/>
        <v>85922824.168839991</v>
      </c>
      <c r="S459">
        <v>4270</v>
      </c>
      <c r="T459" t="s">
        <v>339</v>
      </c>
      <c r="U459" t="s">
        <v>1579</v>
      </c>
      <c r="V459" s="176">
        <v>22905610.668887999</v>
      </c>
      <c r="W459" s="176">
        <v>49751373.184417002</v>
      </c>
      <c r="X459">
        <v>500000</v>
      </c>
      <c r="Y459" s="176">
        <v>7572200</v>
      </c>
      <c r="Z459" s="176"/>
      <c r="AA459">
        <v>4270</v>
      </c>
      <c r="AB459" s="176" t="s">
        <v>339</v>
      </c>
      <c r="AC459" s="176" t="s">
        <v>1579</v>
      </c>
      <c r="AD459" s="176">
        <v>22905610.668887999</v>
      </c>
      <c r="AE459" s="176">
        <v>49751373.184417002</v>
      </c>
      <c r="AF459">
        <v>500000</v>
      </c>
      <c r="AG459" s="176">
        <v>7572200</v>
      </c>
      <c r="AH459" s="342" t="str">
        <f t="shared" si="63"/>
        <v/>
      </c>
      <c r="AI459">
        <v>4270</v>
      </c>
      <c r="AJ459" t="s">
        <v>339</v>
      </c>
      <c r="AK459" t="s">
        <v>1579</v>
      </c>
      <c r="AL459" s="245">
        <f t="shared" si="64"/>
        <v>41230099.203998402</v>
      </c>
      <c r="AM459" s="245">
        <f t="shared" si="65"/>
        <v>89552471.731950611</v>
      </c>
      <c r="AN459" s="245">
        <f t="shared" si="66"/>
        <v>900000</v>
      </c>
      <c r="AO459" s="245">
        <f t="shared" si="67"/>
        <v>13629960</v>
      </c>
      <c r="AP459" s="176"/>
      <c r="AQ459" s="176"/>
      <c r="AR459">
        <v>4270</v>
      </c>
      <c r="AS459" t="s">
        <v>339</v>
      </c>
      <c r="AT459" t="s">
        <v>1579</v>
      </c>
      <c r="AU459" s="176">
        <v>5836428.0388850002</v>
      </c>
      <c r="AW459">
        <v>4270</v>
      </c>
      <c r="AX459" t="s">
        <v>339</v>
      </c>
      <c r="AY459" t="s">
        <v>1579</v>
      </c>
      <c r="AZ459" s="176">
        <v>11709409.305554001</v>
      </c>
      <c r="BA459" s="342" t="str">
        <f t="shared" si="70"/>
        <v/>
      </c>
      <c r="BB459">
        <v>4270</v>
      </c>
      <c r="BC459" t="s">
        <v>339</v>
      </c>
      <c r="BD459" t="s">
        <v>1579</v>
      </c>
      <c r="BE459" s="243">
        <f t="shared" si="71"/>
        <v>15203955.483328201</v>
      </c>
    </row>
    <row r="460" spans="1:57">
      <c r="A460">
        <v>4270</v>
      </c>
      <c r="B460" t="s">
        <v>339</v>
      </c>
      <c r="C460" t="s">
        <v>1164</v>
      </c>
      <c r="D460" s="176">
        <v>271375021.47771299</v>
      </c>
      <c r="E460">
        <v>0</v>
      </c>
      <c r="G460">
        <v>4270</v>
      </c>
      <c r="H460" t="s">
        <v>339</v>
      </c>
      <c r="I460" t="s">
        <v>1164</v>
      </c>
      <c r="J460" s="176">
        <v>88618981.51331</v>
      </c>
      <c r="K460">
        <v>0</v>
      </c>
      <c r="L460" s="342" t="str">
        <f t="shared" si="68"/>
        <v/>
      </c>
      <c r="M460">
        <v>4270</v>
      </c>
      <c r="N460" t="s">
        <v>339</v>
      </c>
      <c r="O460" t="s">
        <v>1164</v>
      </c>
      <c r="P460" s="243">
        <f t="shared" si="69"/>
        <v>342270206.68836099</v>
      </c>
      <c r="S460">
        <v>4270</v>
      </c>
      <c r="T460" t="s">
        <v>339</v>
      </c>
      <c r="U460" t="s">
        <v>1164</v>
      </c>
      <c r="V460" s="176">
        <v>86405729.295552999</v>
      </c>
      <c r="W460" s="176">
        <v>347906790.96663898</v>
      </c>
      <c r="X460" s="176">
        <v>0</v>
      </c>
      <c r="Y460" s="176">
        <v>20563773.777775999</v>
      </c>
      <c r="Z460" s="176"/>
      <c r="AA460">
        <v>4270</v>
      </c>
      <c r="AB460" s="176" t="s">
        <v>339</v>
      </c>
      <c r="AC460" s="176" t="s">
        <v>1164</v>
      </c>
      <c r="AD460" s="176">
        <v>86405729.295552999</v>
      </c>
      <c r="AE460" s="176">
        <v>347906790.96663898</v>
      </c>
      <c r="AF460" s="176">
        <v>0</v>
      </c>
      <c r="AG460" s="176">
        <v>20563773.777775999</v>
      </c>
      <c r="AH460" s="342" t="str">
        <f t="shared" si="63"/>
        <v/>
      </c>
      <c r="AI460">
        <v>4270</v>
      </c>
      <c r="AJ460" t="s">
        <v>339</v>
      </c>
      <c r="AK460" t="s">
        <v>1164</v>
      </c>
      <c r="AL460" s="245">
        <f t="shared" si="64"/>
        <v>155530312.7319954</v>
      </c>
      <c r="AM460" s="245">
        <f t="shared" si="65"/>
        <v>626232223.73995018</v>
      </c>
      <c r="AN460" s="245">
        <f t="shared" si="66"/>
        <v>0</v>
      </c>
      <c r="AO460" s="245">
        <f t="shared" si="67"/>
        <v>37014792.799996801</v>
      </c>
      <c r="AP460" s="176"/>
      <c r="AQ460" s="176"/>
      <c r="AR460">
        <v>4270</v>
      </c>
      <c r="AS460" t="s">
        <v>339</v>
      </c>
      <c r="AT460" t="s">
        <v>1164</v>
      </c>
      <c r="AU460" s="176">
        <v>51297166.902214997</v>
      </c>
      <c r="AW460">
        <v>4270</v>
      </c>
      <c r="AX460" t="s">
        <v>339</v>
      </c>
      <c r="AY460" t="s">
        <v>1164</v>
      </c>
      <c r="AZ460" s="176">
        <v>56252883.037772</v>
      </c>
      <c r="BA460" s="342" t="str">
        <f t="shared" si="70"/>
        <v/>
      </c>
      <c r="BB460">
        <v>4270</v>
      </c>
      <c r="BC460" t="s">
        <v>339</v>
      </c>
      <c r="BD460" t="s">
        <v>1164</v>
      </c>
      <c r="BE460" s="243">
        <f t="shared" si="71"/>
        <v>96299473.332432598</v>
      </c>
    </row>
    <row r="461" spans="1:57">
      <c r="A461">
        <v>4270</v>
      </c>
      <c r="B461" t="s">
        <v>339</v>
      </c>
      <c r="C461" t="s">
        <v>1160</v>
      </c>
      <c r="D461" s="176">
        <v>200378333.77430299</v>
      </c>
      <c r="E461">
        <v>0</v>
      </c>
      <c r="G461">
        <v>4270</v>
      </c>
      <c r="H461" t="s">
        <v>339</v>
      </c>
      <c r="I461" t="s">
        <v>1160</v>
      </c>
      <c r="J461" s="176">
        <v>72083289.975538999</v>
      </c>
      <c r="K461">
        <v>0</v>
      </c>
      <c r="L461" s="342" t="str">
        <f t="shared" si="68"/>
        <v/>
      </c>
      <c r="M461">
        <v>4270</v>
      </c>
      <c r="N461" t="s">
        <v>339</v>
      </c>
      <c r="O461" t="s">
        <v>1160</v>
      </c>
      <c r="P461" s="243">
        <f t="shared" si="69"/>
        <v>258044965.75473419</v>
      </c>
      <c r="S461">
        <v>4270</v>
      </c>
      <c r="T461" t="s">
        <v>339</v>
      </c>
      <c r="U461" t="s">
        <v>1160</v>
      </c>
      <c r="V461" s="176">
        <v>85000987.082222</v>
      </c>
      <c r="W461" s="176">
        <v>178217018.12106901</v>
      </c>
      <c r="X461" s="176">
        <v>0</v>
      </c>
      <c r="Y461" s="176">
        <v>8053497</v>
      </c>
      <c r="Z461" s="176"/>
      <c r="AA461">
        <v>4270</v>
      </c>
      <c r="AB461" s="176" t="s">
        <v>339</v>
      </c>
      <c r="AC461" s="176" t="s">
        <v>1160</v>
      </c>
      <c r="AD461" s="176">
        <v>85000987.082222</v>
      </c>
      <c r="AE461" s="176">
        <v>178217018.12106901</v>
      </c>
      <c r="AF461" s="176">
        <v>0</v>
      </c>
      <c r="AG461" s="176">
        <v>8053497</v>
      </c>
      <c r="AH461" s="342" t="str">
        <f t="shared" si="63"/>
        <v/>
      </c>
      <c r="AI461">
        <v>4270</v>
      </c>
      <c r="AJ461" t="s">
        <v>339</v>
      </c>
      <c r="AK461" t="s">
        <v>1160</v>
      </c>
      <c r="AL461" s="245">
        <f t="shared" si="64"/>
        <v>153001776.74799961</v>
      </c>
      <c r="AM461" s="245">
        <f t="shared" si="65"/>
        <v>320790632.61792421</v>
      </c>
      <c r="AN461" s="245">
        <f t="shared" si="66"/>
        <v>0</v>
      </c>
      <c r="AO461" s="245">
        <f t="shared" si="67"/>
        <v>14496294.600000001</v>
      </c>
      <c r="AP461" s="176"/>
      <c r="AQ461" s="176"/>
      <c r="AR461">
        <v>4270</v>
      </c>
      <c r="AS461" t="s">
        <v>339</v>
      </c>
      <c r="AT461" t="s">
        <v>1160</v>
      </c>
      <c r="AU461" s="176">
        <v>126363426.153317</v>
      </c>
      <c r="AW461">
        <v>4270</v>
      </c>
      <c r="AX461" t="s">
        <v>339</v>
      </c>
      <c r="AY461" t="s">
        <v>1160</v>
      </c>
      <c r="AZ461">
        <v>18794111.908884</v>
      </c>
      <c r="BA461" s="342" t="str">
        <f t="shared" si="70"/>
        <v/>
      </c>
      <c r="BB461">
        <v>4270</v>
      </c>
      <c r="BC461" t="s">
        <v>339</v>
      </c>
      <c r="BD461" t="s">
        <v>1160</v>
      </c>
      <c r="BE461" s="243">
        <f t="shared" si="71"/>
        <v>141398715.68042421</v>
      </c>
    </row>
    <row r="462" spans="1:57">
      <c r="A462">
        <v>4290</v>
      </c>
      <c r="B462" t="s">
        <v>340</v>
      </c>
      <c r="C462" t="s">
        <v>1580</v>
      </c>
      <c r="D462" s="176">
        <v>191226971.83659101</v>
      </c>
      <c r="E462">
        <v>0</v>
      </c>
      <c r="G462">
        <v>4290</v>
      </c>
      <c r="H462" t="s">
        <v>340</v>
      </c>
      <c r="I462" t="s">
        <v>1580</v>
      </c>
      <c r="J462" s="176">
        <v>245688801.09776601</v>
      </c>
      <c r="K462">
        <v>0</v>
      </c>
      <c r="L462" s="342" t="str">
        <f t="shared" si="68"/>
        <v/>
      </c>
      <c r="M462">
        <v>4290</v>
      </c>
      <c r="N462" t="s">
        <v>340</v>
      </c>
      <c r="O462" t="s">
        <v>1580</v>
      </c>
      <c r="P462" s="243">
        <f t="shared" si="69"/>
        <v>387778012.71480381</v>
      </c>
      <c r="S462">
        <v>4290</v>
      </c>
      <c r="T462" t="s">
        <v>340</v>
      </c>
      <c r="U462" t="s">
        <v>1580</v>
      </c>
      <c r="V462" s="176">
        <v>58196987.285554998</v>
      </c>
      <c r="W462" s="176">
        <v>555771730.20440304</v>
      </c>
      <c r="X462" s="176">
        <v>0</v>
      </c>
      <c r="Y462" s="176">
        <v>10474934.444444001</v>
      </c>
      <c r="Z462" s="176"/>
      <c r="AA462">
        <v>4290</v>
      </c>
      <c r="AB462" s="176" t="s">
        <v>340</v>
      </c>
      <c r="AC462" s="176" t="s">
        <v>1580</v>
      </c>
      <c r="AD462" s="176">
        <v>58196987.285554998</v>
      </c>
      <c r="AE462" s="176">
        <v>555771730.20440304</v>
      </c>
      <c r="AF462" s="176">
        <v>0</v>
      </c>
      <c r="AG462" s="176">
        <v>10474934.444444001</v>
      </c>
      <c r="AH462" s="342" t="str">
        <f t="shared" si="63"/>
        <v/>
      </c>
      <c r="AI462">
        <v>4290</v>
      </c>
      <c r="AJ462" t="s">
        <v>340</v>
      </c>
      <c r="AK462" t="s">
        <v>1580</v>
      </c>
      <c r="AL462" s="245">
        <f t="shared" si="64"/>
        <v>104754577.11399901</v>
      </c>
      <c r="AM462" s="245">
        <f t="shared" si="65"/>
        <v>1000389114.3679255</v>
      </c>
      <c r="AN462" s="245">
        <f t="shared" si="66"/>
        <v>0</v>
      </c>
      <c r="AO462" s="245">
        <f t="shared" si="67"/>
        <v>18854881.999999203</v>
      </c>
      <c r="AP462" s="176"/>
      <c r="AQ462" s="176"/>
      <c r="AR462">
        <v>4290</v>
      </c>
      <c r="AS462" t="s">
        <v>340</v>
      </c>
      <c r="AT462" t="s">
        <v>1580</v>
      </c>
      <c r="AU462" s="176">
        <v>108669053.27331901</v>
      </c>
      <c r="AW462">
        <v>4290</v>
      </c>
      <c r="AX462" t="s">
        <v>340</v>
      </c>
      <c r="AY462" t="s">
        <v>1580</v>
      </c>
      <c r="AZ462" s="176">
        <v>176768439.23999101</v>
      </c>
      <c r="BA462" s="342" t="str">
        <f t="shared" si="70"/>
        <v/>
      </c>
      <c r="BB462">
        <v>4290</v>
      </c>
      <c r="BC462" t="s">
        <v>340</v>
      </c>
      <c r="BD462" t="s">
        <v>1580</v>
      </c>
      <c r="BE462" s="243">
        <f t="shared" si="71"/>
        <v>250083804.66531181</v>
      </c>
    </row>
    <row r="463" spans="1:57">
      <c r="A463">
        <v>4290</v>
      </c>
      <c r="B463" t="s">
        <v>340</v>
      </c>
      <c r="C463" t="s">
        <v>1979</v>
      </c>
      <c r="D463" s="176">
        <v>82566907.726632997</v>
      </c>
      <c r="E463">
        <v>0</v>
      </c>
      <c r="G463">
        <v>4290</v>
      </c>
      <c r="H463" t="s">
        <v>340</v>
      </c>
      <c r="I463" t="s">
        <v>1979</v>
      </c>
      <c r="J463" s="176">
        <v>10844827.896663001</v>
      </c>
      <c r="K463">
        <v>0</v>
      </c>
      <c r="L463" s="342" t="str">
        <f t="shared" si="68"/>
        <v/>
      </c>
      <c r="M463">
        <v>4290</v>
      </c>
      <c r="N463" t="s">
        <v>340</v>
      </c>
      <c r="O463" t="s">
        <v>1979</v>
      </c>
      <c r="P463" s="243">
        <f t="shared" si="69"/>
        <v>91242770.043963403</v>
      </c>
      <c r="S463">
        <v>4290</v>
      </c>
      <c r="T463" t="s">
        <v>340</v>
      </c>
      <c r="U463" t="s">
        <v>1979</v>
      </c>
      <c r="V463" s="176">
        <v>25671721.768886998</v>
      </c>
      <c r="W463" s="176">
        <v>59837288.80443</v>
      </c>
      <c r="X463">
        <v>1098666</v>
      </c>
      <c r="Y463" s="176">
        <v>288702.22222200001</v>
      </c>
      <c r="Z463" s="176"/>
      <c r="AA463">
        <v>4290</v>
      </c>
      <c r="AB463" s="176" t="s">
        <v>340</v>
      </c>
      <c r="AC463" s="176" t="s">
        <v>1979</v>
      </c>
      <c r="AD463" s="176">
        <v>25671721.768886998</v>
      </c>
      <c r="AE463" s="176">
        <v>59837288.80443</v>
      </c>
      <c r="AF463">
        <v>1098666</v>
      </c>
      <c r="AG463" s="176">
        <v>288702.22222200001</v>
      </c>
      <c r="AH463" s="342" t="str">
        <f t="shared" si="63"/>
        <v/>
      </c>
      <c r="AI463">
        <v>4290</v>
      </c>
      <c r="AJ463" t="s">
        <v>340</v>
      </c>
      <c r="AK463" t="s">
        <v>1979</v>
      </c>
      <c r="AL463" s="245">
        <f t="shared" si="64"/>
        <v>46209099.183996603</v>
      </c>
      <c r="AM463" s="245">
        <f t="shared" si="65"/>
        <v>107707119.847974</v>
      </c>
      <c r="AN463" s="245">
        <f t="shared" si="66"/>
        <v>1977598.8</v>
      </c>
      <c r="AO463" s="245">
        <f t="shared" si="67"/>
        <v>519663.9999996</v>
      </c>
      <c r="AP463" s="176"/>
      <c r="AQ463" s="176"/>
      <c r="AR463">
        <v>4290</v>
      </c>
      <c r="AS463" t="s">
        <v>340</v>
      </c>
      <c r="AT463" t="s">
        <v>1979</v>
      </c>
      <c r="AU463" s="176">
        <v>885023.24777400005</v>
      </c>
      <c r="AW463">
        <v>4290</v>
      </c>
      <c r="AX463" t="s">
        <v>340</v>
      </c>
      <c r="AY463" t="s">
        <v>1979</v>
      </c>
      <c r="AZ463" s="176">
        <v>0</v>
      </c>
      <c r="BA463" s="342" t="str">
        <f t="shared" si="70"/>
        <v/>
      </c>
      <c r="BB463">
        <v>4290</v>
      </c>
      <c r="BC463" t="s">
        <v>340</v>
      </c>
      <c r="BD463" t="s">
        <v>1979</v>
      </c>
      <c r="BE463" s="243">
        <f t="shared" si="71"/>
        <v>885023.24777400005</v>
      </c>
    </row>
    <row r="464" spans="1:57">
      <c r="A464">
        <v>4290</v>
      </c>
      <c r="B464" t="s">
        <v>340</v>
      </c>
      <c r="C464" t="s">
        <v>1773</v>
      </c>
      <c r="D464" s="176">
        <v>138562466.83434501</v>
      </c>
      <c r="E464">
        <v>0</v>
      </c>
      <c r="G464">
        <v>4290</v>
      </c>
      <c r="H464" t="s">
        <v>340</v>
      </c>
      <c r="I464" t="s">
        <v>1773</v>
      </c>
      <c r="J464" s="176">
        <v>34016111.701093003</v>
      </c>
      <c r="K464">
        <v>0</v>
      </c>
      <c r="L464" s="342" t="str">
        <f t="shared" si="68"/>
        <v/>
      </c>
      <c r="M464">
        <v>4290</v>
      </c>
      <c r="N464" t="s">
        <v>340</v>
      </c>
      <c r="O464" t="s">
        <v>1773</v>
      </c>
      <c r="P464" s="243">
        <f t="shared" si="69"/>
        <v>165775356.19521943</v>
      </c>
      <c r="S464">
        <v>4290</v>
      </c>
      <c r="T464" t="s">
        <v>340</v>
      </c>
      <c r="U464" t="s">
        <v>1773</v>
      </c>
      <c r="V464" s="176">
        <v>31185416.928888001</v>
      </c>
      <c r="W464" s="176">
        <v>140396473.95660099</v>
      </c>
      <c r="X464" s="176">
        <v>0</v>
      </c>
      <c r="Y464" s="176">
        <v>23873019</v>
      </c>
      <c r="Z464" s="176"/>
      <c r="AA464">
        <v>4290</v>
      </c>
      <c r="AB464" s="176" t="s">
        <v>340</v>
      </c>
      <c r="AC464" s="176" t="s">
        <v>1773</v>
      </c>
      <c r="AD464" s="176">
        <v>31185416.928888001</v>
      </c>
      <c r="AE464" s="176">
        <v>140396473.95660099</v>
      </c>
      <c r="AF464" s="176">
        <v>0</v>
      </c>
      <c r="AG464" s="176">
        <v>23873019</v>
      </c>
      <c r="AH464" s="342" t="str">
        <f t="shared" si="63"/>
        <v/>
      </c>
      <c r="AI464">
        <v>4290</v>
      </c>
      <c r="AJ464" t="s">
        <v>340</v>
      </c>
      <c r="AK464" t="s">
        <v>1773</v>
      </c>
      <c r="AL464" s="245">
        <f t="shared" si="64"/>
        <v>56133750.471998401</v>
      </c>
      <c r="AM464" s="245">
        <f t="shared" si="65"/>
        <v>252713653.12188178</v>
      </c>
      <c r="AN464" s="245">
        <f t="shared" si="66"/>
        <v>0</v>
      </c>
      <c r="AO464" s="245">
        <f t="shared" si="67"/>
        <v>42971434.200000003</v>
      </c>
      <c r="AP464" s="176"/>
      <c r="AQ464" s="176"/>
      <c r="AR464">
        <v>4290</v>
      </c>
      <c r="AS464" t="s">
        <v>340</v>
      </c>
      <c r="AT464" t="s">
        <v>1773</v>
      </c>
      <c r="AU464" s="176">
        <v>12312912.729992</v>
      </c>
      <c r="AW464">
        <v>4290</v>
      </c>
      <c r="AX464" t="s">
        <v>340</v>
      </c>
      <c r="AY464" t="s">
        <v>1773</v>
      </c>
      <c r="AZ464" s="176">
        <v>1671413.19111</v>
      </c>
      <c r="BA464" s="342" t="str">
        <f t="shared" si="70"/>
        <v/>
      </c>
      <c r="BB464">
        <v>4290</v>
      </c>
      <c r="BC464" t="s">
        <v>340</v>
      </c>
      <c r="BD464" t="s">
        <v>1773</v>
      </c>
      <c r="BE464" s="243">
        <f t="shared" si="71"/>
        <v>13650043.282880001</v>
      </c>
    </row>
    <row r="465" spans="1:57">
      <c r="A465">
        <v>4300</v>
      </c>
      <c r="B465" t="s">
        <v>341</v>
      </c>
      <c r="C465" t="s">
        <v>1774</v>
      </c>
      <c r="D465" s="176">
        <v>156535519.667743</v>
      </c>
      <c r="E465">
        <v>0</v>
      </c>
      <c r="G465">
        <v>4300</v>
      </c>
      <c r="H465" t="s">
        <v>341</v>
      </c>
      <c r="I465" t="s">
        <v>1774</v>
      </c>
      <c r="J465" s="176">
        <v>27471627.551105</v>
      </c>
      <c r="K465">
        <v>0</v>
      </c>
      <c r="L465" s="342" t="str">
        <f t="shared" si="68"/>
        <v/>
      </c>
      <c r="M465">
        <v>4300</v>
      </c>
      <c r="N465" t="s">
        <v>341</v>
      </c>
      <c r="O465" t="s">
        <v>1774</v>
      </c>
      <c r="P465" s="243">
        <f t="shared" si="69"/>
        <v>178512821.70862699</v>
      </c>
      <c r="S465">
        <v>4300</v>
      </c>
      <c r="T465" t="s">
        <v>341</v>
      </c>
      <c r="U465" t="s">
        <v>1774</v>
      </c>
      <c r="V465" s="176">
        <v>22916671.939998001</v>
      </c>
      <c r="W465" s="176">
        <v>153471754.705524</v>
      </c>
      <c r="X465" s="176">
        <v>0</v>
      </c>
      <c r="Y465" s="176">
        <v>14950507.119999999</v>
      </c>
      <c r="Z465" s="176"/>
      <c r="AA465">
        <v>4300</v>
      </c>
      <c r="AB465" s="176" t="s">
        <v>341</v>
      </c>
      <c r="AC465" s="176" t="s">
        <v>1774</v>
      </c>
      <c r="AD465" s="176">
        <v>22916671.939998001</v>
      </c>
      <c r="AE465" s="176">
        <v>153471754.705524</v>
      </c>
      <c r="AF465" s="176">
        <v>0</v>
      </c>
      <c r="AG465" s="176">
        <v>14950507.119999999</v>
      </c>
      <c r="AH465" s="342" t="str">
        <f t="shared" si="63"/>
        <v/>
      </c>
      <c r="AI465">
        <v>4300</v>
      </c>
      <c r="AJ465" t="s">
        <v>341</v>
      </c>
      <c r="AK465" t="s">
        <v>1774</v>
      </c>
      <c r="AL465" s="245">
        <f t="shared" si="64"/>
        <v>41250009.491996408</v>
      </c>
      <c r="AM465" s="245">
        <f t="shared" si="65"/>
        <v>276249158.46994317</v>
      </c>
      <c r="AN465" s="245">
        <f t="shared" si="66"/>
        <v>0</v>
      </c>
      <c r="AO465" s="245">
        <f t="shared" si="67"/>
        <v>26910912.816</v>
      </c>
      <c r="AP465" s="176"/>
      <c r="AQ465" s="176"/>
      <c r="AR465">
        <v>4300</v>
      </c>
      <c r="AS465" t="s">
        <v>341</v>
      </c>
      <c r="AT465" t="s">
        <v>1774</v>
      </c>
      <c r="AU465" s="176">
        <v>14663092.401107</v>
      </c>
      <c r="AW465">
        <v>4300</v>
      </c>
      <c r="AX465" t="s">
        <v>341</v>
      </c>
      <c r="AY465" t="s">
        <v>1774</v>
      </c>
      <c r="AZ465">
        <v>18462303.354442</v>
      </c>
      <c r="BA465" s="342" t="str">
        <f t="shared" si="70"/>
        <v/>
      </c>
      <c r="BB465">
        <v>4300</v>
      </c>
      <c r="BC465" t="s">
        <v>341</v>
      </c>
      <c r="BD465" t="s">
        <v>1774</v>
      </c>
      <c r="BE465" s="243">
        <f t="shared" si="71"/>
        <v>29432935.084660601</v>
      </c>
    </row>
    <row r="466" spans="1:57">
      <c r="A466">
        <v>4300</v>
      </c>
      <c r="B466" t="s">
        <v>341</v>
      </c>
      <c r="C466" t="s">
        <v>1161</v>
      </c>
      <c r="D466" s="176">
        <v>344781261.86652398</v>
      </c>
      <c r="E466">
        <v>0</v>
      </c>
      <c r="G466">
        <v>4300</v>
      </c>
      <c r="H466" t="s">
        <v>341</v>
      </c>
      <c r="I466" t="s">
        <v>1161</v>
      </c>
      <c r="J466" s="176">
        <v>181802797.168861</v>
      </c>
      <c r="K466">
        <v>0</v>
      </c>
      <c r="L466" s="342" t="str">
        <f t="shared" si="68"/>
        <v/>
      </c>
      <c r="M466">
        <v>4300</v>
      </c>
      <c r="N466" t="s">
        <v>341</v>
      </c>
      <c r="O466" t="s">
        <v>1161</v>
      </c>
      <c r="P466" s="243">
        <f t="shared" si="69"/>
        <v>490223499.60161281</v>
      </c>
      <c r="S466">
        <v>4300</v>
      </c>
      <c r="T466" t="s">
        <v>341</v>
      </c>
      <c r="U466" t="s">
        <v>1161</v>
      </c>
      <c r="V466" s="176">
        <v>58600505.641110003</v>
      </c>
      <c r="W466" s="176">
        <v>644220369.09215105</v>
      </c>
      <c r="X466" s="176">
        <v>0</v>
      </c>
      <c r="Y466" s="176">
        <v>21259288.888888001</v>
      </c>
      <c r="Z466" s="176"/>
      <c r="AA466">
        <v>4300</v>
      </c>
      <c r="AB466" s="176" t="s">
        <v>341</v>
      </c>
      <c r="AC466" s="176" t="s">
        <v>1161</v>
      </c>
      <c r="AD466" s="176">
        <v>58600505.641110003</v>
      </c>
      <c r="AE466" s="176">
        <v>644220369.09215105</v>
      </c>
      <c r="AF466" s="176">
        <v>0</v>
      </c>
      <c r="AG466" s="176">
        <v>21259288.888888001</v>
      </c>
      <c r="AH466" s="342" t="str">
        <f t="shared" si="63"/>
        <v/>
      </c>
      <c r="AI466">
        <v>4300</v>
      </c>
      <c r="AJ466" t="s">
        <v>341</v>
      </c>
      <c r="AK466" t="s">
        <v>1161</v>
      </c>
      <c r="AL466" s="245">
        <f t="shared" si="64"/>
        <v>105480910.15399802</v>
      </c>
      <c r="AM466" s="245">
        <f t="shared" si="65"/>
        <v>1159596664.3658719</v>
      </c>
      <c r="AN466" s="245">
        <f t="shared" si="66"/>
        <v>0</v>
      </c>
      <c r="AO466" s="245">
        <f t="shared" si="67"/>
        <v>38266719.999998406</v>
      </c>
      <c r="AP466" s="176"/>
      <c r="AQ466" s="176"/>
      <c r="AR466">
        <v>4300</v>
      </c>
      <c r="AS466" t="s">
        <v>341</v>
      </c>
      <c r="AT466" t="s">
        <v>1161</v>
      </c>
      <c r="AU466" s="176">
        <v>60399746.124427997</v>
      </c>
      <c r="AW466">
        <v>4300</v>
      </c>
      <c r="AX466" t="s">
        <v>341</v>
      </c>
      <c r="AY466" t="s">
        <v>1161</v>
      </c>
      <c r="AZ466" s="176">
        <v>14554073.248883</v>
      </c>
      <c r="BA466" s="342" t="str">
        <f t="shared" si="70"/>
        <v/>
      </c>
      <c r="BB466">
        <v>4300</v>
      </c>
      <c r="BC466" t="s">
        <v>341</v>
      </c>
      <c r="BD466" t="s">
        <v>1161</v>
      </c>
      <c r="BE466" s="243">
        <f t="shared" si="71"/>
        <v>72043004.723534405</v>
      </c>
    </row>
    <row r="467" spans="1:57">
      <c r="A467">
        <v>4310</v>
      </c>
      <c r="B467" t="s">
        <v>342</v>
      </c>
      <c r="C467" t="s">
        <v>1150</v>
      </c>
      <c r="D467" s="176">
        <v>141831678.41545001</v>
      </c>
      <c r="E467">
        <v>0</v>
      </c>
      <c r="G467">
        <v>4310</v>
      </c>
      <c r="H467" t="s">
        <v>342</v>
      </c>
      <c r="I467" t="s">
        <v>1150</v>
      </c>
      <c r="J467" s="176">
        <v>121545124.28887101</v>
      </c>
      <c r="K467">
        <v>0</v>
      </c>
      <c r="L467" s="342" t="str">
        <f t="shared" si="68"/>
        <v/>
      </c>
      <c r="M467">
        <v>4310</v>
      </c>
      <c r="N467" t="s">
        <v>342</v>
      </c>
      <c r="O467" t="s">
        <v>1150</v>
      </c>
      <c r="P467" s="243">
        <f t="shared" si="69"/>
        <v>239067777.84654683</v>
      </c>
      <c r="S467">
        <v>4310</v>
      </c>
      <c r="T467" t="s">
        <v>342</v>
      </c>
      <c r="U467" t="s">
        <v>1150</v>
      </c>
      <c r="V467" s="176">
        <v>41389732.236666001</v>
      </c>
      <c r="W467" s="176">
        <v>208167246.87549099</v>
      </c>
      <c r="X467" s="176">
        <v>1000000</v>
      </c>
      <c r="Y467" s="176">
        <v>31515691.51111</v>
      </c>
      <c r="Z467" s="176"/>
      <c r="AA467">
        <v>4310</v>
      </c>
      <c r="AB467" s="176" t="s">
        <v>342</v>
      </c>
      <c r="AC467" s="176" t="s">
        <v>1150</v>
      </c>
      <c r="AD467" s="176">
        <v>41389732.236666001</v>
      </c>
      <c r="AE467" s="176">
        <v>208167246.87549099</v>
      </c>
      <c r="AF467" s="176">
        <v>1000000</v>
      </c>
      <c r="AG467" s="176">
        <v>31515691.51111</v>
      </c>
      <c r="AH467" s="342" t="str">
        <f t="shared" si="63"/>
        <v/>
      </c>
      <c r="AI467">
        <v>4310</v>
      </c>
      <c r="AJ467" t="s">
        <v>342</v>
      </c>
      <c r="AK467" t="s">
        <v>1150</v>
      </c>
      <c r="AL467" s="245">
        <f t="shared" si="64"/>
        <v>74501518.025998801</v>
      </c>
      <c r="AM467" s="245">
        <f t="shared" si="65"/>
        <v>374701044.37588382</v>
      </c>
      <c r="AN467" s="245">
        <f t="shared" si="66"/>
        <v>1800000</v>
      </c>
      <c r="AO467" s="245">
        <f t="shared" si="67"/>
        <v>56728244.719998002</v>
      </c>
      <c r="AP467" s="176"/>
      <c r="AQ467" s="176"/>
      <c r="AR467">
        <v>4310</v>
      </c>
      <c r="AS467" t="s">
        <v>342</v>
      </c>
      <c r="AT467" t="s">
        <v>1150</v>
      </c>
      <c r="AU467" s="176">
        <v>55124645.682204001</v>
      </c>
      <c r="AW467">
        <v>4310</v>
      </c>
      <c r="AX467" t="s">
        <v>342</v>
      </c>
      <c r="AY467" t="s">
        <v>1150</v>
      </c>
      <c r="AZ467" s="176">
        <v>28527008.827771001</v>
      </c>
      <c r="BA467" s="342" t="str">
        <f t="shared" si="70"/>
        <v/>
      </c>
      <c r="BB467">
        <v>4310</v>
      </c>
      <c r="BC467" t="s">
        <v>342</v>
      </c>
      <c r="BD467" t="s">
        <v>1150</v>
      </c>
      <c r="BE467" s="243">
        <f t="shared" si="71"/>
        <v>77946252.744420797</v>
      </c>
    </row>
    <row r="468" spans="1:57">
      <c r="A468">
        <v>4310</v>
      </c>
      <c r="B468" t="s">
        <v>342</v>
      </c>
      <c r="C468" t="s">
        <v>1581</v>
      </c>
      <c r="D468" s="176">
        <v>139792506.78661001</v>
      </c>
      <c r="E468">
        <v>0</v>
      </c>
      <c r="G468">
        <v>4310</v>
      </c>
      <c r="H468" t="s">
        <v>342</v>
      </c>
      <c r="I468" t="s">
        <v>1581</v>
      </c>
      <c r="J468" s="176">
        <v>44874075.412210003</v>
      </c>
      <c r="K468">
        <v>0</v>
      </c>
      <c r="L468" s="342" t="str">
        <f t="shared" si="68"/>
        <v/>
      </c>
      <c r="M468">
        <v>4310</v>
      </c>
      <c r="N468" t="s">
        <v>342</v>
      </c>
      <c r="O468" t="s">
        <v>1581</v>
      </c>
      <c r="P468" s="243">
        <f t="shared" si="69"/>
        <v>175691767.11637801</v>
      </c>
      <c r="S468">
        <v>4310</v>
      </c>
      <c r="T468" t="s">
        <v>342</v>
      </c>
      <c r="U468" t="s">
        <v>1581</v>
      </c>
      <c r="V468" s="176">
        <v>31236677.663332999</v>
      </c>
      <c r="W468" s="176">
        <v>155118688.83662999</v>
      </c>
      <c r="X468" s="176">
        <v>2398800</v>
      </c>
      <c r="Y468" s="176">
        <v>28744891.111110002</v>
      </c>
      <c r="Z468" s="176"/>
      <c r="AA468">
        <v>4310</v>
      </c>
      <c r="AB468" s="176" t="s">
        <v>342</v>
      </c>
      <c r="AC468" s="176" t="s">
        <v>1581</v>
      </c>
      <c r="AD468" s="176">
        <v>31236677.663332999</v>
      </c>
      <c r="AE468" s="176">
        <v>155118688.83662999</v>
      </c>
      <c r="AF468" s="176">
        <v>2398800</v>
      </c>
      <c r="AG468" s="176">
        <v>28744891.111110002</v>
      </c>
      <c r="AH468" s="342" t="str">
        <f t="shared" si="63"/>
        <v/>
      </c>
      <c r="AI468">
        <v>4310</v>
      </c>
      <c r="AJ468" t="s">
        <v>342</v>
      </c>
      <c r="AK468" t="s">
        <v>1581</v>
      </c>
      <c r="AL468" s="245">
        <f t="shared" si="64"/>
        <v>56226019.793999404</v>
      </c>
      <c r="AM468" s="245">
        <f t="shared" si="65"/>
        <v>279213639.90593398</v>
      </c>
      <c r="AN468" s="245">
        <f t="shared" si="66"/>
        <v>4317840</v>
      </c>
      <c r="AO468" s="245">
        <f t="shared" si="67"/>
        <v>51740803.999998003</v>
      </c>
      <c r="AP468" s="176"/>
      <c r="AQ468" s="176"/>
      <c r="AR468">
        <v>4310</v>
      </c>
      <c r="AS468" t="s">
        <v>342</v>
      </c>
      <c r="AT468" t="s">
        <v>1581</v>
      </c>
      <c r="AU468" s="176">
        <v>44376838.704434998</v>
      </c>
      <c r="AW468">
        <v>4310</v>
      </c>
      <c r="AX468" t="s">
        <v>342</v>
      </c>
      <c r="AY468" t="s">
        <v>1581</v>
      </c>
      <c r="AZ468" s="176">
        <v>14705346.434441</v>
      </c>
      <c r="BA468" s="342" t="str">
        <f t="shared" si="70"/>
        <v/>
      </c>
      <c r="BB468">
        <v>4310</v>
      </c>
      <c r="BC468" t="s">
        <v>342</v>
      </c>
      <c r="BD468" t="s">
        <v>1581</v>
      </c>
      <c r="BE468" s="243">
        <f t="shared" si="71"/>
        <v>56141115.851987801</v>
      </c>
    </row>
    <row r="469" spans="1:57">
      <c r="A469">
        <v>4510</v>
      </c>
      <c r="B469" t="s">
        <v>343</v>
      </c>
      <c r="C469" t="s">
        <v>1163</v>
      </c>
      <c r="D469" s="176">
        <v>234249716.145484</v>
      </c>
      <c r="E469">
        <v>0</v>
      </c>
      <c r="G469">
        <v>4510</v>
      </c>
      <c r="H469" t="s">
        <v>343</v>
      </c>
      <c r="I469" t="s">
        <v>1163</v>
      </c>
      <c r="J469" s="176">
        <v>69473752.126655996</v>
      </c>
      <c r="K469">
        <v>0</v>
      </c>
      <c r="L469" s="342" t="str">
        <f t="shared" si="68"/>
        <v/>
      </c>
      <c r="M469">
        <v>4510</v>
      </c>
      <c r="N469" t="s">
        <v>343</v>
      </c>
      <c r="O469" t="s">
        <v>1163</v>
      </c>
      <c r="P469" s="243">
        <f t="shared" si="69"/>
        <v>289828717.84680879</v>
      </c>
      <c r="S469">
        <v>4510</v>
      </c>
      <c r="T469" t="s">
        <v>343</v>
      </c>
      <c r="U469" t="s">
        <v>1163</v>
      </c>
      <c r="V469" s="176">
        <v>83225936.480000004</v>
      </c>
      <c r="W469" s="176">
        <v>278954385.613307</v>
      </c>
      <c r="X469" s="176">
        <v>0</v>
      </c>
      <c r="Y469" s="176">
        <v>11123419.444443</v>
      </c>
      <c r="Z469" s="176"/>
      <c r="AA469">
        <v>4510</v>
      </c>
      <c r="AB469" s="176" t="s">
        <v>343</v>
      </c>
      <c r="AC469" s="176" t="s">
        <v>1163</v>
      </c>
      <c r="AD469" s="176">
        <v>83225936.480000004</v>
      </c>
      <c r="AE469" s="176">
        <v>278954385.613307</v>
      </c>
      <c r="AF469" s="176">
        <v>0</v>
      </c>
      <c r="AG469" s="176">
        <v>11123419.444443</v>
      </c>
      <c r="AH469" s="342" t="str">
        <f t="shared" si="63"/>
        <v/>
      </c>
      <c r="AI469">
        <v>4510</v>
      </c>
      <c r="AJ469" t="s">
        <v>343</v>
      </c>
      <c r="AK469" t="s">
        <v>1163</v>
      </c>
      <c r="AL469" s="245">
        <f t="shared" si="64"/>
        <v>149806685.664</v>
      </c>
      <c r="AM469" s="245">
        <f t="shared" si="65"/>
        <v>502117894.10395265</v>
      </c>
      <c r="AN469" s="245">
        <f t="shared" si="66"/>
        <v>0</v>
      </c>
      <c r="AO469" s="245">
        <f t="shared" si="67"/>
        <v>20022154.9999974</v>
      </c>
      <c r="AP469" s="176"/>
      <c r="AQ469" s="176"/>
      <c r="AR469">
        <v>4510</v>
      </c>
      <c r="AS469" t="s">
        <v>343</v>
      </c>
      <c r="AT469" t="s">
        <v>1163</v>
      </c>
      <c r="AU469" s="176">
        <v>21269772.713330001</v>
      </c>
      <c r="AW469">
        <v>4510</v>
      </c>
      <c r="AX469" t="s">
        <v>343</v>
      </c>
      <c r="AY469" t="s">
        <v>1163</v>
      </c>
      <c r="AZ469" s="176">
        <v>18079566.451109</v>
      </c>
      <c r="BA469" s="342" t="str">
        <f t="shared" si="70"/>
        <v/>
      </c>
      <c r="BB469">
        <v>4510</v>
      </c>
      <c r="BC469" t="s">
        <v>343</v>
      </c>
      <c r="BD469" t="s">
        <v>1163</v>
      </c>
      <c r="BE469" s="243">
        <f t="shared" si="71"/>
        <v>35733425.874217197</v>
      </c>
    </row>
    <row r="470" spans="1:57">
      <c r="A470">
        <v>4510</v>
      </c>
      <c r="B470" t="s">
        <v>343</v>
      </c>
      <c r="C470" t="s">
        <v>1151</v>
      </c>
      <c r="D470" s="176">
        <v>101541014.809921</v>
      </c>
      <c r="E470">
        <v>0</v>
      </c>
      <c r="G470">
        <v>4510</v>
      </c>
      <c r="H470" t="s">
        <v>343</v>
      </c>
      <c r="I470" t="s">
        <v>1151</v>
      </c>
      <c r="J470" s="176">
        <v>40344128.325543001</v>
      </c>
      <c r="K470">
        <v>0</v>
      </c>
      <c r="L470" s="342" t="str">
        <f t="shared" si="68"/>
        <v/>
      </c>
      <c r="M470">
        <v>4510</v>
      </c>
      <c r="N470" t="s">
        <v>343</v>
      </c>
      <c r="O470" t="s">
        <v>1151</v>
      </c>
      <c r="P470" s="243">
        <f t="shared" si="69"/>
        <v>133816317.47035539</v>
      </c>
      <c r="S470">
        <v>4510</v>
      </c>
      <c r="T470" t="s">
        <v>343</v>
      </c>
      <c r="U470" t="s">
        <v>1151</v>
      </c>
      <c r="V470" s="176">
        <v>53310762.134443</v>
      </c>
      <c r="W470" s="176">
        <v>143751221.61330101</v>
      </c>
      <c r="X470" s="176">
        <v>0</v>
      </c>
      <c r="Y470" s="176">
        <v>4337961.5555520002</v>
      </c>
      <c r="Z470" s="176"/>
      <c r="AA470">
        <v>4510</v>
      </c>
      <c r="AB470" s="176" t="s">
        <v>343</v>
      </c>
      <c r="AC470" s="176" t="s">
        <v>1151</v>
      </c>
      <c r="AD470" s="176">
        <v>53310762.134443</v>
      </c>
      <c r="AE470" s="176">
        <v>143751221.61330101</v>
      </c>
      <c r="AF470" s="176">
        <v>0</v>
      </c>
      <c r="AG470" s="176">
        <v>4337961.5555520002</v>
      </c>
      <c r="AH470" s="342" t="str">
        <f t="shared" si="63"/>
        <v/>
      </c>
      <c r="AI470">
        <v>4510</v>
      </c>
      <c r="AJ470" t="s">
        <v>343</v>
      </c>
      <c r="AK470" t="s">
        <v>1151</v>
      </c>
      <c r="AL470" s="245">
        <f t="shared" si="64"/>
        <v>95959371.8419974</v>
      </c>
      <c r="AM470" s="245">
        <f t="shared" si="65"/>
        <v>258752198.90394181</v>
      </c>
      <c r="AN470" s="245">
        <f t="shared" si="66"/>
        <v>0</v>
      </c>
      <c r="AO470" s="245">
        <f t="shared" si="67"/>
        <v>7808330.7999936007</v>
      </c>
      <c r="AP470" s="176"/>
      <c r="AQ470" s="176"/>
      <c r="AR470">
        <v>4510</v>
      </c>
      <c r="AS470" t="s">
        <v>343</v>
      </c>
      <c r="AT470" t="s">
        <v>1151</v>
      </c>
      <c r="AU470" s="176">
        <v>6054618.9644360002</v>
      </c>
      <c r="AW470">
        <v>4510</v>
      </c>
      <c r="AX470" t="s">
        <v>343</v>
      </c>
      <c r="AY470" t="s">
        <v>1151</v>
      </c>
      <c r="AZ470" s="176">
        <v>6305337.2966630002</v>
      </c>
      <c r="BA470" s="342" t="str">
        <f t="shared" si="70"/>
        <v/>
      </c>
      <c r="BB470">
        <v>4510</v>
      </c>
      <c r="BC470" t="s">
        <v>343</v>
      </c>
      <c r="BD470" t="s">
        <v>1151</v>
      </c>
      <c r="BE470" s="243">
        <f t="shared" si="71"/>
        <v>11098888.801766401</v>
      </c>
    </row>
    <row r="471" spans="1:57">
      <c r="A471">
        <v>4510</v>
      </c>
      <c r="B471" t="s">
        <v>343</v>
      </c>
      <c r="C471" t="s">
        <v>1775</v>
      </c>
      <c r="D471" s="176">
        <v>69636629.114417002</v>
      </c>
      <c r="E471">
        <v>0</v>
      </c>
      <c r="G471">
        <v>4510</v>
      </c>
      <c r="H471" t="s">
        <v>343</v>
      </c>
      <c r="I471" t="s">
        <v>1775</v>
      </c>
      <c r="J471" s="176">
        <v>62685465.546659999</v>
      </c>
      <c r="K471">
        <v>0</v>
      </c>
      <c r="L471" s="342" t="str">
        <f t="shared" si="68"/>
        <v/>
      </c>
      <c r="M471">
        <v>4510</v>
      </c>
      <c r="N471" t="s">
        <v>343</v>
      </c>
      <c r="O471" t="s">
        <v>1775</v>
      </c>
      <c r="P471" s="243">
        <f t="shared" si="69"/>
        <v>119785001.551745</v>
      </c>
      <c r="S471">
        <v>4510</v>
      </c>
      <c r="T471" t="s">
        <v>343</v>
      </c>
      <c r="U471" t="s">
        <v>1775</v>
      </c>
      <c r="V471" s="176">
        <v>82339367.664444</v>
      </c>
      <c r="W471" s="176">
        <v>148698338.11108199</v>
      </c>
      <c r="X471" s="176">
        <v>0</v>
      </c>
      <c r="Y471" s="176">
        <v>802022.22222200001</v>
      </c>
      <c r="Z471" s="176"/>
      <c r="AA471">
        <v>4510</v>
      </c>
      <c r="AB471" s="176" t="s">
        <v>343</v>
      </c>
      <c r="AC471" s="176" t="s">
        <v>1775</v>
      </c>
      <c r="AD471" s="176">
        <v>82339367.664444</v>
      </c>
      <c r="AE471" s="176">
        <v>148698338.11108199</v>
      </c>
      <c r="AF471" s="176">
        <v>0</v>
      </c>
      <c r="AG471" s="176">
        <v>802022.22222200001</v>
      </c>
      <c r="AH471" s="342" t="str">
        <f t="shared" si="63"/>
        <v/>
      </c>
      <c r="AI471">
        <v>4510</v>
      </c>
      <c r="AJ471" t="s">
        <v>343</v>
      </c>
      <c r="AK471" t="s">
        <v>1775</v>
      </c>
      <c r="AL471" s="245">
        <f t="shared" si="64"/>
        <v>148210861.7959992</v>
      </c>
      <c r="AM471" s="245">
        <f t="shared" si="65"/>
        <v>267657008.59994757</v>
      </c>
      <c r="AN471" s="245">
        <f t="shared" si="66"/>
        <v>0</v>
      </c>
      <c r="AO471" s="245">
        <f t="shared" si="67"/>
        <v>1443639.9999996</v>
      </c>
      <c r="AP471" s="176"/>
      <c r="AQ471" s="176"/>
      <c r="AR471">
        <v>4510</v>
      </c>
      <c r="AS471" t="s">
        <v>343</v>
      </c>
      <c r="AT471" t="s">
        <v>1775</v>
      </c>
      <c r="AU471" s="176">
        <v>16015822.942218</v>
      </c>
      <c r="AW471">
        <v>4510</v>
      </c>
      <c r="AX471" t="s">
        <v>343</v>
      </c>
      <c r="AY471" t="s">
        <v>1775</v>
      </c>
      <c r="AZ471" s="176">
        <v>7935870.7788880002</v>
      </c>
      <c r="BA471" s="342" t="str">
        <f t="shared" si="70"/>
        <v/>
      </c>
      <c r="BB471">
        <v>4510</v>
      </c>
      <c r="BC471" t="s">
        <v>343</v>
      </c>
      <c r="BD471" t="s">
        <v>1775</v>
      </c>
      <c r="BE471" s="243">
        <f t="shared" si="71"/>
        <v>22364519.565328401</v>
      </c>
    </row>
    <row r="472" spans="1:57">
      <c r="A472">
        <v>4510</v>
      </c>
      <c r="B472" t="s">
        <v>343</v>
      </c>
      <c r="C472" t="s">
        <v>1980</v>
      </c>
      <c r="D472" s="176">
        <v>69371724.619975001</v>
      </c>
      <c r="E472">
        <v>0</v>
      </c>
      <c r="G472">
        <v>4510</v>
      </c>
      <c r="H472" t="s">
        <v>343</v>
      </c>
      <c r="I472" t="s">
        <v>1980</v>
      </c>
      <c r="J472" s="176">
        <v>22693114.596662998</v>
      </c>
      <c r="K472">
        <v>0</v>
      </c>
      <c r="L472" s="342" t="str">
        <f t="shared" si="68"/>
        <v/>
      </c>
      <c r="M472">
        <v>4510</v>
      </c>
      <c r="N472" t="s">
        <v>343</v>
      </c>
      <c r="O472" t="s">
        <v>1980</v>
      </c>
      <c r="P472" s="243">
        <f t="shared" si="69"/>
        <v>87526216.297305405</v>
      </c>
      <c r="S472">
        <v>4510</v>
      </c>
      <c r="T472" t="s">
        <v>343</v>
      </c>
      <c r="U472" t="s">
        <v>1980</v>
      </c>
      <c r="V472" s="176">
        <v>33570756.367776997</v>
      </c>
      <c r="W472" s="176">
        <v>115330475.51776201</v>
      </c>
      <c r="X472" s="176">
        <v>0</v>
      </c>
      <c r="Y472" s="176">
        <v>1231020</v>
      </c>
      <c r="Z472" s="176"/>
      <c r="AA472">
        <v>4510</v>
      </c>
      <c r="AB472" s="176" t="s">
        <v>343</v>
      </c>
      <c r="AC472" s="176" t="s">
        <v>1980</v>
      </c>
      <c r="AD472" s="176">
        <v>33570756.367776997</v>
      </c>
      <c r="AE472" s="176">
        <v>115330475.51776201</v>
      </c>
      <c r="AF472" s="176">
        <v>0</v>
      </c>
      <c r="AG472" s="176">
        <v>1231020</v>
      </c>
      <c r="AH472" s="342" t="str">
        <f t="shared" si="63"/>
        <v/>
      </c>
      <c r="AI472">
        <v>4510</v>
      </c>
      <c r="AJ472" t="s">
        <v>343</v>
      </c>
      <c r="AK472" t="s">
        <v>1980</v>
      </c>
      <c r="AL472" s="245">
        <f t="shared" si="64"/>
        <v>60427361.461998597</v>
      </c>
      <c r="AM472" s="245">
        <f t="shared" si="65"/>
        <v>207594855.93197161</v>
      </c>
      <c r="AN472" s="245">
        <f t="shared" si="66"/>
        <v>0</v>
      </c>
      <c r="AO472" s="245">
        <f t="shared" si="67"/>
        <v>2215836</v>
      </c>
      <c r="AP472" s="176"/>
      <c r="AQ472" s="176"/>
      <c r="AR472">
        <v>4510</v>
      </c>
      <c r="AS472" t="s">
        <v>343</v>
      </c>
      <c r="AT472" t="s">
        <v>1980</v>
      </c>
      <c r="AU472" s="176">
        <v>7302922.0999950003</v>
      </c>
      <c r="AW472">
        <v>4510</v>
      </c>
      <c r="AX472" t="s">
        <v>343</v>
      </c>
      <c r="AY472" t="s">
        <v>1980</v>
      </c>
      <c r="AZ472" s="176">
        <v>2506062.197776</v>
      </c>
      <c r="BA472" s="342" t="str">
        <f t="shared" si="70"/>
        <v/>
      </c>
      <c r="BB472">
        <v>4510</v>
      </c>
      <c r="BC472" t="s">
        <v>343</v>
      </c>
      <c r="BD472" t="s">
        <v>1980</v>
      </c>
      <c r="BE472" s="243">
        <f t="shared" si="71"/>
        <v>9307771.8582158014</v>
      </c>
    </row>
    <row r="473" spans="1:57">
      <c r="A473">
        <v>5000</v>
      </c>
      <c r="B473" t="s">
        <v>344</v>
      </c>
      <c r="C473" t="s">
        <v>1165</v>
      </c>
      <c r="D473" s="176">
        <v>373102840.19322598</v>
      </c>
      <c r="E473">
        <v>0</v>
      </c>
      <c r="G473">
        <v>5000</v>
      </c>
      <c r="H473" t="s">
        <v>344</v>
      </c>
      <c r="I473" t="s">
        <v>1165</v>
      </c>
      <c r="J473" s="176">
        <v>194269435.31219199</v>
      </c>
      <c r="K473">
        <v>0</v>
      </c>
      <c r="L473" s="342" t="str">
        <f t="shared" si="68"/>
        <v/>
      </c>
      <c r="M473">
        <v>5000</v>
      </c>
      <c r="N473" t="s">
        <v>344</v>
      </c>
      <c r="O473" t="s">
        <v>1165</v>
      </c>
      <c r="P473" s="243">
        <f t="shared" si="69"/>
        <v>528518388.44297957</v>
      </c>
      <c r="S473">
        <v>5000</v>
      </c>
      <c r="T473" t="s">
        <v>344</v>
      </c>
      <c r="U473" t="s">
        <v>1165</v>
      </c>
      <c r="V473" s="176">
        <v>84693795.516663998</v>
      </c>
      <c r="W473" s="176">
        <v>238987709.90439901</v>
      </c>
      <c r="X473" s="176">
        <v>0</v>
      </c>
      <c r="Y473" s="176">
        <v>35752118.677775003</v>
      </c>
      <c r="Z473" s="176"/>
      <c r="AA473">
        <v>5000</v>
      </c>
      <c r="AB473" s="176" t="s">
        <v>344</v>
      </c>
      <c r="AC473" s="176" t="s">
        <v>1165</v>
      </c>
      <c r="AD473" s="176">
        <v>84693795.516663998</v>
      </c>
      <c r="AE473" s="176">
        <v>238987709.90439901</v>
      </c>
      <c r="AF473" s="176">
        <v>0</v>
      </c>
      <c r="AG473" s="176">
        <v>35752118.677775003</v>
      </c>
      <c r="AH473" s="342" t="str">
        <f t="shared" si="63"/>
        <v/>
      </c>
      <c r="AI473">
        <v>5000</v>
      </c>
      <c r="AJ473" t="s">
        <v>344</v>
      </c>
      <c r="AK473" t="s">
        <v>1165</v>
      </c>
      <c r="AL473" s="245">
        <f t="shared" si="64"/>
        <v>152448831.92999518</v>
      </c>
      <c r="AM473" s="245">
        <f t="shared" si="65"/>
        <v>430177877.82791823</v>
      </c>
      <c r="AN473" s="245">
        <f t="shared" si="66"/>
        <v>0</v>
      </c>
      <c r="AO473" s="245">
        <f t="shared" si="67"/>
        <v>64353813.619995005</v>
      </c>
      <c r="AP473" s="176"/>
      <c r="AQ473" s="176"/>
      <c r="AR473">
        <v>5000</v>
      </c>
      <c r="AS473" t="s">
        <v>344</v>
      </c>
      <c r="AT473" t="s">
        <v>1165</v>
      </c>
      <c r="AU473" s="176">
        <v>33806049.771099001</v>
      </c>
      <c r="AW473">
        <v>5000</v>
      </c>
      <c r="AX473" t="s">
        <v>344</v>
      </c>
      <c r="AY473" t="s">
        <v>1165</v>
      </c>
      <c r="AZ473" s="176">
        <v>62337481.018881999</v>
      </c>
      <c r="BA473" s="342" t="str">
        <f t="shared" si="70"/>
        <v/>
      </c>
      <c r="BB473">
        <v>5000</v>
      </c>
      <c r="BC473" t="s">
        <v>344</v>
      </c>
      <c r="BD473" t="s">
        <v>1165</v>
      </c>
      <c r="BE473" s="243">
        <f t="shared" si="71"/>
        <v>83676034.586204603</v>
      </c>
    </row>
    <row r="474" spans="1:57">
      <c r="A474">
        <v>5000</v>
      </c>
      <c r="B474" t="s">
        <v>344</v>
      </c>
      <c r="C474" t="s">
        <v>1981</v>
      </c>
      <c r="D474" s="176">
        <v>127405940.695509</v>
      </c>
      <c r="E474">
        <v>0</v>
      </c>
      <c r="G474">
        <v>5000</v>
      </c>
      <c r="H474" t="s">
        <v>344</v>
      </c>
      <c r="I474" t="s">
        <v>1981</v>
      </c>
      <c r="J474" s="176">
        <v>31579365.266658999</v>
      </c>
      <c r="K474">
        <v>0</v>
      </c>
      <c r="L474" s="342" t="str">
        <f t="shared" si="68"/>
        <v/>
      </c>
      <c r="M474">
        <v>5000</v>
      </c>
      <c r="N474" t="s">
        <v>344</v>
      </c>
      <c r="O474" t="s">
        <v>1981</v>
      </c>
      <c r="P474" s="243">
        <f t="shared" si="69"/>
        <v>152669432.90883619</v>
      </c>
      <c r="S474">
        <v>5000</v>
      </c>
      <c r="T474" t="s">
        <v>344</v>
      </c>
      <c r="U474" t="s">
        <v>1981</v>
      </c>
      <c r="V474" s="176">
        <v>30531128.104442</v>
      </c>
      <c r="W474" s="176">
        <v>194087670.77330899</v>
      </c>
      <c r="X474" s="176">
        <v>1965600</v>
      </c>
      <c r="Y474" s="176">
        <v>18413049.444442999</v>
      </c>
      <c r="Z474" s="176"/>
      <c r="AA474">
        <v>5000</v>
      </c>
      <c r="AB474" s="176" t="s">
        <v>344</v>
      </c>
      <c r="AC474" s="176" t="s">
        <v>1981</v>
      </c>
      <c r="AD474" s="176">
        <v>30531128.104442</v>
      </c>
      <c r="AE474" s="176">
        <v>194087670.77330899</v>
      </c>
      <c r="AF474" s="176">
        <v>1965600</v>
      </c>
      <c r="AG474" s="176">
        <v>18413049.444442999</v>
      </c>
      <c r="AH474" s="342" t="str">
        <f t="shared" si="63"/>
        <v/>
      </c>
      <c r="AI474">
        <v>5000</v>
      </c>
      <c r="AJ474" t="s">
        <v>344</v>
      </c>
      <c r="AK474" t="s">
        <v>1981</v>
      </c>
      <c r="AL474" s="245">
        <f t="shared" si="64"/>
        <v>54956030.587995604</v>
      </c>
      <c r="AM474" s="245">
        <f t="shared" si="65"/>
        <v>349357807.39195621</v>
      </c>
      <c r="AN474" s="245">
        <f t="shared" si="66"/>
        <v>3538080</v>
      </c>
      <c r="AO474" s="245">
        <f t="shared" si="67"/>
        <v>33143488.9999974</v>
      </c>
      <c r="AP474" s="176"/>
      <c r="AQ474" s="176"/>
      <c r="AR474">
        <v>5000</v>
      </c>
      <c r="AS474" t="s">
        <v>344</v>
      </c>
      <c r="AT474" t="s">
        <v>1981</v>
      </c>
      <c r="AU474" s="176">
        <v>17380270.80666</v>
      </c>
      <c r="AW474">
        <v>5000</v>
      </c>
      <c r="AX474" t="s">
        <v>344</v>
      </c>
      <c r="AY474" t="s">
        <v>1981</v>
      </c>
      <c r="AZ474" s="176">
        <v>4260305.4211100005</v>
      </c>
      <c r="BA474" s="342" t="str">
        <f t="shared" si="70"/>
        <v/>
      </c>
      <c r="BB474">
        <v>5000</v>
      </c>
      <c r="BC474" t="s">
        <v>344</v>
      </c>
      <c r="BD474" t="s">
        <v>1981</v>
      </c>
      <c r="BE474" s="243">
        <f t="shared" si="71"/>
        <v>20788515.143548001</v>
      </c>
    </row>
    <row r="475" spans="1:57">
      <c r="A475">
        <v>5000</v>
      </c>
      <c r="B475" t="s">
        <v>344</v>
      </c>
      <c r="C475" t="s">
        <v>1582</v>
      </c>
      <c r="D475" s="176">
        <v>337249640.26213098</v>
      </c>
      <c r="E475">
        <v>0</v>
      </c>
      <c r="G475">
        <v>5000</v>
      </c>
      <c r="H475" t="s">
        <v>344</v>
      </c>
      <c r="I475" t="s">
        <v>1582</v>
      </c>
      <c r="J475" s="176">
        <v>230468926.716638</v>
      </c>
      <c r="K475">
        <v>0</v>
      </c>
      <c r="L475" s="342" t="str">
        <f t="shared" si="68"/>
        <v/>
      </c>
      <c r="M475">
        <v>5000</v>
      </c>
      <c r="N475" t="s">
        <v>344</v>
      </c>
      <c r="O475" t="s">
        <v>1582</v>
      </c>
      <c r="P475" s="243">
        <f t="shared" si="69"/>
        <v>521624781.63544142</v>
      </c>
      <c r="S475">
        <v>5000</v>
      </c>
      <c r="T475" t="s">
        <v>344</v>
      </c>
      <c r="U475" t="s">
        <v>1582</v>
      </c>
      <c r="V475" s="176">
        <v>99260692.384441003</v>
      </c>
      <c r="W475" s="176">
        <v>254481866.40326199</v>
      </c>
      <c r="X475" s="176">
        <v>2000000</v>
      </c>
      <c r="Y475" s="176">
        <v>64370375.862218</v>
      </c>
      <c r="Z475" s="176"/>
      <c r="AA475">
        <v>5000</v>
      </c>
      <c r="AB475" s="176" t="s">
        <v>344</v>
      </c>
      <c r="AC475" s="176" t="s">
        <v>1582</v>
      </c>
      <c r="AD475" s="176">
        <v>99260692.384441003</v>
      </c>
      <c r="AE475" s="176">
        <v>254481866.40326199</v>
      </c>
      <c r="AF475" s="176">
        <v>2000000</v>
      </c>
      <c r="AG475" s="176">
        <v>64370375.862218</v>
      </c>
      <c r="AH475" s="342" t="str">
        <f t="shared" si="63"/>
        <v/>
      </c>
      <c r="AI475">
        <v>5000</v>
      </c>
      <c r="AJ475" t="s">
        <v>344</v>
      </c>
      <c r="AK475" t="s">
        <v>1582</v>
      </c>
      <c r="AL475" s="245">
        <f t="shared" si="64"/>
        <v>178669246.2919938</v>
      </c>
      <c r="AM475" s="245">
        <f t="shared" si="65"/>
        <v>458067359.52587163</v>
      </c>
      <c r="AN475" s="245">
        <f t="shared" si="66"/>
        <v>3600000</v>
      </c>
      <c r="AO475" s="245">
        <f t="shared" si="67"/>
        <v>115866676.5519924</v>
      </c>
      <c r="AP475" s="176"/>
      <c r="AQ475" s="176"/>
      <c r="AR475">
        <v>5000</v>
      </c>
      <c r="AS475" t="s">
        <v>344</v>
      </c>
      <c r="AT475" t="s">
        <v>1582</v>
      </c>
      <c r="AU475" s="176">
        <v>21080267.306655999</v>
      </c>
      <c r="AW475">
        <v>5000</v>
      </c>
      <c r="AX475" t="s">
        <v>344</v>
      </c>
      <c r="AY475" t="s">
        <v>1582</v>
      </c>
      <c r="AZ475" s="176">
        <v>17622642.444442</v>
      </c>
      <c r="BA475" s="342" t="str">
        <f t="shared" si="70"/>
        <v/>
      </c>
      <c r="BB475">
        <v>5000</v>
      </c>
      <c r="BC475" t="s">
        <v>344</v>
      </c>
      <c r="BD475" t="s">
        <v>1582</v>
      </c>
      <c r="BE475" s="243">
        <f t="shared" si="71"/>
        <v>35178381.262209602</v>
      </c>
    </row>
    <row r="476" spans="1:57">
      <c r="A476">
        <v>5010</v>
      </c>
      <c r="B476" t="s">
        <v>345</v>
      </c>
      <c r="C476" t="s">
        <v>1982</v>
      </c>
      <c r="D476" s="176">
        <v>50129148.198867999</v>
      </c>
      <c r="E476">
        <v>0</v>
      </c>
      <c r="G476">
        <v>5010</v>
      </c>
      <c r="H476" t="s">
        <v>345</v>
      </c>
      <c r="I476" t="s">
        <v>1982</v>
      </c>
      <c r="J476" s="176">
        <v>4945756.4655520003</v>
      </c>
      <c r="K476">
        <v>0</v>
      </c>
      <c r="L476" s="342" t="str">
        <f t="shared" si="68"/>
        <v/>
      </c>
      <c r="M476">
        <v>5010</v>
      </c>
      <c r="N476" t="s">
        <v>345</v>
      </c>
      <c r="O476" t="s">
        <v>1982</v>
      </c>
      <c r="P476" s="243">
        <f t="shared" si="69"/>
        <v>54085753.371309601</v>
      </c>
      <c r="S476">
        <v>5010</v>
      </c>
      <c r="T476" t="s">
        <v>345</v>
      </c>
      <c r="U476" t="s">
        <v>1982</v>
      </c>
      <c r="V476" s="176">
        <v>18970408.459998999</v>
      </c>
      <c r="W476" s="176">
        <v>61133842.914419003</v>
      </c>
      <c r="X476" s="176">
        <v>1547200</v>
      </c>
      <c r="Y476" s="176">
        <v>2869330.42</v>
      </c>
      <c r="Z476" s="176"/>
      <c r="AA476">
        <v>5010</v>
      </c>
      <c r="AB476" s="176" t="s">
        <v>345</v>
      </c>
      <c r="AC476" s="176" t="s">
        <v>1982</v>
      </c>
      <c r="AD476" s="176">
        <v>18970408.459998999</v>
      </c>
      <c r="AE476" s="176">
        <v>61133842.914419003</v>
      </c>
      <c r="AF476" s="176">
        <v>1547200</v>
      </c>
      <c r="AG476" s="176">
        <v>2869330.42</v>
      </c>
      <c r="AH476" s="342" t="str">
        <f t="shared" si="63"/>
        <v/>
      </c>
      <c r="AI476">
        <v>5010</v>
      </c>
      <c r="AJ476" t="s">
        <v>345</v>
      </c>
      <c r="AK476" t="s">
        <v>1982</v>
      </c>
      <c r="AL476" s="245">
        <f t="shared" si="64"/>
        <v>34146735.227998197</v>
      </c>
      <c r="AM476" s="245">
        <f t="shared" si="65"/>
        <v>110040917.24595422</v>
      </c>
      <c r="AN476" s="245">
        <f t="shared" si="66"/>
        <v>2784960</v>
      </c>
      <c r="AO476" s="245">
        <f t="shared" si="67"/>
        <v>5164794.7560000001</v>
      </c>
      <c r="AP476" s="176"/>
      <c r="AQ476" s="176"/>
      <c r="AR476">
        <v>5010</v>
      </c>
      <c r="AS476" t="s">
        <v>345</v>
      </c>
      <c r="AT476" t="s">
        <v>1982</v>
      </c>
      <c r="AU476" s="176">
        <v>1014428.3155509999</v>
      </c>
      <c r="AW476">
        <v>5010</v>
      </c>
      <c r="AX476" t="s">
        <v>345</v>
      </c>
      <c r="AY476" t="s">
        <v>1982</v>
      </c>
      <c r="AZ476" s="176">
        <v>682334.52999900002</v>
      </c>
      <c r="BA476" s="342" t="str">
        <f t="shared" si="70"/>
        <v/>
      </c>
      <c r="BB476">
        <v>5010</v>
      </c>
      <c r="BC476" t="s">
        <v>345</v>
      </c>
      <c r="BD476" t="s">
        <v>1982</v>
      </c>
      <c r="BE476" s="243">
        <f t="shared" si="71"/>
        <v>1560295.9395502</v>
      </c>
    </row>
    <row r="477" spans="1:57">
      <c r="A477">
        <v>5010</v>
      </c>
      <c r="B477" t="s">
        <v>345</v>
      </c>
      <c r="C477" t="s">
        <v>1166</v>
      </c>
      <c r="D477" s="176">
        <v>197633086.48436099</v>
      </c>
      <c r="E477">
        <v>0</v>
      </c>
      <c r="G477">
        <v>5010</v>
      </c>
      <c r="H477" t="s">
        <v>345</v>
      </c>
      <c r="I477" t="s">
        <v>1166</v>
      </c>
      <c r="J477" s="176">
        <v>100914728.66998</v>
      </c>
      <c r="K477">
        <v>0</v>
      </c>
      <c r="L477" s="342" t="str">
        <f t="shared" si="68"/>
        <v/>
      </c>
      <c r="M477">
        <v>5010</v>
      </c>
      <c r="N477" t="s">
        <v>345</v>
      </c>
      <c r="O477" t="s">
        <v>1166</v>
      </c>
      <c r="P477" s="243">
        <f t="shared" si="69"/>
        <v>278364869.42034501</v>
      </c>
      <c r="S477">
        <v>5010</v>
      </c>
      <c r="T477" t="s">
        <v>345</v>
      </c>
      <c r="U477" t="s">
        <v>1166</v>
      </c>
      <c r="V477" s="176">
        <v>76986800.579998001</v>
      </c>
      <c r="W477" s="176">
        <v>185953115.314401</v>
      </c>
      <c r="X477" s="176">
        <v>1012320</v>
      </c>
      <c r="Y477" s="176">
        <v>12774464.358887</v>
      </c>
      <c r="Z477" s="176"/>
      <c r="AA477">
        <v>5010</v>
      </c>
      <c r="AB477" s="176" t="s">
        <v>345</v>
      </c>
      <c r="AC477" s="176" t="s">
        <v>1166</v>
      </c>
      <c r="AD477" s="176">
        <v>76986800.579998001</v>
      </c>
      <c r="AE477" s="176">
        <v>185953115.314401</v>
      </c>
      <c r="AF477" s="176">
        <v>1012320</v>
      </c>
      <c r="AG477" s="176">
        <v>12774464.358887</v>
      </c>
      <c r="AH477" s="342" t="str">
        <f t="shared" si="63"/>
        <v/>
      </c>
      <c r="AI477">
        <v>5010</v>
      </c>
      <c r="AJ477" t="s">
        <v>345</v>
      </c>
      <c r="AK477" t="s">
        <v>1166</v>
      </c>
      <c r="AL477" s="245">
        <f t="shared" si="64"/>
        <v>138576241.04399639</v>
      </c>
      <c r="AM477" s="245">
        <f t="shared" si="65"/>
        <v>334715607.56592178</v>
      </c>
      <c r="AN477" s="245">
        <f t="shared" si="66"/>
        <v>1822176</v>
      </c>
      <c r="AO477" s="245">
        <f t="shared" si="67"/>
        <v>22994035.845996603</v>
      </c>
      <c r="AP477" s="176"/>
      <c r="AQ477" s="176"/>
      <c r="AR477">
        <v>5010</v>
      </c>
      <c r="AS477" t="s">
        <v>345</v>
      </c>
      <c r="AT477" t="s">
        <v>1166</v>
      </c>
      <c r="AU477" s="176">
        <v>4483241.239995</v>
      </c>
      <c r="AW477">
        <v>5010</v>
      </c>
      <c r="AX477" t="s">
        <v>345</v>
      </c>
      <c r="AY477" t="s">
        <v>1166</v>
      </c>
      <c r="AZ477" s="176">
        <v>3357773.4888849999</v>
      </c>
      <c r="BA477" s="342" t="str">
        <f t="shared" si="70"/>
        <v/>
      </c>
      <c r="BB477">
        <v>5010</v>
      </c>
      <c r="BC477" t="s">
        <v>345</v>
      </c>
      <c r="BD477" t="s">
        <v>1166</v>
      </c>
      <c r="BE477" s="243">
        <f t="shared" si="71"/>
        <v>7169460.031103</v>
      </c>
    </row>
    <row r="478" spans="1:57">
      <c r="A478">
        <v>5010</v>
      </c>
      <c r="B478" t="s">
        <v>345</v>
      </c>
      <c r="C478" t="s">
        <v>1776</v>
      </c>
      <c r="D478" s="176">
        <v>166337210.143233</v>
      </c>
      <c r="E478">
        <v>0</v>
      </c>
      <c r="G478">
        <v>5010</v>
      </c>
      <c r="H478" t="s">
        <v>345</v>
      </c>
      <c r="I478" t="s">
        <v>1776</v>
      </c>
      <c r="J478" s="176">
        <v>48136723.706649996</v>
      </c>
      <c r="K478">
        <v>0</v>
      </c>
      <c r="L478" s="342" t="str">
        <f t="shared" si="68"/>
        <v/>
      </c>
      <c r="M478">
        <v>5010</v>
      </c>
      <c r="N478" t="s">
        <v>345</v>
      </c>
      <c r="O478" t="s">
        <v>1776</v>
      </c>
      <c r="P478" s="243">
        <f t="shared" si="69"/>
        <v>204846589.10855299</v>
      </c>
      <c r="S478">
        <v>5010</v>
      </c>
      <c r="T478" t="s">
        <v>345</v>
      </c>
      <c r="U478" t="s">
        <v>1776</v>
      </c>
      <c r="V478" s="176">
        <v>79997144.911107004</v>
      </c>
      <c r="W478" s="176">
        <v>164884467.08216599</v>
      </c>
      <c r="X478" s="176">
        <v>0</v>
      </c>
      <c r="Y478" s="176">
        <v>16876669.299998999</v>
      </c>
      <c r="Z478" s="176"/>
      <c r="AA478">
        <v>5010</v>
      </c>
      <c r="AB478" s="176" t="s">
        <v>345</v>
      </c>
      <c r="AC478" s="176" t="s">
        <v>1776</v>
      </c>
      <c r="AD478" s="176">
        <v>79997144.911107004</v>
      </c>
      <c r="AE478" s="176">
        <v>164884467.08216599</v>
      </c>
      <c r="AF478" s="176">
        <v>0</v>
      </c>
      <c r="AG478" s="176">
        <v>16876669.299998999</v>
      </c>
      <c r="AH478" s="342" t="str">
        <f t="shared" si="63"/>
        <v/>
      </c>
      <c r="AI478">
        <v>5010</v>
      </c>
      <c r="AJ478" t="s">
        <v>345</v>
      </c>
      <c r="AK478" t="s">
        <v>1776</v>
      </c>
      <c r="AL478" s="245">
        <f t="shared" si="64"/>
        <v>143994860.83999261</v>
      </c>
      <c r="AM478" s="245">
        <f t="shared" si="65"/>
        <v>296792040.74789882</v>
      </c>
      <c r="AN478" s="245">
        <f t="shared" si="66"/>
        <v>0</v>
      </c>
      <c r="AO478" s="245">
        <f t="shared" si="67"/>
        <v>30378004.739998199</v>
      </c>
      <c r="AP478" s="176"/>
      <c r="AQ478" s="176"/>
      <c r="AR478">
        <v>5010</v>
      </c>
      <c r="AS478" t="s">
        <v>345</v>
      </c>
      <c r="AT478" t="s">
        <v>1776</v>
      </c>
      <c r="AU478" s="176">
        <v>5152700.9622179996</v>
      </c>
      <c r="AW478">
        <v>5010</v>
      </c>
      <c r="AX478" t="s">
        <v>345</v>
      </c>
      <c r="AY478" t="s">
        <v>1776</v>
      </c>
      <c r="AZ478" s="176">
        <v>1060893.9755539999</v>
      </c>
      <c r="BA478" s="342" t="str">
        <f t="shared" si="70"/>
        <v/>
      </c>
      <c r="BB478">
        <v>5010</v>
      </c>
      <c r="BC478" t="s">
        <v>345</v>
      </c>
      <c r="BD478" t="s">
        <v>1776</v>
      </c>
      <c r="BE478" s="243">
        <f t="shared" si="71"/>
        <v>6001416.1426611999</v>
      </c>
    </row>
    <row r="479" spans="1:57">
      <c r="A479">
        <v>5010</v>
      </c>
      <c r="B479" t="s">
        <v>345</v>
      </c>
      <c r="C479" t="s">
        <v>1167</v>
      </c>
      <c r="D479" s="176">
        <v>284675503.10990697</v>
      </c>
      <c r="E479">
        <v>0</v>
      </c>
      <c r="G479">
        <v>5010</v>
      </c>
      <c r="H479" t="s">
        <v>345</v>
      </c>
      <c r="I479" t="s">
        <v>1167</v>
      </c>
      <c r="J479" s="176">
        <v>120487482.778869</v>
      </c>
      <c r="K479">
        <v>0</v>
      </c>
      <c r="L479" s="342" t="str">
        <f t="shared" si="68"/>
        <v/>
      </c>
      <c r="M479">
        <v>5010</v>
      </c>
      <c r="N479" t="s">
        <v>345</v>
      </c>
      <c r="O479" t="s">
        <v>1167</v>
      </c>
      <c r="P479" s="243">
        <f t="shared" si="69"/>
        <v>381065489.33300221</v>
      </c>
      <c r="S479">
        <v>5010</v>
      </c>
      <c r="T479" t="s">
        <v>345</v>
      </c>
      <c r="U479" t="s">
        <v>1167</v>
      </c>
      <c r="V479" s="176">
        <v>90019074.651109993</v>
      </c>
      <c r="W479" s="176">
        <v>251167922.32105201</v>
      </c>
      <c r="X479" s="176">
        <v>663500</v>
      </c>
      <c r="Y479" s="176">
        <v>18905406.657775</v>
      </c>
      <c r="Z479" s="176"/>
      <c r="AA479">
        <v>5010</v>
      </c>
      <c r="AB479" s="176" t="s">
        <v>345</v>
      </c>
      <c r="AC479" s="176" t="s">
        <v>1167</v>
      </c>
      <c r="AD479" s="176">
        <v>90019074.651109993</v>
      </c>
      <c r="AE479" s="176">
        <v>251167922.32105201</v>
      </c>
      <c r="AF479" s="176">
        <v>663500</v>
      </c>
      <c r="AG479" s="176">
        <v>18905406.657775</v>
      </c>
      <c r="AH479" s="342" t="str">
        <f t="shared" si="63"/>
        <v/>
      </c>
      <c r="AI479">
        <v>5010</v>
      </c>
      <c r="AJ479" t="s">
        <v>345</v>
      </c>
      <c r="AK479" t="s">
        <v>1167</v>
      </c>
      <c r="AL479" s="245">
        <f t="shared" si="64"/>
        <v>162034334.37199801</v>
      </c>
      <c r="AM479" s="245">
        <f t="shared" si="65"/>
        <v>452102260.17789364</v>
      </c>
      <c r="AN479" s="245">
        <f t="shared" si="66"/>
        <v>1194300</v>
      </c>
      <c r="AO479" s="245">
        <f t="shared" si="67"/>
        <v>34029731.983994998</v>
      </c>
      <c r="AP479" s="176"/>
      <c r="AQ479" s="176"/>
      <c r="AR479">
        <v>5010</v>
      </c>
      <c r="AS479" t="s">
        <v>345</v>
      </c>
      <c r="AT479" t="s">
        <v>1167</v>
      </c>
      <c r="AU479" s="176">
        <v>9846889.8188749999</v>
      </c>
      <c r="AW479">
        <v>5010</v>
      </c>
      <c r="AX479" t="s">
        <v>345</v>
      </c>
      <c r="AY479" t="s">
        <v>1167</v>
      </c>
      <c r="AZ479" s="176">
        <v>50639948.192217998</v>
      </c>
      <c r="BA479" s="342" t="str">
        <f t="shared" si="70"/>
        <v/>
      </c>
      <c r="BB479">
        <v>5010</v>
      </c>
      <c r="BC479" t="s">
        <v>345</v>
      </c>
      <c r="BD479" t="s">
        <v>1167</v>
      </c>
      <c r="BE479" s="243">
        <f t="shared" si="71"/>
        <v>50358848.372649401</v>
      </c>
    </row>
    <row r="480" spans="1:57">
      <c r="A480">
        <v>5200</v>
      </c>
      <c r="B480" t="s">
        <v>346</v>
      </c>
      <c r="C480" t="s">
        <v>1169</v>
      </c>
      <c r="D480" s="176">
        <v>212014369.88883299</v>
      </c>
      <c r="E480">
        <v>0</v>
      </c>
      <c r="G480">
        <v>5200</v>
      </c>
      <c r="H480" t="s">
        <v>346</v>
      </c>
      <c r="I480" t="s">
        <v>1169</v>
      </c>
      <c r="J480" s="176">
        <v>105105471.909979</v>
      </c>
      <c r="K480">
        <v>0</v>
      </c>
      <c r="L480" s="342" t="str">
        <f t="shared" si="68"/>
        <v/>
      </c>
      <c r="M480">
        <v>5200</v>
      </c>
      <c r="N480" t="s">
        <v>346</v>
      </c>
      <c r="O480" t="s">
        <v>1169</v>
      </c>
      <c r="P480" s="243">
        <f t="shared" si="69"/>
        <v>296098747.41681617</v>
      </c>
      <c r="S480">
        <v>5200</v>
      </c>
      <c r="T480" t="s">
        <v>346</v>
      </c>
      <c r="U480" t="s">
        <v>1169</v>
      </c>
      <c r="V480" s="176">
        <v>98989859.055553004</v>
      </c>
      <c r="W480" s="176">
        <v>343421320.12774003</v>
      </c>
      <c r="X480" s="176">
        <v>0</v>
      </c>
      <c r="Y480" s="176">
        <v>47103975.237774</v>
      </c>
      <c r="Z480" s="176"/>
      <c r="AA480">
        <v>5200</v>
      </c>
      <c r="AB480" s="176" t="s">
        <v>346</v>
      </c>
      <c r="AC480" s="176" t="s">
        <v>1169</v>
      </c>
      <c r="AD480" s="176">
        <v>98989859.055553004</v>
      </c>
      <c r="AE480" s="176">
        <v>343421320.12774003</v>
      </c>
      <c r="AF480">
        <v>0</v>
      </c>
      <c r="AG480" s="176">
        <v>47103975.237774</v>
      </c>
      <c r="AH480" s="342" t="str">
        <f t="shared" si="63"/>
        <v/>
      </c>
      <c r="AI480">
        <v>5200</v>
      </c>
      <c r="AJ480" t="s">
        <v>346</v>
      </c>
      <c r="AK480" t="s">
        <v>1169</v>
      </c>
      <c r="AL480" s="245">
        <f t="shared" si="64"/>
        <v>178181746.29999542</v>
      </c>
      <c r="AM480" s="245">
        <f t="shared" si="65"/>
        <v>618158376.22993207</v>
      </c>
      <c r="AN480" s="245">
        <f t="shared" si="66"/>
        <v>0</v>
      </c>
      <c r="AO480" s="245">
        <f t="shared" si="67"/>
        <v>84787155.427993208</v>
      </c>
      <c r="AP480" s="176"/>
      <c r="AQ480" s="176"/>
      <c r="AR480">
        <v>5200</v>
      </c>
      <c r="AS480" t="s">
        <v>346</v>
      </c>
      <c r="AT480" t="s">
        <v>1169</v>
      </c>
      <c r="AU480" s="176">
        <v>42897289.775544003</v>
      </c>
      <c r="AW480">
        <v>5200</v>
      </c>
      <c r="AX480" t="s">
        <v>346</v>
      </c>
      <c r="AY480" t="s">
        <v>1169</v>
      </c>
      <c r="AZ480" s="176">
        <v>53378138.361106001</v>
      </c>
      <c r="BA480" s="342" t="str">
        <f t="shared" si="70"/>
        <v/>
      </c>
      <c r="BB480">
        <v>5200</v>
      </c>
      <c r="BC480" t="s">
        <v>346</v>
      </c>
      <c r="BD480" t="s">
        <v>1169</v>
      </c>
      <c r="BE480" s="243">
        <f t="shared" si="71"/>
        <v>85599800.464428812</v>
      </c>
    </row>
    <row r="481" spans="1:57">
      <c r="A481">
        <v>5200</v>
      </c>
      <c r="B481" t="s">
        <v>346</v>
      </c>
      <c r="C481" t="s">
        <v>1583</v>
      </c>
      <c r="D481" s="176">
        <v>183228227.16328499</v>
      </c>
      <c r="E481">
        <v>0</v>
      </c>
      <c r="G481">
        <v>5200</v>
      </c>
      <c r="H481" t="s">
        <v>346</v>
      </c>
      <c r="I481" t="s">
        <v>1583</v>
      </c>
      <c r="J481" s="176">
        <v>109541320.814428</v>
      </c>
      <c r="K481">
        <v>0</v>
      </c>
      <c r="L481" s="342" t="str">
        <f t="shared" si="68"/>
        <v/>
      </c>
      <c r="M481">
        <v>5200</v>
      </c>
      <c r="N481" t="s">
        <v>346</v>
      </c>
      <c r="O481" t="s">
        <v>1583</v>
      </c>
      <c r="P481" s="243">
        <f t="shared" si="69"/>
        <v>270861283.81482738</v>
      </c>
      <c r="S481">
        <v>5200</v>
      </c>
      <c r="T481" t="s">
        <v>346</v>
      </c>
      <c r="U481" t="s">
        <v>1583</v>
      </c>
      <c r="V481" s="176">
        <v>107471881.48333099</v>
      </c>
      <c r="W481" s="176">
        <v>412619982.37329203</v>
      </c>
      <c r="X481" s="176">
        <v>1000000</v>
      </c>
      <c r="Y481" s="176">
        <v>27979766.639998</v>
      </c>
      <c r="Z481" s="176"/>
      <c r="AA481">
        <v>5200</v>
      </c>
      <c r="AB481" s="176" t="s">
        <v>346</v>
      </c>
      <c r="AC481" s="176" t="s">
        <v>1583</v>
      </c>
      <c r="AD481" s="176">
        <v>107471881.48333099</v>
      </c>
      <c r="AE481" s="176">
        <v>412619982.37329203</v>
      </c>
      <c r="AF481">
        <v>1000000</v>
      </c>
      <c r="AG481" s="176">
        <v>27979766.639998</v>
      </c>
      <c r="AH481" s="342" t="str">
        <f t="shared" si="63"/>
        <v/>
      </c>
      <c r="AI481">
        <v>5200</v>
      </c>
      <c r="AJ481" t="s">
        <v>346</v>
      </c>
      <c r="AK481" t="s">
        <v>1583</v>
      </c>
      <c r="AL481" s="245">
        <f t="shared" si="64"/>
        <v>193449386.66999578</v>
      </c>
      <c r="AM481" s="245">
        <f t="shared" si="65"/>
        <v>742715968.27192569</v>
      </c>
      <c r="AN481" s="245">
        <f t="shared" si="66"/>
        <v>1800000</v>
      </c>
      <c r="AO481" s="245">
        <f t="shared" si="67"/>
        <v>50363579.951996401</v>
      </c>
      <c r="AP481" s="176"/>
      <c r="AQ481" s="176"/>
      <c r="AR481">
        <v>5200</v>
      </c>
      <c r="AS481" t="s">
        <v>346</v>
      </c>
      <c r="AT481" t="s">
        <v>1583</v>
      </c>
      <c r="AU481" s="176">
        <v>15197127.183328001</v>
      </c>
      <c r="AW481">
        <v>5200</v>
      </c>
      <c r="AX481" t="s">
        <v>346</v>
      </c>
      <c r="AY481" t="s">
        <v>1583</v>
      </c>
      <c r="AZ481" s="176">
        <v>11929714.727774</v>
      </c>
      <c r="BA481" s="342" t="str">
        <f t="shared" si="70"/>
        <v/>
      </c>
      <c r="BB481">
        <v>5200</v>
      </c>
      <c r="BC481" t="s">
        <v>346</v>
      </c>
      <c r="BD481" t="s">
        <v>1583</v>
      </c>
      <c r="BE481" s="243">
        <f t="shared" si="71"/>
        <v>24740898.9655472</v>
      </c>
    </row>
    <row r="482" spans="1:57">
      <c r="A482">
        <v>5200</v>
      </c>
      <c r="B482" t="s">
        <v>346</v>
      </c>
      <c r="C482" t="s">
        <v>1168</v>
      </c>
      <c r="D482" s="176">
        <v>214206300.29095501</v>
      </c>
      <c r="E482">
        <v>0</v>
      </c>
      <c r="G482">
        <v>5200</v>
      </c>
      <c r="H482" t="s">
        <v>346</v>
      </c>
      <c r="I482" t="s">
        <v>1168</v>
      </c>
      <c r="J482" s="176">
        <v>75454266.727759004</v>
      </c>
      <c r="K482">
        <v>0</v>
      </c>
      <c r="L482" s="342" t="str">
        <f t="shared" si="68"/>
        <v/>
      </c>
      <c r="M482">
        <v>5200</v>
      </c>
      <c r="N482" t="s">
        <v>346</v>
      </c>
      <c r="O482" t="s">
        <v>1168</v>
      </c>
      <c r="P482" s="243">
        <f t="shared" si="69"/>
        <v>274569713.67316222</v>
      </c>
      <c r="S482">
        <v>5200</v>
      </c>
      <c r="T482" t="s">
        <v>346</v>
      </c>
      <c r="U482" t="s">
        <v>1168</v>
      </c>
      <c r="V482" s="176">
        <v>74302117.706661001</v>
      </c>
      <c r="W482" s="176">
        <v>356190416.263264</v>
      </c>
      <c r="X482" s="176">
        <v>500000</v>
      </c>
      <c r="Y482" s="176">
        <v>43230499.944440998</v>
      </c>
      <c r="Z482" s="176"/>
      <c r="AA482">
        <v>5200</v>
      </c>
      <c r="AB482" s="176" t="s">
        <v>346</v>
      </c>
      <c r="AC482" s="176" t="s">
        <v>1168</v>
      </c>
      <c r="AD482" s="176">
        <v>74302117.706661001</v>
      </c>
      <c r="AE482" s="176">
        <v>356190416.263264</v>
      </c>
      <c r="AF482" s="176">
        <v>500000</v>
      </c>
      <c r="AG482" s="176">
        <v>43230499.944440998</v>
      </c>
      <c r="AH482" s="342" t="str">
        <f t="shared" si="63"/>
        <v/>
      </c>
      <c r="AI482">
        <v>5200</v>
      </c>
      <c r="AJ482" t="s">
        <v>346</v>
      </c>
      <c r="AK482" t="s">
        <v>1168</v>
      </c>
      <c r="AL482" s="245">
        <f t="shared" si="64"/>
        <v>133743811.8719898</v>
      </c>
      <c r="AM482" s="245">
        <f t="shared" si="65"/>
        <v>641142749.27387524</v>
      </c>
      <c r="AN482" s="245">
        <f t="shared" si="66"/>
        <v>900000</v>
      </c>
      <c r="AO482" s="245">
        <f t="shared" si="67"/>
        <v>77814899.899993807</v>
      </c>
      <c r="AP482" s="176"/>
      <c r="AQ482" s="176"/>
      <c r="AR482">
        <v>5200</v>
      </c>
      <c r="AS482" t="s">
        <v>346</v>
      </c>
      <c r="AT482" t="s">
        <v>1168</v>
      </c>
      <c r="AU482" s="176">
        <v>29144903.795543</v>
      </c>
      <c r="AW482">
        <v>5200</v>
      </c>
      <c r="AX482" t="s">
        <v>346</v>
      </c>
      <c r="AY482" t="s">
        <v>1168</v>
      </c>
      <c r="AZ482" s="176">
        <v>10948424.818886001</v>
      </c>
      <c r="BA482" s="342" t="str">
        <f t="shared" si="70"/>
        <v/>
      </c>
      <c r="BB482">
        <v>5200</v>
      </c>
      <c r="BC482" t="s">
        <v>346</v>
      </c>
      <c r="BD482" t="s">
        <v>1168</v>
      </c>
      <c r="BE482" s="243">
        <f t="shared" si="71"/>
        <v>37903643.650651798</v>
      </c>
    </row>
    <row r="483" spans="1:57">
      <c r="A483">
        <v>5200</v>
      </c>
      <c r="B483" t="s">
        <v>346</v>
      </c>
      <c r="C483" t="s">
        <v>1777</v>
      </c>
      <c r="D483" s="176">
        <v>59678684.461067997</v>
      </c>
      <c r="E483">
        <v>0</v>
      </c>
      <c r="G483">
        <v>5200</v>
      </c>
      <c r="H483" t="s">
        <v>346</v>
      </c>
      <c r="I483" t="s">
        <v>1777</v>
      </c>
      <c r="J483" s="176">
        <v>36319457.966661997</v>
      </c>
      <c r="K483">
        <v>0</v>
      </c>
      <c r="L483" s="342" t="str">
        <f t="shared" si="68"/>
        <v/>
      </c>
      <c r="M483">
        <v>5200</v>
      </c>
      <c r="N483" t="s">
        <v>346</v>
      </c>
      <c r="O483" t="s">
        <v>1777</v>
      </c>
      <c r="P483" s="243">
        <f t="shared" si="69"/>
        <v>88734250.834397599</v>
      </c>
      <c r="S483">
        <v>5200</v>
      </c>
      <c r="T483" t="s">
        <v>346</v>
      </c>
      <c r="U483" t="s">
        <v>1777</v>
      </c>
      <c r="V483" s="176">
        <v>23890052.782219</v>
      </c>
      <c r="W483" s="176">
        <v>82975146.561079994</v>
      </c>
      <c r="X483" s="176">
        <v>0</v>
      </c>
      <c r="Y483" s="176">
        <v>8784098.8888869993</v>
      </c>
      <c r="Z483" s="176"/>
      <c r="AA483">
        <v>5200</v>
      </c>
      <c r="AB483" s="176" t="s">
        <v>346</v>
      </c>
      <c r="AC483" s="176" t="s">
        <v>1777</v>
      </c>
      <c r="AD483" s="176">
        <v>23890052.782219</v>
      </c>
      <c r="AE483" s="176">
        <v>82975146.561079994</v>
      </c>
      <c r="AF483" s="176">
        <v>0</v>
      </c>
      <c r="AG483" s="176">
        <v>8784098.8888869993</v>
      </c>
      <c r="AH483" s="342" t="str">
        <f t="shared" si="63"/>
        <v/>
      </c>
      <c r="AI483">
        <v>5200</v>
      </c>
      <c r="AJ483" t="s">
        <v>346</v>
      </c>
      <c r="AK483" t="s">
        <v>1777</v>
      </c>
      <c r="AL483" s="245">
        <f t="shared" si="64"/>
        <v>43002095.007994205</v>
      </c>
      <c r="AM483" s="245">
        <f t="shared" si="65"/>
        <v>149355263.80994397</v>
      </c>
      <c r="AN483" s="245">
        <f t="shared" si="66"/>
        <v>0</v>
      </c>
      <c r="AO483" s="245">
        <f t="shared" si="67"/>
        <v>15811377.999996599</v>
      </c>
      <c r="AP483" s="176"/>
      <c r="AQ483" s="176"/>
      <c r="AR483">
        <v>5200</v>
      </c>
      <c r="AS483" t="s">
        <v>346</v>
      </c>
      <c r="AT483" t="s">
        <v>1777</v>
      </c>
      <c r="AU483" s="176">
        <v>1548028.6466610001</v>
      </c>
      <c r="AW483">
        <v>5200</v>
      </c>
      <c r="AX483" t="s">
        <v>346</v>
      </c>
      <c r="AY483" t="s">
        <v>1777</v>
      </c>
      <c r="AZ483" s="176">
        <v>1093603.4355550001</v>
      </c>
      <c r="BA483" s="342" t="str">
        <f t="shared" si="70"/>
        <v/>
      </c>
      <c r="BB483">
        <v>5200</v>
      </c>
      <c r="BC483" t="s">
        <v>346</v>
      </c>
      <c r="BD483" t="s">
        <v>1777</v>
      </c>
      <c r="BE483" s="243">
        <f t="shared" si="71"/>
        <v>2422911.3951050001</v>
      </c>
    </row>
    <row r="484" spans="1:57">
      <c r="A484">
        <v>5200</v>
      </c>
      <c r="B484" t="s">
        <v>346</v>
      </c>
      <c r="C484" t="s">
        <v>1983</v>
      </c>
      <c r="D484" s="176">
        <v>56465838.365521997</v>
      </c>
      <c r="E484">
        <v>0</v>
      </c>
      <c r="G484">
        <v>5200</v>
      </c>
      <c r="H484" t="s">
        <v>346</v>
      </c>
      <c r="I484" t="s">
        <v>1983</v>
      </c>
      <c r="J484" s="176">
        <v>9527054.6199939996</v>
      </c>
      <c r="K484">
        <v>0</v>
      </c>
      <c r="L484" s="342" t="str">
        <f t="shared" si="68"/>
        <v/>
      </c>
      <c r="M484">
        <v>5200</v>
      </c>
      <c r="N484" t="s">
        <v>346</v>
      </c>
      <c r="O484" t="s">
        <v>1983</v>
      </c>
      <c r="P484" s="243">
        <f t="shared" si="69"/>
        <v>64087482.061517194</v>
      </c>
      <c r="S484">
        <v>5200</v>
      </c>
      <c r="T484" t="s">
        <v>346</v>
      </c>
      <c r="U484" t="s">
        <v>1983</v>
      </c>
      <c r="V484" s="176">
        <v>16180051.333332</v>
      </c>
      <c r="W484" s="176">
        <v>73626890.753315002</v>
      </c>
      <c r="X484" s="176">
        <v>0</v>
      </c>
      <c r="Y484" s="176">
        <v>6519799.9999980005</v>
      </c>
      <c r="Z484" s="176"/>
      <c r="AA484">
        <v>5200</v>
      </c>
      <c r="AB484" s="176" t="s">
        <v>346</v>
      </c>
      <c r="AC484" s="176" t="s">
        <v>1983</v>
      </c>
      <c r="AD484" s="176">
        <v>16180051.333332</v>
      </c>
      <c r="AE484" s="176">
        <v>73626890.753315002</v>
      </c>
      <c r="AF484" s="176">
        <v>0</v>
      </c>
      <c r="AG484" s="176">
        <v>6519799.9999980005</v>
      </c>
      <c r="AH484" s="342" t="str">
        <f t="shared" si="63"/>
        <v/>
      </c>
      <c r="AI484">
        <v>5200</v>
      </c>
      <c r="AJ484" t="s">
        <v>346</v>
      </c>
      <c r="AK484" t="s">
        <v>1983</v>
      </c>
      <c r="AL484" s="245">
        <f t="shared" si="64"/>
        <v>29124092.399997599</v>
      </c>
      <c r="AM484" s="245">
        <f t="shared" si="65"/>
        <v>132528403.35596702</v>
      </c>
      <c r="AN484" s="245">
        <f t="shared" si="66"/>
        <v>0</v>
      </c>
      <c r="AO484" s="245">
        <f t="shared" si="67"/>
        <v>11735639.999996401</v>
      </c>
      <c r="AP484" s="176"/>
      <c r="AQ484" s="176"/>
      <c r="AR484">
        <v>5200</v>
      </c>
      <c r="AS484" t="s">
        <v>346</v>
      </c>
      <c r="AT484" t="s">
        <v>1983</v>
      </c>
      <c r="AU484" s="176">
        <v>1879027.2322190001</v>
      </c>
      <c r="AW484">
        <v>5200</v>
      </c>
      <c r="AX484" t="s">
        <v>346</v>
      </c>
      <c r="AY484" t="s">
        <v>1983</v>
      </c>
      <c r="AZ484" s="176">
        <v>0</v>
      </c>
      <c r="BA484" s="342" t="str">
        <f t="shared" si="70"/>
        <v/>
      </c>
      <c r="BB484">
        <v>5200</v>
      </c>
      <c r="BC484" t="s">
        <v>346</v>
      </c>
      <c r="BD484" t="s">
        <v>1983</v>
      </c>
      <c r="BE484" s="243">
        <f t="shared" si="71"/>
        <v>1879027.2322190001</v>
      </c>
    </row>
    <row r="485" spans="1:57">
      <c r="A485">
        <v>5210</v>
      </c>
      <c r="B485" t="s">
        <v>347</v>
      </c>
      <c r="C485" t="s">
        <v>1778</v>
      </c>
      <c r="D485" s="176">
        <v>247291319.82981199</v>
      </c>
      <c r="E485">
        <v>0</v>
      </c>
      <c r="G485">
        <v>5210</v>
      </c>
      <c r="H485" t="s">
        <v>347</v>
      </c>
      <c r="I485" t="s">
        <v>1778</v>
      </c>
      <c r="J485" s="176">
        <v>41654651.296650998</v>
      </c>
      <c r="K485">
        <v>0</v>
      </c>
      <c r="L485" s="342" t="str">
        <f t="shared" si="68"/>
        <v/>
      </c>
      <c r="M485">
        <v>5210</v>
      </c>
      <c r="N485" t="s">
        <v>347</v>
      </c>
      <c r="O485" t="s">
        <v>1778</v>
      </c>
      <c r="P485" s="243">
        <f t="shared" si="69"/>
        <v>280615040.86713278</v>
      </c>
      <c r="S485">
        <v>5210</v>
      </c>
      <c r="T485" t="s">
        <v>347</v>
      </c>
      <c r="U485" t="s">
        <v>1778</v>
      </c>
      <c r="V485" s="176">
        <v>188327887.25332299</v>
      </c>
      <c r="W485" s="176">
        <v>389146708.57546902</v>
      </c>
      <c r="X485" s="176">
        <v>3000000</v>
      </c>
      <c r="Y485" s="176">
        <v>14061568.555553</v>
      </c>
      <c r="Z485" s="176"/>
      <c r="AA485">
        <v>5210</v>
      </c>
      <c r="AB485" s="176" t="s">
        <v>347</v>
      </c>
      <c r="AC485" s="176" t="s">
        <v>1778</v>
      </c>
      <c r="AD485" s="176">
        <v>188327887.25332299</v>
      </c>
      <c r="AE485" s="176">
        <v>389146708.57546902</v>
      </c>
      <c r="AF485" s="176">
        <v>3000000</v>
      </c>
      <c r="AG485" s="176">
        <v>14061568.555553</v>
      </c>
      <c r="AH485" s="342" t="str">
        <f t="shared" si="63"/>
        <v/>
      </c>
      <c r="AI485">
        <v>5210</v>
      </c>
      <c r="AJ485" t="s">
        <v>347</v>
      </c>
      <c r="AK485" t="s">
        <v>1778</v>
      </c>
      <c r="AL485" s="245">
        <f t="shared" si="64"/>
        <v>338990197.0559814</v>
      </c>
      <c r="AM485" s="245">
        <f t="shared" si="65"/>
        <v>700464075.43584418</v>
      </c>
      <c r="AN485" s="245">
        <f t="shared" si="66"/>
        <v>5400000</v>
      </c>
      <c r="AO485" s="245">
        <f t="shared" si="67"/>
        <v>25310823.399995402</v>
      </c>
      <c r="AP485" s="176"/>
      <c r="AQ485" s="176"/>
      <c r="AR485">
        <v>5210</v>
      </c>
      <c r="AS485" t="s">
        <v>347</v>
      </c>
      <c r="AT485" t="s">
        <v>1778</v>
      </c>
      <c r="AU485" s="176">
        <v>5437065.3044389999</v>
      </c>
      <c r="AW485">
        <v>5210</v>
      </c>
      <c r="AX485" t="s">
        <v>347</v>
      </c>
      <c r="AY485" t="s">
        <v>1778</v>
      </c>
      <c r="AZ485" s="176">
        <v>2489736.963333</v>
      </c>
      <c r="BA485" s="342" t="str">
        <f t="shared" si="70"/>
        <v/>
      </c>
      <c r="BB485">
        <v>5210</v>
      </c>
      <c r="BC485" t="s">
        <v>347</v>
      </c>
      <c r="BD485" t="s">
        <v>1778</v>
      </c>
      <c r="BE485" s="243">
        <f t="shared" si="71"/>
        <v>7428854.8751053996</v>
      </c>
    </row>
    <row r="486" spans="1:57">
      <c r="A486">
        <v>5210</v>
      </c>
      <c r="B486" t="s">
        <v>347</v>
      </c>
      <c r="C486" t="s">
        <v>1173</v>
      </c>
      <c r="D486" s="176">
        <v>276943710.22215402</v>
      </c>
      <c r="E486">
        <v>0</v>
      </c>
      <c r="G486">
        <v>5210</v>
      </c>
      <c r="H486" t="s">
        <v>347</v>
      </c>
      <c r="I486" t="s">
        <v>1173</v>
      </c>
      <c r="J486" s="176">
        <v>68584668.792208001</v>
      </c>
      <c r="K486">
        <v>0</v>
      </c>
      <c r="L486" s="342" t="str">
        <f t="shared" si="68"/>
        <v/>
      </c>
      <c r="M486">
        <v>5210</v>
      </c>
      <c r="N486" t="s">
        <v>347</v>
      </c>
      <c r="O486" t="s">
        <v>1173</v>
      </c>
      <c r="P486" s="243">
        <f t="shared" si="69"/>
        <v>331811445.25592041</v>
      </c>
      <c r="S486">
        <v>5210</v>
      </c>
      <c r="T486" t="s">
        <v>347</v>
      </c>
      <c r="U486" t="s">
        <v>1173</v>
      </c>
      <c r="V486" s="176">
        <v>226978155.786659</v>
      </c>
      <c r="W486" s="176">
        <v>371805300.12218201</v>
      </c>
      <c r="X486" s="176">
        <v>2000000</v>
      </c>
      <c r="Y486" s="176">
        <v>64490276.323333003</v>
      </c>
      <c r="Z486" s="176"/>
      <c r="AA486">
        <v>5210</v>
      </c>
      <c r="AB486" s="176" t="s">
        <v>347</v>
      </c>
      <c r="AC486" s="176" t="s">
        <v>1173</v>
      </c>
      <c r="AD486" s="176">
        <v>226978155.786659</v>
      </c>
      <c r="AE486" s="176">
        <v>371805300.12218201</v>
      </c>
      <c r="AF486" s="176">
        <v>2000000</v>
      </c>
      <c r="AG486" s="176">
        <v>64490276.323333003</v>
      </c>
      <c r="AH486" s="342" t="str">
        <f t="shared" si="63"/>
        <v/>
      </c>
      <c r="AI486">
        <v>5210</v>
      </c>
      <c r="AJ486" t="s">
        <v>347</v>
      </c>
      <c r="AK486" t="s">
        <v>1173</v>
      </c>
      <c r="AL486" s="245">
        <f t="shared" si="64"/>
        <v>408560680.41598618</v>
      </c>
      <c r="AM486" s="245">
        <f t="shared" si="65"/>
        <v>669249540.21992755</v>
      </c>
      <c r="AN486" s="245">
        <f t="shared" si="66"/>
        <v>3600000</v>
      </c>
      <c r="AO486" s="245">
        <f t="shared" si="67"/>
        <v>116082497.3819994</v>
      </c>
      <c r="AP486" s="176"/>
      <c r="AQ486" s="176"/>
      <c r="AR486">
        <v>5210</v>
      </c>
      <c r="AS486" t="s">
        <v>347</v>
      </c>
      <c r="AT486" t="s">
        <v>1173</v>
      </c>
      <c r="AU486" s="176">
        <v>79989489.099989995</v>
      </c>
      <c r="AW486">
        <v>5210</v>
      </c>
      <c r="AX486" t="s">
        <v>347</v>
      </c>
      <c r="AY486" t="s">
        <v>1173</v>
      </c>
      <c r="AZ486" s="176">
        <v>6703982.2455540001</v>
      </c>
      <c r="BA486" s="342" t="str">
        <f t="shared" si="70"/>
        <v/>
      </c>
      <c r="BB486">
        <v>5210</v>
      </c>
      <c r="BC486" t="s">
        <v>347</v>
      </c>
      <c r="BD486" t="s">
        <v>1173</v>
      </c>
      <c r="BE486" s="243">
        <f t="shared" si="71"/>
        <v>85352674.89643319</v>
      </c>
    </row>
    <row r="487" spans="1:57">
      <c r="A487">
        <v>5210</v>
      </c>
      <c r="B487" t="s">
        <v>347</v>
      </c>
      <c r="C487" t="s">
        <v>1172</v>
      </c>
      <c r="D487" s="176">
        <v>1666416304.4765301</v>
      </c>
      <c r="E487">
        <v>0</v>
      </c>
      <c r="G487">
        <v>5210</v>
      </c>
      <c r="H487" t="s">
        <v>347</v>
      </c>
      <c r="I487" t="s">
        <v>1172</v>
      </c>
      <c r="J487" s="176">
        <v>1072005120.47884</v>
      </c>
      <c r="K487">
        <v>0</v>
      </c>
      <c r="L487" s="342" t="str">
        <f t="shared" si="68"/>
        <v/>
      </c>
      <c r="M487">
        <v>5210</v>
      </c>
      <c r="N487" t="s">
        <v>347</v>
      </c>
      <c r="O487" t="s">
        <v>1172</v>
      </c>
      <c r="P487" s="243">
        <f t="shared" si="69"/>
        <v>2524020400.859602</v>
      </c>
      <c r="S487">
        <v>5210</v>
      </c>
      <c r="T487" t="s">
        <v>347</v>
      </c>
      <c r="U487" t="s">
        <v>1172</v>
      </c>
      <c r="V487" s="176">
        <v>149512051.398886</v>
      </c>
      <c r="W487" s="176">
        <v>255112344.68441901</v>
      </c>
      <c r="X487" s="176">
        <v>0</v>
      </c>
      <c r="Y487" s="176">
        <v>71773981.859997004</v>
      </c>
      <c r="Z487" s="176"/>
      <c r="AA487">
        <v>5210</v>
      </c>
      <c r="AB487" s="176" t="s">
        <v>347</v>
      </c>
      <c r="AC487" s="176" t="s">
        <v>1172</v>
      </c>
      <c r="AD487" s="176">
        <v>149512051.398886</v>
      </c>
      <c r="AE487" s="176">
        <v>255112344.68441901</v>
      </c>
      <c r="AF487" s="176">
        <v>0</v>
      </c>
      <c r="AG487" s="176">
        <v>71773981.859997004</v>
      </c>
      <c r="AH487" s="342" t="str">
        <f t="shared" si="63"/>
        <v/>
      </c>
      <c r="AI487">
        <v>5210</v>
      </c>
      <c r="AJ487" t="s">
        <v>347</v>
      </c>
      <c r="AK487" t="s">
        <v>1172</v>
      </c>
      <c r="AL487" s="245">
        <f t="shared" si="64"/>
        <v>269121692.51799476</v>
      </c>
      <c r="AM487" s="245">
        <f t="shared" si="65"/>
        <v>459202220.43195426</v>
      </c>
      <c r="AN487" s="245">
        <f t="shared" si="66"/>
        <v>0</v>
      </c>
      <c r="AO487" s="245">
        <f t="shared" si="67"/>
        <v>129193167.34799461</v>
      </c>
      <c r="AP487" s="176"/>
      <c r="AQ487" s="176"/>
      <c r="AR487">
        <v>5210</v>
      </c>
      <c r="AS487" t="s">
        <v>347</v>
      </c>
      <c r="AT487" t="s">
        <v>1172</v>
      </c>
      <c r="AU487" s="176">
        <v>93034809.978881001</v>
      </c>
      <c r="AW487">
        <v>5210</v>
      </c>
      <c r="AX487" t="s">
        <v>347</v>
      </c>
      <c r="AY487" t="s">
        <v>1172</v>
      </c>
      <c r="AZ487" s="176">
        <v>92107129.335554004</v>
      </c>
      <c r="BA487" s="342" t="str">
        <f t="shared" si="70"/>
        <v/>
      </c>
      <c r="BB487">
        <v>5210</v>
      </c>
      <c r="BC487" t="s">
        <v>347</v>
      </c>
      <c r="BD487" t="s">
        <v>1172</v>
      </c>
      <c r="BE487" s="243">
        <f t="shared" si="71"/>
        <v>166720513.44732422</v>
      </c>
    </row>
    <row r="488" spans="1:57">
      <c r="A488">
        <v>5210</v>
      </c>
      <c r="B488" t="s">
        <v>347</v>
      </c>
      <c r="C488" t="s">
        <v>1170</v>
      </c>
      <c r="D488" s="176">
        <v>278269647.60213298</v>
      </c>
      <c r="E488">
        <v>0</v>
      </c>
      <c r="G488">
        <v>5210</v>
      </c>
      <c r="H488" t="s">
        <v>347</v>
      </c>
      <c r="I488" t="s">
        <v>1170</v>
      </c>
      <c r="J488" s="176">
        <v>89819244.996650994</v>
      </c>
      <c r="K488">
        <v>0</v>
      </c>
      <c r="L488" s="342" t="str">
        <f t="shared" si="68"/>
        <v/>
      </c>
      <c r="M488">
        <v>5210</v>
      </c>
      <c r="N488" t="s">
        <v>347</v>
      </c>
      <c r="O488" t="s">
        <v>1170</v>
      </c>
      <c r="P488" s="243">
        <f t="shared" si="69"/>
        <v>350125043.59945381</v>
      </c>
      <c r="S488">
        <v>5210</v>
      </c>
      <c r="T488" t="s">
        <v>347</v>
      </c>
      <c r="U488" t="s">
        <v>1170</v>
      </c>
      <c r="V488" s="176">
        <v>166391346.00666201</v>
      </c>
      <c r="W488" s="176">
        <v>625510558.35327697</v>
      </c>
      <c r="X488" s="176">
        <v>3149750</v>
      </c>
      <c r="Y488" s="176">
        <v>16863572.22222</v>
      </c>
      <c r="Z488" s="176"/>
      <c r="AA488">
        <v>5210</v>
      </c>
      <c r="AB488" s="176" t="s">
        <v>347</v>
      </c>
      <c r="AC488" s="176" t="s">
        <v>1170</v>
      </c>
      <c r="AD488" s="176">
        <v>166391346.00666201</v>
      </c>
      <c r="AE488" s="176">
        <v>625510558.35327697</v>
      </c>
      <c r="AF488" s="176">
        <v>3149750</v>
      </c>
      <c r="AG488" s="176">
        <v>16863572.22222</v>
      </c>
      <c r="AH488" s="342" t="str">
        <f t="shared" si="63"/>
        <v/>
      </c>
      <c r="AI488">
        <v>5210</v>
      </c>
      <c r="AJ488" t="s">
        <v>347</v>
      </c>
      <c r="AK488" t="s">
        <v>1170</v>
      </c>
      <c r="AL488" s="245">
        <f t="shared" si="64"/>
        <v>299504422.81199163</v>
      </c>
      <c r="AM488" s="245">
        <f t="shared" si="65"/>
        <v>1125919005.0358987</v>
      </c>
      <c r="AN488" s="245">
        <f t="shared" si="66"/>
        <v>5669550</v>
      </c>
      <c r="AO488" s="245">
        <f t="shared" si="67"/>
        <v>30354429.999995999</v>
      </c>
      <c r="AP488" s="176"/>
      <c r="AQ488" s="176"/>
      <c r="AR488">
        <v>5210</v>
      </c>
      <c r="AS488" t="s">
        <v>347</v>
      </c>
      <c r="AT488" t="s">
        <v>1170</v>
      </c>
      <c r="AU488" s="176">
        <v>22073676.055543002</v>
      </c>
      <c r="AW488">
        <v>5210</v>
      </c>
      <c r="AX488" t="s">
        <v>347</v>
      </c>
      <c r="AY488" t="s">
        <v>1170</v>
      </c>
      <c r="AZ488" s="176">
        <v>5910687.4877770003</v>
      </c>
      <c r="BA488" s="342" t="str">
        <f t="shared" si="70"/>
        <v/>
      </c>
      <c r="BB488">
        <v>5210</v>
      </c>
      <c r="BC488" t="s">
        <v>347</v>
      </c>
      <c r="BD488" t="s">
        <v>1170</v>
      </c>
      <c r="BE488" s="243">
        <f t="shared" si="71"/>
        <v>26802226.045764603</v>
      </c>
    </row>
    <row r="489" spans="1:57">
      <c r="A489">
        <v>5220</v>
      </c>
      <c r="B489" t="s">
        <v>348</v>
      </c>
      <c r="C489" t="s">
        <v>1171</v>
      </c>
      <c r="D489" s="176">
        <v>200605325.31547099</v>
      </c>
      <c r="E489">
        <v>0</v>
      </c>
      <c r="G489">
        <v>5220</v>
      </c>
      <c r="H489" t="s">
        <v>348</v>
      </c>
      <c r="I489" t="s">
        <v>1171</v>
      </c>
      <c r="J489" s="176">
        <v>110693880.31664801</v>
      </c>
      <c r="K489">
        <v>0</v>
      </c>
      <c r="L489" s="342" t="str">
        <f t="shared" si="68"/>
        <v/>
      </c>
      <c r="M489">
        <v>5220</v>
      </c>
      <c r="N489" t="s">
        <v>348</v>
      </c>
      <c r="O489" t="s">
        <v>1171</v>
      </c>
      <c r="P489" s="243">
        <f t="shared" si="69"/>
        <v>289160429.56878942</v>
      </c>
      <c r="S489">
        <v>5220</v>
      </c>
      <c r="T489" t="s">
        <v>348</v>
      </c>
      <c r="U489" t="s">
        <v>1171</v>
      </c>
      <c r="V489" s="176">
        <v>246223480.85221499</v>
      </c>
      <c r="W489" s="176">
        <v>350473454.66663402</v>
      </c>
      <c r="X489" s="176">
        <v>0</v>
      </c>
      <c r="Y489" s="176">
        <v>25440323.899996001</v>
      </c>
      <c r="Z489" s="176"/>
      <c r="AA489">
        <v>5220</v>
      </c>
      <c r="AB489" s="176" t="s">
        <v>348</v>
      </c>
      <c r="AC489" s="176" t="s">
        <v>1171</v>
      </c>
      <c r="AD489" s="176">
        <v>246223480.85221499</v>
      </c>
      <c r="AE489" s="176">
        <v>350473454.66663402</v>
      </c>
      <c r="AF489" s="176">
        <v>0</v>
      </c>
      <c r="AG489" s="176">
        <v>25440323.899996001</v>
      </c>
      <c r="AH489" s="342" t="str">
        <f t="shared" si="63"/>
        <v/>
      </c>
      <c r="AI489">
        <v>5220</v>
      </c>
      <c r="AJ489" t="s">
        <v>348</v>
      </c>
      <c r="AK489" t="s">
        <v>1171</v>
      </c>
      <c r="AL489" s="245">
        <f t="shared" si="64"/>
        <v>443202265.53398699</v>
      </c>
      <c r="AM489" s="245">
        <f t="shared" si="65"/>
        <v>630852218.39994121</v>
      </c>
      <c r="AN489" s="245">
        <f t="shared" si="66"/>
        <v>0</v>
      </c>
      <c r="AO489" s="245">
        <f t="shared" si="67"/>
        <v>45792583.019992799</v>
      </c>
      <c r="AP489" s="176"/>
      <c r="AQ489" s="176"/>
      <c r="AR489">
        <v>5220</v>
      </c>
      <c r="AS489" t="s">
        <v>348</v>
      </c>
      <c r="AT489" t="s">
        <v>1171</v>
      </c>
      <c r="AU489" s="176">
        <v>8908723.8422180004</v>
      </c>
      <c r="AW489">
        <v>5220</v>
      </c>
      <c r="AX489" t="s">
        <v>348</v>
      </c>
      <c r="AY489" t="s">
        <v>1171</v>
      </c>
      <c r="AZ489" s="176">
        <v>31905855.536665998</v>
      </c>
      <c r="BA489" s="342" t="str">
        <f t="shared" si="70"/>
        <v/>
      </c>
      <c r="BB489">
        <v>5220</v>
      </c>
      <c r="BC489" t="s">
        <v>348</v>
      </c>
      <c r="BD489" t="s">
        <v>1171</v>
      </c>
      <c r="BE489" s="243">
        <f t="shared" si="71"/>
        <v>34433408.271550804</v>
      </c>
    </row>
    <row r="490" spans="1:57">
      <c r="A490">
        <v>5220</v>
      </c>
      <c r="B490" t="s">
        <v>348</v>
      </c>
      <c r="C490" t="s">
        <v>1175</v>
      </c>
      <c r="D490" s="176">
        <v>366248692.91217101</v>
      </c>
      <c r="E490">
        <v>0</v>
      </c>
      <c r="G490">
        <v>5220</v>
      </c>
      <c r="H490" t="s">
        <v>348</v>
      </c>
      <c r="I490" t="s">
        <v>1175</v>
      </c>
      <c r="J490" s="176">
        <v>248460632.208882</v>
      </c>
      <c r="K490">
        <v>0</v>
      </c>
      <c r="L490" s="342" t="str">
        <f t="shared" si="68"/>
        <v/>
      </c>
      <c r="M490">
        <v>5220</v>
      </c>
      <c r="N490" t="s">
        <v>348</v>
      </c>
      <c r="O490" t="s">
        <v>1175</v>
      </c>
      <c r="P490" s="243">
        <f t="shared" si="69"/>
        <v>565017198.67927659</v>
      </c>
      <c r="S490">
        <v>5220</v>
      </c>
      <c r="T490" t="s">
        <v>348</v>
      </c>
      <c r="U490" t="s">
        <v>1175</v>
      </c>
      <c r="V490" s="176">
        <v>102034082.688887</v>
      </c>
      <c r="W490" s="176">
        <v>311490073.095532</v>
      </c>
      <c r="X490">
        <v>1000000</v>
      </c>
      <c r="Y490" s="176">
        <v>4100678.3333330001</v>
      </c>
      <c r="Z490" s="176"/>
      <c r="AA490">
        <v>5220</v>
      </c>
      <c r="AB490" s="176" t="s">
        <v>348</v>
      </c>
      <c r="AC490" s="176" t="s">
        <v>1175</v>
      </c>
      <c r="AD490" s="176">
        <v>102034082.688887</v>
      </c>
      <c r="AE490" s="176">
        <v>311490073.095532</v>
      </c>
      <c r="AF490">
        <v>1000000</v>
      </c>
      <c r="AG490" s="176">
        <v>4100678.3333330001</v>
      </c>
      <c r="AH490" s="342" t="str">
        <f t="shared" si="63"/>
        <v/>
      </c>
      <c r="AI490">
        <v>5220</v>
      </c>
      <c r="AJ490" t="s">
        <v>348</v>
      </c>
      <c r="AK490" t="s">
        <v>1175</v>
      </c>
      <c r="AL490" s="245">
        <f t="shared" si="64"/>
        <v>183661348.83999661</v>
      </c>
      <c r="AM490" s="245">
        <f t="shared" si="65"/>
        <v>560682131.57195759</v>
      </c>
      <c r="AN490" s="245">
        <f t="shared" si="66"/>
        <v>1800000</v>
      </c>
      <c r="AO490" s="245">
        <f t="shared" si="67"/>
        <v>7381220.9999994002</v>
      </c>
      <c r="AP490" s="176"/>
      <c r="AQ490" s="176"/>
      <c r="AR490">
        <v>5220</v>
      </c>
      <c r="AS490" t="s">
        <v>348</v>
      </c>
      <c r="AT490" t="s">
        <v>1175</v>
      </c>
      <c r="AU490" s="176">
        <v>31865785.968885001</v>
      </c>
      <c r="AW490">
        <v>5220</v>
      </c>
      <c r="AX490" t="s">
        <v>348</v>
      </c>
      <c r="AY490" t="s">
        <v>1175</v>
      </c>
      <c r="AZ490" s="176">
        <v>6926945.1466659997</v>
      </c>
      <c r="BA490" s="342" t="str">
        <f t="shared" si="70"/>
        <v/>
      </c>
      <c r="BB490">
        <v>5220</v>
      </c>
      <c r="BC490" t="s">
        <v>348</v>
      </c>
      <c r="BD490" t="s">
        <v>1175</v>
      </c>
      <c r="BE490" s="243">
        <f t="shared" si="71"/>
        <v>37407342.086217798</v>
      </c>
    </row>
    <row r="491" spans="1:57">
      <c r="A491">
        <v>5220</v>
      </c>
      <c r="B491" t="s">
        <v>348</v>
      </c>
      <c r="C491" t="s">
        <v>1780</v>
      </c>
      <c r="D491" s="176">
        <v>107681432.58878499</v>
      </c>
      <c r="E491">
        <v>0</v>
      </c>
      <c r="G491">
        <v>5220</v>
      </c>
      <c r="H491" t="s">
        <v>348</v>
      </c>
      <c r="I491" t="s">
        <v>1780</v>
      </c>
      <c r="J491" s="176">
        <v>20969523.228875998</v>
      </c>
      <c r="K491">
        <v>0</v>
      </c>
      <c r="L491" s="342" t="str">
        <f t="shared" si="68"/>
        <v/>
      </c>
      <c r="M491">
        <v>5220</v>
      </c>
      <c r="N491" t="s">
        <v>348</v>
      </c>
      <c r="O491" t="s">
        <v>1780</v>
      </c>
      <c r="P491" s="243">
        <f t="shared" si="69"/>
        <v>124457051.17188579</v>
      </c>
      <c r="S491">
        <v>5220</v>
      </c>
      <c r="T491" t="s">
        <v>348</v>
      </c>
      <c r="U491" t="s">
        <v>1780</v>
      </c>
      <c r="V491" s="176">
        <v>106875039.929996</v>
      </c>
      <c r="W491" s="176">
        <v>148903753.76774701</v>
      </c>
      <c r="X491" s="176">
        <v>0</v>
      </c>
      <c r="Y491" s="176">
        <v>7989018.8888879996</v>
      </c>
      <c r="Z491" s="176"/>
      <c r="AA491">
        <v>5220</v>
      </c>
      <c r="AB491" s="176" t="s">
        <v>348</v>
      </c>
      <c r="AC491" s="176" t="s">
        <v>1780</v>
      </c>
      <c r="AD491" s="176">
        <v>106875039.929996</v>
      </c>
      <c r="AE491" s="176">
        <v>148903753.76774701</v>
      </c>
      <c r="AF491" s="176">
        <v>0</v>
      </c>
      <c r="AG491" s="176">
        <v>7989018.8888879996</v>
      </c>
      <c r="AH491" s="342" t="str">
        <f t="shared" si="63"/>
        <v/>
      </c>
      <c r="AI491">
        <v>5220</v>
      </c>
      <c r="AJ491" t="s">
        <v>348</v>
      </c>
      <c r="AK491" t="s">
        <v>1780</v>
      </c>
      <c r="AL491" s="245">
        <f t="shared" si="64"/>
        <v>192375071.8739928</v>
      </c>
      <c r="AM491" s="245">
        <f t="shared" si="65"/>
        <v>268026756.78194463</v>
      </c>
      <c r="AN491" s="245">
        <f t="shared" si="66"/>
        <v>0</v>
      </c>
      <c r="AO491" s="245">
        <f t="shared" si="67"/>
        <v>14380233.9999984</v>
      </c>
      <c r="AP491" s="176"/>
      <c r="AQ491" s="176"/>
      <c r="AR491">
        <v>5220</v>
      </c>
      <c r="AS491" t="s">
        <v>348</v>
      </c>
      <c r="AT491" t="s">
        <v>1780</v>
      </c>
      <c r="AU491" s="176">
        <v>3206084.7344419998</v>
      </c>
      <c r="AW491">
        <v>5220</v>
      </c>
      <c r="AX491" t="s">
        <v>348</v>
      </c>
      <c r="AY491" t="s">
        <v>1780</v>
      </c>
      <c r="AZ491" s="176">
        <v>506294.35888800002</v>
      </c>
      <c r="BA491" s="342" t="str">
        <f t="shared" si="70"/>
        <v/>
      </c>
      <c r="BB491">
        <v>5220</v>
      </c>
      <c r="BC491" t="s">
        <v>348</v>
      </c>
      <c r="BD491" t="s">
        <v>1780</v>
      </c>
      <c r="BE491" s="243">
        <f t="shared" si="71"/>
        <v>3611120.2215523999</v>
      </c>
    </row>
    <row r="492" spans="1:57">
      <c r="A492">
        <v>5220</v>
      </c>
      <c r="B492" t="s">
        <v>348</v>
      </c>
      <c r="C492" t="s">
        <v>1176</v>
      </c>
      <c r="D492" s="176">
        <v>250149561.37880799</v>
      </c>
      <c r="E492">
        <v>0</v>
      </c>
      <c r="G492">
        <v>5220</v>
      </c>
      <c r="H492" t="s">
        <v>348</v>
      </c>
      <c r="I492" t="s">
        <v>1176</v>
      </c>
      <c r="J492" s="176">
        <v>187730485.24330401</v>
      </c>
      <c r="K492">
        <v>0</v>
      </c>
      <c r="L492" s="342" t="str">
        <f t="shared" si="68"/>
        <v/>
      </c>
      <c r="M492">
        <v>5220</v>
      </c>
      <c r="N492" t="s">
        <v>348</v>
      </c>
      <c r="O492" t="s">
        <v>1176</v>
      </c>
      <c r="P492" s="243">
        <f t="shared" si="69"/>
        <v>400333949.57345122</v>
      </c>
      <c r="S492">
        <v>5220</v>
      </c>
      <c r="T492" t="s">
        <v>348</v>
      </c>
      <c r="U492" t="s">
        <v>1176</v>
      </c>
      <c r="V492" s="176">
        <v>63405890.974443004</v>
      </c>
      <c r="W492" s="176">
        <v>111266398.814427</v>
      </c>
      <c r="X492" s="176">
        <v>0</v>
      </c>
      <c r="Y492" s="176">
        <v>8558702.6666659992</v>
      </c>
      <c r="Z492" s="176"/>
      <c r="AA492">
        <v>5220</v>
      </c>
      <c r="AB492" s="176" t="s">
        <v>348</v>
      </c>
      <c r="AC492" s="176" t="s">
        <v>1176</v>
      </c>
      <c r="AD492" s="176">
        <v>63405890.974443004</v>
      </c>
      <c r="AE492" s="176">
        <v>111266398.814427</v>
      </c>
      <c r="AF492" s="176">
        <v>0</v>
      </c>
      <c r="AG492" s="176">
        <v>8558702.6666659992</v>
      </c>
      <c r="AH492" s="342" t="str">
        <f t="shared" si="63"/>
        <v/>
      </c>
      <c r="AI492">
        <v>5220</v>
      </c>
      <c r="AJ492" t="s">
        <v>348</v>
      </c>
      <c r="AK492" t="s">
        <v>1176</v>
      </c>
      <c r="AL492" s="245">
        <f t="shared" si="64"/>
        <v>114130603.75399742</v>
      </c>
      <c r="AM492" s="245">
        <f t="shared" si="65"/>
        <v>200279517.86596861</v>
      </c>
      <c r="AN492" s="245">
        <f t="shared" si="66"/>
        <v>0</v>
      </c>
      <c r="AO492" s="245">
        <f t="shared" si="67"/>
        <v>15405664.799998799</v>
      </c>
      <c r="AP492" s="176"/>
      <c r="AQ492" s="176"/>
      <c r="AR492">
        <v>5220</v>
      </c>
      <c r="AS492" t="s">
        <v>348</v>
      </c>
      <c r="AT492" t="s">
        <v>1176</v>
      </c>
      <c r="AU492" s="176">
        <v>1758604.5377770001</v>
      </c>
      <c r="AW492">
        <v>5220</v>
      </c>
      <c r="AX492" t="s">
        <v>348</v>
      </c>
      <c r="AY492" t="s">
        <v>1176</v>
      </c>
      <c r="AZ492">
        <v>3018334.8133330001</v>
      </c>
      <c r="BA492" s="342" t="str">
        <f t="shared" si="70"/>
        <v/>
      </c>
      <c r="BB492">
        <v>5220</v>
      </c>
      <c r="BC492" t="s">
        <v>348</v>
      </c>
      <c r="BD492" t="s">
        <v>1176</v>
      </c>
      <c r="BE492" s="243">
        <f t="shared" si="71"/>
        <v>4173272.3884434002</v>
      </c>
    </row>
    <row r="493" spans="1:57">
      <c r="A493">
        <v>5220</v>
      </c>
      <c r="B493" t="s">
        <v>348</v>
      </c>
      <c r="C493" t="s">
        <v>1779</v>
      </c>
      <c r="D493" s="176">
        <v>189842132.94549599</v>
      </c>
      <c r="E493">
        <v>0</v>
      </c>
      <c r="G493">
        <v>5220</v>
      </c>
      <c r="H493" t="s">
        <v>348</v>
      </c>
      <c r="I493" t="s">
        <v>1779</v>
      </c>
      <c r="J493" s="176">
        <v>101705352.555537</v>
      </c>
      <c r="K493">
        <v>0</v>
      </c>
      <c r="L493" s="342" t="str">
        <f t="shared" si="68"/>
        <v/>
      </c>
      <c r="M493">
        <v>5220</v>
      </c>
      <c r="N493" t="s">
        <v>348</v>
      </c>
      <c r="O493" t="s">
        <v>1779</v>
      </c>
      <c r="P493" s="243">
        <f t="shared" si="69"/>
        <v>271206414.98992562</v>
      </c>
      <c r="S493">
        <v>5220</v>
      </c>
      <c r="T493" t="s">
        <v>348</v>
      </c>
      <c r="U493" t="s">
        <v>1779</v>
      </c>
      <c r="V493" s="176">
        <v>74961350.599996999</v>
      </c>
      <c r="W493" s="176">
        <v>155829217.587742</v>
      </c>
      <c r="X493" s="176">
        <v>0</v>
      </c>
      <c r="Y493" s="176">
        <v>7853349.877777</v>
      </c>
      <c r="Z493" s="176"/>
      <c r="AA493">
        <v>5220</v>
      </c>
      <c r="AB493" s="176" t="s">
        <v>348</v>
      </c>
      <c r="AC493" s="176" t="s">
        <v>1779</v>
      </c>
      <c r="AD493" s="176">
        <v>74961350.599996999</v>
      </c>
      <c r="AE493" s="176">
        <v>155829217.587742</v>
      </c>
      <c r="AF493" s="176">
        <v>0</v>
      </c>
      <c r="AG493" s="176">
        <v>7853349.877777</v>
      </c>
      <c r="AH493" s="342" t="str">
        <f t="shared" si="63"/>
        <v/>
      </c>
      <c r="AI493">
        <v>5220</v>
      </c>
      <c r="AJ493" t="s">
        <v>348</v>
      </c>
      <c r="AK493" t="s">
        <v>1779</v>
      </c>
      <c r="AL493" s="245">
        <f t="shared" si="64"/>
        <v>134930431.07999462</v>
      </c>
      <c r="AM493" s="245">
        <f t="shared" si="65"/>
        <v>280492591.65793562</v>
      </c>
      <c r="AN493" s="245">
        <f t="shared" si="66"/>
        <v>0</v>
      </c>
      <c r="AO493" s="245">
        <f t="shared" si="67"/>
        <v>14136029.7799986</v>
      </c>
      <c r="AP493" s="176"/>
      <c r="AQ493" s="176"/>
      <c r="AR493">
        <v>5220</v>
      </c>
      <c r="AS493" t="s">
        <v>348</v>
      </c>
      <c r="AT493" t="s">
        <v>1779</v>
      </c>
      <c r="AU493" s="176">
        <v>8480714.5611060001</v>
      </c>
      <c r="AW493">
        <v>5220</v>
      </c>
      <c r="AX493" t="s">
        <v>348</v>
      </c>
      <c r="AY493" t="s">
        <v>1779</v>
      </c>
      <c r="AZ493" s="176">
        <v>61525752.182219997</v>
      </c>
      <c r="BA493" s="342" t="str">
        <f t="shared" si="70"/>
        <v/>
      </c>
      <c r="BB493">
        <v>5220</v>
      </c>
      <c r="BC493" t="s">
        <v>348</v>
      </c>
      <c r="BD493" t="s">
        <v>1779</v>
      </c>
      <c r="BE493" s="243">
        <f t="shared" si="71"/>
        <v>57701316.306881994</v>
      </c>
    </row>
    <row r="494" spans="1:57">
      <c r="A494">
        <v>5220</v>
      </c>
      <c r="B494" t="s">
        <v>348</v>
      </c>
      <c r="C494" t="s">
        <v>1174</v>
      </c>
      <c r="D494" s="176">
        <v>210504707.27770501</v>
      </c>
      <c r="E494">
        <v>0</v>
      </c>
      <c r="G494">
        <v>5220</v>
      </c>
      <c r="H494" t="s">
        <v>348</v>
      </c>
      <c r="I494" t="s">
        <v>1174</v>
      </c>
      <c r="J494" s="176">
        <v>154893220.39331999</v>
      </c>
      <c r="K494">
        <v>0</v>
      </c>
      <c r="L494" s="342" t="str">
        <f t="shared" si="68"/>
        <v/>
      </c>
      <c r="M494">
        <v>5220</v>
      </c>
      <c r="N494" t="s">
        <v>348</v>
      </c>
      <c r="O494" t="s">
        <v>1174</v>
      </c>
      <c r="P494" s="243">
        <f t="shared" si="69"/>
        <v>334419283.59236103</v>
      </c>
      <c r="S494">
        <v>5220</v>
      </c>
      <c r="T494" t="s">
        <v>348</v>
      </c>
      <c r="U494" t="s">
        <v>1174</v>
      </c>
      <c r="V494" s="176">
        <v>122199621.53110801</v>
      </c>
      <c r="W494" s="176">
        <v>373478132.60662103</v>
      </c>
      <c r="X494" s="176">
        <v>0</v>
      </c>
      <c r="Y494" s="176">
        <v>5349561.7777760001</v>
      </c>
      <c r="Z494" s="176"/>
      <c r="AA494">
        <v>5220</v>
      </c>
      <c r="AB494" s="176" t="s">
        <v>348</v>
      </c>
      <c r="AC494" s="176" t="s">
        <v>1174</v>
      </c>
      <c r="AD494" s="176">
        <v>122199621.53110801</v>
      </c>
      <c r="AE494" s="176">
        <v>373478132.60662103</v>
      </c>
      <c r="AF494" s="176">
        <v>0</v>
      </c>
      <c r="AG494" s="176">
        <v>5349561.7777760001</v>
      </c>
      <c r="AH494" s="342" t="str">
        <f t="shared" si="63"/>
        <v/>
      </c>
      <c r="AI494">
        <v>5220</v>
      </c>
      <c r="AJ494" t="s">
        <v>348</v>
      </c>
      <c r="AK494" t="s">
        <v>1174</v>
      </c>
      <c r="AL494" s="245">
        <f t="shared" si="64"/>
        <v>219959318.75599444</v>
      </c>
      <c r="AM494" s="245">
        <f t="shared" si="65"/>
        <v>672260638.6919179</v>
      </c>
      <c r="AN494" s="245">
        <f t="shared" si="66"/>
        <v>0</v>
      </c>
      <c r="AO494" s="245">
        <f t="shared" si="67"/>
        <v>9629211.1999967992</v>
      </c>
      <c r="AP494" s="176"/>
      <c r="AQ494" s="176"/>
      <c r="AR494">
        <v>5220</v>
      </c>
      <c r="AS494" t="s">
        <v>348</v>
      </c>
      <c r="AT494" t="s">
        <v>1174</v>
      </c>
      <c r="AU494" s="176">
        <v>85522693.148873001</v>
      </c>
      <c r="AW494">
        <v>5220</v>
      </c>
      <c r="AX494" t="s">
        <v>348</v>
      </c>
      <c r="AY494" t="s">
        <v>1174</v>
      </c>
      <c r="AZ494" s="176">
        <v>65075174.534441002</v>
      </c>
      <c r="BA494" s="342" t="str">
        <f t="shared" si="70"/>
        <v/>
      </c>
      <c r="BB494">
        <v>5220</v>
      </c>
      <c r="BC494" t="s">
        <v>348</v>
      </c>
      <c r="BD494" t="s">
        <v>1174</v>
      </c>
      <c r="BE494" s="243">
        <f t="shared" si="71"/>
        <v>137582832.77642581</v>
      </c>
    </row>
    <row r="495" spans="1:57">
      <c r="A495">
        <v>5230</v>
      </c>
      <c r="B495" t="s">
        <v>349</v>
      </c>
      <c r="C495" t="s">
        <v>1177</v>
      </c>
      <c r="D495" s="176">
        <v>544477745.52423096</v>
      </c>
      <c r="E495">
        <v>0</v>
      </c>
      <c r="G495">
        <v>5230</v>
      </c>
      <c r="H495" t="s">
        <v>349</v>
      </c>
      <c r="I495" t="s">
        <v>1177</v>
      </c>
      <c r="J495" s="176">
        <v>194792306.92330301</v>
      </c>
      <c r="K495">
        <v>0</v>
      </c>
      <c r="L495" s="342" t="str">
        <f t="shared" si="68"/>
        <v/>
      </c>
      <c r="M495">
        <v>5230</v>
      </c>
      <c r="N495" t="s">
        <v>349</v>
      </c>
      <c r="O495" t="s">
        <v>1177</v>
      </c>
      <c r="P495" s="243">
        <f t="shared" si="69"/>
        <v>700311591.06287336</v>
      </c>
      <c r="S495">
        <v>5230</v>
      </c>
      <c r="T495" t="s">
        <v>349</v>
      </c>
      <c r="U495" t="s">
        <v>1177</v>
      </c>
      <c r="V495" s="176">
        <v>337509443.40777099</v>
      </c>
      <c r="W495" s="176">
        <v>1246560296.7265601</v>
      </c>
      <c r="X495">
        <v>2703400</v>
      </c>
      <c r="Y495" s="176">
        <v>53207382.666662</v>
      </c>
      <c r="Z495" s="176"/>
      <c r="AA495">
        <v>5230</v>
      </c>
      <c r="AB495" s="176" t="s">
        <v>349</v>
      </c>
      <c r="AC495" s="176" t="s">
        <v>1177</v>
      </c>
      <c r="AD495" s="176">
        <v>337509443.40777099</v>
      </c>
      <c r="AE495" s="176">
        <v>1246560296.7265601</v>
      </c>
      <c r="AF495">
        <v>2703400</v>
      </c>
      <c r="AG495" s="176">
        <v>53207382.666662</v>
      </c>
      <c r="AH495" s="342" t="str">
        <f t="shared" si="63"/>
        <v/>
      </c>
      <c r="AI495">
        <v>5230</v>
      </c>
      <c r="AJ495" t="s">
        <v>349</v>
      </c>
      <c r="AK495" t="s">
        <v>1177</v>
      </c>
      <c r="AL495" s="245">
        <f t="shared" si="64"/>
        <v>607516998.13398778</v>
      </c>
      <c r="AM495" s="245">
        <f t="shared" si="65"/>
        <v>2243808534.1078081</v>
      </c>
      <c r="AN495" s="245">
        <f t="shared" si="66"/>
        <v>4866120</v>
      </c>
      <c r="AO495" s="245">
        <f t="shared" si="67"/>
        <v>95773288.799991608</v>
      </c>
      <c r="AP495" s="176"/>
      <c r="AQ495" s="176"/>
      <c r="AR495">
        <v>5230</v>
      </c>
      <c r="AS495" t="s">
        <v>349</v>
      </c>
      <c r="AT495" t="s">
        <v>1177</v>
      </c>
      <c r="AU495" s="176">
        <v>54406579.072206996</v>
      </c>
      <c r="AW495">
        <v>5230</v>
      </c>
      <c r="AX495" t="s">
        <v>349</v>
      </c>
      <c r="AY495" t="s">
        <v>1177</v>
      </c>
      <c r="AZ495" s="176">
        <v>28834293.968885001</v>
      </c>
      <c r="BA495" s="342" t="str">
        <f t="shared" si="70"/>
        <v/>
      </c>
      <c r="BB495">
        <v>5230</v>
      </c>
      <c r="BC495" t="s">
        <v>349</v>
      </c>
      <c r="BD495" t="s">
        <v>1177</v>
      </c>
      <c r="BE495" s="243">
        <f t="shared" si="71"/>
        <v>77474014.24731499</v>
      </c>
    </row>
    <row r="496" spans="1:57">
      <c r="A496">
        <v>5230</v>
      </c>
      <c r="B496" t="s">
        <v>349</v>
      </c>
      <c r="C496" t="s">
        <v>1781</v>
      </c>
      <c r="D496" s="176">
        <v>173702750.295441</v>
      </c>
      <c r="E496">
        <v>0</v>
      </c>
      <c r="G496">
        <v>5230</v>
      </c>
      <c r="H496" t="s">
        <v>349</v>
      </c>
      <c r="I496" t="s">
        <v>1781</v>
      </c>
      <c r="J496" s="176">
        <v>62309638.03221</v>
      </c>
      <c r="K496">
        <v>0</v>
      </c>
      <c r="L496" s="342" t="str">
        <f t="shared" si="68"/>
        <v/>
      </c>
      <c r="M496">
        <v>5230</v>
      </c>
      <c r="N496" t="s">
        <v>349</v>
      </c>
      <c r="O496" t="s">
        <v>1781</v>
      </c>
      <c r="P496" s="243">
        <f t="shared" si="69"/>
        <v>223550460.72120899</v>
      </c>
      <c r="S496">
        <v>5230</v>
      </c>
      <c r="T496" t="s">
        <v>349</v>
      </c>
      <c r="U496" t="s">
        <v>1781</v>
      </c>
      <c r="V496" s="176">
        <v>105979944.88666099</v>
      </c>
      <c r="W496" s="176">
        <v>434068472.93993503</v>
      </c>
      <c r="X496" s="176">
        <v>0</v>
      </c>
      <c r="Y496" s="176">
        <v>15722472.666665999</v>
      </c>
      <c r="Z496" s="176"/>
      <c r="AA496">
        <v>5230</v>
      </c>
      <c r="AB496" s="176" t="s">
        <v>349</v>
      </c>
      <c r="AC496" s="176" t="s">
        <v>1781</v>
      </c>
      <c r="AD496" s="176">
        <v>105979944.88666099</v>
      </c>
      <c r="AE496" s="176">
        <v>434068472.93993503</v>
      </c>
      <c r="AF496" s="176">
        <v>0</v>
      </c>
      <c r="AG496" s="176">
        <v>15722472.666665999</v>
      </c>
      <c r="AH496" s="342" t="str">
        <f t="shared" si="63"/>
        <v/>
      </c>
      <c r="AI496">
        <v>5230</v>
      </c>
      <c r="AJ496" t="s">
        <v>349</v>
      </c>
      <c r="AK496" t="s">
        <v>1781</v>
      </c>
      <c r="AL496" s="245">
        <f t="shared" si="64"/>
        <v>190763900.79598981</v>
      </c>
      <c r="AM496" s="245">
        <f t="shared" si="65"/>
        <v>781323251.29188299</v>
      </c>
      <c r="AN496" s="245">
        <f t="shared" si="66"/>
        <v>0</v>
      </c>
      <c r="AO496" s="245">
        <f t="shared" si="67"/>
        <v>28300450.799998797</v>
      </c>
      <c r="AP496" s="176"/>
      <c r="AQ496" s="176"/>
      <c r="AR496">
        <v>5230</v>
      </c>
      <c r="AS496" t="s">
        <v>349</v>
      </c>
      <c r="AT496" t="s">
        <v>1781</v>
      </c>
      <c r="AU496" s="176">
        <v>20916214.177772999</v>
      </c>
      <c r="AW496">
        <v>5230</v>
      </c>
      <c r="AX496" t="s">
        <v>349</v>
      </c>
      <c r="AY496" t="s">
        <v>1781</v>
      </c>
      <c r="AZ496" s="176">
        <v>12910515.533333</v>
      </c>
      <c r="BA496" s="342" t="str">
        <f t="shared" si="70"/>
        <v/>
      </c>
      <c r="BB496">
        <v>5230</v>
      </c>
      <c r="BC496" t="s">
        <v>349</v>
      </c>
      <c r="BD496" t="s">
        <v>1781</v>
      </c>
      <c r="BE496" s="243">
        <f t="shared" si="71"/>
        <v>31244626.6044394</v>
      </c>
    </row>
    <row r="497" spans="1:57">
      <c r="A497">
        <v>5240</v>
      </c>
      <c r="B497" t="s">
        <v>350</v>
      </c>
      <c r="C497" t="s">
        <v>1782</v>
      </c>
      <c r="D497" s="176">
        <v>110379398.294366</v>
      </c>
      <c r="E497">
        <v>0</v>
      </c>
      <c r="G497">
        <v>5240</v>
      </c>
      <c r="H497" t="s">
        <v>350</v>
      </c>
      <c r="I497" t="s">
        <v>1782</v>
      </c>
      <c r="J497" s="176">
        <v>20177233.988883998</v>
      </c>
      <c r="K497">
        <v>0</v>
      </c>
      <c r="L497" s="342" t="str">
        <f t="shared" si="68"/>
        <v/>
      </c>
      <c r="M497">
        <v>5240</v>
      </c>
      <c r="N497" t="s">
        <v>350</v>
      </c>
      <c r="O497" t="s">
        <v>1782</v>
      </c>
      <c r="P497" s="243">
        <f t="shared" si="69"/>
        <v>126521185.4854732</v>
      </c>
      <c r="S497">
        <v>5240</v>
      </c>
      <c r="T497" t="s">
        <v>350</v>
      </c>
      <c r="U497" t="s">
        <v>1782</v>
      </c>
      <c r="V497" s="176">
        <v>17114457.379997998</v>
      </c>
      <c r="W497" s="176">
        <v>308236026.725492</v>
      </c>
      <c r="X497">
        <v>0</v>
      </c>
      <c r="Y497" s="176">
        <v>9712616.3333320003</v>
      </c>
      <c r="Z497" s="176"/>
      <c r="AA497">
        <v>5240</v>
      </c>
      <c r="AB497" s="176" t="s">
        <v>350</v>
      </c>
      <c r="AC497" s="176" t="s">
        <v>1782</v>
      </c>
      <c r="AD497" s="176">
        <v>17114457.379997998</v>
      </c>
      <c r="AE497" s="176">
        <v>308236026.725492</v>
      </c>
      <c r="AF497">
        <v>0</v>
      </c>
      <c r="AG497" s="176">
        <v>9712616.3333320003</v>
      </c>
      <c r="AH497" s="342" t="str">
        <f t="shared" si="63"/>
        <v/>
      </c>
      <c r="AI497">
        <v>5240</v>
      </c>
      <c r="AJ497" t="s">
        <v>350</v>
      </c>
      <c r="AK497" t="s">
        <v>1782</v>
      </c>
      <c r="AL497" s="245">
        <f t="shared" si="64"/>
        <v>30806023.283996396</v>
      </c>
      <c r="AM497" s="245">
        <f t="shared" si="65"/>
        <v>554824848.10588562</v>
      </c>
      <c r="AN497" s="245">
        <f t="shared" si="66"/>
        <v>0</v>
      </c>
      <c r="AO497" s="245">
        <f t="shared" si="67"/>
        <v>17482709.399997599</v>
      </c>
      <c r="AP497" s="176"/>
      <c r="AQ497" s="176"/>
      <c r="AR497">
        <v>5240</v>
      </c>
      <c r="AS497" t="s">
        <v>350</v>
      </c>
      <c r="AT497" t="s">
        <v>1782</v>
      </c>
      <c r="AU497" s="176">
        <v>64507487.063314997</v>
      </c>
      <c r="AW497">
        <v>5240</v>
      </c>
      <c r="AX497" t="s">
        <v>350</v>
      </c>
      <c r="AY497" t="s">
        <v>1782</v>
      </c>
      <c r="AZ497" s="176">
        <v>17879381.624442998</v>
      </c>
      <c r="BA497" s="342" t="str">
        <f t="shared" si="70"/>
        <v/>
      </c>
      <c r="BB497">
        <v>5240</v>
      </c>
      <c r="BC497" t="s">
        <v>350</v>
      </c>
      <c r="BD497" t="s">
        <v>1782</v>
      </c>
      <c r="BE497" s="243">
        <f t="shared" si="71"/>
        <v>78810992.362869397</v>
      </c>
    </row>
    <row r="498" spans="1:57">
      <c r="A498">
        <v>5240</v>
      </c>
      <c r="B498" t="s">
        <v>350</v>
      </c>
      <c r="C498" t="s">
        <v>1584</v>
      </c>
      <c r="D498" s="176">
        <v>284727843.70770901</v>
      </c>
      <c r="E498">
        <v>0</v>
      </c>
      <c r="G498">
        <v>5240</v>
      </c>
      <c r="H498" t="s">
        <v>350</v>
      </c>
      <c r="I498" t="s">
        <v>1584</v>
      </c>
      <c r="J498" s="176">
        <v>80993946.468877003</v>
      </c>
      <c r="K498">
        <v>0</v>
      </c>
      <c r="L498" s="342" t="str">
        <f t="shared" si="68"/>
        <v/>
      </c>
      <c r="M498">
        <v>5240</v>
      </c>
      <c r="N498" t="s">
        <v>350</v>
      </c>
      <c r="O498" t="s">
        <v>1584</v>
      </c>
      <c r="P498" s="243">
        <f t="shared" si="69"/>
        <v>349523000.88281059</v>
      </c>
      <c r="S498">
        <v>5240</v>
      </c>
      <c r="T498" t="s">
        <v>350</v>
      </c>
      <c r="U498" t="s">
        <v>1584</v>
      </c>
      <c r="V498" s="176">
        <v>66726743.226664998</v>
      </c>
      <c r="W498" s="176">
        <v>485070809.18107003</v>
      </c>
      <c r="X498">
        <v>0</v>
      </c>
      <c r="Y498" s="176">
        <v>30617622.777777001</v>
      </c>
      <c r="Z498" s="176"/>
      <c r="AA498">
        <v>5240</v>
      </c>
      <c r="AB498" s="176" t="s">
        <v>350</v>
      </c>
      <c r="AC498" s="176" t="s">
        <v>1584</v>
      </c>
      <c r="AD498" s="176">
        <v>66726743.226664998</v>
      </c>
      <c r="AE498" s="176">
        <v>485070809.18107003</v>
      </c>
      <c r="AF498">
        <v>0</v>
      </c>
      <c r="AG498" s="176">
        <v>30617622.777777001</v>
      </c>
      <c r="AH498" s="342" t="str">
        <f t="shared" si="63"/>
        <v/>
      </c>
      <c r="AI498">
        <v>5240</v>
      </c>
      <c r="AJ498" t="s">
        <v>350</v>
      </c>
      <c r="AK498" t="s">
        <v>1584</v>
      </c>
      <c r="AL498" s="245">
        <f t="shared" si="64"/>
        <v>120108137.80799699</v>
      </c>
      <c r="AM498" s="245">
        <f t="shared" si="65"/>
        <v>873127456.52592611</v>
      </c>
      <c r="AN498" s="245">
        <f t="shared" si="66"/>
        <v>0</v>
      </c>
      <c r="AO498" s="245">
        <f t="shared" si="67"/>
        <v>55111720.999998599</v>
      </c>
      <c r="AP498" s="176"/>
      <c r="AQ498" s="176"/>
      <c r="AR498">
        <v>5240</v>
      </c>
      <c r="AS498" t="s">
        <v>350</v>
      </c>
      <c r="AT498" t="s">
        <v>1584</v>
      </c>
      <c r="AU498" s="176">
        <v>88025112.243322</v>
      </c>
      <c r="AW498">
        <v>5240</v>
      </c>
      <c r="AX498" t="s">
        <v>350</v>
      </c>
      <c r="AY498" t="s">
        <v>1584</v>
      </c>
      <c r="AZ498" s="176">
        <v>21347116.94444</v>
      </c>
      <c r="BA498" s="342" t="str">
        <f t="shared" si="70"/>
        <v/>
      </c>
      <c r="BB498">
        <v>5240</v>
      </c>
      <c r="BC498" t="s">
        <v>350</v>
      </c>
      <c r="BD498" t="s">
        <v>1584</v>
      </c>
      <c r="BE498" s="243">
        <f t="shared" si="71"/>
        <v>105102805.79887401</v>
      </c>
    </row>
    <row r="499" spans="1:57">
      <c r="A499">
        <v>5240</v>
      </c>
      <c r="B499" t="s">
        <v>350</v>
      </c>
      <c r="C499" t="s">
        <v>1178</v>
      </c>
      <c r="D499" s="176">
        <v>246002611.62768099</v>
      </c>
      <c r="E499">
        <v>0</v>
      </c>
      <c r="G499">
        <v>5240</v>
      </c>
      <c r="H499" t="s">
        <v>350</v>
      </c>
      <c r="I499" t="s">
        <v>1178</v>
      </c>
      <c r="J499" s="176">
        <v>98877774.69777</v>
      </c>
      <c r="K499">
        <v>0</v>
      </c>
      <c r="L499" s="342" t="str">
        <f t="shared" si="68"/>
        <v/>
      </c>
      <c r="M499">
        <v>5240</v>
      </c>
      <c r="N499" t="s">
        <v>350</v>
      </c>
      <c r="O499" t="s">
        <v>1178</v>
      </c>
      <c r="P499" s="243">
        <f t="shared" si="69"/>
        <v>325104831.38589698</v>
      </c>
      <c r="S499">
        <v>5240</v>
      </c>
      <c r="T499" t="s">
        <v>350</v>
      </c>
      <c r="U499" t="s">
        <v>1178</v>
      </c>
      <c r="V499" s="176">
        <v>63961593.271108001</v>
      </c>
      <c r="W499" s="176">
        <v>415178537.76103902</v>
      </c>
      <c r="X499" s="176">
        <v>500000</v>
      </c>
      <c r="Y499" s="176">
        <v>13648847.689999999</v>
      </c>
      <c r="Z499" s="176"/>
      <c r="AA499">
        <v>5240</v>
      </c>
      <c r="AB499" s="176" t="s">
        <v>350</v>
      </c>
      <c r="AC499" s="176" t="s">
        <v>1178</v>
      </c>
      <c r="AD499" s="176">
        <v>63961593.271108001</v>
      </c>
      <c r="AE499" s="176">
        <v>415178537.76103902</v>
      </c>
      <c r="AF499" s="176">
        <v>500000</v>
      </c>
      <c r="AG499" s="176">
        <v>13648847.689999999</v>
      </c>
      <c r="AH499" s="342" t="str">
        <f t="shared" si="63"/>
        <v/>
      </c>
      <c r="AI499">
        <v>5240</v>
      </c>
      <c r="AJ499" t="s">
        <v>350</v>
      </c>
      <c r="AK499" t="s">
        <v>1178</v>
      </c>
      <c r="AL499" s="245">
        <f t="shared" si="64"/>
        <v>115130867.88799441</v>
      </c>
      <c r="AM499" s="245">
        <f t="shared" si="65"/>
        <v>747321367.96987033</v>
      </c>
      <c r="AN499" s="245">
        <f t="shared" si="66"/>
        <v>900000</v>
      </c>
      <c r="AO499" s="245">
        <f t="shared" si="67"/>
        <v>24567925.842</v>
      </c>
      <c r="AP499" s="176"/>
      <c r="AQ499" s="176"/>
      <c r="AR499">
        <v>5240</v>
      </c>
      <c r="AS499" t="s">
        <v>350</v>
      </c>
      <c r="AT499" t="s">
        <v>1178</v>
      </c>
      <c r="AU499" s="176">
        <v>15521294.359990999</v>
      </c>
      <c r="AW499">
        <v>5240</v>
      </c>
      <c r="AX499" t="s">
        <v>350</v>
      </c>
      <c r="AY499" t="s">
        <v>1178</v>
      </c>
      <c r="AZ499" s="176">
        <v>30790614.821107998</v>
      </c>
      <c r="BA499" s="342" t="str">
        <f t="shared" si="70"/>
        <v/>
      </c>
      <c r="BB499">
        <v>5240</v>
      </c>
      <c r="BC499" t="s">
        <v>350</v>
      </c>
      <c r="BD499" t="s">
        <v>1178</v>
      </c>
      <c r="BE499" s="243">
        <f t="shared" si="71"/>
        <v>40153786.216877401</v>
      </c>
    </row>
    <row r="500" spans="1:57">
      <c r="A500">
        <v>5400</v>
      </c>
      <c r="B500" t="s">
        <v>351</v>
      </c>
      <c r="C500" t="s">
        <v>1783</v>
      </c>
      <c r="D500" s="176">
        <v>142468808.022122</v>
      </c>
      <c r="E500">
        <v>0</v>
      </c>
      <c r="G500">
        <v>5400</v>
      </c>
      <c r="H500" t="s">
        <v>351</v>
      </c>
      <c r="I500" t="s">
        <v>1783</v>
      </c>
      <c r="J500" s="176">
        <v>27848388.096650001</v>
      </c>
      <c r="K500">
        <v>0</v>
      </c>
      <c r="L500" s="342" t="str">
        <f t="shared" si="68"/>
        <v/>
      </c>
      <c r="M500">
        <v>5400</v>
      </c>
      <c r="N500" t="s">
        <v>351</v>
      </c>
      <c r="O500" t="s">
        <v>1783</v>
      </c>
      <c r="P500" s="243">
        <f t="shared" si="69"/>
        <v>164747518.49944198</v>
      </c>
      <c r="S500">
        <v>5400</v>
      </c>
      <c r="T500" t="s">
        <v>351</v>
      </c>
      <c r="U500" t="s">
        <v>1783</v>
      </c>
      <c r="V500" s="176">
        <v>61115009.576665998</v>
      </c>
      <c r="W500" s="176">
        <v>190822311.33105499</v>
      </c>
      <c r="X500" s="176">
        <v>500000</v>
      </c>
      <c r="Y500" s="176">
        <v>22858329.357776999</v>
      </c>
      <c r="Z500" s="176"/>
      <c r="AA500">
        <v>5400</v>
      </c>
      <c r="AB500" s="176" t="s">
        <v>351</v>
      </c>
      <c r="AC500" s="176" t="s">
        <v>1783</v>
      </c>
      <c r="AD500" s="176">
        <v>61115009.576665998</v>
      </c>
      <c r="AE500" s="176">
        <v>190822311.33105499</v>
      </c>
      <c r="AF500" s="176">
        <v>500000</v>
      </c>
      <c r="AG500" s="176">
        <v>22858329.357776999</v>
      </c>
      <c r="AH500" s="342" t="str">
        <f t="shared" si="63"/>
        <v/>
      </c>
      <c r="AI500">
        <v>5400</v>
      </c>
      <c r="AJ500" t="s">
        <v>351</v>
      </c>
      <c r="AK500" t="s">
        <v>1783</v>
      </c>
      <c r="AL500" s="245">
        <f t="shared" si="64"/>
        <v>110007017.2379988</v>
      </c>
      <c r="AM500" s="245">
        <f t="shared" si="65"/>
        <v>343480160.39589894</v>
      </c>
      <c r="AN500" s="245">
        <f t="shared" si="66"/>
        <v>900000</v>
      </c>
      <c r="AO500" s="245">
        <f t="shared" si="67"/>
        <v>41144992.843998596</v>
      </c>
      <c r="AP500" s="176"/>
      <c r="AQ500" s="176"/>
      <c r="AR500">
        <v>5400</v>
      </c>
      <c r="AS500" t="s">
        <v>351</v>
      </c>
      <c r="AT500" t="s">
        <v>1783</v>
      </c>
      <c r="AU500" s="176">
        <v>41106596.265534997</v>
      </c>
      <c r="AW500">
        <v>5400</v>
      </c>
      <c r="AX500" t="s">
        <v>351</v>
      </c>
      <c r="AY500" t="s">
        <v>1783</v>
      </c>
      <c r="AZ500" s="176">
        <v>1944891.348885</v>
      </c>
      <c r="BA500" s="342" t="str">
        <f t="shared" si="70"/>
        <v/>
      </c>
      <c r="BB500">
        <v>5400</v>
      </c>
      <c r="BC500" t="s">
        <v>351</v>
      </c>
      <c r="BD500" t="s">
        <v>1783</v>
      </c>
      <c r="BE500" s="243">
        <f t="shared" si="71"/>
        <v>42662509.344642997</v>
      </c>
    </row>
    <row r="501" spans="1:57">
      <c r="A501">
        <v>5400</v>
      </c>
      <c r="B501" t="s">
        <v>351</v>
      </c>
      <c r="C501" t="s">
        <v>1585</v>
      </c>
      <c r="D501" s="176">
        <v>191847773.36991</v>
      </c>
      <c r="E501">
        <v>0</v>
      </c>
      <c r="G501">
        <v>5400</v>
      </c>
      <c r="H501" t="s">
        <v>351</v>
      </c>
      <c r="I501" t="s">
        <v>1585</v>
      </c>
      <c r="J501" s="176">
        <v>59263178.813316002</v>
      </c>
      <c r="K501">
        <v>0</v>
      </c>
      <c r="L501" s="342" t="str">
        <f t="shared" si="68"/>
        <v/>
      </c>
      <c r="M501">
        <v>5400</v>
      </c>
      <c r="N501" t="s">
        <v>351</v>
      </c>
      <c r="O501" t="s">
        <v>1585</v>
      </c>
      <c r="P501" s="243">
        <f t="shared" si="69"/>
        <v>239258316.4205628</v>
      </c>
      <c r="S501">
        <v>5400</v>
      </c>
      <c r="T501" t="s">
        <v>351</v>
      </c>
      <c r="U501" t="s">
        <v>1585</v>
      </c>
      <c r="V501" s="176">
        <v>107633538.018886</v>
      </c>
      <c r="W501" s="176">
        <v>368971157.15549999</v>
      </c>
      <c r="X501" s="176">
        <v>12000000</v>
      </c>
      <c r="Y501" s="176">
        <v>22841174.222220998</v>
      </c>
      <c r="Z501" s="176"/>
      <c r="AA501">
        <v>5400</v>
      </c>
      <c r="AB501" s="176" t="s">
        <v>351</v>
      </c>
      <c r="AC501" s="176" t="s">
        <v>1585</v>
      </c>
      <c r="AD501" s="176">
        <v>107633538.018886</v>
      </c>
      <c r="AE501" s="176">
        <v>368971157.15549999</v>
      </c>
      <c r="AF501" s="176">
        <v>12000000</v>
      </c>
      <c r="AG501" s="176">
        <v>22841174.222220998</v>
      </c>
      <c r="AH501" s="342" t="str">
        <f t="shared" si="63"/>
        <v/>
      </c>
      <c r="AI501">
        <v>5400</v>
      </c>
      <c r="AJ501" t="s">
        <v>351</v>
      </c>
      <c r="AK501" t="s">
        <v>1585</v>
      </c>
      <c r="AL501" s="245">
        <f t="shared" si="64"/>
        <v>193740368.4339948</v>
      </c>
      <c r="AM501" s="245">
        <f t="shared" si="65"/>
        <v>664148082.87989998</v>
      </c>
      <c r="AN501" s="245">
        <f t="shared" si="66"/>
        <v>21600000</v>
      </c>
      <c r="AO501" s="245">
        <f t="shared" si="67"/>
        <v>41114113.599997796</v>
      </c>
      <c r="AP501" s="176"/>
      <c r="AQ501" s="176"/>
      <c r="AR501">
        <v>5400</v>
      </c>
      <c r="AS501" t="s">
        <v>351</v>
      </c>
      <c r="AT501" t="s">
        <v>1585</v>
      </c>
      <c r="AU501" s="176">
        <v>105984419.194427</v>
      </c>
      <c r="AW501">
        <v>5400</v>
      </c>
      <c r="AX501" t="s">
        <v>351</v>
      </c>
      <c r="AY501" t="s">
        <v>1585</v>
      </c>
      <c r="AZ501" s="176">
        <v>67054412.478882998</v>
      </c>
      <c r="BA501" s="342" t="str">
        <f t="shared" si="70"/>
        <v/>
      </c>
      <c r="BB501">
        <v>5400</v>
      </c>
      <c r="BC501" t="s">
        <v>351</v>
      </c>
      <c r="BD501" t="s">
        <v>1585</v>
      </c>
      <c r="BE501" s="243">
        <f t="shared" si="71"/>
        <v>159627949.17753339</v>
      </c>
    </row>
    <row r="502" spans="1:57">
      <c r="A502">
        <v>5400</v>
      </c>
      <c r="B502" t="s">
        <v>351</v>
      </c>
      <c r="C502" t="s">
        <v>1984</v>
      </c>
      <c r="D502" s="176">
        <v>103786779.803306</v>
      </c>
      <c r="E502">
        <v>0</v>
      </c>
      <c r="G502">
        <v>5400</v>
      </c>
      <c r="H502" t="s">
        <v>351</v>
      </c>
      <c r="I502" t="s">
        <v>1984</v>
      </c>
      <c r="J502" s="176">
        <v>18129141.442214999</v>
      </c>
      <c r="K502">
        <v>0</v>
      </c>
      <c r="L502" s="342" t="str">
        <f t="shared" si="68"/>
        <v/>
      </c>
      <c r="M502">
        <v>5400</v>
      </c>
      <c r="N502" t="s">
        <v>351</v>
      </c>
      <c r="O502" t="s">
        <v>1984</v>
      </c>
      <c r="P502" s="243">
        <f t="shared" si="69"/>
        <v>118290092.95707799</v>
      </c>
      <c r="S502">
        <v>5400</v>
      </c>
      <c r="T502" t="s">
        <v>351</v>
      </c>
      <c r="U502" t="s">
        <v>1984</v>
      </c>
      <c r="V502" s="176">
        <v>18239105.888888001</v>
      </c>
      <c r="W502" s="176">
        <v>98958351.277756006</v>
      </c>
      <c r="X502" s="176">
        <v>0</v>
      </c>
      <c r="Y502" s="176">
        <v>5384531.7111109998</v>
      </c>
      <c r="Z502" s="176"/>
      <c r="AA502">
        <v>5400</v>
      </c>
      <c r="AB502" s="176" t="s">
        <v>351</v>
      </c>
      <c r="AC502" s="176" t="s">
        <v>1984</v>
      </c>
      <c r="AD502" s="176">
        <v>18239105.888888001</v>
      </c>
      <c r="AE502" s="176">
        <v>98958351.277756006</v>
      </c>
      <c r="AF502">
        <v>0</v>
      </c>
      <c r="AG502" s="176">
        <v>5384531.7111109998</v>
      </c>
      <c r="AH502" s="342" t="str">
        <f t="shared" si="63"/>
        <v/>
      </c>
      <c r="AI502">
        <v>5400</v>
      </c>
      <c r="AJ502" t="s">
        <v>351</v>
      </c>
      <c r="AK502" t="s">
        <v>1984</v>
      </c>
      <c r="AL502" s="245">
        <f t="shared" si="64"/>
        <v>32830390.599998403</v>
      </c>
      <c r="AM502" s="245">
        <f t="shared" si="65"/>
        <v>178125032.29996079</v>
      </c>
      <c r="AN502" s="245">
        <f t="shared" si="66"/>
        <v>0</v>
      </c>
      <c r="AO502" s="245">
        <f t="shared" si="67"/>
        <v>9692157.0799998008</v>
      </c>
      <c r="AP502" s="176"/>
      <c r="AQ502" s="176"/>
      <c r="AR502">
        <v>5400</v>
      </c>
      <c r="AS502" t="s">
        <v>351</v>
      </c>
      <c r="AT502" t="s">
        <v>1984</v>
      </c>
      <c r="AU502" s="176">
        <v>30928554.594436001</v>
      </c>
      <c r="AW502">
        <v>5400</v>
      </c>
      <c r="AX502" t="s">
        <v>351</v>
      </c>
      <c r="AY502" t="s">
        <v>1984</v>
      </c>
      <c r="AZ502" s="176">
        <v>3821573.0677769999</v>
      </c>
      <c r="BA502" s="342" t="str">
        <f t="shared" si="70"/>
        <v/>
      </c>
      <c r="BB502">
        <v>5400</v>
      </c>
      <c r="BC502" t="s">
        <v>351</v>
      </c>
      <c r="BD502" t="s">
        <v>1984</v>
      </c>
      <c r="BE502" s="243">
        <f t="shared" si="71"/>
        <v>33985813.048657604</v>
      </c>
    </row>
    <row r="503" spans="1:57">
      <c r="A503">
        <v>5410</v>
      </c>
      <c r="B503" t="s">
        <v>352</v>
      </c>
      <c r="C503" t="s">
        <v>1785</v>
      </c>
      <c r="D503" s="176">
        <v>77505325.152199</v>
      </c>
      <c r="E503">
        <v>0</v>
      </c>
      <c r="G503">
        <v>5410</v>
      </c>
      <c r="H503" t="s">
        <v>352</v>
      </c>
      <c r="I503" t="s">
        <v>1785</v>
      </c>
      <c r="J503" s="176">
        <v>14382950.588884</v>
      </c>
      <c r="K503">
        <v>0</v>
      </c>
      <c r="L503" s="342" t="str">
        <f t="shared" si="68"/>
        <v/>
      </c>
      <c r="M503">
        <v>5410</v>
      </c>
      <c r="N503" t="s">
        <v>352</v>
      </c>
      <c r="O503" t="s">
        <v>1785</v>
      </c>
      <c r="P503" s="243">
        <f t="shared" si="69"/>
        <v>89011685.6233062</v>
      </c>
      <c r="S503">
        <v>5410</v>
      </c>
      <c r="T503" t="s">
        <v>352</v>
      </c>
      <c r="U503" t="s">
        <v>1785</v>
      </c>
      <c r="V503" s="176">
        <v>79554670.512222007</v>
      </c>
      <c r="W503" s="176">
        <v>160442933.95775801</v>
      </c>
      <c r="X503" s="176">
        <v>0</v>
      </c>
      <c r="Y503" s="176">
        <v>9952642.0411109999</v>
      </c>
      <c r="Z503" s="176"/>
      <c r="AA503">
        <v>5410</v>
      </c>
      <c r="AB503" s="176" t="s">
        <v>352</v>
      </c>
      <c r="AC503" s="176" t="s">
        <v>1785</v>
      </c>
      <c r="AD503" s="176">
        <v>79554670.512222007</v>
      </c>
      <c r="AE503" s="176">
        <v>160442933.95775801</v>
      </c>
      <c r="AF503" s="176">
        <v>0</v>
      </c>
      <c r="AG503" s="176">
        <v>9952642.0411109999</v>
      </c>
      <c r="AH503" s="342" t="str">
        <f t="shared" si="63"/>
        <v/>
      </c>
      <c r="AI503">
        <v>5410</v>
      </c>
      <c r="AJ503" t="s">
        <v>352</v>
      </c>
      <c r="AK503" t="s">
        <v>1785</v>
      </c>
      <c r="AL503" s="245">
        <f t="shared" si="64"/>
        <v>143198406.92199963</v>
      </c>
      <c r="AM503" s="245">
        <f t="shared" si="65"/>
        <v>288797281.12396443</v>
      </c>
      <c r="AN503" s="245">
        <f t="shared" si="66"/>
        <v>0</v>
      </c>
      <c r="AO503" s="245">
        <f t="shared" si="67"/>
        <v>17914755.673999801</v>
      </c>
      <c r="AP503" s="176"/>
      <c r="AQ503" s="176"/>
      <c r="AR503">
        <v>5410</v>
      </c>
      <c r="AS503" t="s">
        <v>352</v>
      </c>
      <c r="AT503" t="s">
        <v>1785</v>
      </c>
      <c r="AU503" s="176">
        <v>42778072.707771003</v>
      </c>
      <c r="AW503">
        <v>5410</v>
      </c>
      <c r="AX503" t="s">
        <v>352</v>
      </c>
      <c r="AY503" t="s">
        <v>1785</v>
      </c>
      <c r="AZ503" s="176">
        <v>5707479.8666660003</v>
      </c>
      <c r="BA503" s="342" t="str">
        <f t="shared" si="70"/>
        <v/>
      </c>
      <c r="BB503">
        <v>5410</v>
      </c>
      <c r="BC503" t="s">
        <v>352</v>
      </c>
      <c r="BD503" t="s">
        <v>1785</v>
      </c>
      <c r="BE503" s="243">
        <f t="shared" si="71"/>
        <v>47344056.601103805</v>
      </c>
    </row>
    <row r="504" spans="1:57">
      <c r="A504">
        <v>5410</v>
      </c>
      <c r="B504" t="s">
        <v>352</v>
      </c>
      <c r="C504" t="s">
        <v>1786</v>
      </c>
      <c r="D504" s="176">
        <v>112442544.505519</v>
      </c>
      <c r="E504">
        <v>0</v>
      </c>
      <c r="G504">
        <v>5410</v>
      </c>
      <c r="H504" t="s">
        <v>352</v>
      </c>
      <c r="I504" t="s">
        <v>1786</v>
      </c>
      <c r="J504" s="176">
        <v>31212281.214434002</v>
      </c>
      <c r="K504">
        <v>0</v>
      </c>
      <c r="L504" s="342" t="str">
        <f t="shared" si="68"/>
        <v/>
      </c>
      <c r="M504">
        <v>5410</v>
      </c>
      <c r="N504" t="s">
        <v>352</v>
      </c>
      <c r="O504" t="s">
        <v>1786</v>
      </c>
      <c r="P504" s="243">
        <f t="shared" si="69"/>
        <v>137412369.47706622</v>
      </c>
      <c r="S504">
        <v>5410</v>
      </c>
      <c r="T504" t="s">
        <v>352</v>
      </c>
      <c r="U504" t="s">
        <v>1786</v>
      </c>
      <c r="V504" s="176">
        <v>69812112.003331006</v>
      </c>
      <c r="W504" s="176">
        <v>181758503.61664599</v>
      </c>
      <c r="X504" s="176">
        <v>0</v>
      </c>
      <c r="Y504" s="176">
        <v>13800751.666665001</v>
      </c>
      <c r="Z504" s="176"/>
      <c r="AA504">
        <v>5410</v>
      </c>
      <c r="AB504" s="176" t="s">
        <v>352</v>
      </c>
      <c r="AC504" s="176" t="s">
        <v>1786</v>
      </c>
      <c r="AD504" s="176">
        <v>69812112.003331006</v>
      </c>
      <c r="AE504" s="176">
        <v>181758503.61664599</v>
      </c>
      <c r="AF504" s="176">
        <v>0</v>
      </c>
      <c r="AG504" s="176">
        <v>13800751.666665001</v>
      </c>
      <c r="AH504" s="342" t="str">
        <f t="shared" si="63"/>
        <v/>
      </c>
      <c r="AI504">
        <v>5410</v>
      </c>
      <c r="AJ504" t="s">
        <v>352</v>
      </c>
      <c r="AK504" t="s">
        <v>1786</v>
      </c>
      <c r="AL504" s="245">
        <f t="shared" si="64"/>
        <v>125661801.6059958</v>
      </c>
      <c r="AM504" s="245">
        <f t="shared" si="65"/>
        <v>327165306.5099628</v>
      </c>
      <c r="AN504" s="245">
        <f t="shared" si="66"/>
        <v>0</v>
      </c>
      <c r="AO504" s="245">
        <f t="shared" si="67"/>
        <v>24841352.999997005</v>
      </c>
      <c r="AP504" s="176"/>
      <c r="AQ504" s="176"/>
      <c r="AR504">
        <v>5410</v>
      </c>
      <c r="AS504" t="s">
        <v>352</v>
      </c>
      <c r="AT504" t="s">
        <v>1786</v>
      </c>
      <c r="AU504" s="176">
        <v>1539052.286664</v>
      </c>
      <c r="AW504">
        <v>5410</v>
      </c>
      <c r="AX504" t="s">
        <v>352</v>
      </c>
      <c r="AY504" t="s">
        <v>1786</v>
      </c>
      <c r="AZ504" s="176">
        <v>3053101.6733329999</v>
      </c>
      <c r="BA504" s="342" t="str">
        <f t="shared" si="70"/>
        <v/>
      </c>
      <c r="BB504">
        <v>5410</v>
      </c>
      <c r="BC504" t="s">
        <v>352</v>
      </c>
      <c r="BD504" t="s">
        <v>1786</v>
      </c>
      <c r="BE504" s="243">
        <f t="shared" si="71"/>
        <v>3981533.6253303997</v>
      </c>
    </row>
    <row r="505" spans="1:57">
      <c r="A505">
        <v>5410</v>
      </c>
      <c r="B505" t="s">
        <v>352</v>
      </c>
      <c r="C505" t="s">
        <v>1180</v>
      </c>
      <c r="D505" s="176">
        <v>179048606.111011</v>
      </c>
      <c r="E505">
        <v>0</v>
      </c>
      <c r="G505">
        <v>5410</v>
      </c>
      <c r="H505" t="s">
        <v>352</v>
      </c>
      <c r="I505" t="s">
        <v>1180</v>
      </c>
      <c r="J505" s="176">
        <v>38605294.991094999</v>
      </c>
      <c r="K505">
        <v>0</v>
      </c>
      <c r="L505" s="342" t="str">
        <f t="shared" si="68"/>
        <v/>
      </c>
      <c r="M505">
        <v>5410</v>
      </c>
      <c r="N505" t="s">
        <v>352</v>
      </c>
      <c r="O505" t="s">
        <v>1180</v>
      </c>
      <c r="P505" s="243">
        <f t="shared" si="69"/>
        <v>209932842.10388699</v>
      </c>
      <c r="S505">
        <v>5410</v>
      </c>
      <c r="T505" t="s">
        <v>352</v>
      </c>
      <c r="U505" t="s">
        <v>1180</v>
      </c>
      <c r="V505" s="176">
        <v>67450166.889998004</v>
      </c>
      <c r="W505" s="176">
        <v>171884454.852189</v>
      </c>
      <c r="X505" s="176">
        <v>0</v>
      </c>
      <c r="Y505" s="176">
        <v>12257590</v>
      </c>
      <c r="Z505" s="176"/>
      <c r="AA505">
        <v>5410</v>
      </c>
      <c r="AB505" s="176" t="s">
        <v>352</v>
      </c>
      <c r="AC505" s="176" t="s">
        <v>1180</v>
      </c>
      <c r="AD505" s="176">
        <v>67450166.889998004</v>
      </c>
      <c r="AE505" s="176">
        <v>171884454.852189</v>
      </c>
      <c r="AF505" s="176">
        <v>0</v>
      </c>
      <c r="AG505" s="176">
        <v>12257590</v>
      </c>
      <c r="AH505" s="342" t="str">
        <f t="shared" si="63"/>
        <v/>
      </c>
      <c r="AI505">
        <v>5410</v>
      </c>
      <c r="AJ505" t="s">
        <v>352</v>
      </c>
      <c r="AK505" t="s">
        <v>1180</v>
      </c>
      <c r="AL505" s="245">
        <f t="shared" si="64"/>
        <v>121410300.4019964</v>
      </c>
      <c r="AM505" s="245">
        <f t="shared" si="65"/>
        <v>309392018.73394024</v>
      </c>
      <c r="AN505" s="245">
        <f t="shared" si="66"/>
        <v>0</v>
      </c>
      <c r="AO505" s="245">
        <f t="shared" si="67"/>
        <v>22063662</v>
      </c>
      <c r="AP505" s="176"/>
      <c r="AQ505" s="176"/>
      <c r="AR505">
        <v>5410</v>
      </c>
      <c r="AS505" t="s">
        <v>352</v>
      </c>
      <c r="AT505" t="s">
        <v>1180</v>
      </c>
      <c r="AU505" s="176">
        <v>4674054.1033279998</v>
      </c>
      <c r="AW505">
        <v>5410</v>
      </c>
      <c r="AX505" t="s">
        <v>352</v>
      </c>
      <c r="AY505" t="s">
        <v>1180</v>
      </c>
      <c r="AZ505" s="176">
        <v>3673965.726665</v>
      </c>
      <c r="BA505" s="342" t="str">
        <f t="shared" si="70"/>
        <v/>
      </c>
      <c r="BB505">
        <v>5410</v>
      </c>
      <c r="BC505" t="s">
        <v>352</v>
      </c>
      <c r="BD505" t="s">
        <v>1180</v>
      </c>
      <c r="BE505" s="243">
        <f t="shared" si="71"/>
        <v>7613226.6846599998</v>
      </c>
    </row>
    <row r="506" spans="1:57">
      <c r="A506">
        <v>5410</v>
      </c>
      <c r="B506" t="s">
        <v>352</v>
      </c>
      <c r="C506" t="s">
        <v>1181</v>
      </c>
      <c r="D506" s="176">
        <v>270086607.74875402</v>
      </c>
      <c r="E506">
        <v>0</v>
      </c>
      <c r="G506">
        <v>5410</v>
      </c>
      <c r="H506" t="s">
        <v>352</v>
      </c>
      <c r="I506" t="s">
        <v>1181</v>
      </c>
      <c r="J506" s="176">
        <v>61477578.284420997</v>
      </c>
      <c r="K506">
        <v>0</v>
      </c>
      <c r="L506" s="342" t="str">
        <f t="shared" si="68"/>
        <v/>
      </c>
      <c r="M506">
        <v>5410</v>
      </c>
      <c r="N506" t="s">
        <v>352</v>
      </c>
      <c r="O506" t="s">
        <v>1181</v>
      </c>
      <c r="P506" s="243">
        <f t="shared" si="69"/>
        <v>319268670.3762908</v>
      </c>
      <c r="S506">
        <v>5410</v>
      </c>
      <c r="T506" t="s">
        <v>352</v>
      </c>
      <c r="U506" t="s">
        <v>1181</v>
      </c>
      <c r="V506" s="176">
        <v>190523299.74999699</v>
      </c>
      <c r="W506" s="176">
        <v>604790281.37996304</v>
      </c>
      <c r="X506" s="176">
        <v>1000000</v>
      </c>
      <c r="Y506" s="176">
        <v>19373012.444442999</v>
      </c>
      <c r="Z506" s="176"/>
      <c r="AA506">
        <v>5410</v>
      </c>
      <c r="AB506" s="176" t="s">
        <v>352</v>
      </c>
      <c r="AC506" s="176" t="s">
        <v>1181</v>
      </c>
      <c r="AD506" s="176">
        <v>190523299.74999699</v>
      </c>
      <c r="AE506" s="176">
        <v>604790281.37996304</v>
      </c>
      <c r="AF506" s="176">
        <v>1000000</v>
      </c>
      <c r="AG506" s="176">
        <v>19373012.444442999</v>
      </c>
      <c r="AH506" s="342" t="str">
        <f t="shared" si="63"/>
        <v/>
      </c>
      <c r="AI506">
        <v>5410</v>
      </c>
      <c r="AJ506" t="s">
        <v>352</v>
      </c>
      <c r="AK506" t="s">
        <v>1181</v>
      </c>
      <c r="AL506" s="245">
        <f t="shared" si="64"/>
        <v>342941939.54999459</v>
      </c>
      <c r="AM506" s="245">
        <f t="shared" si="65"/>
        <v>1088622506.4839334</v>
      </c>
      <c r="AN506" s="245">
        <f t="shared" si="66"/>
        <v>1800000</v>
      </c>
      <c r="AO506" s="245">
        <f t="shared" si="67"/>
        <v>34871422.399997398</v>
      </c>
      <c r="AP506" s="176"/>
      <c r="AQ506" s="176"/>
      <c r="AR506">
        <v>5410</v>
      </c>
      <c r="AS506" t="s">
        <v>352</v>
      </c>
      <c r="AT506" t="s">
        <v>1181</v>
      </c>
      <c r="AU506" s="176">
        <v>43783324.898879997</v>
      </c>
      <c r="AW506">
        <v>5410</v>
      </c>
      <c r="AX506" t="s">
        <v>352</v>
      </c>
      <c r="AY506" t="s">
        <v>1181</v>
      </c>
      <c r="AZ506" s="176">
        <v>15401919.676665001</v>
      </c>
      <c r="BA506" s="342" t="str">
        <f t="shared" si="70"/>
        <v/>
      </c>
      <c r="BB506">
        <v>5410</v>
      </c>
      <c r="BC506" t="s">
        <v>352</v>
      </c>
      <c r="BD506" t="s">
        <v>1181</v>
      </c>
      <c r="BE506" s="243">
        <f t="shared" si="71"/>
        <v>56104860.640211999</v>
      </c>
    </row>
    <row r="507" spans="1:57">
      <c r="A507">
        <v>5410</v>
      </c>
      <c r="B507" t="s">
        <v>352</v>
      </c>
      <c r="C507" t="s">
        <v>1784</v>
      </c>
      <c r="D507" s="176">
        <v>65015924.271077</v>
      </c>
      <c r="E507">
        <v>0</v>
      </c>
      <c r="G507">
        <v>5410</v>
      </c>
      <c r="H507" t="s">
        <v>352</v>
      </c>
      <c r="I507" t="s">
        <v>1784</v>
      </c>
      <c r="J507" s="176">
        <v>21792190.927772</v>
      </c>
      <c r="K507">
        <v>0</v>
      </c>
      <c r="L507" s="342" t="str">
        <f t="shared" si="68"/>
        <v/>
      </c>
      <c r="M507">
        <v>5410</v>
      </c>
      <c r="N507" t="s">
        <v>352</v>
      </c>
      <c r="O507" t="s">
        <v>1784</v>
      </c>
      <c r="P507" s="243">
        <f t="shared" si="69"/>
        <v>82449677.013294607</v>
      </c>
      <c r="S507">
        <v>5410</v>
      </c>
      <c r="T507" t="s">
        <v>352</v>
      </c>
      <c r="U507" t="s">
        <v>1784</v>
      </c>
      <c r="V507" s="176">
        <v>36000948.474443004</v>
      </c>
      <c r="W507" s="176">
        <v>124274288.609975</v>
      </c>
      <c r="X507" s="176">
        <v>0</v>
      </c>
      <c r="Y507" s="176">
        <v>5879416.6666660002</v>
      </c>
      <c r="Z507" s="176"/>
      <c r="AA507">
        <v>5410</v>
      </c>
      <c r="AB507" s="176" t="s">
        <v>352</v>
      </c>
      <c r="AC507" s="176" t="s">
        <v>1784</v>
      </c>
      <c r="AD507" s="176">
        <v>36000948.474443004</v>
      </c>
      <c r="AE507" s="176">
        <v>124274288.609975</v>
      </c>
      <c r="AF507" s="176">
        <v>0</v>
      </c>
      <c r="AG507" s="176">
        <v>5879416.6666660002</v>
      </c>
      <c r="AH507" s="342" t="str">
        <f t="shared" si="63"/>
        <v/>
      </c>
      <c r="AI507">
        <v>5410</v>
      </c>
      <c r="AJ507" t="s">
        <v>352</v>
      </c>
      <c r="AK507" t="s">
        <v>1784</v>
      </c>
      <c r="AL507" s="245">
        <f t="shared" si="64"/>
        <v>64801707.253997408</v>
      </c>
      <c r="AM507" s="245">
        <f t="shared" si="65"/>
        <v>223693719.49795499</v>
      </c>
      <c r="AN507" s="245">
        <f t="shared" si="66"/>
        <v>0</v>
      </c>
      <c r="AO507" s="245">
        <f t="shared" si="67"/>
        <v>10582949.9999988</v>
      </c>
      <c r="AP507" s="176"/>
      <c r="AQ507" s="176"/>
      <c r="AR507">
        <v>5410</v>
      </c>
      <c r="AS507" t="s">
        <v>352</v>
      </c>
      <c r="AT507" t="s">
        <v>1784</v>
      </c>
      <c r="AU507" s="176">
        <v>560155.93999900005</v>
      </c>
      <c r="AW507">
        <v>5410</v>
      </c>
      <c r="AX507" t="s">
        <v>352</v>
      </c>
      <c r="AY507" t="s">
        <v>1784</v>
      </c>
      <c r="AZ507" s="176">
        <v>1501634.0911099999</v>
      </c>
      <c r="BA507" s="342" t="str">
        <f t="shared" si="70"/>
        <v/>
      </c>
      <c r="BB507">
        <v>5410</v>
      </c>
      <c r="BC507" t="s">
        <v>352</v>
      </c>
      <c r="BD507" t="s">
        <v>1784</v>
      </c>
      <c r="BE507" s="243">
        <f t="shared" si="71"/>
        <v>1761463.2128869998</v>
      </c>
    </row>
    <row r="508" spans="1:57">
      <c r="A508">
        <v>5420</v>
      </c>
      <c r="B508" t="s">
        <v>353</v>
      </c>
      <c r="C508" t="s">
        <v>1788</v>
      </c>
      <c r="D508" s="176">
        <v>65827442.152194001</v>
      </c>
      <c r="E508">
        <v>0</v>
      </c>
      <c r="G508">
        <v>5420</v>
      </c>
      <c r="H508" t="s">
        <v>353</v>
      </c>
      <c r="I508" t="s">
        <v>1788</v>
      </c>
      <c r="J508" s="176">
        <v>21105937.474440999</v>
      </c>
      <c r="K508">
        <v>0</v>
      </c>
      <c r="L508" s="342" t="str">
        <f t="shared" si="68"/>
        <v/>
      </c>
      <c r="M508">
        <v>5420</v>
      </c>
      <c r="N508" t="s">
        <v>353</v>
      </c>
      <c r="O508" t="s">
        <v>1788</v>
      </c>
      <c r="P508" s="243">
        <f t="shared" si="69"/>
        <v>82712192.131746799</v>
      </c>
      <c r="S508">
        <v>5420</v>
      </c>
      <c r="T508" t="s">
        <v>353</v>
      </c>
      <c r="U508" t="s">
        <v>1788</v>
      </c>
      <c r="V508" s="176">
        <v>22896467.845554002</v>
      </c>
      <c r="W508" s="176">
        <v>202967447.66330701</v>
      </c>
      <c r="X508">
        <v>0</v>
      </c>
      <c r="Y508" s="176">
        <v>8165235.5555539997</v>
      </c>
      <c r="Z508" s="176"/>
      <c r="AA508">
        <v>5420</v>
      </c>
      <c r="AB508" s="176" t="s">
        <v>353</v>
      </c>
      <c r="AC508" s="176" t="s">
        <v>1788</v>
      </c>
      <c r="AD508" s="176">
        <v>22896467.845554002</v>
      </c>
      <c r="AE508" s="176">
        <v>202967447.66330701</v>
      </c>
      <c r="AF508">
        <v>0</v>
      </c>
      <c r="AG508" s="176">
        <v>8165235.5555539997</v>
      </c>
      <c r="AH508" s="342" t="str">
        <f t="shared" si="63"/>
        <v/>
      </c>
      <c r="AI508">
        <v>5420</v>
      </c>
      <c r="AJ508" t="s">
        <v>353</v>
      </c>
      <c r="AK508" t="s">
        <v>1788</v>
      </c>
      <c r="AL508" s="245">
        <f t="shared" si="64"/>
        <v>41213642.121997207</v>
      </c>
      <c r="AM508" s="245">
        <f t="shared" si="65"/>
        <v>365341405.79395264</v>
      </c>
      <c r="AN508" s="245">
        <f t="shared" si="66"/>
        <v>0</v>
      </c>
      <c r="AO508" s="245">
        <f t="shared" si="67"/>
        <v>14697423.999997199</v>
      </c>
      <c r="AP508" s="176"/>
      <c r="AQ508" s="176"/>
      <c r="AR508">
        <v>5420</v>
      </c>
      <c r="AS508" t="s">
        <v>353</v>
      </c>
      <c r="AT508" t="s">
        <v>1788</v>
      </c>
      <c r="AU508" s="176">
        <v>6124263.8744390002</v>
      </c>
      <c r="AW508">
        <v>5420</v>
      </c>
      <c r="AX508" t="s">
        <v>353</v>
      </c>
      <c r="AY508" t="s">
        <v>1788</v>
      </c>
      <c r="AZ508" s="176">
        <v>1579452.0477760001</v>
      </c>
      <c r="BA508" s="342" t="str">
        <f t="shared" si="70"/>
        <v/>
      </c>
      <c r="BB508">
        <v>5420</v>
      </c>
      <c r="BC508" t="s">
        <v>353</v>
      </c>
      <c r="BD508" t="s">
        <v>1788</v>
      </c>
      <c r="BE508" s="243">
        <f t="shared" si="71"/>
        <v>7387825.5126598002</v>
      </c>
    </row>
    <row r="509" spans="1:57">
      <c r="A509">
        <v>5420</v>
      </c>
      <c r="B509" t="s">
        <v>353</v>
      </c>
      <c r="C509" t="s">
        <v>1179</v>
      </c>
      <c r="D509" s="176">
        <v>271533763.08659601</v>
      </c>
      <c r="E509">
        <v>0</v>
      </c>
      <c r="G509">
        <v>5420</v>
      </c>
      <c r="H509" t="s">
        <v>353</v>
      </c>
      <c r="I509" t="s">
        <v>1179</v>
      </c>
      <c r="J509" s="176">
        <v>58335305.934430003</v>
      </c>
      <c r="K509">
        <v>0</v>
      </c>
      <c r="L509" s="342" t="str">
        <f t="shared" si="68"/>
        <v/>
      </c>
      <c r="M509">
        <v>5420</v>
      </c>
      <c r="N509" t="s">
        <v>353</v>
      </c>
      <c r="O509" t="s">
        <v>1179</v>
      </c>
      <c r="P509" s="243">
        <f t="shared" si="69"/>
        <v>318202007.83414</v>
      </c>
      <c r="S509">
        <v>5420</v>
      </c>
      <c r="T509" t="s">
        <v>353</v>
      </c>
      <c r="U509" t="s">
        <v>1179</v>
      </c>
      <c r="V509" s="176">
        <v>59101328.834443003</v>
      </c>
      <c r="W509" s="176">
        <v>479362217.03662902</v>
      </c>
      <c r="X509">
        <v>0</v>
      </c>
      <c r="Y509" s="176">
        <v>13776441.086665999</v>
      </c>
      <c r="Z509" s="176"/>
      <c r="AA509">
        <v>5420</v>
      </c>
      <c r="AB509" s="176" t="s">
        <v>353</v>
      </c>
      <c r="AC509" s="176" t="s">
        <v>1179</v>
      </c>
      <c r="AD509" s="176">
        <v>59101328.834443003</v>
      </c>
      <c r="AE509" s="176">
        <v>479362217.03662902</v>
      </c>
      <c r="AF509">
        <v>0</v>
      </c>
      <c r="AG509" s="176">
        <v>13776441.086665999</v>
      </c>
      <c r="AH509" s="342" t="str">
        <f t="shared" si="63"/>
        <v/>
      </c>
      <c r="AI509">
        <v>5420</v>
      </c>
      <c r="AJ509" t="s">
        <v>353</v>
      </c>
      <c r="AK509" t="s">
        <v>1179</v>
      </c>
      <c r="AL509" s="245">
        <f t="shared" si="64"/>
        <v>106382391.90199742</v>
      </c>
      <c r="AM509" s="245">
        <f t="shared" si="65"/>
        <v>862851990.66593218</v>
      </c>
      <c r="AN509" s="245">
        <f t="shared" si="66"/>
        <v>0</v>
      </c>
      <c r="AO509" s="245">
        <f t="shared" si="67"/>
        <v>24797593.955998801</v>
      </c>
      <c r="AP509" s="176"/>
      <c r="AQ509" s="176"/>
      <c r="AR509">
        <v>5420</v>
      </c>
      <c r="AS509" t="s">
        <v>353</v>
      </c>
      <c r="AT509" t="s">
        <v>1179</v>
      </c>
      <c r="AU509" s="176">
        <v>105856827.89108901</v>
      </c>
      <c r="AW509">
        <v>5420</v>
      </c>
      <c r="AX509" t="s">
        <v>353</v>
      </c>
      <c r="AY509" t="s">
        <v>1179</v>
      </c>
      <c r="AZ509" s="176">
        <v>59766764.485549003</v>
      </c>
      <c r="BA509" s="342" t="str">
        <f t="shared" si="70"/>
        <v/>
      </c>
      <c r="BB509">
        <v>5420</v>
      </c>
      <c r="BC509" t="s">
        <v>353</v>
      </c>
      <c r="BD509" t="s">
        <v>1179</v>
      </c>
      <c r="BE509" s="243">
        <f t="shared" si="71"/>
        <v>153670239.47952822</v>
      </c>
    </row>
    <row r="510" spans="1:57">
      <c r="A510">
        <v>5420</v>
      </c>
      <c r="B510" t="s">
        <v>353</v>
      </c>
      <c r="C510" t="s">
        <v>1787</v>
      </c>
      <c r="D510" s="176">
        <v>108985492.717636</v>
      </c>
      <c r="E510">
        <v>0</v>
      </c>
      <c r="G510">
        <v>5420</v>
      </c>
      <c r="H510" t="s">
        <v>353</v>
      </c>
      <c r="I510" t="s">
        <v>1787</v>
      </c>
      <c r="J510" s="176">
        <v>25705236.105544999</v>
      </c>
      <c r="K510">
        <v>0</v>
      </c>
      <c r="L510" s="342" t="str">
        <f t="shared" si="68"/>
        <v/>
      </c>
      <c r="M510">
        <v>5420</v>
      </c>
      <c r="N510" t="s">
        <v>353</v>
      </c>
      <c r="O510" t="s">
        <v>1787</v>
      </c>
      <c r="P510" s="243">
        <f t="shared" si="69"/>
        <v>129549681.602072</v>
      </c>
      <c r="S510">
        <v>5420</v>
      </c>
      <c r="T510" t="s">
        <v>353</v>
      </c>
      <c r="U510" t="s">
        <v>1787</v>
      </c>
      <c r="V510" s="176">
        <v>64879572.914440997</v>
      </c>
      <c r="W510" s="176">
        <v>219929240.34217399</v>
      </c>
      <c r="X510">
        <v>0</v>
      </c>
      <c r="Y510" s="176">
        <v>7671793.8399999999</v>
      </c>
      <c r="Z510" s="176"/>
      <c r="AA510">
        <v>5420</v>
      </c>
      <c r="AB510" s="176" t="s">
        <v>353</v>
      </c>
      <c r="AC510" s="176" t="s">
        <v>1787</v>
      </c>
      <c r="AD510" s="176">
        <v>64879572.914440997</v>
      </c>
      <c r="AE510" s="176">
        <v>219929240.34217399</v>
      </c>
      <c r="AF510">
        <v>0</v>
      </c>
      <c r="AG510" s="176">
        <v>7671793.8399999999</v>
      </c>
      <c r="AH510" s="342" t="str">
        <f t="shared" si="63"/>
        <v/>
      </c>
      <c r="AI510">
        <v>5420</v>
      </c>
      <c r="AJ510" t="s">
        <v>353</v>
      </c>
      <c r="AK510" t="s">
        <v>1787</v>
      </c>
      <c r="AL510" s="245">
        <f t="shared" si="64"/>
        <v>116783231.24599379</v>
      </c>
      <c r="AM510" s="245">
        <f t="shared" si="65"/>
        <v>395872632.61591321</v>
      </c>
      <c r="AN510" s="245">
        <f t="shared" si="66"/>
        <v>0</v>
      </c>
      <c r="AO510" s="245">
        <f t="shared" si="67"/>
        <v>13809228.912</v>
      </c>
      <c r="AP510" s="176"/>
      <c r="AQ510" s="176"/>
      <c r="AR510">
        <v>5420</v>
      </c>
      <c r="AS510" t="s">
        <v>353</v>
      </c>
      <c r="AT510" t="s">
        <v>1787</v>
      </c>
      <c r="AU510" s="176">
        <v>13146126.962212</v>
      </c>
      <c r="AW510">
        <v>5420</v>
      </c>
      <c r="AX510" t="s">
        <v>353</v>
      </c>
      <c r="AY510" t="s">
        <v>1787</v>
      </c>
      <c r="AZ510" s="176">
        <v>5304729.8755550003</v>
      </c>
      <c r="BA510" s="342" t="str">
        <f t="shared" si="70"/>
        <v/>
      </c>
      <c r="BB510">
        <v>5420</v>
      </c>
      <c r="BC510" t="s">
        <v>353</v>
      </c>
      <c r="BD510" t="s">
        <v>1787</v>
      </c>
      <c r="BE510" s="243">
        <f t="shared" si="71"/>
        <v>17389910.862656001</v>
      </c>
    </row>
    <row r="511" spans="1:57">
      <c r="A511">
        <v>6000</v>
      </c>
      <c r="B511" t="s">
        <v>354</v>
      </c>
      <c r="C511" t="s">
        <v>1182</v>
      </c>
      <c r="D511" s="176">
        <v>354073398.78440303</v>
      </c>
      <c r="E511">
        <v>0</v>
      </c>
      <c r="G511">
        <v>6000</v>
      </c>
      <c r="H511" t="s">
        <v>354</v>
      </c>
      <c r="I511" t="s">
        <v>1182</v>
      </c>
      <c r="J511" s="176">
        <v>297178058.24775702</v>
      </c>
      <c r="K511">
        <v>0</v>
      </c>
      <c r="L511" s="342" t="str">
        <f t="shared" si="68"/>
        <v/>
      </c>
      <c r="M511">
        <v>6000</v>
      </c>
      <c r="N511" t="s">
        <v>354</v>
      </c>
      <c r="O511" t="s">
        <v>1182</v>
      </c>
      <c r="P511" s="243">
        <f t="shared" si="69"/>
        <v>591815845.38260865</v>
      </c>
      <c r="S511">
        <v>6000</v>
      </c>
      <c r="T511" t="s">
        <v>354</v>
      </c>
      <c r="U511" t="s">
        <v>1182</v>
      </c>
      <c r="V511" s="176">
        <v>41313564.574442998</v>
      </c>
      <c r="W511" s="176">
        <v>127680965.567763</v>
      </c>
      <c r="X511" s="176">
        <v>0</v>
      </c>
      <c r="Y511" s="176">
        <v>13352427.777775001</v>
      </c>
      <c r="Z511" s="176"/>
      <c r="AA511">
        <v>6000</v>
      </c>
      <c r="AB511" s="176" t="s">
        <v>354</v>
      </c>
      <c r="AC511" s="176" t="s">
        <v>1182</v>
      </c>
      <c r="AD511" s="176">
        <v>41313564.574442998</v>
      </c>
      <c r="AE511" s="176">
        <v>127680965.567763</v>
      </c>
      <c r="AF511" s="176">
        <v>0</v>
      </c>
      <c r="AG511" s="176">
        <v>13352427.777775001</v>
      </c>
      <c r="AH511" s="342" t="str">
        <f t="shared" si="63"/>
        <v/>
      </c>
      <c r="AI511">
        <v>6000</v>
      </c>
      <c r="AJ511" t="s">
        <v>354</v>
      </c>
      <c r="AK511" t="s">
        <v>1182</v>
      </c>
      <c r="AL511" s="245">
        <f t="shared" si="64"/>
        <v>74364416.233997405</v>
      </c>
      <c r="AM511" s="245">
        <f t="shared" si="65"/>
        <v>229825738.0219734</v>
      </c>
      <c r="AN511" s="245">
        <f t="shared" si="66"/>
        <v>0</v>
      </c>
      <c r="AO511" s="245">
        <f t="shared" si="67"/>
        <v>24034369.999995001</v>
      </c>
      <c r="AP511" s="176"/>
      <c r="AQ511" s="176"/>
      <c r="AR511">
        <v>6000</v>
      </c>
      <c r="AS511" t="s">
        <v>354</v>
      </c>
      <c r="AT511" t="s">
        <v>1182</v>
      </c>
      <c r="AU511" s="176">
        <v>13839748.312216001</v>
      </c>
      <c r="AW511">
        <v>6000</v>
      </c>
      <c r="AX511" t="s">
        <v>354</v>
      </c>
      <c r="AY511" t="s">
        <v>1182</v>
      </c>
      <c r="AZ511" s="176">
        <v>1123749.503332</v>
      </c>
      <c r="BA511" s="342" t="str">
        <f t="shared" si="70"/>
        <v/>
      </c>
      <c r="BB511">
        <v>6000</v>
      </c>
      <c r="BC511" t="s">
        <v>354</v>
      </c>
      <c r="BD511" t="s">
        <v>1182</v>
      </c>
      <c r="BE511" s="243">
        <f t="shared" si="71"/>
        <v>14738747.9148816</v>
      </c>
    </row>
    <row r="512" spans="1:57">
      <c r="A512">
        <v>6000</v>
      </c>
      <c r="B512" t="s">
        <v>354</v>
      </c>
      <c r="C512" t="s">
        <v>1183</v>
      </c>
      <c r="D512" s="176">
        <v>147169747.14662001</v>
      </c>
      <c r="E512">
        <v>0</v>
      </c>
      <c r="G512">
        <v>6000</v>
      </c>
      <c r="H512" t="s">
        <v>354</v>
      </c>
      <c r="I512" t="s">
        <v>1183</v>
      </c>
      <c r="J512" s="176">
        <v>84752956.804429993</v>
      </c>
      <c r="K512">
        <v>0</v>
      </c>
      <c r="L512" s="342" t="str">
        <f t="shared" si="68"/>
        <v/>
      </c>
      <c r="M512">
        <v>6000</v>
      </c>
      <c r="N512" t="s">
        <v>354</v>
      </c>
      <c r="O512" t="s">
        <v>1183</v>
      </c>
      <c r="P512" s="243">
        <f t="shared" si="69"/>
        <v>214972112.59016401</v>
      </c>
      <c r="S512">
        <v>6000</v>
      </c>
      <c r="T512" t="s">
        <v>354</v>
      </c>
      <c r="U512" t="s">
        <v>1183</v>
      </c>
      <c r="V512" s="176">
        <v>31838029.947776999</v>
      </c>
      <c r="W512" s="176">
        <v>152505313.19220701</v>
      </c>
      <c r="X512" s="176">
        <v>1265000</v>
      </c>
      <c r="Y512" s="176">
        <v>14292388.888888</v>
      </c>
      <c r="Z512" s="176"/>
      <c r="AA512">
        <v>6000</v>
      </c>
      <c r="AB512" s="176" t="s">
        <v>354</v>
      </c>
      <c r="AC512" s="176" t="s">
        <v>1183</v>
      </c>
      <c r="AD512" s="176">
        <v>31838029.947776999</v>
      </c>
      <c r="AE512" s="176">
        <v>152505313.19220701</v>
      </c>
      <c r="AF512" s="176">
        <v>1265000</v>
      </c>
      <c r="AG512" s="176">
        <v>14292388.888888</v>
      </c>
      <c r="AH512" s="342" t="str">
        <f t="shared" si="63"/>
        <v/>
      </c>
      <c r="AI512">
        <v>6000</v>
      </c>
      <c r="AJ512" t="s">
        <v>354</v>
      </c>
      <c r="AK512" t="s">
        <v>1183</v>
      </c>
      <c r="AL512" s="245">
        <f t="shared" si="64"/>
        <v>57308453.905998603</v>
      </c>
      <c r="AM512" s="245">
        <f t="shared" si="65"/>
        <v>274509563.74597263</v>
      </c>
      <c r="AN512" s="245">
        <f t="shared" si="66"/>
        <v>2277000</v>
      </c>
      <c r="AO512" s="245">
        <f t="shared" si="67"/>
        <v>25726299.999998398</v>
      </c>
      <c r="AP512" s="176"/>
      <c r="AQ512" s="176"/>
      <c r="AR512">
        <v>6000</v>
      </c>
      <c r="AS512" t="s">
        <v>354</v>
      </c>
      <c r="AT512" t="s">
        <v>1183</v>
      </c>
      <c r="AU512" s="176">
        <v>26145452.065549999</v>
      </c>
      <c r="AW512">
        <v>6000</v>
      </c>
      <c r="AX512" t="s">
        <v>354</v>
      </c>
      <c r="AY512" t="s">
        <v>1183</v>
      </c>
      <c r="AZ512" s="176">
        <v>30907127.532217</v>
      </c>
      <c r="BA512" s="342" t="str">
        <f t="shared" si="70"/>
        <v/>
      </c>
      <c r="BB512">
        <v>6000</v>
      </c>
      <c r="BC512" t="s">
        <v>354</v>
      </c>
      <c r="BD512" t="s">
        <v>1183</v>
      </c>
      <c r="BE512" s="243">
        <f t="shared" si="71"/>
        <v>50871154.091323599</v>
      </c>
    </row>
    <row r="513" spans="1:57">
      <c r="A513">
        <v>6000</v>
      </c>
      <c r="B513" t="s">
        <v>354</v>
      </c>
      <c r="C513" t="s">
        <v>1184</v>
      </c>
      <c r="D513" s="176">
        <v>255851218.35098201</v>
      </c>
      <c r="E513">
        <v>0</v>
      </c>
      <c r="G513">
        <v>6000</v>
      </c>
      <c r="H513" t="s">
        <v>354</v>
      </c>
      <c r="I513" t="s">
        <v>1184</v>
      </c>
      <c r="J513" s="176">
        <v>45561807.567758001</v>
      </c>
      <c r="K513">
        <v>0</v>
      </c>
      <c r="L513" s="342" t="str">
        <f t="shared" si="68"/>
        <v/>
      </c>
      <c r="M513">
        <v>6000</v>
      </c>
      <c r="N513" t="s">
        <v>354</v>
      </c>
      <c r="O513" t="s">
        <v>1184</v>
      </c>
      <c r="P513" s="243">
        <f t="shared" si="69"/>
        <v>292300664.40518844</v>
      </c>
      <c r="S513">
        <v>6000</v>
      </c>
      <c r="T513" t="s">
        <v>354</v>
      </c>
      <c r="U513" t="s">
        <v>1184</v>
      </c>
      <c r="V513" s="176">
        <v>84017853.796661004</v>
      </c>
      <c r="W513" s="176">
        <v>247544829.93882799</v>
      </c>
      <c r="X513" s="176">
        <v>700000</v>
      </c>
      <c r="Y513" s="176">
        <v>13954825.376664</v>
      </c>
      <c r="Z513" s="176"/>
      <c r="AA513">
        <v>6000</v>
      </c>
      <c r="AB513" s="176" t="s">
        <v>354</v>
      </c>
      <c r="AC513" s="176" t="s">
        <v>1184</v>
      </c>
      <c r="AD513" s="176">
        <v>84017853.796661004</v>
      </c>
      <c r="AE513" s="176">
        <v>247544829.93882799</v>
      </c>
      <c r="AF513" s="176">
        <v>700000</v>
      </c>
      <c r="AG513" s="176">
        <v>13954825.376664</v>
      </c>
      <c r="AH513" s="342" t="str">
        <f t="shared" si="63"/>
        <v/>
      </c>
      <c r="AI513">
        <v>6000</v>
      </c>
      <c r="AJ513" t="s">
        <v>354</v>
      </c>
      <c r="AK513" t="s">
        <v>1184</v>
      </c>
      <c r="AL513" s="245">
        <f t="shared" si="64"/>
        <v>151232136.8339898</v>
      </c>
      <c r="AM513" s="245">
        <f t="shared" si="65"/>
        <v>445580693.88989043</v>
      </c>
      <c r="AN513" s="245">
        <f t="shared" si="66"/>
        <v>1260000</v>
      </c>
      <c r="AO513" s="245">
        <f t="shared" si="67"/>
        <v>25118685.677995197</v>
      </c>
      <c r="AP513" s="176"/>
      <c r="AQ513" s="176"/>
      <c r="AR513">
        <v>6000</v>
      </c>
      <c r="AS513" t="s">
        <v>354</v>
      </c>
      <c r="AT513" t="s">
        <v>1184</v>
      </c>
      <c r="AU513" s="176">
        <v>2889865.1799940001</v>
      </c>
      <c r="AW513">
        <v>6000</v>
      </c>
      <c r="AX513" t="s">
        <v>354</v>
      </c>
      <c r="AY513" t="s">
        <v>1184</v>
      </c>
      <c r="AZ513" s="176">
        <v>0</v>
      </c>
      <c r="BA513" s="342" t="str">
        <f t="shared" si="70"/>
        <v/>
      </c>
      <c r="BB513">
        <v>6000</v>
      </c>
      <c r="BC513" t="s">
        <v>354</v>
      </c>
      <c r="BD513" t="s">
        <v>1184</v>
      </c>
      <c r="BE513" s="243">
        <f t="shared" si="71"/>
        <v>2889865.1799940001</v>
      </c>
    </row>
    <row r="514" spans="1:57">
      <c r="A514">
        <v>6000</v>
      </c>
      <c r="B514" t="s">
        <v>354</v>
      </c>
      <c r="C514" t="s">
        <v>1789</v>
      </c>
      <c r="D514" s="176">
        <v>97005161.405481994</v>
      </c>
      <c r="E514">
        <v>0</v>
      </c>
      <c r="G514">
        <v>6000</v>
      </c>
      <c r="H514" t="s">
        <v>354</v>
      </c>
      <c r="I514" t="s">
        <v>1789</v>
      </c>
      <c r="J514" s="176">
        <v>24954086.698879</v>
      </c>
      <c r="K514">
        <v>0</v>
      </c>
      <c r="L514" s="342" t="str">
        <f t="shared" si="68"/>
        <v/>
      </c>
      <c r="M514">
        <v>6000</v>
      </c>
      <c r="N514" t="s">
        <v>354</v>
      </c>
      <c r="O514" t="s">
        <v>1789</v>
      </c>
      <c r="P514" s="243">
        <f t="shared" si="69"/>
        <v>116968430.7645852</v>
      </c>
      <c r="S514">
        <v>6000</v>
      </c>
      <c r="T514" t="s">
        <v>354</v>
      </c>
      <c r="U514" t="s">
        <v>1789</v>
      </c>
      <c r="V514" s="176">
        <v>19269281.357774001</v>
      </c>
      <c r="W514" s="176">
        <v>70431357.053290993</v>
      </c>
      <c r="X514" s="176">
        <v>0</v>
      </c>
      <c r="Y514" s="176">
        <v>5319152.2222210001</v>
      </c>
      <c r="Z514" s="176"/>
      <c r="AA514">
        <v>6000</v>
      </c>
      <c r="AB514" s="176" t="s">
        <v>354</v>
      </c>
      <c r="AC514" s="176" t="s">
        <v>1789</v>
      </c>
      <c r="AD514" s="176">
        <v>19269281.357774001</v>
      </c>
      <c r="AE514" s="176">
        <v>70431357.053290993</v>
      </c>
      <c r="AF514" s="176">
        <v>0</v>
      </c>
      <c r="AG514" s="176">
        <v>5319152.2222210001</v>
      </c>
      <c r="AH514" s="342" t="str">
        <f t="shared" si="63"/>
        <v/>
      </c>
      <c r="AI514">
        <v>6000</v>
      </c>
      <c r="AJ514" t="s">
        <v>354</v>
      </c>
      <c r="AK514" t="s">
        <v>1789</v>
      </c>
      <c r="AL514" s="245">
        <f t="shared" si="64"/>
        <v>34684706.443993203</v>
      </c>
      <c r="AM514" s="245">
        <f t="shared" si="65"/>
        <v>126776442.69592379</v>
      </c>
      <c r="AN514" s="245">
        <f t="shared" si="66"/>
        <v>0</v>
      </c>
      <c r="AO514" s="245">
        <f t="shared" si="67"/>
        <v>9574473.9999978002</v>
      </c>
      <c r="AP514" s="176"/>
      <c r="AQ514" s="176"/>
      <c r="AR514">
        <v>6000</v>
      </c>
      <c r="AS514" t="s">
        <v>354</v>
      </c>
      <c r="AT514" t="s">
        <v>1789</v>
      </c>
      <c r="AU514" s="176">
        <v>1271059.08555</v>
      </c>
      <c r="AW514">
        <v>6000</v>
      </c>
      <c r="AX514" t="s">
        <v>354</v>
      </c>
      <c r="AY514" t="s">
        <v>1789</v>
      </c>
      <c r="AZ514" s="176">
        <v>646634.68333200004</v>
      </c>
      <c r="BA514" s="342" t="str">
        <f t="shared" si="70"/>
        <v/>
      </c>
      <c r="BB514">
        <v>6000</v>
      </c>
      <c r="BC514" t="s">
        <v>354</v>
      </c>
      <c r="BD514" t="s">
        <v>1789</v>
      </c>
      <c r="BE514" s="243">
        <f t="shared" si="71"/>
        <v>1788366.8322155999</v>
      </c>
    </row>
    <row r="515" spans="1:57">
      <c r="A515">
        <v>6000</v>
      </c>
      <c r="B515" t="s">
        <v>354</v>
      </c>
      <c r="C515" t="s">
        <v>1790</v>
      </c>
      <c r="D515" s="176">
        <v>168728504.77107</v>
      </c>
      <c r="E515">
        <v>0</v>
      </c>
      <c r="G515">
        <v>6000</v>
      </c>
      <c r="H515" t="s">
        <v>354</v>
      </c>
      <c r="I515" t="s">
        <v>1790</v>
      </c>
      <c r="J515" s="176">
        <v>40874018.378879003</v>
      </c>
      <c r="K515">
        <v>0</v>
      </c>
      <c r="L515" s="342" t="str">
        <f t="shared" si="68"/>
        <v/>
      </c>
      <c r="M515">
        <v>6000</v>
      </c>
      <c r="N515" t="s">
        <v>354</v>
      </c>
      <c r="O515" t="s">
        <v>1790</v>
      </c>
      <c r="P515" s="243">
        <f t="shared" si="69"/>
        <v>201427719.47417322</v>
      </c>
      <c r="S515">
        <v>6000</v>
      </c>
      <c r="T515" t="s">
        <v>354</v>
      </c>
      <c r="U515" t="s">
        <v>1790</v>
      </c>
      <c r="V515" s="176">
        <v>81272926.058887005</v>
      </c>
      <c r="W515" s="176">
        <v>186298371.54775301</v>
      </c>
      <c r="X515" s="176">
        <v>0</v>
      </c>
      <c r="Y515" s="176">
        <v>7985277.7777770003</v>
      </c>
      <c r="Z515" s="176"/>
      <c r="AA515">
        <v>6000</v>
      </c>
      <c r="AB515" s="176" t="s">
        <v>354</v>
      </c>
      <c r="AC515" s="176" t="s">
        <v>1790</v>
      </c>
      <c r="AD515" s="176">
        <v>81272926.058887005</v>
      </c>
      <c r="AE515" s="176">
        <v>186298371.54775301</v>
      </c>
      <c r="AF515" s="176">
        <v>0</v>
      </c>
      <c r="AG515" s="176">
        <v>7985277.7777770003</v>
      </c>
      <c r="AH515" s="342" t="str">
        <f t="shared" si="63"/>
        <v/>
      </c>
      <c r="AI515">
        <v>6000</v>
      </c>
      <c r="AJ515" t="s">
        <v>354</v>
      </c>
      <c r="AK515" t="s">
        <v>1790</v>
      </c>
      <c r="AL515" s="245">
        <f t="shared" si="64"/>
        <v>146291266.90599662</v>
      </c>
      <c r="AM515" s="245">
        <f t="shared" si="65"/>
        <v>335337068.78595543</v>
      </c>
      <c r="AN515" s="245">
        <f t="shared" si="66"/>
        <v>0</v>
      </c>
      <c r="AO515" s="245">
        <f t="shared" si="67"/>
        <v>14373499.999998601</v>
      </c>
      <c r="AP515" s="176"/>
      <c r="AQ515" s="176"/>
      <c r="AR515">
        <v>6000</v>
      </c>
      <c r="AS515" t="s">
        <v>354</v>
      </c>
      <c r="AT515" t="s">
        <v>1790</v>
      </c>
      <c r="AU515" s="176">
        <v>11272643.318884</v>
      </c>
      <c r="AW515">
        <v>6000</v>
      </c>
      <c r="AX515" t="s">
        <v>354</v>
      </c>
      <c r="AY515" t="s">
        <v>1790</v>
      </c>
      <c r="AZ515" s="176">
        <v>941931.03</v>
      </c>
      <c r="BA515" s="342" t="str">
        <f t="shared" si="70"/>
        <v/>
      </c>
      <c r="BB515">
        <v>6000</v>
      </c>
      <c r="BC515" t="s">
        <v>354</v>
      </c>
      <c r="BD515" t="s">
        <v>1790</v>
      </c>
      <c r="BE515" s="243">
        <f t="shared" si="71"/>
        <v>12026188.142884001</v>
      </c>
    </row>
    <row r="516" spans="1:57">
      <c r="A516">
        <v>6010</v>
      </c>
      <c r="B516" t="s">
        <v>355</v>
      </c>
      <c r="C516" t="s">
        <v>1186</v>
      </c>
      <c r="D516" s="176">
        <v>418867074.20327097</v>
      </c>
      <c r="E516">
        <v>0</v>
      </c>
      <c r="G516">
        <v>6010</v>
      </c>
      <c r="H516" t="s">
        <v>355</v>
      </c>
      <c r="I516" t="s">
        <v>1186</v>
      </c>
      <c r="J516" s="176">
        <v>285226991.00442302</v>
      </c>
      <c r="K516">
        <v>0</v>
      </c>
      <c r="L516" s="342" t="str">
        <f t="shared" si="68"/>
        <v/>
      </c>
      <c r="M516">
        <v>6010</v>
      </c>
      <c r="N516" t="s">
        <v>355</v>
      </c>
      <c r="O516" t="s">
        <v>1186</v>
      </c>
      <c r="P516" s="243">
        <f t="shared" si="69"/>
        <v>647048667.00680947</v>
      </c>
      <c r="S516">
        <v>6010</v>
      </c>
      <c r="T516" t="s">
        <v>355</v>
      </c>
      <c r="U516" t="s">
        <v>1186</v>
      </c>
      <c r="V516" s="176">
        <v>31556157.140000001</v>
      </c>
      <c r="W516" s="176">
        <v>234408834.66554499</v>
      </c>
      <c r="X516" s="176">
        <v>1000000</v>
      </c>
      <c r="Y516" s="176">
        <v>60144187.928888001</v>
      </c>
      <c r="Z516" s="176"/>
      <c r="AA516">
        <v>6010</v>
      </c>
      <c r="AB516" s="176" t="s">
        <v>355</v>
      </c>
      <c r="AC516" s="176" t="s">
        <v>1186</v>
      </c>
      <c r="AD516" s="176">
        <v>31556157.140000001</v>
      </c>
      <c r="AE516" s="176">
        <v>234408834.66554499</v>
      </c>
      <c r="AF516" s="176">
        <v>1000000</v>
      </c>
      <c r="AG516" s="176">
        <v>60144187.928888001</v>
      </c>
      <c r="AH516" s="342" t="str">
        <f t="shared" ref="AH516:AH579" si="72">IF(AND(M516 = S516, O516 = U516), "", "ATT")</f>
        <v/>
      </c>
      <c r="AI516">
        <v>6010</v>
      </c>
      <c r="AJ516" t="s">
        <v>355</v>
      </c>
      <c r="AK516" t="s">
        <v>1186</v>
      </c>
      <c r="AL516" s="245">
        <f t="shared" ref="AL516:AL579" si="73">V516+(AD516*0.8)</f>
        <v>56801082.851999998</v>
      </c>
      <c r="AM516" s="245">
        <f t="shared" ref="AM516:AM579" si="74">W516+(AE516*0.8)</f>
        <v>421935902.39798099</v>
      </c>
      <c r="AN516" s="245">
        <f t="shared" ref="AN516:AN579" si="75">X516+(AF516*0.8)</f>
        <v>1800000</v>
      </c>
      <c r="AO516" s="245">
        <f t="shared" ref="AO516:AO579" si="76">Y516+(AG516*0.8)</f>
        <v>108259538.27199841</v>
      </c>
      <c r="AP516" s="176"/>
      <c r="AQ516" s="176"/>
      <c r="AR516">
        <v>6010</v>
      </c>
      <c r="AS516" t="s">
        <v>355</v>
      </c>
      <c r="AT516" t="s">
        <v>1186</v>
      </c>
      <c r="AU516" s="176">
        <v>8686781.1811069995</v>
      </c>
      <c r="AW516">
        <v>6010</v>
      </c>
      <c r="AX516" t="s">
        <v>355</v>
      </c>
      <c r="AY516" t="s">
        <v>1186</v>
      </c>
      <c r="AZ516" s="176">
        <v>5575051.6199970003</v>
      </c>
      <c r="BA516" s="342" t="str">
        <f t="shared" si="70"/>
        <v/>
      </c>
      <c r="BB516">
        <v>6010</v>
      </c>
      <c r="BC516" t="s">
        <v>355</v>
      </c>
      <c r="BD516" t="s">
        <v>1186</v>
      </c>
      <c r="BE516" s="243">
        <f t="shared" si="71"/>
        <v>13146822.477104601</v>
      </c>
    </row>
    <row r="517" spans="1:57">
      <c r="A517">
        <v>6010</v>
      </c>
      <c r="B517" t="s">
        <v>355</v>
      </c>
      <c r="C517" t="s">
        <v>1187</v>
      </c>
      <c r="D517" s="176">
        <v>60694843.821088001</v>
      </c>
      <c r="E517">
        <v>0</v>
      </c>
      <c r="G517">
        <v>6010</v>
      </c>
      <c r="H517" t="s">
        <v>355</v>
      </c>
      <c r="I517" t="s">
        <v>1187</v>
      </c>
      <c r="J517" s="176">
        <v>40236831.432216004</v>
      </c>
      <c r="K517">
        <v>0</v>
      </c>
      <c r="L517" s="342" t="str">
        <f t="shared" ref="L517:L580" si="77">IF(AND(A517 = G517, C517 = I517), "", "ATT")</f>
        <v/>
      </c>
      <c r="M517">
        <v>6010</v>
      </c>
      <c r="N517" t="s">
        <v>355</v>
      </c>
      <c r="O517" t="s">
        <v>1187</v>
      </c>
      <c r="P517" s="243">
        <f t="shared" ref="P517:P580" si="78">D517+(J517*0.8)</f>
        <v>92884308.966860801</v>
      </c>
      <c r="S517">
        <v>6010</v>
      </c>
      <c r="T517" t="s">
        <v>355</v>
      </c>
      <c r="U517" t="s">
        <v>1187</v>
      </c>
      <c r="V517" s="176">
        <v>13094282.055554001</v>
      </c>
      <c r="W517" s="176">
        <v>50892755.838864997</v>
      </c>
      <c r="X517" s="176">
        <v>0</v>
      </c>
      <c r="Y517" s="176">
        <v>13122570</v>
      </c>
      <c r="Z517" s="176"/>
      <c r="AA517">
        <v>6010</v>
      </c>
      <c r="AB517" s="176" t="s">
        <v>355</v>
      </c>
      <c r="AC517" s="176" t="s">
        <v>1187</v>
      </c>
      <c r="AD517" s="176">
        <v>13094282.055554001</v>
      </c>
      <c r="AE517" s="176">
        <v>50892755.838864997</v>
      </c>
      <c r="AF517" s="176">
        <v>0</v>
      </c>
      <c r="AG517" s="176">
        <v>13122570</v>
      </c>
      <c r="AH517" s="342" t="str">
        <f t="shared" si="72"/>
        <v/>
      </c>
      <c r="AI517">
        <v>6010</v>
      </c>
      <c r="AJ517" t="s">
        <v>355</v>
      </c>
      <c r="AK517" t="s">
        <v>1187</v>
      </c>
      <c r="AL517" s="245">
        <f t="shared" si="73"/>
        <v>23569707.699997202</v>
      </c>
      <c r="AM517" s="245">
        <f t="shared" si="74"/>
        <v>91606960.509957001</v>
      </c>
      <c r="AN517" s="245">
        <f t="shared" si="75"/>
        <v>0</v>
      </c>
      <c r="AO517" s="245">
        <f t="shared" si="76"/>
        <v>23620626</v>
      </c>
      <c r="AP517" s="176"/>
      <c r="AQ517" s="176"/>
      <c r="AR517">
        <v>6010</v>
      </c>
      <c r="AS517" t="s">
        <v>355</v>
      </c>
      <c r="AT517" t="s">
        <v>1187</v>
      </c>
      <c r="AU517" s="176">
        <v>7212146.2899979996</v>
      </c>
      <c r="AW517">
        <v>6010</v>
      </c>
      <c r="AX517" t="s">
        <v>355</v>
      </c>
      <c r="AY517" t="s">
        <v>1187</v>
      </c>
      <c r="AZ517" s="176">
        <v>3807780.6266660001</v>
      </c>
      <c r="BA517" s="342" t="str">
        <f t="shared" ref="BA517:BA580" si="79">IF(AND(AR517 = AW517, AT517 = AY517), "", "ATT")</f>
        <v/>
      </c>
      <c r="BB517">
        <v>6010</v>
      </c>
      <c r="BC517" t="s">
        <v>355</v>
      </c>
      <c r="BD517" t="s">
        <v>1187</v>
      </c>
      <c r="BE517" s="243">
        <f t="shared" ref="BE517:BE580" si="80">AU517+(0.8*AZ517)</f>
        <v>10258370.791330799</v>
      </c>
    </row>
    <row r="518" spans="1:57">
      <c r="A518">
        <v>6010</v>
      </c>
      <c r="B518" t="s">
        <v>355</v>
      </c>
      <c r="C518" t="s">
        <v>1188</v>
      </c>
      <c r="D518" s="176">
        <v>208068520.68880701</v>
      </c>
      <c r="E518">
        <v>0</v>
      </c>
      <c r="G518">
        <v>6010</v>
      </c>
      <c r="H518" t="s">
        <v>355</v>
      </c>
      <c r="I518" t="s">
        <v>1188</v>
      </c>
      <c r="J518" s="176">
        <v>168990477.09108201</v>
      </c>
      <c r="K518">
        <v>0</v>
      </c>
      <c r="L518" s="342" t="str">
        <f t="shared" si="77"/>
        <v/>
      </c>
      <c r="M518">
        <v>6010</v>
      </c>
      <c r="N518" t="s">
        <v>355</v>
      </c>
      <c r="O518" t="s">
        <v>1188</v>
      </c>
      <c r="P518" s="243">
        <f t="shared" si="78"/>
        <v>343260902.36167264</v>
      </c>
      <c r="S518">
        <v>6010</v>
      </c>
      <c r="T518" t="s">
        <v>355</v>
      </c>
      <c r="U518" t="s">
        <v>1188</v>
      </c>
      <c r="V518" s="176">
        <v>47090503.966665</v>
      </c>
      <c r="W518" s="176">
        <v>236479450.43551999</v>
      </c>
      <c r="X518" s="176">
        <v>0</v>
      </c>
      <c r="Y518" s="176">
        <v>38677771.444441997</v>
      </c>
      <c r="Z518" s="176"/>
      <c r="AA518">
        <v>6010</v>
      </c>
      <c r="AB518" s="176" t="s">
        <v>355</v>
      </c>
      <c r="AC518" s="176" t="s">
        <v>1188</v>
      </c>
      <c r="AD518" s="176">
        <v>47090503.966665</v>
      </c>
      <c r="AE518" s="176">
        <v>236479450.43551999</v>
      </c>
      <c r="AF518" s="176">
        <v>0</v>
      </c>
      <c r="AG518" s="176">
        <v>38677771.444441997</v>
      </c>
      <c r="AH518" s="342" t="str">
        <f t="shared" si="72"/>
        <v/>
      </c>
      <c r="AI518">
        <v>6010</v>
      </c>
      <c r="AJ518" t="s">
        <v>355</v>
      </c>
      <c r="AK518" t="s">
        <v>1188</v>
      </c>
      <c r="AL518" s="245">
        <f t="shared" si="73"/>
        <v>84762907.139997005</v>
      </c>
      <c r="AM518" s="245">
        <f t="shared" si="74"/>
        <v>425663010.78393602</v>
      </c>
      <c r="AN518" s="245">
        <f t="shared" si="75"/>
        <v>0</v>
      </c>
      <c r="AO518" s="245">
        <f t="shared" si="76"/>
        <v>69619988.599995598</v>
      </c>
      <c r="AP518" s="176"/>
      <c r="AQ518" s="176"/>
      <c r="AR518">
        <v>6010</v>
      </c>
      <c r="AS518" t="s">
        <v>355</v>
      </c>
      <c r="AT518" t="s">
        <v>1188</v>
      </c>
      <c r="AU518" s="176">
        <v>10558535.238883</v>
      </c>
      <c r="AW518">
        <v>6010</v>
      </c>
      <c r="AX518" t="s">
        <v>355</v>
      </c>
      <c r="AY518" t="s">
        <v>1188</v>
      </c>
      <c r="AZ518" s="176">
        <v>20216604.984441001</v>
      </c>
      <c r="BA518" s="342" t="str">
        <f t="shared" si="79"/>
        <v/>
      </c>
      <c r="BB518">
        <v>6010</v>
      </c>
      <c r="BC518" t="s">
        <v>355</v>
      </c>
      <c r="BD518" t="s">
        <v>1188</v>
      </c>
      <c r="BE518" s="243">
        <f t="shared" si="80"/>
        <v>26731819.226435803</v>
      </c>
    </row>
    <row r="519" spans="1:57">
      <c r="A519">
        <v>6010</v>
      </c>
      <c r="B519" t="s">
        <v>355</v>
      </c>
      <c r="C519" t="s">
        <v>1185</v>
      </c>
      <c r="D519" s="176">
        <v>286742659.16874099</v>
      </c>
      <c r="E519">
        <v>0</v>
      </c>
      <c r="G519">
        <v>6010</v>
      </c>
      <c r="H519" t="s">
        <v>355</v>
      </c>
      <c r="I519" t="s">
        <v>1185</v>
      </c>
      <c r="J519" s="176">
        <v>108410632.793309</v>
      </c>
      <c r="K519">
        <v>0</v>
      </c>
      <c r="L519" s="342" t="str">
        <f t="shared" si="77"/>
        <v/>
      </c>
      <c r="M519">
        <v>6010</v>
      </c>
      <c r="N519" t="s">
        <v>355</v>
      </c>
      <c r="O519" t="s">
        <v>1185</v>
      </c>
      <c r="P519" s="243">
        <f t="shared" si="78"/>
        <v>373471165.4033882</v>
      </c>
      <c r="S519">
        <v>6010</v>
      </c>
      <c r="T519" t="s">
        <v>355</v>
      </c>
      <c r="U519" t="s">
        <v>1185</v>
      </c>
      <c r="V519" s="176">
        <v>85087195.294440001</v>
      </c>
      <c r="W519" s="176">
        <v>236688447.329936</v>
      </c>
      <c r="X519" s="176">
        <v>500000</v>
      </c>
      <c r="Y519" s="176">
        <v>77400018.779995993</v>
      </c>
      <c r="Z519" s="176"/>
      <c r="AA519">
        <v>6010</v>
      </c>
      <c r="AB519" s="176" t="s">
        <v>355</v>
      </c>
      <c r="AC519" s="176" t="s">
        <v>1185</v>
      </c>
      <c r="AD519" s="176">
        <v>85087195.294440001</v>
      </c>
      <c r="AE519" s="176">
        <v>236688447.329936</v>
      </c>
      <c r="AF519">
        <v>500000</v>
      </c>
      <c r="AG519" s="176">
        <v>77400018.779995993</v>
      </c>
      <c r="AH519" s="342" t="str">
        <f t="shared" si="72"/>
        <v/>
      </c>
      <c r="AI519">
        <v>6010</v>
      </c>
      <c r="AJ519" t="s">
        <v>355</v>
      </c>
      <c r="AK519" t="s">
        <v>1185</v>
      </c>
      <c r="AL519" s="245">
        <f t="shared" si="73"/>
        <v>153156951.52999198</v>
      </c>
      <c r="AM519" s="245">
        <f t="shared" si="74"/>
        <v>426039205.19388485</v>
      </c>
      <c r="AN519" s="245">
        <f t="shared" si="75"/>
        <v>900000</v>
      </c>
      <c r="AO519" s="245">
        <f t="shared" si="76"/>
        <v>139320033.80399281</v>
      </c>
      <c r="AP519" s="176"/>
      <c r="AQ519" s="176"/>
      <c r="AR519">
        <v>6010</v>
      </c>
      <c r="AS519" t="s">
        <v>355</v>
      </c>
      <c r="AT519" t="s">
        <v>1185</v>
      </c>
      <c r="AU519" s="176">
        <v>66545945.425544001</v>
      </c>
      <c r="AW519">
        <v>6010</v>
      </c>
      <c r="AX519" t="s">
        <v>355</v>
      </c>
      <c r="AY519" t="s">
        <v>1185</v>
      </c>
      <c r="AZ519" s="176">
        <v>64485140.326661997</v>
      </c>
      <c r="BA519" s="342" t="str">
        <f t="shared" si="79"/>
        <v/>
      </c>
      <c r="BB519">
        <v>6010</v>
      </c>
      <c r="BC519" t="s">
        <v>355</v>
      </c>
      <c r="BD519" t="s">
        <v>1185</v>
      </c>
      <c r="BE519" s="243">
        <f t="shared" si="80"/>
        <v>118134057.6868736</v>
      </c>
    </row>
    <row r="520" spans="1:57">
      <c r="A520">
        <v>6020</v>
      </c>
      <c r="B520" t="s">
        <v>356</v>
      </c>
      <c r="C520" t="s">
        <v>1189</v>
      </c>
      <c r="D520" s="176">
        <v>214517983.76216799</v>
      </c>
      <c r="E520">
        <v>0</v>
      </c>
      <c r="G520">
        <v>6020</v>
      </c>
      <c r="H520" t="s">
        <v>356</v>
      </c>
      <c r="I520" t="s">
        <v>1189</v>
      </c>
      <c r="J520" s="176">
        <v>104491110.84443</v>
      </c>
      <c r="K520">
        <v>0</v>
      </c>
      <c r="L520" s="342" t="str">
        <f t="shared" si="77"/>
        <v/>
      </c>
      <c r="M520">
        <v>6020</v>
      </c>
      <c r="N520" t="s">
        <v>356</v>
      </c>
      <c r="O520" t="s">
        <v>1189</v>
      </c>
      <c r="P520" s="243">
        <f t="shared" si="78"/>
        <v>298110872.43771201</v>
      </c>
      <c r="S520">
        <v>6020</v>
      </c>
      <c r="T520" t="s">
        <v>356</v>
      </c>
      <c r="U520" t="s">
        <v>1189</v>
      </c>
      <c r="V520" s="176">
        <v>92505793.064440995</v>
      </c>
      <c r="W520" s="176">
        <v>311706886.36440802</v>
      </c>
      <c r="X520" s="176">
        <v>0</v>
      </c>
      <c r="Y520" s="176">
        <v>4690688.6666630004</v>
      </c>
      <c r="Z520" s="176"/>
      <c r="AA520">
        <v>6020</v>
      </c>
      <c r="AB520" s="176" t="s">
        <v>356</v>
      </c>
      <c r="AC520" s="176" t="s">
        <v>1189</v>
      </c>
      <c r="AD520" s="176">
        <v>92505793.064440995</v>
      </c>
      <c r="AE520" s="176">
        <v>311706886.36440802</v>
      </c>
      <c r="AF520" s="176">
        <v>0</v>
      </c>
      <c r="AG520" s="176">
        <v>4690688.6666630004</v>
      </c>
      <c r="AH520" s="342" t="str">
        <f t="shared" si="72"/>
        <v/>
      </c>
      <c r="AI520">
        <v>6020</v>
      </c>
      <c r="AJ520" t="s">
        <v>356</v>
      </c>
      <c r="AK520" t="s">
        <v>1189</v>
      </c>
      <c r="AL520" s="245">
        <f t="shared" si="73"/>
        <v>166510427.51599377</v>
      </c>
      <c r="AM520" s="245">
        <f t="shared" si="74"/>
        <v>561072395.45593441</v>
      </c>
      <c r="AN520" s="245">
        <f t="shared" si="75"/>
        <v>0</v>
      </c>
      <c r="AO520" s="245">
        <f t="shared" si="76"/>
        <v>8443239.5999934003</v>
      </c>
      <c r="AP520" s="176"/>
      <c r="AQ520" s="176"/>
      <c r="AR520">
        <v>6020</v>
      </c>
      <c r="AS520" t="s">
        <v>356</v>
      </c>
      <c r="AT520" t="s">
        <v>1189</v>
      </c>
      <c r="AU520" s="176">
        <v>6099645.6677740002</v>
      </c>
      <c r="AW520">
        <v>6020</v>
      </c>
      <c r="AX520" t="s">
        <v>356</v>
      </c>
      <c r="AY520" t="s">
        <v>1189</v>
      </c>
      <c r="AZ520" s="176">
        <v>13638933.489995999</v>
      </c>
      <c r="BA520" s="342" t="str">
        <f t="shared" si="79"/>
        <v/>
      </c>
      <c r="BB520">
        <v>6020</v>
      </c>
      <c r="BC520" t="s">
        <v>356</v>
      </c>
      <c r="BD520" t="s">
        <v>1189</v>
      </c>
      <c r="BE520" s="243">
        <f t="shared" si="80"/>
        <v>17010792.459770799</v>
      </c>
    </row>
    <row r="521" spans="1:57">
      <c r="A521">
        <v>6020</v>
      </c>
      <c r="B521" t="s">
        <v>356</v>
      </c>
      <c r="C521" t="s">
        <v>1190</v>
      </c>
      <c r="D521" s="176">
        <v>319296298.48208898</v>
      </c>
      <c r="E521">
        <v>0</v>
      </c>
      <c r="G521">
        <v>6020</v>
      </c>
      <c r="H521" t="s">
        <v>356</v>
      </c>
      <c r="I521" t="s">
        <v>1190</v>
      </c>
      <c r="J521" s="176">
        <v>100359514.623316</v>
      </c>
      <c r="K521">
        <v>0</v>
      </c>
      <c r="L521" s="342" t="str">
        <f t="shared" si="77"/>
        <v/>
      </c>
      <c r="M521">
        <v>6020</v>
      </c>
      <c r="N521" t="s">
        <v>356</v>
      </c>
      <c r="O521" t="s">
        <v>1190</v>
      </c>
      <c r="P521" s="243">
        <f t="shared" si="78"/>
        <v>399583910.18074179</v>
      </c>
      <c r="S521">
        <v>6020</v>
      </c>
      <c r="T521" t="s">
        <v>356</v>
      </c>
      <c r="U521" t="s">
        <v>1190</v>
      </c>
      <c r="V521" s="176">
        <v>114359552.34666499</v>
      </c>
      <c r="W521" s="176">
        <v>369729411.42327797</v>
      </c>
      <c r="X521" s="176">
        <v>0</v>
      </c>
      <c r="Y521" s="176">
        <v>11962483.333331</v>
      </c>
      <c r="Z521" s="176"/>
      <c r="AA521">
        <v>6020</v>
      </c>
      <c r="AB521" s="176" t="s">
        <v>356</v>
      </c>
      <c r="AC521" s="176" t="s">
        <v>1190</v>
      </c>
      <c r="AD521" s="176">
        <v>114359552.34666499</v>
      </c>
      <c r="AE521" s="176">
        <v>369729411.42327797</v>
      </c>
      <c r="AF521" s="176">
        <v>0</v>
      </c>
      <c r="AG521" s="176">
        <v>11962483.333331</v>
      </c>
      <c r="AH521" s="342" t="str">
        <f t="shared" si="72"/>
        <v/>
      </c>
      <c r="AI521">
        <v>6020</v>
      </c>
      <c r="AJ521" t="s">
        <v>356</v>
      </c>
      <c r="AK521" t="s">
        <v>1190</v>
      </c>
      <c r="AL521" s="245">
        <f t="shared" si="73"/>
        <v>205847194.223997</v>
      </c>
      <c r="AM521" s="245">
        <f t="shared" si="74"/>
        <v>665512940.56190038</v>
      </c>
      <c r="AN521" s="245">
        <f t="shared" si="75"/>
        <v>0</v>
      </c>
      <c r="AO521" s="245">
        <f t="shared" si="76"/>
        <v>21532469.999995798</v>
      </c>
      <c r="AP521" s="176"/>
      <c r="AQ521" s="176"/>
      <c r="AR521">
        <v>6020</v>
      </c>
      <c r="AS521" t="s">
        <v>356</v>
      </c>
      <c r="AT521" t="s">
        <v>1190</v>
      </c>
      <c r="AU521" s="176">
        <v>52460052.152212001</v>
      </c>
      <c r="AW521">
        <v>6020</v>
      </c>
      <c r="AX521" t="s">
        <v>356</v>
      </c>
      <c r="AY521" t="s">
        <v>1190</v>
      </c>
      <c r="AZ521" s="176">
        <v>21083698.589997999</v>
      </c>
      <c r="BA521" s="342" t="str">
        <f t="shared" si="79"/>
        <v/>
      </c>
      <c r="BB521">
        <v>6020</v>
      </c>
      <c r="BC521" t="s">
        <v>356</v>
      </c>
      <c r="BD521" t="s">
        <v>1190</v>
      </c>
      <c r="BE521" s="243">
        <f t="shared" si="80"/>
        <v>69327011.024210393</v>
      </c>
    </row>
    <row r="522" spans="1:57">
      <c r="A522">
        <v>6020</v>
      </c>
      <c r="B522" t="s">
        <v>356</v>
      </c>
      <c r="C522" t="s">
        <v>1985</v>
      </c>
      <c r="D522" s="176">
        <v>51481508.327744</v>
      </c>
      <c r="E522">
        <v>0</v>
      </c>
      <c r="G522">
        <v>6020</v>
      </c>
      <c r="H522" t="s">
        <v>356</v>
      </c>
      <c r="I522" t="s">
        <v>1985</v>
      </c>
      <c r="J522" s="176">
        <v>8720151.8111070003</v>
      </c>
      <c r="K522">
        <v>0</v>
      </c>
      <c r="L522" s="342" t="str">
        <f t="shared" si="77"/>
        <v/>
      </c>
      <c r="M522">
        <v>6020</v>
      </c>
      <c r="N522" t="s">
        <v>356</v>
      </c>
      <c r="O522" t="s">
        <v>1985</v>
      </c>
      <c r="P522" s="243">
        <f t="shared" si="78"/>
        <v>58457629.776629597</v>
      </c>
      <c r="S522">
        <v>6020</v>
      </c>
      <c r="T522" t="s">
        <v>356</v>
      </c>
      <c r="U522" t="s">
        <v>1985</v>
      </c>
      <c r="V522" s="176">
        <v>18598468.789999999</v>
      </c>
      <c r="W522" s="176">
        <v>89760567.807750002</v>
      </c>
      <c r="X522" s="176">
        <v>0</v>
      </c>
      <c r="Y522" s="176">
        <v>3835197.3333330001</v>
      </c>
      <c r="Z522" s="176"/>
      <c r="AA522">
        <v>6020</v>
      </c>
      <c r="AB522" s="176" t="s">
        <v>356</v>
      </c>
      <c r="AC522" s="176" t="s">
        <v>1985</v>
      </c>
      <c r="AD522" s="176">
        <v>18598468.789999999</v>
      </c>
      <c r="AE522" s="176">
        <v>89760567.807750002</v>
      </c>
      <c r="AF522" s="176">
        <v>0</v>
      </c>
      <c r="AG522" s="176">
        <v>3835197.3333330001</v>
      </c>
      <c r="AH522" s="342" t="str">
        <f t="shared" si="72"/>
        <v/>
      </c>
      <c r="AI522">
        <v>6020</v>
      </c>
      <c r="AJ522" t="s">
        <v>356</v>
      </c>
      <c r="AK522" t="s">
        <v>1985</v>
      </c>
      <c r="AL522" s="245">
        <f t="shared" si="73"/>
        <v>33477243.821999997</v>
      </c>
      <c r="AM522" s="245">
        <f t="shared" si="74"/>
        <v>161569022.05395001</v>
      </c>
      <c r="AN522" s="245">
        <f t="shared" si="75"/>
        <v>0</v>
      </c>
      <c r="AO522" s="245">
        <f t="shared" si="76"/>
        <v>6903355.1999994004</v>
      </c>
      <c r="AP522" s="176"/>
      <c r="AQ522" s="176"/>
      <c r="AR522">
        <v>6020</v>
      </c>
      <c r="AS522" t="s">
        <v>356</v>
      </c>
      <c r="AT522" t="s">
        <v>1985</v>
      </c>
      <c r="AU522" s="176">
        <v>53836.242222000001</v>
      </c>
      <c r="AW522">
        <v>6020</v>
      </c>
      <c r="AX522" t="s">
        <v>356</v>
      </c>
      <c r="AY522" t="s">
        <v>1985</v>
      </c>
      <c r="AZ522" s="176">
        <v>0</v>
      </c>
      <c r="BA522" s="342" t="str">
        <f t="shared" si="79"/>
        <v/>
      </c>
      <c r="BB522">
        <v>6020</v>
      </c>
      <c r="BC522" t="s">
        <v>356</v>
      </c>
      <c r="BD522" t="s">
        <v>1985</v>
      </c>
      <c r="BE522" s="243">
        <f t="shared" si="80"/>
        <v>53836.242222000001</v>
      </c>
    </row>
    <row r="523" spans="1:57">
      <c r="A523">
        <v>6200</v>
      </c>
      <c r="B523" t="s">
        <v>357</v>
      </c>
      <c r="C523" t="s">
        <v>1192</v>
      </c>
      <c r="D523" s="176">
        <v>189698115.83548501</v>
      </c>
      <c r="E523">
        <v>0</v>
      </c>
      <c r="G523">
        <v>6200</v>
      </c>
      <c r="H523" t="s">
        <v>357</v>
      </c>
      <c r="I523" t="s">
        <v>1192</v>
      </c>
      <c r="J523" s="176">
        <v>115829807.957761</v>
      </c>
      <c r="K523">
        <v>0</v>
      </c>
      <c r="L523" s="342" t="str">
        <f t="shared" si="77"/>
        <v/>
      </c>
      <c r="M523">
        <v>6200</v>
      </c>
      <c r="N523" t="s">
        <v>357</v>
      </c>
      <c r="O523" t="s">
        <v>1192</v>
      </c>
      <c r="P523" s="243">
        <f t="shared" si="78"/>
        <v>282361962.20169383</v>
      </c>
      <c r="S523">
        <v>6200</v>
      </c>
      <c r="T523" t="s">
        <v>357</v>
      </c>
      <c r="U523" t="s">
        <v>1192</v>
      </c>
      <c r="V523" s="176">
        <v>44038748.832221001</v>
      </c>
      <c r="W523" s="176">
        <v>185953657.729956</v>
      </c>
      <c r="X523" s="176">
        <v>1000000</v>
      </c>
      <c r="Y523" s="176">
        <v>9659709.1999999993</v>
      </c>
      <c r="Z523" s="176"/>
      <c r="AA523">
        <v>6200</v>
      </c>
      <c r="AB523" s="176" t="s">
        <v>357</v>
      </c>
      <c r="AC523" s="176" t="s">
        <v>1192</v>
      </c>
      <c r="AD523" s="176">
        <v>44038748.832221001</v>
      </c>
      <c r="AE523" s="176">
        <v>185953657.729956</v>
      </c>
      <c r="AF523" s="176">
        <v>1000000</v>
      </c>
      <c r="AG523" s="176">
        <v>9659709.1999999993</v>
      </c>
      <c r="AH523" s="342" t="str">
        <f t="shared" si="72"/>
        <v/>
      </c>
      <c r="AI523">
        <v>6200</v>
      </c>
      <c r="AJ523" t="s">
        <v>357</v>
      </c>
      <c r="AK523" t="s">
        <v>1192</v>
      </c>
      <c r="AL523" s="245">
        <f t="shared" si="73"/>
        <v>79269747.897997797</v>
      </c>
      <c r="AM523" s="245">
        <f t="shared" si="74"/>
        <v>334716583.91392082</v>
      </c>
      <c r="AN523" s="245">
        <f t="shared" si="75"/>
        <v>1800000</v>
      </c>
      <c r="AO523" s="245">
        <f t="shared" si="76"/>
        <v>17387476.559999999</v>
      </c>
      <c r="AP523" s="176"/>
      <c r="AQ523" s="176"/>
      <c r="AR523">
        <v>6200</v>
      </c>
      <c r="AS523" t="s">
        <v>357</v>
      </c>
      <c r="AT523" t="s">
        <v>1192</v>
      </c>
      <c r="AU523" s="176">
        <v>28351513.843318999</v>
      </c>
      <c r="AW523">
        <v>6200</v>
      </c>
      <c r="AX523" t="s">
        <v>357</v>
      </c>
      <c r="AY523" t="s">
        <v>1192</v>
      </c>
      <c r="AZ523" s="176">
        <v>12002269.767774999</v>
      </c>
      <c r="BA523" s="342" t="str">
        <f t="shared" si="79"/>
        <v/>
      </c>
      <c r="BB523">
        <v>6200</v>
      </c>
      <c r="BC523" t="s">
        <v>357</v>
      </c>
      <c r="BD523" t="s">
        <v>1192</v>
      </c>
      <c r="BE523" s="243">
        <f t="shared" si="80"/>
        <v>37953329.657538995</v>
      </c>
    </row>
    <row r="524" spans="1:57">
      <c r="A524">
        <v>6200</v>
      </c>
      <c r="B524" t="s">
        <v>357</v>
      </c>
      <c r="C524" t="s">
        <v>1986</v>
      </c>
      <c r="D524" s="176">
        <v>130548707.50328401</v>
      </c>
      <c r="E524">
        <v>0</v>
      </c>
      <c r="G524">
        <v>6200</v>
      </c>
      <c r="H524" t="s">
        <v>357</v>
      </c>
      <c r="I524" t="s">
        <v>1986</v>
      </c>
      <c r="J524" s="176">
        <v>62277666.343314998</v>
      </c>
      <c r="K524">
        <v>0</v>
      </c>
      <c r="L524" s="342" t="str">
        <f t="shared" si="77"/>
        <v/>
      </c>
      <c r="M524">
        <v>6200</v>
      </c>
      <c r="N524" t="s">
        <v>357</v>
      </c>
      <c r="O524" t="s">
        <v>1986</v>
      </c>
      <c r="P524" s="243">
        <f t="shared" si="78"/>
        <v>180370840.57793599</v>
      </c>
      <c r="S524">
        <v>6200</v>
      </c>
      <c r="T524" t="s">
        <v>357</v>
      </c>
      <c r="U524" t="s">
        <v>1986</v>
      </c>
      <c r="V524" s="176">
        <v>79892842.147777006</v>
      </c>
      <c r="W524" s="176">
        <v>195608086.027753</v>
      </c>
      <c r="X524" s="176">
        <v>0</v>
      </c>
      <c r="Y524" s="176">
        <v>7433994.8777750004</v>
      </c>
      <c r="Z524" s="176"/>
      <c r="AA524">
        <v>6200</v>
      </c>
      <c r="AB524" s="176" t="s">
        <v>357</v>
      </c>
      <c r="AC524" s="176" t="s">
        <v>1986</v>
      </c>
      <c r="AD524" s="176">
        <v>79892842.147777006</v>
      </c>
      <c r="AE524" s="176">
        <v>195608086.027753</v>
      </c>
      <c r="AF524" s="176">
        <v>0</v>
      </c>
      <c r="AG524" s="176">
        <v>7433994.8777750004</v>
      </c>
      <c r="AH524" s="342" t="str">
        <f t="shared" si="72"/>
        <v/>
      </c>
      <c r="AI524">
        <v>6200</v>
      </c>
      <c r="AJ524" t="s">
        <v>357</v>
      </c>
      <c r="AK524" t="s">
        <v>1986</v>
      </c>
      <c r="AL524" s="245">
        <f t="shared" si="73"/>
        <v>143807115.86599863</v>
      </c>
      <c r="AM524" s="245">
        <f t="shared" si="74"/>
        <v>352094554.84995544</v>
      </c>
      <c r="AN524" s="245">
        <f t="shared" si="75"/>
        <v>0</v>
      </c>
      <c r="AO524" s="245">
        <f t="shared" si="76"/>
        <v>13381190.779995002</v>
      </c>
      <c r="AP524" s="176"/>
      <c r="AQ524" s="176"/>
      <c r="AR524">
        <v>6200</v>
      </c>
      <c r="AS524" t="s">
        <v>357</v>
      </c>
      <c r="AT524" t="s">
        <v>1986</v>
      </c>
      <c r="AU524" s="176">
        <v>12635435.098877</v>
      </c>
      <c r="AW524">
        <v>6200</v>
      </c>
      <c r="AX524" t="s">
        <v>357</v>
      </c>
      <c r="AY524" t="s">
        <v>1986</v>
      </c>
      <c r="AZ524" s="176">
        <v>11421908.607772</v>
      </c>
      <c r="BA524" s="342" t="str">
        <f t="shared" si="79"/>
        <v/>
      </c>
      <c r="BB524">
        <v>6200</v>
      </c>
      <c r="BC524" t="s">
        <v>357</v>
      </c>
      <c r="BD524" t="s">
        <v>1986</v>
      </c>
      <c r="BE524" s="243">
        <f t="shared" si="80"/>
        <v>21772961.985094599</v>
      </c>
    </row>
    <row r="525" spans="1:57">
      <c r="A525">
        <v>6200</v>
      </c>
      <c r="B525" t="s">
        <v>357</v>
      </c>
      <c r="C525" t="s">
        <v>1193</v>
      </c>
      <c r="D525" s="176">
        <v>101746618.111068</v>
      </c>
      <c r="E525">
        <v>0</v>
      </c>
      <c r="G525">
        <v>6200</v>
      </c>
      <c r="H525" t="s">
        <v>357</v>
      </c>
      <c r="I525" t="s">
        <v>1193</v>
      </c>
      <c r="J525" s="176">
        <v>34361486.737764001</v>
      </c>
      <c r="K525">
        <v>0</v>
      </c>
      <c r="L525" s="342" t="str">
        <f t="shared" si="77"/>
        <v/>
      </c>
      <c r="M525">
        <v>6200</v>
      </c>
      <c r="N525" t="s">
        <v>357</v>
      </c>
      <c r="O525" t="s">
        <v>1193</v>
      </c>
      <c r="P525" s="243">
        <f t="shared" si="78"/>
        <v>129235807.50127921</v>
      </c>
      <c r="S525">
        <v>6200</v>
      </c>
      <c r="T525" t="s">
        <v>357</v>
      </c>
      <c r="U525" t="s">
        <v>1193</v>
      </c>
      <c r="V525" s="176">
        <v>23613358.278887998</v>
      </c>
      <c r="W525" s="176">
        <v>109617783.745537</v>
      </c>
      <c r="X525" s="176">
        <v>0</v>
      </c>
      <c r="Y525" s="176">
        <v>7553887.5555539997</v>
      </c>
      <c r="Z525" s="176"/>
      <c r="AA525">
        <v>6200</v>
      </c>
      <c r="AB525" s="176" t="s">
        <v>357</v>
      </c>
      <c r="AC525" s="176" t="s">
        <v>1193</v>
      </c>
      <c r="AD525" s="176">
        <v>23613358.278887998</v>
      </c>
      <c r="AE525" s="176">
        <v>109617783.745537</v>
      </c>
      <c r="AF525" s="176">
        <v>0</v>
      </c>
      <c r="AG525" s="176">
        <v>7553887.5555539997</v>
      </c>
      <c r="AH525" s="342" t="str">
        <f t="shared" si="72"/>
        <v/>
      </c>
      <c r="AI525">
        <v>6200</v>
      </c>
      <c r="AJ525" t="s">
        <v>357</v>
      </c>
      <c r="AK525" t="s">
        <v>1193</v>
      </c>
      <c r="AL525" s="245">
        <f t="shared" si="73"/>
        <v>42504044.901998401</v>
      </c>
      <c r="AM525" s="245">
        <f t="shared" si="74"/>
        <v>197312010.74196661</v>
      </c>
      <c r="AN525" s="245">
        <f t="shared" si="75"/>
        <v>0</v>
      </c>
      <c r="AO525" s="245">
        <f t="shared" si="76"/>
        <v>13596997.5999972</v>
      </c>
      <c r="AP525" s="176"/>
      <c r="AQ525" s="176"/>
      <c r="AR525">
        <v>6200</v>
      </c>
      <c r="AS525" t="s">
        <v>357</v>
      </c>
      <c r="AT525" t="s">
        <v>1193</v>
      </c>
      <c r="AU525" s="176">
        <v>11918171.26777</v>
      </c>
      <c r="AW525">
        <v>6200</v>
      </c>
      <c r="AX525" t="s">
        <v>357</v>
      </c>
      <c r="AY525" t="s">
        <v>1193</v>
      </c>
      <c r="AZ525" s="176">
        <v>9760333.5088870004</v>
      </c>
      <c r="BA525" s="342" t="str">
        <f t="shared" si="79"/>
        <v/>
      </c>
      <c r="BB525">
        <v>6200</v>
      </c>
      <c r="BC525" t="s">
        <v>357</v>
      </c>
      <c r="BD525" t="s">
        <v>1193</v>
      </c>
      <c r="BE525" s="243">
        <f t="shared" si="80"/>
        <v>19726438.074879602</v>
      </c>
    </row>
    <row r="526" spans="1:57">
      <c r="A526">
        <v>6200</v>
      </c>
      <c r="B526" t="s">
        <v>357</v>
      </c>
      <c r="C526" t="s">
        <v>1586</v>
      </c>
      <c r="D526" s="176">
        <v>142706006.161019</v>
      </c>
      <c r="E526">
        <v>0</v>
      </c>
      <c r="G526">
        <v>6200</v>
      </c>
      <c r="H526" t="s">
        <v>357</v>
      </c>
      <c r="I526" t="s">
        <v>1586</v>
      </c>
      <c r="J526" s="176">
        <v>85797049.351089999</v>
      </c>
      <c r="K526">
        <v>0</v>
      </c>
      <c r="L526" s="342" t="str">
        <f t="shared" si="77"/>
        <v/>
      </c>
      <c r="M526">
        <v>6200</v>
      </c>
      <c r="N526" t="s">
        <v>357</v>
      </c>
      <c r="O526" t="s">
        <v>1586</v>
      </c>
      <c r="P526" s="243">
        <f t="shared" si="78"/>
        <v>211343645.641891</v>
      </c>
      <c r="S526">
        <v>6200</v>
      </c>
      <c r="T526" t="s">
        <v>357</v>
      </c>
      <c r="U526" t="s">
        <v>1586</v>
      </c>
      <c r="V526" s="176">
        <v>37215940.904440999</v>
      </c>
      <c r="W526" s="176">
        <v>114189672.323294</v>
      </c>
      <c r="X526" s="176">
        <v>0</v>
      </c>
      <c r="Y526" s="176">
        <v>6287719.4444429995</v>
      </c>
      <c r="Z526" s="176"/>
      <c r="AA526">
        <v>6200</v>
      </c>
      <c r="AB526" s="176" t="s">
        <v>357</v>
      </c>
      <c r="AC526" s="176" t="s">
        <v>1586</v>
      </c>
      <c r="AD526" s="176">
        <v>37215940.904440999</v>
      </c>
      <c r="AE526" s="176">
        <v>114189672.323294</v>
      </c>
      <c r="AF526" s="176">
        <v>0</v>
      </c>
      <c r="AG526" s="176">
        <v>6287719.4444429995</v>
      </c>
      <c r="AH526" s="342" t="str">
        <f t="shared" si="72"/>
        <v/>
      </c>
      <c r="AI526">
        <v>6200</v>
      </c>
      <c r="AJ526" t="s">
        <v>357</v>
      </c>
      <c r="AK526" t="s">
        <v>1586</v>
      </c>
      <c r="AL526" s="245">
        <f t="shared" si="73"/>
        <v>66988693.6279938</v>
      </c>
      <c r="AM526" s="245">
        <f t="shared" si="74"/>
        <v>205541410.1819292</v>
      </c>
      <c r="AN526" s="245">
        <f t="shared" si="75"/>
        <v>0</v>
      </c>
      <c r="AO526" s="245">
        <f t="shared" si="76"/>
        <v>11317894.9999974</v>
      </c>
      <c r="AP526" s="176"/>
      <c r="AQ526" s="176"/>
      <c r="AR526">
        <v>6200</v>
      </c>
      <c r="AS526" t="s">
        <v>357</v>
      </c>
      <c r="AT526" t="s">
        <v>1586</v>
      </c>
      <c r="AU526" s="176">
        <v>8138076.7088700002</v>
      </c>
      <c r="AW526">
        <v>6200</v>
      </c>
      <c r="AX526" t="s">
        <v>357</v>
      </c>
      <c r="AY526" t="s">
        <v>1586</v>
      </c>
      <c r="AZ526" s="176">
        <v>3205092.917775</v>
      </c>
      <c r="BA526" s="342" t="str">
        <f t="shared" si="79"/>
        <v/>
      </c>
      <c r="BB526">
        <v>6200</v>
      </c>
      <c r="BC526" t="s">
        <v>357</v>
      </c>
      <c r="BD526" t="s">
        <v>1586</v>
      </c>
      <c r="BE526" s="243">
        <f t="shared" si="80"/>
        <v>10702151.043090001</v>
      </c>
    </row>
    <row r="527" spans="1:57">
      <c r="A527">
        <v>6200</v>
      </c>
      <c r="B527" t="s">
        <v>357</v>
      </c>
      <c r="C527" t="s">
        <v>1791</v>
      </c>
      <c r="D527" s="176">
        <v>197119156.66327199</v>
      </c>
      <c r="E527">
        <v>0</v>
      </c>
      <c r="G527">
        <v>6200</v>
      </c>
      <c r="H527" t="s">
        <v>357</v>
      </c>
      <c r="I527" t="s">
        <v>1791</v>
      </c>
      <c r="J527" s="176">
        <v>130571405.64776801</v>
      </c>
      <c r="K527">
        <v>0</v>
      </c>
      <c r="L527" s="342" t="str">
        <f t="shared" si="77"/>
        <v/>
      </c>
      <c r="M527">
        <v>6200</v>
      </c>
      <c r="N527" t="s">
        <v>357</v>
      </c>
      <c r="O527" t="s">
        <v>1791</v>
      </c>
      <c r="P527" s="243">
        <f t="shared" si="78"/>
        <v>301576281.18148637</v>
      </c>
      <c r="S527">
        <v>6200</v>
      </c>
      <c r="T527" t="s">
        <v>357</v>
      </c>
      <c r="U527" t="s">
        <v>1791</v>
      </c>
      <c r="V527" s="176">
        <v>42862217.679999001</v>
      </c>
      <c r="W527" s="176">
        <v>177075512.11774799</v>
      </c>
      <c r="X527" s="176">
        <v>500000</v>
      </c>
      <c r="Y527" s="176">
        <v>5805012.7355549997</v>
      </c>
      <c r="Z527" s="176"/>
      <c r="AA527">
        <v>6200</v>
      </c>
      <c r="AB527" s="176" t="s">
        <v>357</v>
      </c>
      <c r="AC527" s="176" t="s">
        <v>1791</v>
      </c>
      <c r="AD527" s="176">
        <v>42862217.679999001</v>
      </c>
      <c r="AE527" s="176">
        <v>177075512.11774799</v>
      </c>
      <c r="AF527" s="176">
        <v>500000</v>
      </c>
      <c r="AG527" s="176">
        <v>5805012.7355549997</v>
      </c>
      <c r="AH527" s="342" t="str">
        <f t="shared" si="72"/>
        <v/>
      </c>
      <c r="AI527">
        <v>6200</v>
      </c>
      <c r="AJ527" t="s">
        <v>357</v>
      </c>
      <c r="AK527" t="s">
        <v>1791</v>
      </c>
      <c r="AL527" s="245">
        <f t="shared" si="73"/>
        <v>77151991.823998213</v>
      </c>
      <c r="AM527" s="245">
        <f t="shared" si="74"/>
        <v>318735921.81194639</v>
      </c>
      <c r="AN527" s="245">
        <f t="shared" si="75"/>
        <v>900000</v>
      </c>
      <c r="AO527" s="245">
        <f t="shared" si="76"/>
        <v>10449022.923999</v>
      </c>
      <c r="AP527" s="176"/>
      <c r="AQ527" s="176"/>
      <c r="AR527">
        <v>6200</v>
      </c>
      <c r="AS527" t="s">
        <v>357</v>
      </c>
      <c r="AT527" t="s">
        <v>1791</v>
      </c>
      <c r="AU527" s="176">
        <v>317117146.448883</v>
      </c>
      <c r="AW527">
        <v>6200</v>
      </c>
      <c r="AX527" t="s">
        <v>357</v>
      </c>
      <c r="AY527" t="s">
        <v>1791</v>
      </c>
      <c r="AZ527" s="176">
        <v>327894936.52888602</v>
      </c>
      <c r="BA527" s="342" t="str">
        <f t="shared" si="79"/>
        <v/>
      </c>
      <c r="BB527">
        <v>6200</v>
      </c>
      <c r="BC527" t="s">
        <v>357</v>
      </c>
      <c r="BD527" t="s">
        <v>1791</v>
      </c>
      <c r="BE527" s="243">
        <f t="shared" si="80"/>
        <v>579433095.67199183</v>
      </c>
    </row>
    <row r="528" spans="1:57">
      <c r="A528">
        <v>6210</v>
      </c>
      <c r="B528" t="s">
        <v>358</v>
      </c>
      <c r="C528" t="s">
        <v>1210</v>
      </c>
      <c r="D528" s="176">
        <v>303060404.39435703</v>
      </c>
      <c r="E528">
        <v>0</v>
      </c>
      <c r="G528">
        <v>6210</v>
      </c>
      <c r="H528" t="s">
        <v>358</v>
      </c>
      <c r="I528" t="s">
        <v>1210</v>
      </c>
      <c r="J528" s="176">
        <v>166873370.16441801</v>
      </c>
      <c r="K528">
        <v>0</v>
      </c>
      <c r="L528" s="342" t="str">
        <f t="shared" si="77"/>
        <v/>
      </c>
      <c r="M528">
        <v>6210</v>
      </c>
      <c r="N528" t="s">
        <v>358</v>
      </c>
      <c r="O528" t="s">
        <v>1210</v>
      </c>
      <c r="P528" s="243">
        <f t="shared" si="78"/>
        <v>436559100.52589142</v>
      </c>
      <c r="S528">
        <v>6210</v>
      </c>
      <c r="T528" t="s">
        <v>358</v>
      </c>
      <c r="U528" t="s">
        <v>1210</v>
      </c>
      <c r="V528" s="176">
        <v>67948011.063328996</v>
      </c>
      <c r="W528" s="176">
        <v>241252158.15885901</v>
      </c>
      <c r="X528" s="176">
        <v>3000000</v>
      </c>
      <c r="Y528" s="176">
        <v>52050790.545552999</v>
      </c>
      <c r="Z528" s="176"/>
      <c r="AA528">
        <v>6210</v>
      </c>
      <c r="AB528" s="176" t="s">
        <v>358</v>
      </c>
      <c r="AC528" s="176" t="s">
        <v>1210</v>
      </c>
      <c r="AD528" s="176">
        <v>67948011.063328996</v>
      </c>
      <c r="AE528" s="176">
        <v>241252158.15885901</v>
      </c>
      <c r="AF528" s="176">
        <v>3000000</v>
      </c>
      <c r="AG528" s="176">
        <v>52050790.545552999</v>
      </c>
      <c r="AH528" s="342" t="str">
        <f t="shared" si="72"/>
        <v/>
      </c>
      <c r="AI528">
        <v>6210</v>
      </c>
      <c r="AJ528" t="s">
        <v>358</v>
      </c>
      <c r="AK528" t="s">
        <v>1210</v>
      </c>
      <c r="AL528" s="245">
        <f t="shared" si="73"/>
        <v>122306419.9139922</v>
      </c>
      <c r="AM528" s="245">
        <f t="shared" si="74"/>
        <v>434253884.68594623</v>
      </c>
      <c r="AN528" s="245">
        <f t="shared" si="75"/>
        <v>5400000</v>
      </c>
      <c r="AO528" s="245">
        <f t="shared" si="76"/>
        <v>93691422.981995404</v>
      </c>
      <c r="AP528" s="176"/>
      <c r="AQ528" s="176"/>
      <c r="AR528">
        <v>6210</v>
      </c>
      <c r="AS528" t="s">
        <v>358</v>
      </c>
      <c r="AT528" t="s">
        <v>1210</v>
      </c>
      <c r="AU528" s="176">
        <v>70957936.876653999</v>
      </c>
      <c r="AW528">
        <v>6210</v>
      </c>
      <c r="AX528" t="s">
        <v>358</v>
      </c>
      <c r="AY528" t="s">
        <v>1210</v>
      </c>
      <c r="AZ528">
        <v>56653094.319995001</v>
      </c>
      <c r="BA528" s="342" t="str">
        <f t="shared" si="79"/>
        <v/>
      </c>
      <c r="BB528">
        <v>6210</v>
      </c>
      <c r="BC528" t="s">
        <v>358</v>
      </c>
      <c r="BD528" t="s">
        <v>1210</v>
      </c>
      <c r="BE528" s="243">
        <f t="shared" si="80"/>
        <v>116280412.33265001</v>
      </c>
    </row>
    <row r="529" spans="1:57">
      <c r="A529">
        <v>6210</v>
      </c>
      <c r="B529" t="s">
        <v>358</v>
      </c>
      <c r="C529" t="s">
        <v>1587</v>
      </c>
      <c r="D529" s="176">
        <v>409055765.179869</v>
      </c>
      <c r="E529">
        <v>0</v>
      </c>
      <c r="G529">
        <v>6210</v>
      </c>
      <c r="H529" t="s">
        <v>358</v>
      </c>
      <c r="I529" t="s">
        <v>1587</v>
      </c>
      <c r="J529" s="176">
        <v>171325012.74330801</v>
      </c>
      <c r="K529">
        <v>0</v>
      </c>
      <c r="L529" s="342" t="str">
        <f t="shared" si="77"/>
        <v/>
      </c>
      <c r="M529">
        <v>6210</v>
      </c>
      <c r="N529" t="s">
        <v>358</v>
      </c>
      <c r="O529" t="s">
        <v>1587</v>
      </c>
      <c r="P529" s="243">
        <f t="shared" si="78"/>
        <v>546115775.37451541</v>
      </c>
      <c r="S529">
        <v>6210</v>
      </c>
      <c r="T529" t="s">
        <v>358</v>
      </c>
      <c r="U529" t="s">
        <v>1587</v>
      </c>
      <c r="V529" s="176">
        <v>137765206.342219</v>
      </c>
      <c r="W529" s="176">
        <v>427390847.86216497</v>
      </c>
      <c r="X529" s="176">
        <v>2167600</v>
      </c>
      <c r="Y529" s="176">
        <v>30216029.777775001</v>
      </c>
      <c r="Z529" s="176"/>
      <c r="AA529">
        <v>6210</v>
      </c>
      <c r="AB529" s="176" t="s">
        <v>358</v>
      </c>
      <c r="AC529" s="176" t="s">
        <v>1587</v>
      </c>
      <c r="AD529" s="176">
        <v>137765206.342219</v>
      </c>
      <c r="AE529" s="176">
        <v>427390847.86216497</v>
      </c>
      <c r="AF529" s="176">
        <v>2167600</v>
      </c>
      <c r="AG529" s="176">
        <v>30216029.777775001</v>
      </c>
      <c r="AH529" s="342" t="str">
        <f t="shared" si="72"/>
        <v/>
      </c>
      <c r="AI529">
        <v>6210</v>
      </c>
      <c r="AJ529" t="s">
        <v>358</v>
      </c>
      <c r="AK529" t="s">
        <v>1587</v>
      </c>
      <c r="AL529" s="245">
        <f t="shared" si="73"/>
        <v>247977371.4159942</v>
      </c>
      <c r="AM529" s="245">
        <f t="shared" si="74"/>
        <v>769303526.15189695</v>
      </c>
      <c r="AN529" s="245">
        <f t="shared" si="75"/>
        <v>3901680</v>
      </c>
      <c r="AO529" s="245">
        <f t="shared" si="76"/>
        <v>54388853.599995002</v>
      </c>
      <c r="AP529" s="176"/>
      <c r="AQ529" s="176"/>
      <c r="AR529">
        <v>6210</v>
      </c>
      <c r="AS529" t="s">
        <v>358</v>
      </c>
      <c r="AT529" t="s">
        <v>1587</v>
      </c>
      <c r="AU529" s="176">
        <v>316762566.28665698</v>
      </c>
      <c r="AW529">
        <v>6210</v>
      </c>
      <c r="AX529" t="s">
        <v>358</v>
      </c>
      <c r="AY529" t="s">
        <v>1587</v>
      </c>
      <c r="AZ529" s="176">
        <v>304212788.09777498</v>
      </c>
      <c r="BA529" s="342" t="str">
        <f t="shared" si="79"/>
        <v/>
      </c>
      <c r="BB529">
        <v>6210</v>
      </c>
      <c r="BC529" t="s">
        <v>358</v>
      </c>
      <c r="BD529" t="s">
        <v>1587</v>
      </c>
      <c r="BE529" s="243">
        <f t="shared" si="80"/>
        <v>560132796.76487696</v>
      </c>
    </row>
    <row r="530" spans="1:57">
      <c r="A530">
        <v>6210</v>
      </c>
      <c r="B530" t="s">
        <v>358</v>
      </c>
      <c r="C530" t="s">
        <v>1792</v>
      </c>
      <c r="D530" s="176">
        <v>225828226.26431501</v>
      </c>
      <c r="E530">
        <v>0</v>
      </c>
      <c r="G530">
        <v>6210</v>
      </c>
      <c r="H530" t="s">
        <v>358</v>
      </c>
      <c r="I530" t="s">
        <v>1792</v>
      </c>
      <c r="J530" s="176">
        <v>108105553.374421</v>
      </c>
      <c r="K530">
        <v>0</v>
      </c>
      <c r="L530" s="342" t="str">
        <f t="shared" si="77"/>
        <v/>
      </c>
      <c r="M530">
        <v>6210</v>
      </c>
      <c r="N530" t="s">
        <v>358</v>
      </c>
      <c r="O530" t="s">
        <v>1792</v>
      </c>
      <c r="P530" s="243">
        <f t="shared" si="78"/>
        <v>312312668.96385181</v>
      </c>
      <c r="S530">
        <v>6210</v>
      </c>
      <c r="T530" t="s">
        <v>358</v>
      </c>
      <c r="U530" t="s">
        <v>1792</v>
      </c>
      <c r="V530" s="176">
        <v>144016896.54110599</v>
      </c>
      <c r="W530" s="176">
        <v>271192530.324386</v>
      </c>
      <c r="X530" s="176">
        <v>7000000</v>
      </c>
      <c r="Y530" s="176">
        <v>18742633.416664999</v>
      </c>
      <c r="Z530" s="176"/>
      <c r="AA530">
        <v>6210</v>
      </c>
      <c r="AB530" s="176" t="s">
        <v>358</v>
      </c>
      <c r="AC530" s="176" t="s">
        <v>1792</v>
      </c>
      <c r="AD530" s="176">
        <v>144016896.54110599</v>
      </c>
      <c r="AE530" s="176">
        <v>271192530.324386</v>
      </c>
      <c r="AF530" s="176">
        <v>7000000</v>
      </c>
      <c r="AG530" s="176">
        <v>18742633.416664999</v>
      </c>
      <c r="AH530" s="342" t="str">
        <f t="shared" si="72"/>
        <v/>
      </c>
      <c r="AI530">
        <v>6210</v>
      </c>
      <c r="AJ530" t="s">
        <v>358</v>
      </c>
      <c r="AK530" t="s">
        <v>1792</v>
      </c>
      <c r="AL530" s="245">
        <f t="shared" si="73"/>
        <v>259230413.77399078</v>
      </c>
      <c r="AM530" s="245">
        <f t="shared" si="74"/>
        <v>488146554.58389485</v>
      </c>
      <c r="AN530" s="245">
        <f t="shared" si="75"/>
        <v>12600000</v>
      </c>
      <c r="AO530" s="245">
        <f t="shared" si="76"/>
        <v>33736740.149996996</v>
      </c>
      <c r="AP530" s="176"/>
      <c r="AQ530" s="176"/>
      <c r="AR530">
        <v>6210</v>
      </c>
      <c r="AS530" t="s">
        <v>358</v>
      </c>
      <c r="AT530" t="s">
        <v>1792</v>
      </c>
      <c r="AU530" s="176">
        <v>49996023.643322997</v>
      </c>
      <c r="AW530">
        <v>6210</v>
      </c>
      <c r="AX530" t="s">
        <v>358</v>
      </c>
      <c r="AY530" t="s">
        <v>1792</v>
      </c>
      <c r="AZ530" s="176">
        <v>26908708.174438</v>
      </c>
      <c r="BA530" s="342" t="str">
        <f t="shared" si="79"/>
        <v/>
      </c>
      <c r="BB530">
        <v>6210</v>
      </c>
      <c r="BC530" t="s">
        <v>358</v>
      </c>
      <c r="BD530" t="s">
        <v>1792</v>
      </c>
      <c r="BE530" s="243">
        <f t="shared" si="80"/>
        <v>71522990.182873398</v>
      </c>
    </row>
    <row r="531" spans="1:57">
      <c r="A531">
        <v>6220</v>
      </c>
      <c r="B531" t="s">
        <v>359</v>
      </c>
      <c r="C531" t="s">
        <v>1196</v>
      </c>
      <c r="D531" s="176">
        <v>347351370.528763</v>
      </c>
      <c r="E531">
        <v>0</v>
      </c>
      <c r="G531">
        <v>6220</v>
      </c>
      <c r="H531" t="s">
        <v>359</v>
      </c>
      <c r="I531" t="s">
        <v>1196</v>
      </c>
      <c r="J531" s="176">
        <v>307676379.314408</v>
      </c>
      <c r="K531">
        <v>0</v>
      </c>
      <c r="L531" s="342" t="str">
        <f t="shared" si="77"/>
        <v/>
      </c>
      <c r="M531">
        <v>6220</v>
      </c>
      <c r="N531" t="s">
        <v>359</v>
      </c>
      <c r="O531" t="s">
        <v>1196</v>
      </c>
      <c r="P531" s="243">
        <f t="shared" si="78"/>
        <v>593492473.98028946</v>
      </c>
      <c r="S531">
        <v>6220</v>
      </c>
      <c r="T531" t="s">
        <v>359</v>
      </c>
      <c r="U531" t="s">
        <v>1196</v>
      </c>
      <c r="V531" s="176">
        <v>109800257.959996</v>
      </c>
      <c r="W531" s="176">
        <v>417325510.24662101</v>
      </c>
      <c r="X531" s="176">
        <v>1155400</v>
      </c>
      <c r="Y531" s="176">
        <v>259344175.18109301</v>
      </c>
      <c r="Z531" s="176"/>
      <c r="AA531">
        <v>6220</v>
      </c>
      <c r="AB531" s="176" t="s">
        <v>359</v>
      </c>
      <c r="AC531" s="176" t="s">
        <v>1196</v>
      </c>
      <c r="AD531" s="176">
        <v>109800257.959996</v>
      </c>
      <c r="AE531" s="176">
        <v>417325510.24662101</v>
      </c>
      <c r="AF531" s="176">
        <v>1155400</v>
      </c>
      <c r="AG531" s="176">
        <v>259344175.18109301</v>
      </c>
      <c r="AH531" s="342" t="str">
        <f t="shared" si="72"/>
        <v/>
      </c>
      <c r="AI531">
        <v>6220</v>
      </c>
      <c r="AJ531" t="s">
        <v>359</v>
      </c>
      <c r="AK531" t="s">
        <v>1196</v>
      </c>
      <c r="AL531" s="245">
        <f t="shared" si="73"/>
        <v>197640464.3279928</v>
      </c>
      <c r="AM531" s="245">
        <f t="shared" si="74"/>
        <v>751185918.44391787</v>
      </c>
      <c r="AN531" s="245">
        <f t="shared" si="75"/>
        <v>2079720</v>
      </c>
      <c r="AO531" s="245">
        <f t="shared" si="76"/>
        <v>466819515.32596743</v>
      </c>
      <c r="AP531" s="176"/>
      <c r="AQ531" s="176"/>
      <c r="AR531">
        <v>6220</v>
      </c>
      <c r="AS531" t="s">
        <v>359</v>
      </c>
      <c r="AT531" t="s">
        <v>1196</v>
      </c>
      <c r="AU531" s="176">
        <v>45134018.745536</v>
      </c>
      <c r="AW531">
        <v>6220</v>
      </c>
      <c r="AX531" t="s">
        <v>359</v>
      </c>
      <c r="AY531" t="s">
        <v>1196</v>
      </c>
      <c r="AZ531">
        <v>40280579.028879002</v>
      </c>
      <c r="BA531" s="342" t="str">
        <f t="shared" si="79"/>
        <v/>
      </c>
      <c r="BB531">
        <v>6220</v>
      </c>
      <c r="BC531" t="s">
        <v>359</v>
      </c>
      <c r="BD531" t="s">
        <v>1196</v>
      </c>
      <c r="BE531" s="243">
        <f t="shared" si="80"/>
        <v>77358481.968639195</v>
      </c>
    </row>
    <row r="532" spans="1:57">
      <c r="A532">
        <v>6220</v>
      </c>
      <c r="B532" t="s">
        <v>359</v>
      </c>
      <c r="C532" t="s">
        <v>1793</v>
      </c>
      <c r="D532" s="176">
        <v>59381604.323288999</v>
      </c>
      <c r="E532">
        <v>0</v>
      </c>
      <c r="G532">
        <v>6220</v>
      </c>
      <c r="H532" t="s">
        <v>359</v>
      </c>
      <c r="I532" t="s">
        <v>1793</v>
      </c>
      <c r="J532" s="176">
        <v>32869944.852212001</v>
      </c>
      <c r="K532">
        <v>0</v>
      </c>
      <c r="L532" s="342" t="str">
        <f t="shared" si="77"/>
        <v/>
      </c>
      <c r="M532">
        <v>6220</v>
      </c>
      <c r="N532" t="s">
        <v>359</v>
      </c>
      <c r="O532" t="s">
        <v>1793</v>
      </c>
      <c r="P532" s="243">
        <f t="shared" si="78"/>
        <v>85677560.205058604</v>
      </c>
      <c r="S532">
        <v>6220</v>
      </c>
      <c r="T532" t="s">
        <v>359</v>
      </c>
      <c r="U532" t="s">
        <v>1793</v>
      </c>
      <c r="V532" s="176">
        <v>14579561.361109</v>
      </c>
      <c r="W532" s="176">
        <v>118317660.421092</v>
      </c>
      <c r="X532">
        <v>0</v>
      </c>
      <c r="Y532" s="176">
        <v>6794384.4444439998</v>
      </c>
      <c r="Z532" s="176"/>
      <c r="AA532">
        <v>6220</v>
      </c>
      <c r="AB532" s="176" t="s">
        <v>359</v>
      </c>
      <c r="AC532" s="176" t="s">
        <v>1793</v>
      </c>
      <c r="AD532" s="176">
        <v>14579561.361109</v>
      </c>
      <c r="AE532" s="176">
        <v>118317660.421092</v>
      </c>
      <c r="AF532">
        <v>0</v>
      </c>
      <c r="AG532" s="176">
        <v>6794384.4444439998</v>
      </c>
      <c r="AH532" s="342" t="str">
        <f t="shared" si="72"/>
        <v/>
      </c>
      <c r="AI532">
        <v>6220</v>
      </c>
      <c r="AJ532" t="s">
        <v>359</v>
      </c>
      <c r="AK532" t="s">
        <v>1793</v>
      </c>
      <c r="AL532" s="245">
        <f t="shared" si="73"/>
        <v>26243210.449996199</v>
      </c>
      <c r="AM532" s="245">
        <f t="shared" si="74"/>
        <v>212971788.75796562</v>
      </c>
      <c r="AN532" s="245">
        <f t="shared" si="75"/>
        <v>0</v>
      </c>
      <c r="AO532" s="245">
        <f t="shared" si="76"/>
        <v>12229891.999999199</v>
      </c>
      <c r="AP532" s="176"/>
      <c r="AQ532" s="176"/>
      <c r="AR532">
        <v>6220</v>
      </c>
      <c r="AS532" t="s">
        <v>359</v>
      </c>
      <c r="AT532" t="s">
        <v>1793</v>
      </c>
      <c r="AU532" s="176">
        <v>25929042.341104999</v>
      </c>
      <c r="AW532">
        <v>6220</v>
      </c>
      <c r="AX532" t="s">
        <v>359</v>
      </c>
      <c r="AY532" t="s">
        <v>1793</v>
      </c>
      <c r="AZ532" s="176">
        <v>4934448.8566650003</v>
      </c>
      <c r="BA532" s="342" t="str">
        <f t="shared" si="79"/>
        <v/>
      </c>
      <c r="BB532">
        <v>6220</v>
      </c>
      <c r="BC532" t="s">
        <v>359</v>
      </c>
      <c r="BD532" t="s">
        <v>1793</v>
      </c>
      <c r="BE532" s="243">
        <f t="shared" si="80"/>
        <v>29876601.426436998</v>
      </c>
    </row>
    <row r="533" spans="1:57">
      <c r="A533">
        <v>6220</v>
      </c>
      <c r="B533" t="s">
        <v>359</v>
      </c>
      <c r="C533" t="s">
        <v>1794</v>
      </c>
      <c r="D533" s="176">
        <v>17146745.317754</v>
      </c>
      <c r="E533">
        <v>0</v>
      </c>
      <c r="G533">
        <v>6220</v>
      </c>
      <c r="H533" t="s">
        <v>359</v>
      </c>
      <c r="I533" t="s">
        <v>1794</v>
      </c>
      <c r="J533" s="176">
        <v>14689928.069994001</v>
      </c>
      <c r="K533">
        <v>0</v>
      </c>
      <c r="L533" s="342" t="str">
        <f t="shared" si="77"/>
        <v/>
      </c>
      <c r="M533">
        <v>6220</v>
      </c>
      <c r="N533" t="s">
        <v>359</v>
      </c>
      <c r="O533" t="s">
        <v>1794</v>
      </c>
      <c r="P533" s="243">
        <f t="shared" si="78"/>
        <v>28898687.773749202</v>
      </c>
      <c r="S533">
        <v>6220</v>
      </c>
      <c r="T533" t="s">
        <v>359</v>
      </c>
      <c r="U533" t="s">
        <v>1794</v>
      </c>
      <c r="V533" s="176">
        <v>27431176.172219999</v>
      </c>
      <c r="W533" s="176">
        <v>89140911.989979997</v>
      </c>
      <c r="X533" s="176">
        <v>0</v>
      </c>
      <c r="Y533" s="176">
        <v>6582294.7199990004</v>
      </c>
      <c r="Z533" s="176"/>
      <c r="AA533">
        <v>6220</v>
      </c>
      <c r="AB533" s="176" t="s">
        <v>359</v>
      </c>
      <c r="AC533" s="176" t="s">
        <v>1794</v>
      </c>
      <c r="AD533" s="176">
        <v>27431176.172219999</v>
      </c>
      <c r="AE533" s="176">
        <v>89140911.989979997</v>
      </c>
      <c r="AF533" s="176">
        <v>0</v>
      </c>
      <c r="AG533" s="176">
        <v>6582294.7199990004</v>
      </c>
      <c r="AH533" s="342" t="str">
        <f t="shared" si="72"/>
        <v/>
      </c>
      <c r="AI533">
        <v>6220</v>
      </c>
      <c r="AJ533" t="s">
        <v>359</v>
      </c>
      <c r="AK533" t="s">
        <v>1794</v>
      </c>
      <c r="AL533" s="245">
        <f t="shared" si="73"/>
        <v>49376117.109995998</v>
      </c>
      <c r="AM533" s="245">
        <f t="shared" si="74"/>
        <v>160453641.58196402</v>
      </c>
      <c r="AN533" s="245">
        <f t="shared" si="75"/>
        <v>0</v>
      </c>
      <c r="AO533" s="245">
        <f t="shared" si="76"/>
        <v>11848130.4959982</v>
      </c>
      <c r="AP533" s="176"/>
      <c r="AQ533" s="176"/>
      <c r="AR533">
        <v>6220</v>
      </c>
      <c r="AS533" t="s">
        <v>359</v>
      </c>
      <c r="AT533" t="s">
        <v>1794</v>
      </c>
      <c r="AU533" s="176">
        <v>1682153.667774</v>
      </c>
      <c r="AW533">
        <v>6220</v>
      </c>
      <c r="AX533" t="s">
        <v>359</v>
      </c>
      <c r="AY533" t="s">
        <v>1794</v>
      </c>
      <c r="AZ533">
        <v>1417979.8111099999</v>
      </c>
      <c r="BA533" s="342" t="str">
        <f t="shared" si="79"/>
        <v/>
      </c>
      <c r="BB533">
        <v>6220</v>
      </c>
      <c r="BC533" t="s">
        <v>359</v>
      </c>
      <c r="BD533" t="s">
        <v>1794</v>
      </c>
      <c r="BE533" s="243">
        <f t="shared" si="80"/>
        <v>2816537.5166619997</v>
      </c>
    </row>
    <row r="534" spans="1:57">
      <c r="A534">
        <v>6220</v>
      </c>
      <c r="B534" t="s">
        <v>359</v>
      </c>
      <c r="C534" t="s">
        <v>1195</v>
      </c>
      <c r="D534" s="176">
        <v>265403882.51434001</v>
      </c>
      <c r="E534">
        <v>0</v>
      </c>
      <c r="G534">
        <v>6220</v>
      </c>
      <c r="H534" t="s">
        <v>359</v>
      </c>
      <c r="I534" t="s">
        <v>1195</v>
      </c>
      <c r="J534" s="176">
        <v>61836991.994428001</v>
      </c>
      <c r="K534">
        <v>0</v>
      </c>
      <c r="L534" s="342" t="str">
        <f t="shared" si="77"/>
        <v/>
      </c>
      <c r="M534">
        <v>6220</v>
      </c>
      <c r="N534" t="s">
        <v>359</v>
      </c>
      <c r="O534" t="s">
        <v>1195</v>
      </c>
      <c r="P534" s="243">
        <f t="shared" si="78"/>
        <v>314873476.10988241</v>
      </c>
      <c r="S534">
        <v>6220</v>
      </c>
      <c r="T534" t="s">
        <v>359</v>
      </c>
      <c r="U534" t="s">
        <v>1195</v>
      </c>
      <c r="V534" s="176">
        <v>47619400.823330998</v>
      </c>
      <c r="W534" s="176">
        <v>184489550.44773901</v>
      </c>
      <c r="X534" s="176">
        <v>0</v>
      </c>
      <c r="Y534" s="176">
        <v>12538477.222221</v>
      </c>
      <c r="Z534" s="176"/>
      <c r="AA534">
        <v>6220</v>
      </c>
      <c r="AB534" s="176" t="s">
        <v>359</v>
      </c>
      <c r="AC534" s="176" t="s">
        <v>1195</v>
      </c>
      <c r="AD534" s="176">
        <v>47619400.823330998</v>
      </c>
      <c r="AE534" s="176">
        <v>184489550.44773901</v>
      </c>
      <c r="AF534" s="176">
        <v>0</v>
      </c>
      <c r="AG534" s="176">
        <v>12538477.222221</v>
      </c>
      <c r="AH534" s="342" t="str">
        <f t="shared" si="72"/>
        <v/>
      </c>
      <c r="AI534">
        <v>6220</v>
      </c>
      <c r="AJ534" t="s">
        <v>359</v>
      </c>
      <c r="AK534" t="s">
        <v>1195</v>
      </c>
      <c r="AL534" s="245">
        <f t="shared" si="73"/>
        <v>85714921.481995791</v>
      </c>
      <c r="AM534" s="245">
        <f t="shared" si="74"/>
        <v>332081190.80593026</v>
      </c>
      <c r="AN534" s="245">
        <f t="shared" si="75"/>
        <v>0</v>
      </c>
      <c r="AO534" s="245">
        <f t="shared" si="76"/>
        <v>22569258.999997802</v>
      </c>
      <c r="AP534" s="176"/>
      <c r="AQ534" s="176"/>
      <c r="AR534">
        <v>6220</v>
      </c>
      <c r="AS534" t="s">
        <v>359</v>
      </c>
      <c r="AT534" t="s">
        <v>1195</v>
      </c>
      <c r="AU534" s="176">
        <v>48635787.059975997</v>
      </c>
      <c r="AW534">
        <v>6220</v>
      </c>
      <c r="AX534" t="s">
        <v>359</v>
      </c>
      <c r="AY534" t="s">
        <v>1195</v>
      </c>
      <c r="AZ534" s="176">
        <v>36633206.848881997</v>
      </c>
      <c r="BA534" s="342" t="str">
        <f t="shared" si="79"/>
        <v/>
      </c>
      <c r="BB534">
        <v>6220</v>
      </c>
      <c r="BC534" t="s">
        <v>359</v>
      </c>
      <c r="BD534" t="s">
        <v>1195</v>
      </c>
      <c r="BE534" s="243">
        <f t="shared" si="80"/>
        <v>77942352.539081603</v>
      </c>
    </row>
    <row r="535" spans="1:57">
      <c r="A535">
        <v>6400</v>
      </c>
      <c r="B535" t="s">
        <v>360</v>
      </c>
      <c r="C535" t="s">
        <v>1987</v>
      </c>
      <c r="D535" s="176">
        <v>42317796.303318001</v>
      </c>
      <c r="E535">
        <v>0</v>
      </c>
      <c r="G535">
        <v>6400</v>
      </c>
      <c r="H535" t="s">
        <v>360</v>
      </c>
      <c r="I535" t="s">
        <v>1987</v>
      </c>
      <c r="J535" s="176">
        <v>26486209.403324999</v>
      </c>
      <c r="K535">
        <v>0</v>
      </c>
      <c r="L535" s="342" t="str">
        <f t="shared" si="77"/>
        <v/>
      </c>
      <c r="M535">
        <v>6400</v>
      </c>
      <c r="N535" t="s">
        <v>360</v>
      </c>
      <c r="O535" t="s">
        <v>1987</v>
      </c>
      <c r="P535" s="243">
        <f t="shared" si="78"/>
        <v>63506763.825978003</v>
      </c>
      <c r="S535">
        <v>6400</v>
      </c>
      <c r="T535" t="s">
        <v>360</v>
      </c>
      <c r="U535" t="s">
        <v>1987</v>
      </c>
      <c r="V535" s="176">
        <v>14327044.426666001</v>
      </c>
      <c r="W535" s="176">
        <v>93838413.908877999</v>
      </c>
      <c r="X535">
        <v>0</v>
      </c>
      <c r="Y535" s="176">
        <v>12711498.333333001</v>
      </c>
      <c r="Z535" s="176"/>
      <c r="AA535">
        <v>6400</v>
      </c>
      <c r="AB535" s="176" t="s">
        <v>360</v>
      </c>
      <c r="AC535" s="176" t="s">
        <v>1987</v>
      </c>
      <c r="AD535" s="176">
        <v>14327044.426666001</v>
      </c>
      <c r="AE535" s="176">
        <v>93838413.908877999</v>
      </c>
      <c r="AF535">
        <v>0</v>
      </c>
      <c r="AG535" s="176">
        <v>12711498.333333001</v>
      </c>
      <c r="AH535" s="342" t="str">
        <f t="shared" si="72"/>
        <v/>
      </c>
      <c r="AI535">
        <v>6400</v>
      </c>
      <c r="AJ535" t="s">
        <v>360</v>
      </c>
      <c r="AK535" t="s">
        <v>1987</v>
      </c>
      <c r="AL535" s="245">
        <f t="shared" si="73"/>
        <v>25788679.967998803</v>
      </c>
      <c r="AM535" s="245">
        <f t="shared" si="74"/>
        <v>168909145.0359804</v>
      </c>
      <c r="AN535" s="245">
        <f t="shared" si="75"/>
        <v>0</v>
      </c>
      <c r="AO535" s="245">
        <f t="shared" si="76"/>
        <v>22880696.999999404</v>
      </c>
      <c r="AP535" s="176"/>
      <c r="AQ535" s="176"/>
      <c r="AR535">
        <v>6400</v>
      </c>
      <c r="AS535" t="s">
        <v>360</v>
      </c>
      <c r="AT535" t="s">
        <v>1987</v>
      </c>
      <c r="AU535" s="176">
        <v>16214289.958883001</v>
      </c>
      <c r="AW535">
        <v>6400</v>
      </c>
      <c r="AX535" t="s">
        <v>360</v>
      </c>
      <c r="AY535" t="s">
        <v>1987</v>
      </c>
      <c r="AZ535" s="176">
        <v>1290073.7544430001</v>
      </c>
      <c r="BA535" s="342" t="str">
        <f t="shared" si="79"/>
        <v/>
      </c>
      <c r="BB535">
        <v>6400</v>
      </c>
      <c r="BC535" t="s">
        <v>360</v>
      </c>
      <c r="BD535" t="s">
        <v>1987</v>
      </c>
      <c r="BE535" s="243">
        <f t="shared" si="80"/>
        <v>17246348.962437399</v>
      </c>
    </row>
    <row r="536" spans="1:57">
      <c r="A536">
        <v>6400</v>
      </c>
      <c r="B536" t="s">
        <v>360</v>
      </c>
      <c r="C536" t="s">
        <v>1200</v>
      </c>
      <c r="D536" s="176">
        <v>224666801.047739</v>
      </c>
      <c r="E536">
        <v>0</v>
      </c>
      <c r="G536">
        <v>6400</v>
      </c>
      <c r="H536" t="s">
        <v>360</v>
      </c>
      <c r="I536" t="s">
        <v>1200</v>
      </c>
      <c r="J536" s="176">
        <v>114623198.452208</v>
      </c>
      <c r="K536">
        <v>0</v>
      </c>
      <c r="L536" s="342" t="str">
        <f t="shared" si="77"/>
        <v/>
      </c>
      <c r="M536">
        <v>6400</v>
      </c>
      <c r="N536" t="s">
        <v>360</v>
      </c>
      <c r="O536" t="s">
        <v>1200</v>
      </c>
      <c r="P536" s="243">
        <f t="shared" si="78"/>
        <v>316365359.8095054</v>
      </c>
      <c r="S536">
        <v>6400</v>
      </c>
      <c r="T536" t="s">
        <v>360</v>
      </c>
      <c r="U536" t="s">
        <v>1200</v>
      </c>
      <c r="V536" s="176">
        <v>141990252.073333</v>
      </c>
      <c r="W536" s="176">
        <v>230467545.82998401</v>
      </c>
      <c r="X536" s="176">
        <v>0</v>
      </c>
      <c r="Y536" s="176">
        <v>35283359.111110002</v>
      </c>
      <c r="Z536" s="176"/>
      <c r="AA536">
        <v>6400</v>
      </c>
      <c r="AB536" s="176" t="s">
        <v>360</v>
      </c>
      <c r="AC536" s="176" t="s">
        <v>1200</v>
      </c>
      <c r="AD536" s="176">
        <v>141990252.073333</v>
      </c>
      <c r="AE536" s="176">
        <v>230467545.82998401</v>
      </c>
      <c r="AF536" s="176">
        <v>0</v>
      </c>
      <c r="AG536" s="176">
        <v>35283359.111110002</v>
      </c>
      <c r="AH536" s="342" t="str">
        <f t="shared" si="72"/>
        <v/>
      </c>
      <c r="AI536">
        <v>6400</v>
      </c>
      <c r="AJ536" t="s">
        <v>360</v>
      </c>
      <c r="AK536" t="s">
        <v>1200</v>
      </c>
      <c r="AL536" s="245">
        <f t="shared" si="73"/>
        <v>255582453.7319994</v>
      </c>
      <c r="AM536" s="245">
        <f t="shared" si="74"/>
        <v>414841582.49397123</v>
      </c>
      <c r="AN536" s="245">
        <f t="shared" si="75"/>
        <v>0</v>
      </c>
      <c r="AO536" s="245">
        <f t="shared" si="76"/>
        <v>63510046.399998009</v>
      </c>
      <c r="AP536" s="176"/>
      <c r="AQ536" s="176"/>
      <c r="AR536">
        <v>6400</v>
      </c>
      <c r="AS536" t="s">
        <v>360</v>
      </c>
      <c r="AT536" t="s">
        <v>1200</v>
      </c>
      <c r="AU536" s="176">
        <v>18095431.673328001</v>
      </c>
      <c r="AW536">
        <v>6400</v>
      </c>
      <c r="AX536" t="s">
        <v>360</v>
      </c>
      <c r="AY536" t="s">
        <v>1200</v>
      </c>
      <c r="AZ536" s="176">
        <v>20453501.513331</v>
      </c>
      <c r="BA536" s="342" t="str">
        <f t="shared" si="79"/>
        <v/>
      </c>
      <c r="BB536">
        <v>6400</v>
      </c>
      <c r="BC536" t="s">
        <v>360</v>
      </c>
      <c r="BD536" t="s">
        <v>1200</v>
      </c>
      <c r="BE536" s="243">
        <f t="shared" si="80"/>
        <v>34458232.883992806</v>
      </c>
    </row>
    <row r="537" spans="1:57">
      <c r="A537">
        <v>6400</v>
      </c>
      <c r="B537" t="s">
        <v>360</v>
      </c>
      <c r="C537" t="s">
        <v>1198</v>
      </c>
      <c r="D537" s="176">
        <v>250872189.66764501</v>
      </c>
      <c r="E537">
        <v>0</v>
      </c>
      <c r="G537">
        <v>6400</v>
      </c>
      <c r="H537" t="s">
        <v>360</v>
      </c>
      <c r="I537" t="s">
        <v>1198</v>
      </c>
      <c r="J537" s="176">
        <v>171904616.97886401</v>
      </c>
      <c r="K537">
        <v>0</v>
      </c>
      <c r="L537" s="342" t="str">
        <f t="shared" si="77"/>
        <v/>
      </c>
      <c r="M537">
        <v>6400</v>
      </c>
      <c r="N537" t="s">
        <v>360</v>
      </c>
      <c r="O537" t="s">
        <v>1198</v>
      </c>
      <c r="P537" s="243">
        <f t="shared" si="78"/>
        <v>388395883.25073624</v>
      </c>
      <c r="S537">
        <v>6400</v>
      </c>
      <c r="T537" t="s">
        <v>360</v>
      </c>
      <c r="U537" t="s">
        <v>1198</v>
      </c>
      <c r="V537" s="176">
        <v>67039261.364442997</v>
      </c>
      <c r="W537" s="176">
        <v>363212725.785501</v>
      </c>
      <c r="X537">
        <v>3989955.555555</v>
      </c>
      <c r="Y537" s="176">
        <v>31755189.777775999</v>
      </c>
      <c r="Z537" s="176"/>
      <c r="AA537">
        <v>6400</v>
      </c>
      <c r="AB537" s="176" t="s">
        <v>360</v>
      </c>
      <c r="AC537" s="176" t="s">
        <v>1198</v>
      </c>
      <c r="AD537" s="176">
        <v>67039261.364442997</v>
      </c>
      <c r="AE537" s="176">
        <v>363212725.785501</v>
      </c>
      <c r="AF537">
        <v>3989955.555555</v>
      </c>
      <c r="AG537" s="176">
        <v>31755189.777775999</v>
      </c>
      <c r="AH537" s="342" t="str">
        <f t="shared" si="72"/>
        <v/>
      </c>
      <c r="AI537">
        <v>6400</v>
      </c>
      <c r="AJ537" t="s">
        <v>360</v>
      </c>
      <c r="AK537" t="s">
        <v>1198</v>
      </c>
      <c r="AL537" s="245">
        <f t="shared" si="73"/>
        <v>120670670.45599741</v>
      </c>
      <c r="AM537" s="245">
        <f t="shared" si="74"/>
        <v>653782906.41390181</v>
      </c>
      <c r="AN537" s="245">
        <f t="shared" si="75"/>
        <v>7181919.9999989998</v>
      </c>
      <c r="AO537" s="245">
        <f t="shared" si="76"/>
        <v>57159341.599996805</v>
      </c>
      <c r="AP537" s="176"/>
      <c r="AQ537" s="176"/>
      <c r="AR537">
        <v>6400</v>
      </c>
      <c r="AS537" t="s">
        <v>360</v>
      </c>
      <c r="AT537" t="s">
        <v>1198</v>
      </c>
      <c r="AU537" s="176">
        <v>82816149.958876997</v>
      </c>
      <c r="AW537">
        <v>6400</v>
      </c>
      <c r="AX537" t="s">
        <v>360</v>
      </c>
      <c r="AY537" t="s">
        <v>1198</v>
      </c>
      <c r="AZ537" s="176">
        <v>53592480.365549996</v>
      </c>
      <c r="BA537" s="342" t="str">
        <f t="shared" si="79"/>
        <v/>
      </c>
      <c r="BB537">
        <v>6400</v>
      </c>
      <c r="BC537" t="s">
        <v>360</v>
      </c>
      <c r="BD537" t="s">
        <v>1198</v>
      </c>
      <c r="BE537" s="243">
        <f t="shared" si="80"/>
        <v>125690134.25131699</v>
      </c>
    </row>
    <row r="538" spans="1:57">
      <c r="A538">
        <v>6400</v>
      </c>
      <c r="B538" t="s">
        <v>360</v>
      </c>
      <c r="C538" t="s">
        <v>1201</v>
      </c>
      <c r="D538" s="176">
        <v>307654103.18993598</v>
      </c>
      <c r="E538">
        <v>0</v>
      </c>
      <c r="G538">
        <v>6400</v>
      </c>
      <c r="H538" t="s">
        <v>360</v>
      </c>
      <c r="I538" t="s">
        <v>1201</v>
      </c>
      <c r="J538" s="176">
        <v>163767083.21553299</v>
      </c>
      <c r="K538">
        <v>0</v>
      </c>
      <c r="L538" s="342" t="str">
        <f t="shared" si="77"/>
        <v/>
      </c>
      <c r="M538">
        <v>6400</v>
      </c>
      <c r="N538" t="s">
        <v>360</v>
      </c>
      <c r="O538" t="s">
        <v>1201</v>
      </c>
      <c r="P538" s="243">
        <f t="shared" si="78"/>
        <v>438667769.76236236</v>
      </c>
      <c r="S538">
        <v>6400</v>
      </c>
      <c r="T538" t="s">
        <v>360</v>
      </c>
      <c r="U538" t="s">
        <v>1201</v>
      </c>
      <c r="V538">
        <v>50102460.863332003</v>
      </c>
      <c r="W538">
        <v>278141794.78551799</v>
      </c>
      <c r="X538">
        <v>1515450</v>
      </c>
      <c r="Y538">
        <v>31451939.22222</v>
      </c>
      <c r="AA538">
        <v>6400</v>
      </c>
      <c r="AB538" t="s">
        <v>360</v>
      </c>
      <c r="AC538" t="s">
        <v>1201</v>
      </c>
      <c r="AD538">
        <v>50102460.863332003</v>
      </c>
      <c r="AE538">
        <v>278141794.78551799</v>
      </c>
      <c r="AF538">
        <v>1515450</v>
      </c>
      <c r="AG538">
        <v>31451939.22222</v>
      </c>
      <c r="AH538" s="342" t="str">
        <f t="shared" si="72"/>
        <v/>
      </c>
      <c r="AI538">
        <v>6400</v>
      </c>
      <c r="AJ538" t="s">
        <v>360</v>
      </c>
      <c r="AK538" t="s">
        <v>1201</v>
      </c>
      <c r="AL538" s="245">
        <f t="shared" si="73"/>
        <v>90184429.553997606</v>
      </c>
      <c r="AM538" s="245">
        <f t="shared" si="74"/>
        <v>500655230.61393237</v>
      </c>
      <c r="AN538" s="245">
        <f t="shared" si="75"/>
        <v>2727810</v>
      </c>
      <c r="AO538" s="245">
        <f t="shared" si="76"/>
        <v>56613490.599996001</v>
      </c>
      <c r="AR538">
        <v>6400</v>
      </c>
      <c r="AS538" t="s">
        <v>360</v>
      </c>
      <c r="AT538" t="s">
        <v>1201</v>
      </c>
      <c r="AU538">
        <v>77852110.341100007</v>
      </c>
      <c r="AW538">
        <v>6400</v>
      </c>
      <c r="AX538" t="s">
        <v>360</v>
      </c>
      <c r="AY538" t="s">
        <v>1201</v>
      </c>
      <c r="AZ538">
        <v>59578709.054439001</v>
      </c>
      <c r="BA538" s="342" t="str">
        <f t="shared" si="79"/>
        <v/>
      </c>
      <c r="BB538">
        <v>6400</v>
      </c>
      <c r="BC538" t="s">
        <v>360</v>
      </c>
      <c r="BD538" t="s">
        <v>1201</v>
      </c>
      <c r="BE538" s="243">
        <f t="shared" si="80"/>
        <v>125515077.5846512</v>
      </c>
    </row>
    <row r="539" spans="1:57">
      <c r="A539">
        <v>6400</v>
      </c>
      <c r="B539" t="s">
        <v>360</v>
      </c>
      <c r="C539" t="s">
        <v>1796</v>
      </c>
      <c r="D539" s="176">
        <v>280421563.16770899</v>
      </c>
      <c r="E539">
        <v>0</v>
      </c>
      <c r="G539">
        <v>6400</v>
      </c>
      <c r="H539" t="s">
        <v>360</v>
      </c>
      <c r="I539" t="s">
        <v>1796</v>
      </c>
      <c r="J539" s="176">
        <v>141960319.197763</v>
      </c>
      <c r="K539">
        <v>0</v>
      </c>
      <c r="L539" s="342" t="str">
        <f t="shared" si="77"/>
        <v/>
      </c>
      <c r="M539">
        <v>6400</v>
      </c>
      <c r="N539" t="s">
        <v>360</v>
      </c>
      <c r="O539" t="s">
        <v>1796</v>
      </c>
      <c r="P539" s="243">
        <f t="shared" si="78"/>
        <v>393989818.52591938</v>
      </c>
      <c r="S539">
        <v>6400</v>
      </c>
      <c r="T539" t="s">
        <v>360</v>
      </c>
      <c r="U539" t="s">
        <v>1796</v>
      </c>
      <c r="V539">
        <v>38216852.804443002</v>
      </c>
      <c r="W539">
        <v>140342233.24996701</v>
      </c>
      <c r="X539">
        <v>755233.33333299996</v>
      </c>
      <c r="Y539">
        <v>15491277.777775999</v>
      </c>
      <c r="AA539">
        <v>6400</v>
      </c>
      <c r="AB539" t="s">
        <v>360</v>
      </c>
      <c r="AC539" t="s">
        <v>1796</v>
      </c>
      <c r="AD539">
        <v>38216852.804443002</v>
      </c>
      <c r="AE539">
        <v>140342233.24996701</v>
      </c>
      <c r="AF539">
        <v>755233.33333299996</v>
      </c>
      <c r="AG539">
        <v>15491277.777775999</v>
      </c>
      <c r="AH539" s="342" t="str">
        <f t="shared" si="72"/>
        <v/>
      </c>
      <c r="AI539">
        <v>6400</v>
      </c>
      <c r="AJ539" t="s">
        <v>360</v>
      </c>
      <c r="AK539" t="s">
        <v>1796</v>
      </c>
      <c r="AL539" s="245">
        <f t="shared" si="73"/>
        <v>68790335.0479974</v>
      </c>
      <c r="AM539" s="245">
        <f t="shared" si="74"/>
        <v>252616019.84994063</v>
      </c>
      <c r="AN539" s="245">
        <f t="shared" si="75"/>
        <v>1359419.9999994</v>
      </c>
      <c r="AO539" s="245">
        <f t="shared" si="76"/>
        <v>27884299.9999968</v>
      </c>
      <c r="AR539">
        <v>6400</v>
      </c>
      <c r="AS539" t="s">
        <v>360</v>
      </c>
      <c r="AT539" t="s">
        <v>1796</v>
      </c>
      <c r="AU539">
        <v>23833662.373323999</v>
      </c>
      <c r="AW539">
        <v>6400</v>
      </c>
      <c r="AX539" t="s">
        <v>360</v>
      </c>
      <c r="AY539" t="s">
        <v>1796</v>
      </c>
      <c r="AZ539">
        <v>19596955.923333</v>
      </c>
      <c r="BA539" s="342" t="str">
        <f t="shared" si="79"/>
        <v/>
      </c>
      <c r="BB539">
        <v>6400</v>
      </c>
      <c r="BC539" t="s">
        <v>360</v>
      </c>
      <c r="BD539" t="s">
        <v>1796</v>
      </c>
      <c r="BE539" s="243">
        <f t="shared" si="80"/>
        <v>39511227.1119904</v>
      </c>
    </row>
    <row r="540" spans="1:57">
      <c r="A540">
        <v>6400</v>
      </c>
      <c r="B540" t="s">
        <v>360</v>
      </c>
      <c r="C540" t="s">
        <v>1795</v>
      </c>
      <c r="D540" s="176">
        <v>172535521.11883399</v>
      </c>
      <c r="E540">
        <v>0</v>
      </c>
      <c r="G540">
        <v>6400</v>
      </c>
      <c r="H540" t="s">
        <v>360</v>
      </c>
      <c r="I540" t="s">
        <v>1795</v>
      </c>
      <c r="J540" s="176">
        <v>23516347.951104</v>
      </c>
      <c r="K540">
        <v>0</v>
      </c>
      <c r="L540" s="342" t="str">
        <f t="shared" si="77"/>
        <v/>
      </c>
      <c r="M540">
        <v>6400</v>
      </c>
      <c r="N540" t="s">
        <v>360</v>
      </c>
      <c r="O540" t="s">
        <v>1795</v>
      </c>
      <c r="P540" s="243">
        <f t="shared" si="78"/>
        <v>191348599.4797172</v>
      </c>
      <c r="S540">
        <v>6400</v>
      </c>
      <c r="T540" t="s">
        <v>360</v>
      </c>
      <c r="U540" t="s">
        <v>1795</v>
      </c>
      <c r="V540">
        <v>27749476.199999999</v>
      </c>
      <c r="W540">
        <v>134887694.45885399</v>
      </c>
      <c r="X540">
        <v>0</v>
      </c>
      <c r="Y540">
        <v>39751922.222222</v>
      </c>
      <c r="AA540">
        <v>6400</v>
      </c>
      <c r="AB540" t="s">
        <v>360</v>
      </c>
      <c r="AC540" t="s">
        <v>1795</v>
      </c>
      <c r="AD540">
        <v>27749476.199999999</v>
      </c>
      <c r="AE540">
        <v>134887694.45885399</v>
      </c>
      <c r="AF540">
        <v>0</v>
      </c>
      <c r="AG540">
        <v>39751922.222222</v>
      </c>
      <c r="AH540" s="342" t="str">
        <f t="shared" si="72"/>
        <v/>
      </c>
      <c r="AI540">
        <v>6400</v>
      </c>
      <c r="AJ540" t="s">
        <v>360</v>
      </c>
      <c r="AK540" t="s">
        <v>1795</v>
      </c>
      <c r="AL540" s="245">
        <f t="shared" si="73"/>
        <v>49949057.159999996</v>
      </c>
      <c r="AM540" s="245">
        <f t="shared" si="74"/>
        <v>242797850.0259372</v>
      </c>
      <c r="AN540" s="245">
        <f t="shared" si="75"/>
        <v>0</v>
      </c>
      <c r="AO540" s="245">
        <f t="shared" si="76"/>
        <v>71553459.999999598</v>
      </c>
      <c r="AR540">
        <v>6400</v>
      </c>
      <c r="AS540" t="s">
        <v>360</v>
      </c>
      <c r="AT540" t="s">
        <v>1795</v>
      </c>
      <c r="AU540">
        <v>4426061.0211039996</v>
      </c>
      <c r="AW540">
        <v>6400</v>
      </c>
      <c r="AX540" t="s">
        <v>360</v>
      </c>
      <c r="AY540" t="s">
        <v>1795</v>
      </c>
      <c r="AZ540">
        <v>938514.67333300004</v>
      </c>
      <c r="BA540" s="342" t="str">
        <f t="shared" si="79"/>
        <v/>
      </c>
      <c r="BB540">
        <v>6400</v>
      </c>
      <c r="BC540" t="s">
        <v>360</v>
      </c>
      <c r="BD540" t="s">
        <v>1795</v>
      </c>
      <c r="BE540" s="243">
        <f t="shared" si="80"/>
        <v>5176872.7597703999</v>
      </c>
    </row>
    <row r="541" spans="1:57">
      <c r="A541">
        <v>6420</v>
      </c>
      <c r="B541" t="s">
        <v>361</v>
      </c>
      <c r="C541" t="s">
        <v>1797</v>
      </c>
      <c r="D541" s="176">
        <v>215494041.11432299</v>
      </c>
      <c r="E541">
        <v>0</v>
      </c>
      <c r="G541">
        <v>6420</v>
      </c>
      <c r="H541" t="s">
        <v>361</v>
      </c>
      <c r="I541" t="s">
        <v>1797</v>
      </c>
      <c r="J541" s="176">
        <v>128099373.01774099</v>
      </c>
      <c r="K541">
        <v>0</v>
      </c>
      <c r="L541" s="342" t="str">
        <f t="shared" si="77"/>
        <v/>
      </c>
      <c r="M541">
        <v>6420</v>
      </c>
      <c r="N541" t="s">
        <v>361</v>
      </c>
      <c r="O541" t="s">
        <v>1797</v>
      </c>
      <c r="P541" s="243">
        <f t="shared" si="78"/>
        <v>317973539.52851582</v>
      </c>
      <c r="S541">
        <v>6420</v>
      </c>
      <c r="T541" t="s">
        <v>361</v>
      </c>
      <c r="U541" t="s">
        <v>1797</v>
      </c>
      <c r="V541">
        <v>92479619.866664007</v>
      </c>
      <c r="W541">
        <v>342238793.32106102</v>
      </c>
      <c r="X541">
        <v>0</v>
      </c>
      <c r="Y541">
        <v>2630968.888888</v>
      </c>
      <c r="AA541">
        <v>6420</v>
      </c>
      <c r="AB541" t="s">
        <v>361</v>
      </c>
      <c r="AC541" t="s">
        <v>1797</v>
      </c>
      <c r="AD541">
        <v>92479619.866664007</v>
      </c>
      <c r="AE541">
        <v>342238793.32106102</v>
      </c>
      <c r="AF541">
        <v>0</v>
      </c>
      <c r="AG541">
        <v>2630968.888888</v>
      </c>
      <c r="AH541" s="342" t="str">
        <f t="shared" si="72"/>
        <v/>
      </c>
      <c r="AI541">
        <v>6420</v>
      </c>
      <c r="AJ541" t="s">
        <v>361</v>
      </c>
      <c r="AK541" t="s">
        <v>1797</v>
      </c>
      <c r="AL541" s="245">
        <f t="shared" si="73"/>
        <v>166463315.75999522</v>
      </c>
      <c r="AM541" s="245">
        <f t="shared" si="74"/>
        <v>616029827.9779098</v>
      </c>
      <c r="AN541" s="245">
        <f t="shared" si="75"/>
        <v>0</v>
      </c>
      <c r="AO541" s="245">
        <f t="shared" si="76"/>
        <v>4735743.9999984</v>
      </c>
      <c r="AR541">
        <v>6420</v>
      </c>
      <c r="AS541" t="s">
        <v>361</v>
      </c>
      <c r="AT541" t="s">
        <v>1797</v>
      </c>
      <c r="AU541">
        <v>22771952.305537</v>
      </c>
      <c r="AW541">
        <v>6420</v>
      </c>
      <c r="AX541" t="s">
        <v>361</v>
      </c>
      <c r="AY541" t="s">
        <v>1797</v>
      </c>
      <c r="AZ541">
        <v>17172296.821109001</v>
      </c>
      <c r="BA541" s="342" t="str">
        <f t="shared" si="79"/>
        <v/>
      </c>
      <c r="BB541">
        <v>6420</v>
      </c>
      <c r="BC541" t="s">
        <v>361</v>
      </c>
      <c r="BD541" t="s">
        <v>1797</v>
      </c>
      <c r="BE541" s="243">
        <f t="shared" si="80"/>
        <v>36509789.762424201</v>
      </c>
    </row>
    <row r="542" spans="1:57">
      <c r="A542">
        <v>6420</v>
      </c>
      <c r="B542" t="s">
        <v>361</v>
      </c>
      <c r="C542" t="s">
        <v>1199</v>
      </c>
      <c r="D542" s="176">
        <v>217230740.89103001</v>
      </c>
      <c r="E542">
        <v>0</v>
      </c>
      <c r="G542">
        <v>6420</v>
      </c>
      <c r="H542" t="s">
        <v>361</v>
      </c>
      <c r="I542" t="s">
        <v>1199</v>
      </c>
      <c r="J542" s="176">
        <v>157700654.796637</v>
      </c>
      <c r="K542">
        <v>0</v>
      </c>
      <c r="L542" s="342" t="str">
        <f t="shared" si="77"/>
        <v/>
      </c>
      <c r="M542">
        <v>6420</v>
      </c>
      <c r="N542" t="s">
        <v>361</v>
      </c>
      <c r="O542" t="s">
        <v>1199</v>
      </c>
      <c r="P542" s="243">
        <f t="shared" si="78"/>
        <v>343391264.72833961</v>
      </c>
      <c r="S542">
        <v>6420</v>
      </c>
      <c r="T542" t="s">
        <v>361</v>
      </c>
      <c r="U542" t="s">
        <v>1199</v>
      </c>
      <c r="V542">
        <v>106858121.914442</v>
      </c>
      <c r="W542">
        <v>527540196.21440601</v>
      </c>
      <c r="X542">
        <v>0</v>
      </c>
      <c r="Y542">
        <v>44163808.888888001</v>
      </c>
      <c r="AA542">
        <v>6420</v>
      </c>
      <c r="AB542" t="s">
        <v>361</v>
      </c>
      <c r="AC542" t="s">
        <v>1199</v>
      </c>
      <c r="AD542">
        <v>106858121.914442</v>
      </c>
      <c r="AE542">
        <v>527540196.21440601</v>
      </c>
      <c r="AF542">
        <v>0</v>
      </c>
      <c r="AG542">
        <v>44163808.888888001</v>
      </c>
      <c r="AH542" s="342" t="str">
        <f t="shared" si="72"/>
        <v/>
      </c>
      <c r="AI542">
        <v>6420</v>
      </c>
      <c r="AJ542" t="s">
        <v>361</v>
      </c>
      <c r="AK542" t="s">
        <v>1199</v>
      </c>
      <c r="AL542" s="245">
        <f t="shared" si="73"/>
        <v>192344619.44599563</v>
      </c>
      <c r="AM542" s="245">
        <f t="shared" si="74"/>
        <v>949572353.18593085</v>
      </c>
      <c r="AN542" s="245">
        <f t="shared" si="75"/>
        <v>0</v>
      </c>
      <c r="AO542" s="245">
        <f t="shared" si="76"/>
        <v>79494855.999998406</v>
      </c>
      <c r="AR542">
        <v>6420</v>
      </c>
      <c r="AS542" t="s">
        <v>361</v>
      </c>
      <c r="AT542" t="s">
        <v>1199</v>
      </c>
      <c r="AU542">
        <v>84285204.166653007</v>
      </c>
      <c r="AW542">
        <v>6420</v>
      </c>
      <c r="AX542" t="s">
        <v>361</v>
      </c>
      <c r="AY542" t="s">
        <v>1199</v>
      </c>
      <c r="AZ542">
        <v>103499297.742217</v>
      </c>
      <c r="BA542" s="342" t="str">
        <f t="shared" si="79"/>
        <v/>
      </c>
      <c r="BB542">
        <v>6420</v>
      </c>
      <c r="BC542" t="s">
        <v>361</v>
      </c>
      <c r="BD542" t="s">
        <v>1199</v>
      </c>
      <c r="BE542" s="243">
        <f t="shared" si="80"/>
        <v>167084642.3604266</v>
      </c>
    </row>
    <row r="543" spans="1:57">
      <c r="A543">
        <v>6420</v>
      </c>
      <c r="B543" t="s">
        <v>361</v>
      </c>
      <c r="C543" t="s">
        <v>1588</v>
      </c>
      <c r="D543" s="176">
        <v>206602316.312159</v>
      </c>
      <c r="E543">
        <v>0</v>
      </c>
      <c r="G543">
        <v>6420</v>
      </c>
      <c r="H543" t="s">
        <v>361</v>
      </c>
      <c r="I543" t="s">
        <v>1588</v>
      </c>
      <c r="J543" s="176">
        <v>139509198.84664801</v>
      </c>
      <c r="K543">
        <v>0</v>
      </c>
      <c r="L543" s="342" t="str">
        <f t="shared" si="77"/>
        <v/>
      </c>
      <c r="M543">
        <v>6420</v>
      </c>
      <c r="N543" t="s">
        <v>361</v>
      </c>
      <c r="O543" t="s">
        <v>1588</v>
      </c>
      <c r="P543" s="243">
        <f t="shared" si="78"/>
        <v>318209675.38947743</v>
      </c>
      <c r="S543">
        <v>6420</v>
      </c>
      <c r="T543" t="s">
        <v>361</v>
      </c>
      <c r="U543" t="s">
        <v>1588</v>
      </c>
      <c r="V543">
        <v>52927477.382220998</v>
      </c>
      <c r="W543">
        <v>262578815.59998199</v>
      </c>
      <c r="X543">
        <v>0</v>
      </c>
      <c r="Y543">
        <v>6199999.9999989998</v>
      </c>
      <c r="AA543">
        <v>6420</v>
      </c>
      <c r="AB543" t="s">
        <v>361</v>
      </c>
      <c r="AC543" t="s">
        <v>1588</v>
      </c>
      <c r="AD543">
        <v>52927477.382220998</v>
      </c>
      <c r="AE543">
        <v>262578815.59998199</v>
      </c>
      <c r="AF543">
        <v>0</v>
      </c>
      <c r="AG543">
        <v>6199999.9999989998</v>
      </c>
      <c r="AH543" s="342" t="str">
        <f t="shared" si="72"/>
        <v/>
      </c>
      <c r="AI543">
        <v>6420</v>
      </c>
      <c r="AJ543" t="s">
        <v>361</v>
      </c>
      <c r="AK543" t="s">
        <v>1588</v>
      </c>
      <c r="AL543" s="245">
        <f t="shared" si="73"/>
        <v>95269459.287997797</v>
      </c>
      <c r="AM543" s="245">
        <f t="shared" si="74"/>
        <v>472641868.07996762</v>
      </c>
      <c r="AN543" s="245">
        <f t="shared" si="75"/>
        <v>0</v>
      </c>
      <c r="AO543" s="245">
        <f t="shared" si="76"/>
        <v>11159999.999998201</v>
      </c>
      <c r="AR543">
        <v>6420</v>
      </c>
      <c r="AS543" t="s">
        <v>361</v>
      </c>
      <c r="AT543" t="s">
        <v>1588</v>
      </c>
      <c r="AU543">
        <v>10657219.319993</v>
      </c>
      <c r="AW543">
        <v>6420</v>
      </c>
      <c r="AX543" t="s">
        <v>361</v>
      </c>
      <c r="AY543" t="s">
        <v>1588</v>
      </c>
      <c r="AZ543">
        <v>11176207.214442</v>
      </c>
      <c r="BA543" s="342" t="str">
        <f t="shared" si="79"/>
        <v/>
      </c>
      <c r="BB543">
        <v>6420</v>
      </c>
      <c r="BC543" t="s">
        <v>361</v>
      </c>
      <c r="BD543" t="s">
        <v>1588</v>
      </c>
      <c r="BE543" s="243">
        <f t="shared" si="80"/>
        <v>19598185.091546603</v>
      </c>
    </row>
    <row r="544" spans="1:57">
      <c r="A544">
        <v>6420</v>
      </c>
      <c r="B544" t="s">
        <v>361</v>
      </c>
      <c r="C544" t="s">
        <v>1798</v>
      </c>
      <c r="D544" s="176">
        <v>271634371.23329097</v>
      </c>
      <c r="E544">
        <v>0</v>
      </c>
      <c r="G544">
        <v>6420</v>
      </c>
      <c r="H544" t="s">
        <v>361</v>
      </c>
      <c r="I544" t="s">
        <v>1798</v>
      </c>
      <c r="J544" s="176">
        <v>68851463.293320999</v>
      </c>
      <c r="K544">
        <v>0</v>
      </c>
      <c r="L544" s="342" t="str">
        <f t="shared" si="77"/>
        <v/>
      </c>
      <c r="M544">
        <v>6420</v>
      </c>
      <c r="N544" t="s">
        <v>361</v>
      </c>
      <c r="O544" t="s">
        <v>1798</v>
      </c>
      <c r="P544" s="243">
        <f t="shared" si="78"/>
        <v>326715541.86794776</v>
      </c>
      <c r="S544">
        <v>6420</v>
      </c>
      <c r="T544" t="s">
        <v>361</v>
      </c>
      <c r="U544" t="s">
        <v>1798</v>
      </c>
      <c r="V544">
        <v>65889428.191108003</v>
      </c>
      <c r="W544">
        <v>277879980.324422</v>
      </c>
      <c r="X544">
        <v>0</v>
      </c>
      <c r="Y544">
        <v>6470575.2666659998</v>
      </c>
      <c r="AA544">
        <v>6420</v>
      </c>
      <c r="AB544" t="s">
        <v>361</v>
      </c>
      <c r="AC544" t="s">
        <v>1798</v>
      </c>
      <c r="AD544">
        <v>65889428.191108003</v>
      </c>
      <c r="AE544">
        <v>277879980.324422</v>
      </c>
      <c r="AF544">
        <v>0</v>
      </c>
      <c r="AG544">
        <v>6470575.2666659998</v>
      </c>
      <c r="AH544" s="342" t="str">
        <f t="shared" si="72"/>
        <v/>
      </c>
      <c r="AI544">
        <v>6420</v>
      </c>
      <c r="AJ544" t="s">
        <v>361</v>
      </c>
      <c r="AK544" t="s">
        <v>1798</v>
      </c>
      <c r="AL544" s="245">
        <f t="shared" si="73"/>
        <v>118600970.74399441</v>
      </c>
      <c r="AM544" s="245">
        <f t="shared" si="74"/>
        <v>500183964.58395958</v>
      </c>
      <c r="AN544" s="245">
        <f t="shared" si="75"/>
        <v>0</v>
      </c>
      <c r="AO544" s="245">
        <f t="shared" si="76"/>
        <v>11647035.479998801</v>
      </c>
      <c r="AR544">
        <v>6420</v>
      </c>
      <c r="AS544" t="s">
        <v>361</v>
      </c>
      <c r="AT544" t="s">
        <v>1798</v>
      </c>
      <c r="AU544">
        <v>28819452.467769001</v>
      </c>
      <c r="AW544">
        <v>6420</v>
      </c>
      <c r="AX544" t="s">
        <v>361</v>
      </c>
      <c r="AY544" t="s">
        <v>1798</v>
      </c>
      <c r="AZ544">
        <v>12036585.131106</v>
      </c>
      <c r="BA544" s="342" t="str">
        <f t="shared" si="79"/>
        <v/>
      </c>
      <c r="BB544">
        <v>6420</v>
      </c>
      <c r="BC544" t="s">
        <v>361</v>
      </c>
      <c r="BD544" t="s">
        <v>1798</v>
      </c>
      <c r="BE544" s="243">
        <f t="shared" si="80"/>
        <v>38448720.5726538</v>
      </c>
    </row>
    <row r="545" spans="1:57">
      <c r="A545">
        <v>6430</v>
      </c>
      <c r="B545" t="s">
        <v>362</v>
      </c>
      <c r="C545" t="s">
        <v>1211</v>
      </c>
      <c r="D545" s="176">
        <v>116248174.685506</v>
      </c>
      <c r="E545">
        <v>0</v>
      </c>
      <c r="G545">
        <v>6430</v>
      </c>
      <c r="H545" t="s">
        <v>362</v>
      </c>
      <c r="I545" t="s">
        <v>1211</v>
      </c>
      <c r="J545" s="176">
        <v>50305127.826655999</v>
      </c>
      <c r="K545">
        <v>0</v>
      </c>
      <c r="L545" s="342" t="str">
        <f t="shared" si="77"/>
        <v/>
      </c>
      <c r="M545">
        <v>6430</v>
      </c>
      <c r="N545" t="s">
        <v>362</v>
      </c>
      <c r="O545" t="s">
        <v>1211</v>
      </c>
      <c r="P545" s="243">
        <f t="shared" si="78"/>
        <v>156492276.94683081</v>
      </c>
      <c r="S545">
        <v>6430</v>
      </c>
      <c r="T545" t="s">
        <v>362</v>
      </c>
      <c r="U545" t="s">
        <v>1211</v>
      </c>
      <c r="V545">
        <v>55628283.622220002</v>
      </c>
      <c r="W545">
        <v>134862641.78220099</v>
      </c>
      <c r="X545">
        <v>1213830</v>
      </c>
      <c r="Y545">
        <v>14447508.887776</v>
      </c>
      <c r="AA545">
        <v>6430</v>
      </c>
      <c r="AB545" t="s">
        <v>362</v>
      </c>
      <c r="AC545" t="s">
        <v>1211</v>
      </c>
      <c r="AD545">
        <v>55628283.622220002</v>
      </c>
      <c r="AE545">
        <v>134862641.78220099</v>
      </c>
      <c r="AF545">
        <v>1213830</v>
      </c>
      <c r="AG545">
        <v>14447508.887776</v>
      </c>
      <c r="AH545" s="342" t="str">
        <f t="shared" si="72"/>
        <v/>
      </c>
      <c r="AI545">
        <v>6430</v>
      </c>
      <c r="AJ545" t="s">
        <v>362</v>
      </c>
      <c r="AK545" t="s">
        <v>1211</v>
      </c>
      <c r="AL545" s="245">
        <f t="shared" si="73"/>
        <v>100130910.51999602</v>
      </c>
      <c r="AM545" s="245">
        <f t="shared" si="74"/>
        <v>242752755.2079618</v>
      </c>
      <c r="AN545" s="245">
        <f t="shared" si="75"/>
        <v>2184894</v>
      </c>
      <c r="AO545" s="245">
        <f t="shared" si="76"/>
        <v>26005515.9979968</v>
      </c>
      <c r="AR545">
        <v>6430</v>
      </c>
      <c r="AS545" t="s">
        <v>362</v>
      </c>
      <c r="AT545" t="s">
        <v>1211</v>
      </c>
      <c r="AU545">
        <v>9938468.8599950001</v>
      </c>
      <c r="AW545">
        <v>6430</v>
      </c>
      <c r="AX545" t="s">
        <v>362</v>
      </c>
      <c r="AY545" t="s">
        <v>1211</v>
      </c>
      <c r="AZ545">
        <v>3056668.9888880001</v>
      </c>
      <c r="BA545" s="342" t="str">
        <f t="shared" si="79"/>
        <v/>
      </c>
      <c r="BB545">
        <v>6430</v>
      </c>
      <c r="BC545" t="s">
        <v>362</v>
      </c>
      <c r="BD545" t="s">
        <v>1211</v>
      </c>
      <c r="BE545" s="243">
        <f t="shared" si="80"/>
        <v>12383804.051105401</v>
      </c>
    </row>
    <row r="546" spans="1:57">
      <c r="A546">
        <v>6430</v>
      </c>
      <c r="B546" t="s">
        <v>362</v>
      </c>
      <c r="C546" t="s">
        <v>1197</v>
      </c>
      <c r="D546" s="176">
        <v>389417717.21762699</v>
      </c>
      <c r="E546">
        <v>0</v>
      </c>
      <c r="G546">
        <v>6430</v>
      </c>
      <c r="H546" t="s">
        <v>362</v>
      </c>
      <c r="I546" t="s">
        <v>1197</v>
      </c>
      <c r="J546" s="176">
        <v>176919821.46331</v>
      </c>
      <c r="K546">
        <v>0</v>
      </c>
      <c r="L546" s="342" t="str">
        <f t="shared" si="77"/>
        <v/>
      </c>
      <c r="M546">
        <v>6430</v>
      </c>
      <c r="N546" t="s">
        <v>362</v>
      </c>
      <c r="O546" t="s">
        <v>1197</v>
      </c>
      <c r="P546" s="243">
        <f t="shared" si="78"/>
        <v>530953574.38827503</v>
      </c>
      <c r="S546">
        <v>6430</v>
      </c>
      <c r="T546" t="s">
        <v>362</v>
      </c>
      <c r="U546" t="s">
        <v>1197</v>
      </c>
      <c r="V546">
        <v>104113349.286659</v>
      </c>
      <c r="W546">
        <v>376647519.83994699</v>
      </c>
      <c r="X546">
        <v>2152150</v>
      </c>
      <c r="Y546">
        <v>14603556.111107999</v>
      </c>
      <c r="AA546">
        <v>6430</v>
      </c>
      <c r="AB546" t="s">
        <v>362</v>
      </c>
      <c r="AC546" t="s">
        <v>1197</v>
      </c>
      <c r="AD546">
        <v>104113349.286659</v>
      </c>
      <c r="AE546">
        <v>376647519.83994699</v>
      </c>
      <c r="AF546">
        <v>2152150</v>
      </c>
      <c r="AG546">
        <v>14603556.111107999</v>
      </c>
      <c r="AH546" s="342" t="str">
        <f t="shared" si="72"/>
        <v/>
      </c>
      <c r="AI546">
        <v>6430</v>
      </c>
      <c r="AJ546" t="s">
        <v>362</v>
      </c>
      <c r="AK546" t="s">
        <v>1197</v>
      </c>
      <c r="AL546" s="245">
        <f t="shared" si="73"/>
        <v>187404028.71598619</v>
      </c>
      <c r="AM546" s="245">
        <f t="shared" si="74"/>
        <v>677965535.71190453</v>
      </c>
      <c r="AN546" s="245">
        <f t="shared" si="75"/>
        <v>3873870</v>
      </c>
      <c r="AO546" s="245">
        <f t="shared" si="76"/>
        <v>26286400.999994397</v>
      </c>
      <c r="AR546">
        <v>6430</v>
      </c>
      <c r="AS546" t="s">
        <v>362</v>
      </c>
      <c r="AT546" t="s">
        <v>1197</v>
      </c>
      <c r="AU546">
        <v>72651694.378861994</v>
      </c>
      <c r="AW546">
        <v>6430</v>
      </c>
      <c r="AX546" t="s">
        <v>362</v>
      </c>
      <c r="AY546" t="s">
        <v>1197</v>
      </c>
      <c r="AZ546">
        <v>92961160.029992998</v>
      </c>
      <c r="BA546" s="342" t="str">
        <f t="shared" si="79"/>
        <v/>
      </c>
      <c r="BB546">
        <v>6430</v>
      </c>
      <c r="BC546" t="s">
        <v>362</v>
      </c>
      <c r="BD546" t="s">
        <v>1197</v>
      </c>
      <c r="BE546" s="243">
        <f t="shared" si="80"/>
        <v>147020622.40285641</v>
      </c>
    </row>
    <row r="547" spans="1:57">
      <c r="A547">
        <v>6430</v>
      </c>
      <c r="B547" t="s">
        <v>362</v>
      </c>
      <c r="C547" t="s">
        <v>1988</v>
      </c>
      <c r="D547" s="176">
        <v>46286860.242178001</v>
      </c>
      <c r="E547">
        <v>0</v>
      </c>
      <c r="G547">
        <v>6430</v>
      </c>
      <c r="H547" t="s">
        <v>362</v>
      </c>
      <c r="I547" t="s">
        <v>1988</v>
      </c>
      <c r="J547" s="176">
        <v>23920200.013324</v>
      </c>
      <c r="K547">
        <v>0</v>
      </c>
      <c r="L547" s="342" t="str">
        <f t="shared" si="77"/>
        <v/>
      </c>
      <c r="M547">
        <v>6430</v>
      </c>
      <c r="N547" t="s">
        <v>362</v>
      </c>
      <c r="O547" t="s">
        <v>1988</v>
      </c>
      <c r="P547" s="243">
        <f t="shared" si="78"/>
        <v>65423020.252837196</v>
      </c>
      <c r="S547">
        <v>6430</v>
      </c>
      <c r="T547" t="s">
        <v>362</v>
      </c>
      <c r="U547" t="s">
        <v>1988</v>
      </c>
      <c r="V547">
        <v>18106801.271109998</v>
      </c>
      <c r="W547">
        <v>174405004.57664299</v>
      </c>
      <c r="X547">
        <v>0</v>
      </c>
      <c r="Y547">
        <v>32209510.288887002</v>
      </c>
      <c r="AA547">
        <v>6430</v>
      </c>
      <c r="AB547" t="s">
        <v>362</v>
      </c>
      <c r="AC547" t="s">
        <v>1988</v>
      </c>
      <c r="AD547">
        <v>18106801.271109998</v>
      </c>
      <c r="AE547">
        <v>174405004.57664299</v>
      </c>
      <c r="AF547">
        <v>0</v>
      </c>
      <c r="AG547">
        <v>32209510.288887002</v>
      </c>
      <c r="AH547" s="342" t="str">
        <f t="shared" si="72"/>
        <v/>
      </c>
      <c r="AI547">
        <v>6430</v>
      </c>
      <c r="AJ547" t="s">
        <v>362</v>
      </c>
      <c r="AK547" t="s">
        <v>1988</v>
      </c>
      <c r="AL547" s="245">
        <f t="shared" si="73"/>
        <v>32592242.287997998</v>
      </c>
      <c r="AM547" s="245">
        <f t="shared" si="74"/>
        <v>313929008.23795736</v>
      </c>
      <c r="AN547" s="245">
        <f t="shared" si="75"/>
        <v>0</v>
      </c>
      <c r="AO547" s="245">
        <f t="shared" si="76"/>
        <v>57977118.519996606</v>
      </c>
      <c r="AR547">
        <v>6430</v>
      </c>
      <c r="AS547" t="s">
        <v>362</v>
      </c>
      <c r="AT547" t="s">
        <v>1988</v>
      </c>
      <c r="AU547">
        <v>125296968.994434</v>
      </c>
      <c r="AW547">
        <v>6430</v>
      </c>
      <c r="AX547" t="s">
        <v>362</v>
      </c>
      <c r="AY547" t="s">
        <v>1988</v>
      </c>
      <c r="AZ547">
        <v>109119611.017776</v>
      </c>
      <c r="BA547" s="342" t="str">
        <f t="shared" si="79"/>
        <v/>
      </c>
      <c r="BB547">
        <v>6430</v>
      </c>
      <c r="BC547" t="s">
        <v>362</v>
      </c>
      <c r="BD547" t="s">
        <v>1988</v>
      </c>
      <c r="BE547" s="243">
        <f t="shared" si="80"/>
        <v>212592657.80865479</v>
      </c>
    </row>
    <row r="548" spans="1:57">
      <c r="A548">
        <v>6440</v>
      </c>
      <c r="B548" t="s">
        <v>363</v>
      </c>
      <c r="C548" t="s">
        <v>1203</v>
      </c>
      <c r="D548" s="176">
        <v>423304549.88544703</v>
      </c>
      <c r="E548">
        <v>0</v>
      </c>
      <c r="G548">
        <v>6440</v>
      </c>
      <c r="H548" t="s">
        <v>363</v>
      </c>
      <c r="I548" t="s">
        <v>1203</v>
      </c>
      <c r="J548" s="176">
        <v>344139632.27551597</v>
      </c>
      <c r="K548">
        <v>0</v>
      </c>
      <c r="L548" s="342" t="str">
        <f t="shared" si="77"/>
        <v/>
      </c>
      <c r="M548">
        <v>6440</v>
      </c>
      <c r="N548" t="s">
        <v>363</v>
      </c>
      <c r="O548" t="s">
        <v>1203</v>
      </c>
      <c r="P548" s="243">
        <f t="shared" si="78"/>
        <v>698616255.7058599</v>
      </c>
      <c r="S548">
        <v>6440</v>
      </c>
      <c r="T548" t="s">
        <v>363</v>
      </c>
      <c r="U548" t="s">
        <v>1203</v>
      </c>
      <c r="V548">
        <v>78618713.451107994</v>
      </c>
      <c r="W548">
        <v>215038128.06885901</v>
      </c>
      <c r="X548">
        <v>2583400</v>
      </c>
      <c r="Y548">
        <v>76294223.999996006</v>
      </c>
      <c r="AA548">
        <v>6440</v>
      </c>
      <c r="AB548" t="s">
        <v>363</v>
      </c>
      <c r="AC548" t="s">
        <v>1203</v>
      </c>
      <c r="AD548">
        <v>78618713.451107994</v>
      </c>
      <c r="AE548">
        <v>215038128.06885901</v>
      </c>
      <c r="AF548">
        <v>2583400</v>
      </c>
      <c r="AG548">
        <v>76294223.999996006</v>
      </c>
      <c r="AH548" s="342" t="str">
        <f t="shared" si="72"/>
        <v/>
      </c>
      <c r="AI548">
        <v>6440</v>
      </c>
      <c r="AJ548" t="s">
        <v>363</v>
      </c>
      <c r="AK548" t="s">
        <v>1203</v>
      </c>
      <c r="AL548" s="245">
        <f t="shared" si="73"/>
        <v>141513684.21199441</v>
      </c>
      <c r="AM548" s="245">
        <f t="shared" si="74"/>
        <v>387068630.52394623</v>
      </c>
      <c r="AN548" s="245">
        <f t="shared" si="75"/>
        <v>4650120</v>
      </c>
      <c r="AO548" s="245">
        <f t="shared" si="76"/>
        <v>137329603.19999281</v>
      </c>
      <c r="AR548">
        <v>6440</v>
      </c>
      <c r="AS548" t="s">
        <v>363</v>
      </c>
      <c r="AT548" t="s">
        <v>1203</v>
      </c>
      <c r="AU548">
        <v>425554863.15886801</v>
      </c>
      <c r="AW548">
        <v>6440</v>
      </c>
      <c r="AX548" t="s">
        <v>363</v>
      </c>
      <c r="AY548" t="s">
        <v>1203</v>
      </c>
      <c r="AZ548">
        <v>420157042.06887299</v>
      </c>
      <c r="BA548" s="342" t="str">
        <f t="shared" si="79"/>
        <v/>
      </c>
      <c r="BB548">
        <v>6440</v>
      </c>
      <c r="BC548" t="s">
        <v>363</v>
      </c>
      <c r="BD548" t="s">
        <v>1203</v>
      </c>
      <c r="BE548" s="243">
        <f t="shared" si="80"/>
        <v>761680496.81396651</v>
      </c>
    </row>
    <row r="549" spans="1:57">
      <c r="A549">
        <v>6440</v>
      </c>
      <c r="B549" t="s">
        <v>363</v>
      </c>
      <c r="C549" t="s">
        <v>1204</v>
      </c>
      <c r="D549" s="176">
        <v>151611715.18325999</v>
      </c>
      <c r="E549">
        <v>0</v>
      </c>
      <c r="G549">
        <v>6440</v>
      </c>
      <c r="H549" t="s">
        <v>363</v>
      </c>
      <c r="I549" t="s">
        <v>1204</v>
      </c>
      <c r="J549" s="176">
        <v>119734429.82776</v>
      </c>
      <c r="K549">
        <v>0</v>
      </c>
      <c r="L549" s="342" t="str">
        <f t="shared" si="77"/>
        <v/>
      </c>
      <c r="M549">
        <v>6440</v>
      </c>
      <c r="N549" t="s">
        <v>363</v>
      </c>
      <c r="O549" t="s">
        <v>1204</v>
      </c>
      <c r="P549" s="243">
        <f t="shared" si="78"/>
        <v>247399259.045468</v>
      </c>
      <c r="S549">
        <v>6440</v>
      </c>
      <c r="T549" t="s">
        <v>363</v>
      </c>
      <c r="U549" t="s">
        <v>1204</v>
      </c>
      <c r="V549">
        <v>59156283.424441002</v>
      </c>
      <c r="W549">
        <v>245806674.77662799</v>
      </c>
      <c r="X549">
        <v>4857100</v>
      </c>
      <c r="Y549">
        <v>39886334.244442001</v>
      </c>
      <c r="AA549">
        <v>6440</v>
      </c>
      <c r="AB549" t="s">
        <v>363</v>
      </c>
      <c r="AC549" t="s">
        <v>1204</v>
      </c>
      <c r="AD549">
        <v>59156283.424441002</v>
      </c>
      <c r="AE549">
        <v>245806674.77662799</v>
      </c>
      <c r="AF549">
        <v>4857100</v>
      </c>
      <c r="AG549">
        <v>39886334.244442001</v>
      </c>
      <c r="AH549" s="342" t="str">
        <f t="shared" si="72"/>
        <v/>
      </c>
      <c r="AI549">
        <v>6440</v>
      </c>
      <c r="AJ549" t="s">
        <v>363</v>
      </c>
      <c r="AK549" t="s">
        <v>1204</v>
      </c>
      <c r="AL549" s="245">
        <f t="shared" si="73"/>
        <v>106481310.16399381</v>
      </c>
      <c r="AM549" s="245">
        <f t="shared" si="74"/>
        <v>442452014.59793043</v>
      </c>
      <c r="AN549" s="245">
        <f t="shared" si="75"/>
        <v>8742780</v>
      </c>
      <c r="AO549" s="245">
        <f t="shared" si="76"/>
        <v>71795401.639995605</v>
      </c>
      <c r="AR549">
        <v>6440</v>
      </c>
      <c r="AS549" t="s">
        <v>363</v>
      </c>
      <c r="AT549" t="s">
        <v>1204</v>
      </c>
      <c r="AU549">
        <v>73140260.266644999</v>
      </c>
      <c r="AW549">
        <v>6440</v>
      </c>
      <c r="AX549" t="s">
        <v>363</v>
      </c>
      <c r="AY549" t="s">
        <v>1204</v>
      </c>
      <c r="AZ549">
        <v>71793466.144438997</v>
      </c>
      <c r="BA549" s="342" t="str">
        <f t="shared" si="79"/>
        <v/>
      </c>
      <c r="BB549">
        <v>6440</v>
      </c>
      <c r="BC549" t="s">
        <v>363</v>
      </c>
      <c r="BD549" t="s">
        <v>1204</v>
      </c>
      <c r="BE549" s="243">
        <f t="shared" si="80"/>
        <v>130575033.1821962</v>
      </c>
    </row>
    <row r="550" spans="1:57">
      <c r="A550">
        <v>6440</v>
      </c>
      <c r="B550" t="s">
        <v>363</v>
      </c>
      <c r="C550" t="s">
        <v>1800</v>
      </c>
      <c r="D550" s="176">
        <v>22573407.822191</v>
      </c>
      <c r="E550">
        <v>0</v>
      </c>
      <c r="G550">
        <v>6440</v>
      </c>
      <c r="H550" t="s">
        <v>363</v>
      </c>
      <c r="I550" t="s">
        <v>1800</v>
      </c>
      <c r="J550" s="176">
        <v>5454887.7511080001</v>
      </c>
      <c r="K550">
        <v>0</v>
      </c>
      <c r="L550" s="342" t="str">
        <f t="shared" si="77"/>
        <v/>
      </c>
      <c r="M550">
        <v>6440</v>
      </c>
      <c r="N550" t="s">
        <v>363</v>
      </c>
      <c r="O550" t="s">
        <v>1800</v>
      </c>
      <c r="P550" s="243">
        <f t="shared" si="78"/>
        <v>26937318.023077399</v>
      </c>
      <c r="S550">
        <v>6440</v>
      </c>
      <c r="T550" t="s">
        <v>363</v>
      </c>
      <c r="U550" t="s">
        <v>1800</v>
      </c>
      <c r="V550">
        <v>13200804.516664</v>
      </c>
      <c r="W550">
        <v>38805405.28221</v>
      </c>
      <c r="X550">
        <v>0</v>
      </c>
      <c r="Y550">
        <v>173333.33333299999</v>
      </c>
      <c r="AA550">
        <v>6440</v>
      </c>
      <c r="AB550" t="s">
        <v>363</v>
      </c>
      <c r="AC550" t="s">
        <v>1800</v>
      </c>
      <c r="AD550">
        <v>13200804.516664</v>
      </c>
      <c r="AE550">
        <v>38805405.28221</v>
      </c>
      <c r="AF550">
        <v>0</v>
      </c>
      <c r="AG550">
        <v>173333.33333299999</v>
      </c>
      <c r="AH550" s="342" t="str">
        <f t="shared" si="72"/>
        <v/>
      </c>
      <c r="AI550">
        <v>6440</v>
      </c>
      <c r="AJ550" t="s">
        <v>363</v>
      </c>
      <c r="AK550" t="s">
        <v>1800</v>
      </c>
      <c r="AL550" s="245">
        <f t="shared" si="73"/>
        <v>23761448.129995201</v>
      </c>
      <c r="AM550" s="245">
        <f t="shared" si="74"/>
        <v>69849729.507977992</v>
      </c>
      <c r="AN550" s="245">
        <f t="shared" si="75"/>
        <v>0</v>
      </c>
      <c r="AO550" s="245">
        <f t="shared" si="76"/>
        <v>311999.9999994</v>
      </c>
      <c r="AR550">
        <v>6440</v>
      </c>
      <c r="AS550" t="s">
        <v>363</v>
      </c>
      <c r="AT550" t="s">
        <v>1800</v>
      </c>
      <c r="AU550">
        <v>5090546.9433300002</v>
      </c>
      <c r="AW550">
        <v>6440</v>
      </c>
      <c r="AX550" t="s">
        <v>363</v>
      </c>
      <c r="AY550" t="s">
        <v>1800</v>
      </c>
      <c r="AZ550">
        <v>0</v>
      </c>
      <c r="BA550" s="342" t="str">
        <f t="shared" si="79"/>
        <v/>
      </c>
      <c r="BB550">
        <v>6440</v>
      </c>
      <c r="BC550" t="s">
        <v>363</v>
      </c>
      <c r="BD550" t="s">
        <v>1800</v>
      </c>
      <c r="BE550" s="243">
        <f t="shared" si="80"/>
        <v>5090546.9433300002</v>
      </c>
    </row>
    <row r="551" spans="1:57">
      <c r="A551">
        <v>6440</v>
      </c>
      <c r="B551" t="s">
        <v>363</v>
      </c>
      <c r="C551" t="s">
        <v>1799</v>
      </c>
      <c r="D551" s="176">
        <v>43532654.395521998</v>
      </c>
      <c r="E551">
        <v>0</v>
      </c>
      <c r="G551">
        <v>6440</v>
      </c>
      <c r="H551" t="s">
        <v>363</v>
      </c>
      <c r="I551" t="s">
        <v>1799</v>
      </c>
      <c r="J551" s="176">
        <v>19502964.948876001</v>
      </c>
      <c r="K551">
        <v>0</v>
      </c>
      <c r="L551" s="342" t="str">
        <f t="shared" si="77"/>
        <v/>
      </c>
      <c r="M551">
        <v>6440</v>
      </c>
      <c r="N551" t="s">
        <v>363</v>
      </c>
      <c r="O551" t="s">
        <v>1799</v>
      </c>
      <c r="P551" s="243">
        <f t="shared" si="78"/>
        <v>59135026.354622796</v>
      </c>
      <c r="S551">
        <v>6440</v>
      </c>
      <c r="T551" t="s">
        <v>363</v>
      </c>
      <c r="U551" t="s">
        <v>1799</v>
      </c>
      <c r="V551">
        <v>13565705.944443</v>
      </c>
      <c r="W551">
        <v>81125803.197753996</v>
      </c>
      <c r="X551">
        <v>0</v>
      </c>
      <c r="Y551">
        <v>5038894.4444439998</v>
      </c>
      <c r="AA551">
        <v>6440</v>
      </c>
      <c r="AB551" t="s">
        <v>363</v>
      </c>
      <c r="AC551" t="s">
        <v>1799</v>
      </c>
      <c r="AD551">
        <v>13565705.944443</v>
      </c>
      <c r="AE551">
        <v>81125803.197753996</v>
      </c>
      <c r="AF551">
        <v>0</v>
      </c>
      <c r="AG551">
        <v>5038894.4444439998</v>
      </c>
      <c r="AH551" s="342" t="str">
        <f t="shared" si="72"/>
        <v/>
      </c>
      <c r="AI551">
        <v>6440</v>
      </c>
      <c r="AJ551" t="s">
        <v>363</v>
      </c>
      <c r="AK551" t="s">
        <v>1799</v>
      </c>
      <c r="AL551" s="245">
        <f t="shared" si="73"/>
        <v>24418270.699997403</v>
      </c>
      <c r="AM551" s="245">
        <f t="shared" si="74"/>
        <v>146026445.75595719</v>
      </c>
      <c r="AN551" s="245">
        <f t="shared" si="75"/>
        <v>0</v>
      </c>
      <c r="AO551" s="245">
        <f t="shared" si="76"/>
        <v>9070009.9999991991</v>
      </c>
      <c r="AR551">
        <v>6440</v>
      </c>
      <c r="AS551" t="s">
        <v>363</v>
      </c>
      <c r="AT551" t="s">
        <v>1799</v>
      </c>
      <c r="AU551">
        <v>8628405.4477699995</v>
      </c>
      <c r="AW551">
        <v>6440</v>
      </c>
      <c r="AX551" t="s">
        <v>363</v>
      </c>
      <c r="AY551" t="s">
        <v>1799</v>
      </c>
      <c r="AZ551">
        <v>3133779.8333330001</v>
      </c>
      <c r="BA551" s="342" t="str">
        <f t="shared" si="79"/>
        <v/>
      </c>
      <c r="BB551">
        <v>6440</v>
      </c>
      <c r="BC551" t="s">
        <v>363</v>
      </c>
      <c r="BD551" t="s">
        <v>1799</v>
      </c>
      <c r="BE551" s="243">
        <f t="shared" si="80"/>
        <v>11135429.3144364</v>
      </c>
    </row>
    <row r="552" spans="1:57">
      <c r="A552">
        <v>6450</v>
      </c>
      <c r="B552" t="s">
        <v>364</v>
      </c>
      <c r="C552" t="s">
        <v>1194</v>
      </c>
      <c r="D552" s="176">
        <v>279874891.12549001</v>
      </c>
      <c r="E552">
        <v>0</v>
      </c>
      <c r="G552">
        <v>6450</v>
      </c>
      <c r="H552" t="s">
        <v>364</v>
      </c>
      <c r="I552" t="s">
        <v>1194</v>
      </c>
      <c r="J552" s="176">
        <v>180847382.25442299</v>
      </c>
      <c r="K552">
        <v>0</v>
      </c>
      <c r="L552" s="342" t="str">
        <f t="shared" si="77"/>
        <v/>
      </c>
      <c r="M552">
        <v>6450</v>
      </c>
      <c r="N552" t="s">
        <v>364</v>
      </c>
      <c r="O552" t="s">
        <v>1194</v>
      </c>
      <c r="P552" s="243">
        <f t="shared" si="78"/>
        <v>424552796.92902839</v>
      </c>
      <c r="S552">
        <v>6450</v>
      </c>
      <c r="T552" t="s">
        <v>364</v>
      </c>
      <c r="U552" t="s">
        <v>1194</v>
      </c>
      <c r="V552">
        <v>24851335.783333</v>
      </c>
      <c r="W552">
        <v>452128750.86885703</v>
      </c>
      <c r="X552">
        <v>1888888.888888</v>
      </c>
      <c r="Y552">
        <v>56190773.111109003</v>
      </c>
      <c r="AA552">
        <v>6450</v>
      </c>
      <c r="AB552" t="s">
        <v>364</v>
      </c>
      <c r="AC552" t="s">
        <v>1194</v>
      </c>
      <c r="AD552">
        <v>24851335.783333</v>
      </c>
      <c r="AE552">
        <v>452128750.86885703</v>
      </c>
      <c r="AF552">
        <v>1888888.888888</v>
      </c>
      <c r="AG552">
        <v>56190773.111109003</v>
      </c>
      <c r="AH552" s="342" t="str">
        <f t="shared" si="72"/>
        <v/>
      </c>
      <c r="AI552">
        <v>6450</v>
      </c>
      <c r="AJ552" t="s">
        <v>364</v>
      </c>
      <c r="AK552" t="s">
        <v>1194</v>
      </c>
      <c r="AL552" s="245">
        <f t="shared" si="73"/>
        <v>44732404.4099994</v>
      </c>
      <c r="AM552" s="245">
        <f t="shared" si="74"/>
        <v>813831751.56394267</v>
      </c>
      <c r="AN552" s="245">
        <f t="shared" si="75"/>
        <v>3399999.9999984</v>
      </c>
      <c r="AO552" s="245">
        <f t="shared" si="76"/>
        <v>101143391.59999621</v>
      </c>
      <c r="AR552">
        <v>6450</v>
      </c>
      <c r="AS552" t="s">
        <v>364</v>
      </c>
      <c r="AT552" t="s">
        <v>1194</v>
      </c>
      <c r="AU552">
        <v>55163938.023322001</v>
      </c>
      <c r="AW552">
        <v>6450</v>
      </c>
      <c r="AX552" t="s">
        <v>364</v>
      </c>
      <c r="AY552" t="s">
        <v>1194</v>
      </c>
      <c r="AZ552">
        <v>43251642.814441003</v>
      </c>
      <c r="BA552" s="342" t="str">
        <f t="shared" si="79"/>
        <v/>
      </c>
      <c r="BB552">
        <v>6450</v>
      </c>
      <c r="BC552" t="s">
        <v>364</v>
      </c>
      <c r="BD552" t="s">
        <v>1194</v>
      </c>
      <c r="BE552" s="243">
        <f t="shared" si="80"/>
        <v>89765252.274874806</v>
      </c>
    </row>
    <row r="553" spans="1:57">
      <c r="A553">
        <v>6450</v>
      </c>
      <c r="B553" t="s">
        <v>364</v>
      </c>
      <c r="C553" t="s">
        <v>1801</v>
      </c>
      <c r="D553" s="176">
        <v>133658925.843254</v>
      </c>
      <c r="E553">
        <v>0</v>
      </c>
      <c r="G553">
        <v>6450</v>
      </c>
      <c r="H553" t="s">
        <v>364</v>
      </c>
      <c r="I553" t="s">
        <v>1801</v>
      </c>
      <c r="J553" s="176">
        <v>38154766.645542003</v>
      </c>
      <c r="K553">
        <v>0</v>
      </c>
      <c r="L553" s="342" t="str">
        <f t="shared" si="77"/>
        <v/>
      </c>
      <c r="M553">
        <v>6450</v>
      </c>
      <c r="N553" t="s">
        <v>364</v>
      </c>
      <c r="O553" t="s">
        <v>1801</v>
      </c>
      <c r="P553" s="243">
        <f t="shared" si="78"/>
        <v>164182739.15968761</v>
      </c>
      <c r="S553">
        <v>6450</v>
      </c>
      <c r="T553" t="s">
        <v>364</v>
      </c>
      <c r="U553" t="s">
        <v>1801</v>
      </c>
      <c r="V553">
        <v>28923358.82</v>
      </c>
      <c r="W553">
        <v>146054582.44551799</v>
      </c>
      <c r="X553">
        <v>500000</v>
      </c>
      <c r="Y553">
        <v>11779584.666664001</v>
      </c>
      <c r="AA553">
        <v>6450</v>
      </c>
      <c r="AB553" t="s">
        <v>364</v>
      </c>
      <c r="AC553" t="s">
        <v>1801</v>
      </c>
      <c r="AD553">
        <v>28923358.82</v>
      </c>
      <c r="AE553">
        <v>146054582.44551799</v>
      </c>
      <c r="AF553">
        <v>500000</v>
      </c>
      <c r="AG553">
        <v>11779584.666664001</v>
      </c>
      <c r="AH553" s="342" t="str">
        <f t="shared" si="72"/>
        <v/>
      </c>
      <c r="AI553">
        <v>6450</v>
      </c>
      <c r="AJ553" t="s">
        <v>364</v>
      </c>
      <c r="AK553" t="s">
        <v>1801</v>
      </c>
      <c r="AL553" s="245">
        <f t="shared" si="73"/>
        <v>52062045.876000002</v>
      </c>
      <c r="AM553" s="245">
        <f t="shared" si="74"/>
        <v>262898248.40193239</v>
      </c>
      <c r="AN553" s="245">
        <f t="shared" si="75"/>
        <v>900000</v>
      </c>
      <c r="AO553" s="245">
        <f t="shared" si="76"/>
        <v>21203252.3999952</v>
      </c>
      <c r="AR553">
        <v>6450</v>
      </c>
      <c r="AS553" t="s">
        <v>364</v>
      </c>
      <c r="AT553" t="s">
        <v>1801</v>
      </c>
      <c r="AU553">
        <v>3622968.2888830001</v>
      </c>
      <c r="AW553">
        <v>6450</v>
      </c>
      <c r="AX553" t="s">
        <v>364</v>
      </c>
      <c r="AY553" t="s">
        <v>1801</v>
      </c>
      <c r="AZ553">
        <v>0</v>
      </c>
      <c r="BA553" s="342" t="str">
        <f t="shared" si="79"/>
        <v/>
      </c>
      <c r="BB553">
        <v>6450</v>
      </c>
      <c r="BC553" t="s">
        <v>364</v>
      </c>
      <c r="BD553" t="s">
        <v>1801</v>
      </c>
      <c r="BE553" s="243">
        <f t="shared" si="80"/>
        <v>3622968.2888830001</v>
      </c>
    </row>
    <row r="554" spans="1:57">
      <c r="A554">
        <v>6450</v>
      </c>
      <c r="B554" t="s">
        <v>364</v>
      </c>
      <c r="C554" t="s">
        <v>1202</v>
      </c>
      <c r="D554" s="176">
        <v>237739070.92884299</v>
      </c>
      <c r="E554">
        <v>0</v>
      </c>
      <c r="G554">
        <v>6450</v>
      </c>
      <c r="H554" t="s">
        <v>364</v>
      </c>
      <c r="I554" t="s">
        <v>1202</v>
      </c>
      <c r="J554" s="176">
        <v>173351570.10553899</v>
      </c>
      <c r="K554">
        <v>0</v>
      </c>
      <c r="L554" s="342" t="str">
        <f t="shared" si="77"/>
        <v/>
      </c>
      <c r="M554">
        <v>6450</v>
      </c>
      <c r="N554" t="s">
        <v>364</v>
      </c>
      <c r="O554" t="s">
        <v>1202</v>
      </c>
      <c r="P554" s="243">
        <f t="shared" si="78"/>
        <v>376420327.01327419</v>
      </c>
      <c r="S554">
        <v>6450</v>
      </c>
      <c r="T554" t="s">
        <v>364</v>
      </c>
      <c r="U554" t="s">
        <v>1202</v>
      </c>
      <c r="V554">
        <v>56222675.416663997</v>
      </c>
      <c r="W554">
        <v>269163935.52775198</v>
      </c>
      <c r="X554">
        <v>0</v>
      </c>
      <c r="Y554">
        <v>47190767.333333001</v>
      </c>
      <c r="AA554">
        <v>6450</v>
      </c>
      <c r="AB554" t="s">
        <v>364</v>
      </c>
      <c r="AC554" t="s">
        <v>1202</v>
      </c>
      <c r="AD554">
        <v>56222675.416663997</v>
      </c>
      <c r="AE554">
        <v>269163935.52775198</v>
      </c>
      <c r="AF554">
        <v>0</v>
      </c>
      <c r="AG554">
        <v>47190767.333333001</v>
      </c>
      <c r="AH554" s="342" t="str">
        <f t="shared" si="72"/>
        <v/>
      </c>
      <c r="AI554">
        <v>6450</v>
      </c>
      <c r="AJ554" t="s">
        <v>364</v>
      </c>
      <c r="AK554" t="s">
        <v>1202</v>
      </c>
      <c r="AL554" s="245">
        <f t="shared" si="73"/>
        <v>101200815.7499952</v>
      </c>
      <c r="AM554" s="245">
        <f t="shared" si="74"/>
        <v>484495083.94995356</v>
      </c>
      <c r="AN554" s="245">
        <f t="shared" si="75"/>
        <v>0</v>
      </c>
      <c r="AO554" s="245">
        <f t="shared" si="76"/>
        <v>84943381.199999392</v>
      </c>
      <c r="AR554">
        <v>6450</v>
      </c>
      <c r="AS554" t="s">
        <v>364</v>
      </c>
      <c r="AT554" t="s">
        <v>1202</v>
      </c>
      <c r="AU554">
        <v>31105872.067770001</v>
      </c>
      <c r="AW554">
        <v>6450</v>
      </c>
      <c r="AX554" t="s">
        <v>364</v>
      </c>
      <c r="AY554" t="s">
        <v>1202</v>
      </c>
      <c r="AZ554">
        <v>59580911.029996</v>
      </c>
      <c r="BA554" s="342" t="str">
        <f t="shared" si="79"/>
        <v/>
      </c>
      <c r="BB554">
        <v>6450</v>
      </c>
      <c r="BC554" t="s">
        <v>364</v>
      </c>
      <c r="BD554" t="s">
        <v>1202</v>
      </c>
      <c r="BE554" s="243">
        <f t="shared" si="80"/>
        <v>78770600.891766801</v>
      </c>
    </row>
    <row r="555" spans="1:57">
      <c r="A555">
        <v>6450</v>
      </c>
      <c r="B555" t="s">
        <v>364</v>
      </c>
      <c r="C555" t="s">
        <v>1802</v>
      </c>
      <c r="D555" s="176">
        <v>84222360.895468995</v>
      </c>
      <c r="E555">
        <v>0</v>
      </c>
      <c r="G555">
        <v>6450</v>
      </c>
      <c r="H555" t="s">
        <v>364</v>
      </c>
      <c r="I555" t="s">
        <v>1802</v>
      </c>
      <c r="J555" s="176">
        <v>65927474.661099002</v>
      </c>
      <c r="K555">
        <v>0</v>
      </c>
      <c r="L555" s="342" t="str">
        <f t="shared" si="77"/>
        <v/>
      </c>
      <c r="M555">
        <v>6450</v>
      </c>
      <c r="N555" t="s">
        <v>364</v>
      </c>
      <c r="O555" t="s">
        <v>1802</v>
      </c>
      <c r="P555" s="243">
        <f t="shared" si="78"/>
        <v>136964340.62434819</v>
      </c>
      <c r="S555">
        <v>6450</v>
      </c>
      <c r="T555" t="s">
        <v>364</v>
      </c>
      <c r="U555" t="s">
        <v>1802</v>
      </c>
      <c r="V555">
        <v>25263162.428888001</v>
      </c>
      <c r="W555">
        <v>126737027.469956</v>
      </c>
      <c r="X555">
        <v>1554000</v>
      </c>
      <c r="Y555">
        <v>22206663.413332999</v>
      </c>
      <c r="AA555">
        <v>6450</v>
      </c>
      <c r="AB555" t="s">
        <v>364</v>
      </c>
      <c r="AC555" t="s">
        <v>1802</v>
      </c>
      <c r="AD555">
        <v>25263162.428888001</v>
      </c>
      <c r="AE555">
        <v>126737027.469956</v>
      </c>
      <c r="AF555">
        <v>1554000</v>
      </c>
      <c r="AG555">
        <v>22206663.413332999</v>
      </c>
      <c r="AH555" s="342" t="str">
        <f t="shared" si="72"/>
        <v/>
      </c>
      <c r="AI555">
        <v>6450</v>
      </c>
      <c r="AJ555" t="s">
        <v>364</v>
      </c>
      <c r="AK555" t="s">
        <v>1802</v>
      </c>
      <c r="AL555" s="245">
        <f t="shared" si="73"/>
        <v>45473692.371998399</v>
      </c>
      <c r="AM555" s="245">
        <f t="shared" si="74"/>
        <v>228126649.4459208</v>
      </c>
      <c r="AN555" s="245">
        <f t="shared" si="75"/>
        <v>2797200</v>
      </c>
      <c r="AO555" s="245">
        <f t="shared" si="76"/>
        <v>39971994.143999398</v>
      </c>
      <c r="AR555">
        <v>6450</v>
      </c>
      <c r="AS555" t="s">
        <v>364</v>
      </c>
      <c r="AT555" t="s">
        <v>1802</v>
      </c>
      <c r="AU555">
        <v>944344.37666299997</v>
      </c>
      <c r="AW555">
        <v>6450</v>
      </c>
      <c r="AX555" t="s">
        <v>364</v>
      </c>
      <c r="AY555" t="s">
        <v>1802</v>
      </c>
      <c r="AZ555">
        <v>6822713.9455549996</v>
      </c>
      <c r="BA555" s="342" t="str">
        <f t="shared" si="79"/>
        <v/>
      </c>
      <c r="BB555">
        <v>6450</v>
      </c>
      <c r="BC555" t="s">
        <v>364</v>
      </c>
      <c r="BD555" t="s">
        <v>1802</v>
      </c>
      <c r="BE555" s="243">
        <f t="shared" si="80"/>
        <v>6402515.5331070004</v>
      </c>
    </row>
    <row r="556" spans="1:57">
      <c r="A556">
        <v>6460</v>
      </c>
      <c r="B556" t="s">
        <v>365</v>
      </c>
      <c r="C556" t="s">
        <v>1205</v>
      </c>
      <c r="D556">
        <v>172716896.17550299</v>
      </c>
      <c r="E556">
        <v>0</v>
      </c>
      <c r="G556">
        <v>6460</v>
      </c>
      <c r="H556" t="s">
        <v>365</v>
      </c>
      <c r="I556" t="s">
        <v>1205</v>
      </c>
      <c r="J556">
        <v>110359497.287763</v>
      </c>
      <c r="K556">
        <v>0</v>
      </c>
      <c r="L556" s="342" t="str">
        <f t="shared" si="77"/>
        <v/>
      </c>
      <c r="M556" s="243">
        <v>6460</v>
      </c>
      <c r="N556" s="243" t="s">
        <v>365</v>
      </c>
      <c r="O556" s="243" t="s">
        <v>1205</v>
      </c>
      <c r="P556" s="243">
        <f t="shared" si="78"/>
        <v>261004494.0057134</v>
      </c>
      <c r="S556">
        <v>6460</v>
      </c>
      <c r="T556" t="s">
        <v>365</v>
      </c>
      <c r="U556" t="s">
        <v>1205</v>
      </c>
      <c r="V556">
        <v>82054616.128885999</v>
      </c>
      <c r="W556">
        <v>274778934.35219997</v>
      </c>
      <c r="X556">
        <v>0</v>
      </c>
      <c r="Y556">
        <v>16604893.188887</v>
      </c>
      <c r="AA556">
        <v>6460</v>
      </c>
      <c r="AB556" t="s">
        <v>365</v>
      </c>
      <c r="AC556" t="s">
        <v>1205</v>
      </c>
      <c r="AD556">
        <v>82054616.128885999</v>
      </c>
      <c r="AE556">
        <v>274778934.35219997</v>
      </c>
      <c r="AF556">
        <v>0</v>
      </c>
      <c r="AG556">
        <v>16604893.188887</v>
      </c>
      <c r="AH556" s="342" t="str">
        <f t="shared" si="72"/>
        <v/>
      </c>
      <c r="AI556">
        <v>6460</v>
      </c>
      <c r="AJ556" t="s">
        <v>365</v>
      </c>
      <c r="AK556" t="s">
        <v>1205</v>
      </c>
      <c r="AL556" s="245">
        <f t="shared" si="73"/>
        <v>147698309.03199482</v>
      </c>
      <c r="AM556" s="245">
        <f t="shared" si="74"/>
        <v>494602081.83395994</v>
      </c>
      <c r="AN556" s="245">
        <f t="shared" si="75"/>
        <v>0</v>
      </c>
      <c r="AO556" s="245">
        <f t="shared" si="76"/>
        <v>29888807.739996601</v>
      </c>
      <c r="AR556">
        <v>6460</v>
      </c>
      <c r="AS556" t="s">
        <v>365</v>
      </c>
      <c r="AT556" t="s">
        <v>1205</v>
      </c>
      <c r="AU556">
        <v>31961292.168884002</v>
      </c>
      <c r="AW556">
        <v>6460</v>
      </c>
      <c r="AX556" t="s">
        <v>365</v>
      </c>
      <c r="AY556" t="s">
        <v>1205</v>
      </c>
      <c r="AZ556">
        <v>35817669.897776</v>
      </c>
      <c r="BA556" s="342" t="str">
        <f t="shared" si="79"/>
        <v/>
      </c>
      <c r="BB556">
        <v>6460</v>
      </c>
      <c r="BC556" t="s">
        <v>365</v>
      </c>
      <c r="BD556" t="s">
        <v>1205</v>
      </c>
      <c r="BE556" s="243">
        <f t="shared" si="80"/>
        <v>60615428.087104805</v>
      </c>
    </row>
    <row r="557" spans="1:57">
      <c r="A557">
        <v>6460</v>
      </c>
      <c r="B557" t="s">
        <v>365</v>
      </c>
      <c r="C557" t="s">
        <v>1206</v>
      </c>
      <c r="D557">
        <v>383890360.66094297</v>
      </c>
      <c r="E557">
        <v>0</v>
      </c>
      <c r="G557">
        <v>6460</v>
      </c>
      <c r="H557" t="s">
        <v>365</v>
      </c>
      <c r="I557" t="s">
        <v>1206</v>
      </c>
      <c r="J557">
        <v>144147399.12886599</v>
      </c>
      <c r="K557">
        <v>0</v>
      </c>
      <c r="L557" s="342" t="str">
        <f t="shared" si="77"/>
        <v/>
      </c>
      <c r="M557" s="243">
        <v>6460</v>
      </c>
      <c r="N557" s="243" t="s">
        <v>365</v>
      </c>
      <c r="O557" s="243" t="s">
        <v>1206</v>
      </c>
      <c r="P557" s="243">
        <f t="shared" si="78"/>
        <v>499208279.96403575</v>
      </c>
      <c r="S557">
        <v>6460</v>
      </c>
      <c r="T557" t="s">
        <v>365</v>
      </c>
      <c r="U557" t="s">
        <v>1206</v>
      </c>
      <c r="V557">
        <v>179920225.91777399</v>
      </c>
      <c r="W557">
        <v>272746152.32661599</v>
      </c>
      <c r="X557">
        <v>6278800</v>
      </c>
      <c r="Y557">
        <v>17842347.777777001</v>
      </c>
      <c r="AA557">
        <v>6460</v>
      </c>
      <c r="AB557" t="s">
        <v>365</v>
      </c>
      <c r="AC557" t="s">
        <v>1206</v>
      </c>
      <c r="AD557">
        <v>179920225.91777399</v>
      </c>
      <c r="AE557">
        <v>272746152.32661599</v>
      </c>
      <c r="AF557">
        <v>6278800</v>
      </c>
      <c r="AG557">
        <v>17842347.777777001</v>
      </c>
      <c r="AH557" s="342" t="str">
        <f t="shared" si="72"/>
        <v/>
      </c>
      <c r="AI557">
        <v>6460</v>
      </c>
      <c r="AJ557" t="s">
        <v>365</v>
      </c>
      <c r="AK557" t="s">
        <v>1206</v>
      </c>
      <c r="AL557" s="245">
        <f t="shared" si="73"/>
        <v>323856406.65199316</v>
      </c>
      <c r="AM557" s="245">
        <f t="shared" si="74"/>
        <v>490943074.18790877</v>
      </c>
      <c r="AN557" s="245">
        <f t="shared" si="75"/>
        <v>11301840</v>
      </c>
      <c r="AO557" s="245">
        <f t="shared" si="76"/>
        <v>32116225.999998603</v>
      </c>
      <c r="AR557">
        <v>6460</v>
      </c>
      <c r="AS557" t="s">
        <v>365</v>
      </c>
      <c r="AT557" t="s">
        <v>1206</v>
      </c>
      <c r="AU557">
        <v>56525776.946656004</v>
      </c>
      <c r="AW557">
        <v>6460</v>
      </c>
      <c r="AX557" t="s">
        <v>365</v>
      </c>
      <c r="AY557" t="s">
        <v>1206</v>
      </c>
      <c r="AZ557">
        <v>13580565.492221</v>
      </c>
      <c r="BA557" s="342" t="str">
        <f t="shared" si="79"/>
        <v/>
      </c>
      <c r="BB557">
        <v>6460</v>
      </c>
      <c r="BC557" t="s">
        <v>365</v>
      </c>
      <c r="BD557" t="s">
        <v>1206</v>
      </c>
      <c r="BE557" s="243">
        <f t="shared" si="80"/>
        <v>67390229.340432808</v>
      </c>
    </row>
    <row r="558" spans="1:57">
      <c r="A558">
        <v>6460</v>
      </c>
      <c r="B558" t="s">
        <v>365</v>
      </c>
      <c r="C558" t="s">
        <v>1989</v>
      </c>
      <c r="D558">
        <v>95731112.608850002</v>
      </c>
      <c r="E558">
        <v>0</v>
      </c>
      <c r="G558">
        <v>6460</v>
      </c>
      <c r="H558" t="s">
        <v>365</v>
      </c>
      <c r="I558" t="s">
        <v>1989</v>
      </c>
      <c r="J558">
        <v>30030421.122216001</v>
      </c>
      <c r="K558">
        <v>0</v>
      </c>
      <c r="L558" s="342" t="str">
        <f t="shared" si="77"/>
        <v/>
      </c>
      <c r="M558" s="243">
        <v>6460</v>
      </c>
      <c r="N558" s="243" t="s">
        <v>365</v>
      </c>
      <c r="O558" s="243" t="s">
        <v>1989</v>
      </c>
      <c r="P558" s="243">
        <f t="shared" si="78"/>
        <v>119755449.50662281</v>
      </c>
      <c r="S558">
        <v>6460</v>
      </c>
      <c r="T558" t="s">
        <v>365</v>
      </c>
      <c r="U558" t="s">
        <v>1989</v>
      </c>
      <c r="V558">
        <v>148211255.801108</v>
      </c>
      <c r="W558">
        <v>177173153.26108199</v>
      </c>
      <c r="X558">
        <v>0</v>
      </c>
      <c r="Y558">
        <v>1651236.8333320001</v>
      </c>
      <c r="AA558">
        <v>6460</v>
      </c>
      <c r="AB558" t="s">
        <v>365</v>
      </c>
      <c r="AC558" t="s">
        <v>1989</v>
      </c>
      <c r="AD558">
        <v>148211255.801108</v>
      </c>
      <c r="AE558">
        <v>177173153.26108199</v>
      </c>
      <c r="AF558">
        <v>0</v>
      </c>
      <c r="AG558">
        <v>1651236.8333320001</v>
      </c>
      <c r="AH558" s="342" t="str">
        <f t="shared" si="72"/>
        <v/>
      </c>
      <c r="AI558">
        <v>6460</v>
      </c>
      <c r="AJ558" t="s">
        <v>365</v>
      </c>
      <c r="AK558" t="s">
        <v>1989</v>
      </c>
      <c r="AL558" s="245">
        <f t="shared" si="73"/>
        <v>266780260.44199443</v>
      </c>
      <c r="AM558" s="245">
        <f t="shared" si="74"/>
        <v>318911675.86994755</v>
      </c>
      <c r="AN558" s="245">
        <f t="shared" si="75"/>
        <v>0</v>
      </c>
      <c r="AO558" s="245">
        <f t="shared" si="76"/>
        <v>2972226.2999976003</v>
      </c>
      <c r="AR558">
        <v>6460</v>
      </c>
      <c r="AS558" t="s">
        <v>365</v>
      </c>
      <c r="AT558" t="s">
        <v>1989</v>
      </c>
      <c r="AU558">
        <v>3033610.7799960002</v>
      </c>
      <c r="AW558">
        <v>6460</v>
      </c>
      <c r="AX558" t="s">
        <v>365</v>
      </c>
      <c r="AY558" t="s">
        <v>1989</v>
      </c>
      <c r="AZ558">
        <v>4763489.5566649996</v>
      </c>
      <c r="BA558" s="342" t="str">
        <f t="shared" si="79"/>
        <v/>
      </c>
      <c r="BB558">
        <v>6460</v>
      </c>
      <c r="BC558" t="s">
        <v>365</v>
      </c>
      <c r="BD558" t="s">
        <v>1989</v>
      </c>
      <c r="BE558" s="243">
        <f t="shared" si="80"/>
        <v>6844402.4253279995</v>
      </c>
    </row>
    <row r="559" spans="1:57">
      <c r="A559">
        <v>6470</v>
      </c>
      <c r="B559" t="s">
        <v>366</v>
      </c>
      <c r="C559" t="s">
        <v>1207</v>
      </c>
      <c r="D559">
        <v>422023328.33536202</v>
      </c>
      <c r="E559">
        <v>0</v>
      </c>
      <c r="G559">
        <v>6470</v>
      </c>
      <c r="H559" t="s">
        <v>366</v>
      </c>
      <c r="I559" t="s">
        <v>1207</v>
      </c>
      <c r="J559">
        <v>221486180.47552201</v>
      </c>
      <c r="K559">
        <v>0</v>
      </c>
      <c r="L559" s="342" t="str">
        <f t="shared" si="77"/>
        <v/>
      </c>
      <c r="M559" s="243">
        <v>6470</v>
      </c>
      <c r="N559" s="243" t="s">
        <v>366</v>
      </c>
      <c r="O559" s="243" t="s">
        <v>1207</v>
      </c>
      <c r="P559" s="243">
        <f t="shared" si="78"/>
        <v>599212272.71577966</v>
      </c>
      <c r="S559">
        <v>6470</v>
      </c>
      <c r="T559" t="s">
        <v>366</v>
      </c>
      <c r="U559" t="s">
        <v>1207</v>
      </c>
      <c r="V559">
        <v>533297374.03666103</v>
      </c>
      <c r="W559">
        <v>397114361.00104803</v>
      </c>
      <c r="X559">
        <v>1144400</v>
      </c>
      <c r="Y559">
        <v>16914356.927776001</v>
      </c>
      <c r="AA559">
        <v>6470</v>
      </c>
      <c r="AB559" t="s">
        <v>366</v>
      </c>
      <c r="AC559" t="s">
        <v>1207</v>
      </c>
      <c r="AD559">
        <v>533297374.03666103</v>
      </c>
      <c r="AE559">
        <v>397114361.00104803</v>
      </c>
      <c r="AF559">
        <v>1144400</v>
      </c>
      <c r="AG559">
        <v>16914356.927776001</v>
      </c>
      <c r="AH559" s="342" t="str">
        <f t="shared" si="72"/>
        <v/>
      </c>
      <c r="AI559">
        <v>6470</v>
      </c>
      <c r="AJ559" t="s">
        <v>366</v>
      </c>
      <c r="AK559" t="s">
        <v>1207</v>
      </c>
      <c r="AL559" s="245">
        <f t="shared" si="73"/>
        <v>959935273.2659899</v>
      </c>
      <c r="AM559" s="245">
        <f t="shared" si="74"/>
        <v>714805849.80188644</v>
      </c>
      <c r="AN559" s="245">
        <f t="shared" si="75"/>
        <v>2059920</v>
      </c>
      <c r="AO559" s="245">
        <f t="shared" si="76"/>
        <v>30445842.469996803</v>
      </c>
      <c r="AR559">
        <v>6470</v>
      </c>
      <c r="AS559" t="s">
        <v>366</v>
      </c>
      <c r="AT559" t="s">
        <v>1207</v>
      </c>
      <c r="AU559">
        <v>40608916.896647997</v>
      </c>
      <c r="AW559">
        <v>6470</v>
      </c>
      <c r="AX559" t="s">
        <v>366</v>
      </c>
      <c r="AY559" t="s">
        <v>1207</v>
      </c>
      <c r="AZ559">
        <v>35262159.737770997</v>
      </c>
      <c r="BA559" s="342" t="str">
        <f t="shared" si="79"/>
        <v/>
      </c>
      <c r="BB559">
        <v>6470</v>
      </c>
      <c r="BC559" t="s">
        <v>366</v>
      </c>
      <c r="BD559" t="s">
        <v>1207</v>
      </c>
      <c r="BE559" s="243">
        <f t="shared" si="80"/>
        <v>68818644.686864793</v>
      </c>
    </row>
    <row r="560" spans="1:57">
      <c r="A560">
        <v>6470</v>
      </c>
      <c r="B560" t="s">
        <v>366</v>
      </c>
      <c r="C560" t="s">
        <v>1803</v>
      </c>
      <c r="D560">
        <v>277390917.407704</v>
      </c>
      <c r="E560">
        <v>0</v>
      </c>
      <c r="G560">
        <v>6470</v>
      </c>
      <c r="H560" t="s">
        <v>366</v>
      </c>
      <c r="I560" t="s">
        <v>1803</v>
      </c>
      <c r="J560">
        <v>126916899.239979</v>
      </c>
      <c r="K560">
        <v>0</v>
      </c>
      <c r="L560" s="342" t="str">
        <f t="shared" si="77"/>
        <v/>
      </c>
      <c r="M560" s="243">
        <v>6470</v>
      </c>
      <c r="N560" s="243" t="s">
        <v>366</v>
      </c>
      <c r="O560" s="243" t="s">
        <v>1803</v>
      </c>
      <c r="P560" s="243">
        <f t="shared" si="78"/>
        <v>378924436.79968721</v>
      </c>
      <c r="S560">
        <v>6470</v>
      </c>
      <c r="T560" t="s">
        <v>366</v>
      </c>
      <c r="U560" t="s">
        <v>1803</v>
      </c>
      <c r="V560">
        <v>311342148.15443802</v>
      </c>
      <c r="W560">
        <v>613963331.54214799</v>
      </c>
      <c r="X560">
        <v>7807400</v>
      </c>
      <c r="Y560">
        <v>20096098.111109</v>
      </c>
      <c r="AA560">
        <v>6470</v>
      </c>
      <c r="AB560" t="s">
        <v>366</v>
      </c>
      <c r="AC560" t="s">
        <v>1803</v>
      </c>
      <c r="AD560">
        <v>311342148.15443802</v>
      </c>
      <c r="AE560">
        <v>613963331.54214799</v>
      </c>
      <c r="AF560">
        <v>7807400</v>
      </c>
      <c r="AG560">
        <v>20096098.111109</v>
      </c>
      <c r="AH560" s="342" t="str">
        <f t="shared" si="72"/>
        <v/>
      </c>
      <c r="AI560">
        <v>6470</v>
      </c>
      <c r="AJ560" t="s">
        <v>366</v>
      </c>
      <c r="AK560" t="s">
        <v>1803</v>
      </c>
      <c r="AL560" s="245">
        <f t="shared" si="73"/>
        <v>560415866.67798841</v>
      </c>
      <c r="AM560" s="245">
        <f t="shared" si="74"/>
        <v>1105133996.7758665</v>
      </c>
      <c r="AN560" s="245">
        <f t="shared" si="75"/>
        <v>14053320</v>
      </c>
      <c r="AO560" s="245">
        <f t="shared" si="76"/>
        <v>36172976.599996202</v>
      </c>
      <c r="AR560">
        <v>6470</v>
      </c>
      <c r="AS560" t="s">
        <v>366</v>
      </c>
      <c r="AT560" t="s">
        <v>1803</v>
      </c>
      <c r="AU560">
        <v>107547889.833316</v>
      </c>
      <c r="AW560">
        <v>6470</v>
      </c>
      <c r="AX560" t="s">
        <v>366</v>
      </c>
      <c r="AY560" t="s">
        <v>1803</v>
      </c>
      <c r="AZ560">
        <v>36805858.974436998</v>
      </c>
      <c r="BA560" s="342" t="str">
        <f t="shared" si="79"/>
        <v/>
      </c>
      <c r="BB560">
        <v>6470</v>
      </c>
      <c r="BC560" t="s">
        <v>366</v>
      </c>
      <c r="BD560" t="s">
        <v>1803</v>
      </c>
      <c r="BE560" s="243">
        <f t="shared" si="80"/>
        <v>136992577.0128656</v>
      </c>
    </row>
    <row r="561" spans="1:57">
      <c r="A561">
        <v>6480</v>
      </c>
      <c r="B561" t="s">
        <v>367</v>
      </c>
      <c r="C561" t="s">
        <v>1209</v>
      </c>
      <c r="D561">
        <v>243871088.88328999</v>
      </c>
      <c r="E561">
        <v>0</v>
      </c>
      <c r="G561">
        <v>6480</v>
      </c>
      <c r="H561" t="s">
        <v>367</v>
      </c>
      <c r="I561" t="s">
        <v>1209</v>
      </c>
      <c r="J561">
        <v>19697070.98666</v>
      </c>
      <c r="K561">
        <v>0</v>
      </c>
      <c r="L561" s="342" t="str">
        <f t="shared" si="77"/>
        <v/>
      </c>
      <c r="M561" s="243">
        <v>6480</v>
      </c>
      <c r="N561" s="243" t="s">
        <v>367</v>
      </c>
      <c r="O561" s="243" t="s">
        <v>1209</v>
      </c>
      <c r="P561" s="243">
        <f t="shared" si="78"/>
        <v>259628745.672618</v>
      </c>
      <c r="S561">
        <v>6480</v>
      </c>
      <c r="T561" t="s">
        <v>367</v>
      </c>
      <c r="U561" t="s">
        <v>1209</v>
      </c>
      <c r="V561">
        <v>49175128.773330003</v>
      </c>
      <c r="W561">
        <v>115062551.32553101</v>
      </c>
      <c r="X561">
        <v>701954</v>
      </c>
      <c r="Y561">
        <v>26276559.661109</v>
      </c>
      <c r="AA561">
        <v>6480</v>
      </c>
      <c r="AB561" t="s">
        <v>367</v>
      </c>
      <c r="AC561" t="s">
        <v>1209</v>
      </c>
      <c r="AD561">
        <v>49175128.773330003</v>
      </c>
      <c r="AE561">
        <v>115062551.32553101</v>
      </c>
      <c r="AF561">
        <v>701954</v>
      </c>
      <c r="AG561">
        <v>26276559.661109</v>
      </c>
      <c r="AH561" s="342" t="str">
        <f t="shared" si="72"/>
        <v/>
      </c>
      <c r="AI561">
        <v>6480</v>
      </c>
      <c r="AJ561" t="s">
        <v>367</v>
      </c>
      <c r="AK561" t="s">
        <v>1209</v>
      </c>
      <c r="AL561" s="245">
        <f t="shared" si="73"/>
        <v>88515231.791994005</v>
      </c>
      <c r="AM561" s="245">
        <f t="shared" si="74"/>
        <v>207112592.38595581</v>
      </c>
      <c r="AN561" s="245">
        <f t="shared" si="75"/>
        <v>1263517.2000000002</v>
      </c>
      <c r="AO561" s="245">
        <f t="shared" si="76"/>
        <v>47297807.389996201</v>
      </c>
      <c r="AR561">
        <v>6480</v>
      </c>
      <c r="AS561" t="s">
        <v>367</v>
      </c>
      <c r="AT561" t="s">
        <v>1209</v>
      </c>
      <c r="AU561">
        <v>6858425.5788799999</v>
      </c>
      <c r="AW561">
        <v>6480</v>
      </c>
      <c r="AX561" t="s">
        <v>367</v>
      </c>
      <c r="AY561" t="s">
        <v>1209</v>
      </c>
      <c r="AZ561">
        <v>5191983.9755549999</v>
      </c>
      <c r="BA561" s="342" t="str">
        <f t="shared" si="79"/>
        <v/>
      </c>
      <c r="BB561">
        <v>6480</v>
      </c>
      <c r="BC561" t="s">
        <v>367</v>
      </c>
      <c r="BD561" t="s">
        <v>1209</v>
      </c>
      <c r="BE561" s="243">
        <f t="shared" si="80"/>
        <v>11012012.759323999</v>
      </c>
    </row>
    <row r="562" spans="1:57">
      <c r="A562">
        <v>6480</v>
      </c>
      <c r="B562" t="s">
        <v>367</v>
      </c>
      <c r="C562" t="s">
        <v>1990</v>
      </c>
      <c r="D562">
        <v>71156373.798864007</v>
      </c>
      <c r="E562">
        <v>0</v>
      </c>
      <c r="G562">
        <v>6480</v>
      </c>
      <c r="H562" t="s">
        <v>367</v>
      </c>
      <c r="I562" t="s">
        <v>1990</v>
      </c>
      <c r="J562">
        <v>14262006.539997</v>
      </c>
      <c r="K562">
        <v>0</v>
      </c>
      <c r="L562" s="342" t="str">
        <f t="shared" si="77"/>
        <v/>
      </c>
      <c r="M562" s="243">
        <v>6480</v>
      </c>
      <c r="N562" s="243" t="s">
        <v>367</v>
      </c>
      <c r="O562" s="243" t="s">
        <v>1990</v>
      </c>
      <c r="P562" s="243">
        <f t="shared" si="78"/>
        <v>82565979.030861616</v>
      </c>
      <c r="S562">
        <v>6480</v>
      </c>
      <c r="T562" t="s">
        <v>367</v>
      </c>
      <c r="U562" t="s">
        <v>1990</v>
      </c>
      <c r="V562">
        <v>27487823.115552999</v>
      </c>
      <c r="W562">
        <v>59140727.967767</v>
      </c>
      <c r="X562">
        <v>1119955.555555</v>
      </c>
      <c r="Y562">
        <v>6635046.3333320003</v>
      </c>
      <c r="AA562">
        <v>6480</v>
      </c>
      <c r="AB562" t="s">
        <v>367</v>
      </c>
      <c r="AC562" t="s">
        <v>1990</v>
      </c>
      <c r="AD562">
        <v>27487823.115552999</v>
      </c>
      <c r="AE562">
        <v>59140727.967767</v>
      </c>
      <c r="AF562">
        <v>1119955.555555</v>
      </c>
      <c r="AG562">
        <v>6635046.3333320003</v>
      </c>
      <c r="AH562" s="342" t="str">
        <f t="shared" si="72"/>
        <v/>
      </c>
      <c r="AI562">
        <v>6480</v>
      </c>
      <c r="AJ562" t="s">
        <v>367</v>
      </c>
      <c r="AK562" t="s">
        <v>1990</v>
      </c>
      <c r="AL562" s="245">
        <f t="shared" si="73"/>
        <v>49478081.607995398</v>
      </c>
      <c r="AM562" s="245">
        <f t="shared" si="74"/>
        <v>106453310.34198061</v>
      </c>
      <c r="AN562" s="245">
        <f t="shared" si="75"/>
        <v>2015919.999999</v>
      </c>
      <c r="AO562" s="245">
        <f t="shared" si="76"/>
        <v>11943083.399997601</v>
      </c>
      <c r="AR562">
        <v>6480</v>
      </c>
      <c r="AS562" t="s">
        <v>367</v>
      </c>
      <c r="AT562" t="s">
        <v>1990</v>
      </c>
      <c r="AU562">
        <v>6619936.395552</v>
      </c>
      <c r="AW562">
        <v>6480</v>
      </c>
      <c r="AX562" t="s">
        <v>367</v>
      </c>
      <c r="AY562" t="s">
        <v>1990</v>
      </c>
      <c r="AZ562">
        <v>0</v>
      </c>
      <c r="BA562" s="342" t="str">
        <f t="shared" si="79"/>
        <v/>
      </c>
      <c r="BB562">
        <v>6480</v>
      </c>
      <c r="BC562" t="s">
        <v>367</v>
      </c>
      <c r="BD562" t="s">
        <v>1990</v>
      </c>
      <c r="BE562" s="243">
        <f t="shared" si="80"/>
        <v>6619936.395552</v>
      </c>
    </row>
    <row r="563" spans="1:57">
      <c r="A563">
        <v>6480</v>
      </c>
      <c r="B563" t="s">
        <v>367</v>
      </c>
      <c r="C563" t="s">
        <v>1208</v>
      </c>
      <c r="D563">
        <v>414148326.223207</v>
      </c>
      <c r="E563">
        <v>0</v>
      </c>
      <c r="G563">
        <v>6480</v>
      </c>
      <c r="H563" t="s">
        <v>367</v>
      </c>
      <c r="I563" t="s">
        <v>1208</v>
      </c>
      <c r="J563">
        <v>150016807.93886399</v>
      </c>
      <c r="K563">
        <v>0</v>
      </c>
      <c r="L563" s="342" t="str">
        <f t="shared" si="77"/>
        <v/>
      </c>
      <c r="M563" s="243">
        <v>6480</v>
      </c>
      <c r="N563" s="243" t="s">
        <v>367</v>
      </c>
      <c r="O563" s="243" t="s">
        <v>1208</v>
      </c>
      <c r="P563" s="243">
        <f t="shared" si="78"/>
        <v>534161772.5742982</v>
      </c>
      <c r="S563">
        <v>6480</v>
      </c>
      <c r="T563" t="s">
        <v>367</v>
      </c>
      <c r="U563" t="s">
        <v>1208</v>
      </c>
      <c r="V563">
        <v>163480705.52666599</v>
      </c>
      <c r="W563">
        <v>211507048.81220499</v>
      </c>
      <c r="X563">
        <v>3139300</v>
      </c>
      <c r="Y563">
        <v>22013667.333331</v>
      </c>
      <c r="AA563">
        <v>6480</v>
      </c>
      <c r="AB563" t="s">
        <v>367</v>
      </c>
      <c r="AC563" t="s">
        <v>1208</v>
      </c>
      <c r="AD563">
        <v>163480705.52666599</v>
      </c>
      <c r="AE563">
        <v>211507048.81220499</v>
      </c>
      <c r="AF563">
        <v>3139300</v>
      </c>
      <c r="AG563">
        <v>22013667.333331</v>
      </c>
      <c r="AH563" s="342" t="str">
        <f t="shared" si="72"/>
        <v/>
      </c>
      <c r="AI563">
        <v>6480</v>
      </c>
      <c r="AJ563" t="s">
        <v>367</v>
      </c>
      <c r="AK563" t="s">
        <v>1208</v>
      </c>
      <c r="AL563" s="245">
        <f t="shared" si="73"/>
        <v>294265269.94799876</v>
      </c>
      <c r="AM563" s="245">
        <f t="shared" si="74"/>
        <v>380712687.86196899</v>
      </c>
      <c r="AN563" s="245">
        <f t="shared" si="75"/>
        <v>5650740</v>
      </c>
      <c r="AO563" s="245">
        <f t="shared" si="76"/>
        <v>39624601.199995801</v>
      </c>
      <c r="AR563">
        <v>6480</v>
      </c>
      <c r="AS563" t="s">
        <v>367</v>
      </c>
      <c r="AT563" t="s">
        <v>1208</v>
      </c>
      <c r="AU563">
        <v>55314211.678874999</v>
      </c>
      <c r="AW563">
        <v>6480</v>
      </c>
      <c r="AX563" t="s">
        <v>367</v>
      </c>
      <c r="AY563" t="s">
        <v>1208</v>
      </c>
      <c r="AZ563">
        <v>4034443.0999960001</v>
      </c>
      <c r="BA563" s="342" t="str">
        <f t="shared" si="79"/>
        <v/>
      </c>
      <c r="BB563">
        <v>6480</v>
      </c>
      <c r="BC563" t="s">
        <v>367</v>
      </c>
      <c r="BD563" t="s">
        <v>1208</v>
      </c>
      <c r="BE563" s="243">
        <f t="shared" si="80"/>
        <v>58541766.1588718</v>
      </c>
    </row>
    <row r="564" spans="1:57">
      <c r="A564">
        <v>6480</v>
      </c>
      <c r="B564" t="s">
        <v>367</v>
      </c>
      <c r="C564" t="s">
        <v>1804</v>
      </c>
      <c r="D564">
        <v>239552131.99766499</v>
      </c>
      <c r="E564">
        <v>0</v>
      </c>
      <c r="G564">
        <v>6480</v>
      </c>
      <c r="H564" t="s">
        <v>367</v>
      </c>
      <c r="I564" t="s">
        <v>1804</v>
      </c>
      <c r="J564">
        <v>77352905.473317996</v>
      </c>
      <c r="K564">
        <v>0</v>
      </c>
      <c r="L564" s="342" t="str">
        <f t="shared" si="77"/>
        <v/>
      </c>
      <c r="M564" s="243">
        <v>6480</v>
      </c>
      <c r="N564" s="243" t="s">
        <v>367</v>
      </c>
      <c r="O564" s="243" t="s">
        <v>1804</v>
      </c>
      <c r="P564" s="243">
        <f t="shared" si="78"/>
        <v>301434456.37631941</v>
      </c>
      <c r="S564">
        <v>6480</v>
      </c>
      <c r="T564" t="s">
        <v>367</v>
      </c>
      <c r="U564" t="s">
        <v>1804</v>
      </c>
      <c r="V564">
        <v>39553614.147776</v>
      </c>
      <c r="W564">
        <v>207430796.2044</v>
      </c>
      <c r="X564">
        <v>1000000</v>
      </c>
      <c r="Y564">
        <v>3192738.1111110002</v>
      </c>
      <c r="AA564">
        <v>6480</v>
      </c>
      <c r="AB564" t="s">
        <v>367</v>
      </c>
      <c r="AC564" t="s">
        <v>1804</v>
      </c>
      <c r="AD564">
        <v>39553614.147776</v>
      </c>
      <c r="AE564">
        <v>207430796.2044</v>
      </c>
      <c r="AF564">
        <v>1000000</v>
      </c>
      <c r="AG564">
        <v>3192738.1111110002</v>
      </c>
      <c r="AH564" s="342" t="str">
        <f t="shared" si="72"/>
        <v/>
      </c>
      <c r="AI564">
        <v>6480</v>
      </c>
      <c r="AJ564" t="s">
        <v>367</v>
      </c>
      <c r="AK564" t="s">
        <v>1804</v>
      </c>
      <c r="AL564" s="245">
        <f t="shared" si="73"/>
        <v>71196505.465996802</v>
      </c>
      <c r="AM564" s="245">
        <f t="shared" si="74"/>
        <v>373375433.16791999</v>
      </c>
      <c r="AN564" s="245">
        <f t="shared" si="75"/>
        <v>1800000</v>
      </c>
      <c r="AO564" s="245">
        <f t="shared" si="76"/>
        <v>5746928.5999998003</v>
      </c>
      <c r="AR564">
        <v>6480</v>
      </c>
      <c r="AS564" t="s">
        <v>367</v>
      </c>
      <c r="AT564" t="s">
        <v>1804</v>
      </c>
      <c r="AU564">
        <v>9736131.5699899998</v>
      </c>
      <c r="AW564">
        <v>6480</v>
      </c>
      <c r="AX564" t="s">
        <v>367</v>
      </c>
      <c r="AY564" t="s">
        <v>1804</v>
      </c>
      <c r="AZ564">
        <v>909764.00111099996</v>
      </c>
      <c r="BA564" s="342" t="str">
        <f t="shared" si="79"/>
        <v/>
      </c>
      <c r="BB564">
        <v>6480</v>
      </c>
      <c r="BC564" t="s">
        <v>367</v>
      </c>
      <c r="BD564" t="s">
        <v>1804</v>
      </c>
      <c r="BE564" s="243">
        <f t="shared" si="80"/>
        <v>10463942.770878799</v>
      </c>
    </row>
    <row r="565" spans="1:57">
      <c r="A565">
        <v>6810</v>
      </c>
      <c r="B565" t="s">
        <v>368</v>
      </c>
      <c r="C565" t="s">
        <v>1589</v>
      </c>
      <c r="D565">
        <v>187301893.557677</v>
      </c>
      <c r="E565">
        <v>0</v>
      </c>
      <c r="G565">
        <v>6810</v>
      </c>
      <c r="H565" t="s">
        <v>368</v>
      </c>
      <c r="I565" t="s">
        <v>1589</v>
      </c>
      <c r="J565">
        <v>74833477.693315998</v>
      </c>
      <c r="K565">
        <v>0</v>
      </c>
      <c r="L565" s="342" t="str">
        <f t="shared" si="77"/>
        <v/>
      </c>
      <c r="M565" s="243">
        <v>6810</v>
      </c>
      <c r="N565" s="243" t="s">
        <v>368</v>
      </c>
      <c r="O565" s="243" t="s">
        <v>1589</v>
      </c>
      <c r="P565" s="243">
        <f t="shared" si="78"/>
        <v>247168675.7123298</v>
      </c>
      <c r="S565">
        <v>6810</v>
      </c>
      <c r="T565" t="s">
        <v>368</v>
      </c>
      <c r="U565" t="s">
        <v>1589</v>
      </c>
      <c r="V565">
        <v>122547460.313327</v>
      </c>
      <c r="W565">
        <v>472225972.44549</v>
      </c>
      <c r="X565">
        <v>1069800</v>
      </c>
      <c r="Y565">
        <v>5705644.9999980005</v>
      </c>
      <c r="AA565">
        <v>6810</v>
      </c>
      <c r="AB565" t="s">
        <v>368</v>
      </c>
      <c r="AC565" t="s">
        <v>1589</v>
      </c>
      <c r="AD565">
        <v>122547460.313327</v>
      </c>
      <c r="AE565">
        <v>472225972.44549</v>
      </c>
      <c r="AF565">
        <v>1069800</v>
      </c>
      <c r="AG565">
        <v>5705644.9999980005</v>
      </c>
      <c r="AH565" s="342" t="str">
        <f t="shared" si="72"/>
        <v/>
      </c>
      <c r="AI565">
        <v>6810</v>
      </c>
      <c r="AJ565" t="s">
        <v>368</v>
      </c>
      <c r="AK565" t="s">
        <v>1589</v>
      </c>
      <c r="AL565" s="245">
        <f t="shared" si="73"/>
        <v>220585428.56398863</v>
      </c>
      <c r="AM565" s="245">
        <f t="shared" si="74"/>
        <v>850006750.40188205</v>
      </c>
      <c r="AN565" s="245">
        <f t="shared" si="75"/>
        <v>1925640</v>
      </c>
      <c r="AO565" s="245">
        <f t="shared" si="76"/>
        <v>10270160.999996401</v>
      </c>
      <c r="AR565">
        <v>6810</v>
      </c>
      <c r="AS565" t="s">
        <v>368</v>
      </c>
      <c r="AT565" t="s">
        <v>1589</v>
      </c>
      <c r="AU565">
        <v>28370936.349987</v>
      </c>
      <c r="AW565">
        <v>6810</v>
      </c>
      <c r="AX565" t="s">
        <v>368</v>
      </c>
      <c r="AY565" t="s">
        <v>1589</v>
      </c>
      <c r="AZ565">
        <v>22747381.406665999</v>
      </c>
      <c r="BA565" s="342" t="str">
        <f t="shared" si="79"/>
        <v/>
      </c>
      <c r="BB565">
        <v>6810</v>
      </c>
      <c r="BC565" t="s">
        <v>368</v>
      </c>
      <c r="BD565" t="s">
        <v>1589</v>
      </c>
      <c r="BE565" s="243">
        <f t="shared" si="80"/>
        <v>46568841.475319803</v>
      </c>
    </row>
    <row r="566" spans="1:57">
      <c r="A566">
        <v>6810</v>
      </c>
      <c r="B566" t="s">
        <v>368</v>
      </c>
      <c r="C566" t="s">
        <v>1191</v>
      </c>
      <c r="D566">
        <v>237639890.111011</v>
      </c>
      <c r="E566">
        <v>0</v>
      </c>
      <c r="G566">
        <v>6810</v>
      </c>
      <c r="H566" t="s">
        <v>368</v>
      </c>
      <c r="I566" t="s">
        <v>1191</v>
      </c>
      <c r="J566">
        <v>193049658.80997601</v>
      </c>
      <c r="K566">
        <v>0</v>
      </c>
      <c r="L566" s="342" t="str">
        <f t="shared" si="77"/>
        <v/>
      </c>
      <c r="M566" s="243">
        <v>6810</v>
      </c>
      <c r="N566" s="243" t="s">
        <v>368</v>
      </c>
      <c r="O566" s="243" t="s">
        <v>1191</v>
      </c>
      <c r="P566" s="243">
        <f t="shared" si="78"/>
        <v>392079617.15899181</v>
      </c>
      <c r="S566">
        <v>6810</v>
      </c>
      <c r="T566" t="s">
        <v>368</v>
      </c>
      <c r="U566" t="s">
        <v>1191</v>
      </c>
      <c r="V566">
        <v>118427325.09888101</v>
      </c>
      <c r="W566">
        <v>342186325.912184</v>
      </c>
      <c r="X566">
        <v>0</v>
      </c>
      <c r="Y566">
        <v>16890127.777775999</v>
      </c>
      <c r="AA566">
        <v>6810</v>
      </c>
      <c r="AB566" t="s">
        <v>368</v>
      </c>
      <c r="AC566" t="s">
        <v>1191</v>
      </c>
      <c r="AD566">
        <v>118427325.09888101</v>
      </c>
      <c r="AE566">
        <v>342186325.912184</v>
      </c>
      <c r="AF566">
        <v>0</v>
      </c>
      <c r="AG566">
        <v>16890127.777775999</v>
      </c>
      <c r="AH566" s="342" t="str">
        <f t="shared" si="72"/>
        <v/>
      </c>
      <c r="AI566">
        <v>6810</v>
      </c>
      <c r="AJ566" t="s">
        <v>368</v>
      </c>
      <c r="AK566" t="s">
        <v>1191</v>
      </c>
      <c r="AL566" s="245">
        <f t="shared" si="73"/>
        <v>213169185.17798582</v>
      </c>
      <c r="AM566" s="245">
        <f t="shared" si="74"/>
        <v>615935386.6419313</v>
      </c>
      <c r="AN566" s="245">
        <f t="shared" si="75"/>
        <v>0</v>
      </c>
      <c r="AO566" s="245">
        <f t="shared" si="76"/>
        <v>30402229.9999968</v>
      </c>
      <c r="AR566">
        <v>6810</v>
      </c>
      <c r="AS566" t="s">
        <v>368</v>
      </c>
      <c r="AT566" t="s">
        <v>1191</v>
      </c>
      <c r="AU566">
        <v>55217351.909983002</v>
      </c>
      <c r="AW566">
        <v>6810</v>
      </c>
      <c r="AX566" t="s">
        <v>368</v>
      </c>
      <c r="AY566" t="s">
        <v>1191</v>
      </c>
      <c r="AZ566">
        <v>37946967.005548999</v>
      </c>
      <c r="BA566" s="342" t="str">
        <f t="shared" si="79"/>
        <v/>
      </c>
      <c r="BB566">
        <v>6810</v>
      </c>
      <c r="BC566" t="s">
        <v>368</v>
      </c>
      <c r="BD566" t="s">
        <v>1191</v>
      </c>
      <c r="BE566" s="243">
        <f t="shared" si="80"/>
        <v>85574925.514422208</v>
      </c>
    </row>
    <row r="567" spans="1:57">
      <c r="A567">
        <v>6810</v>
      </c>
      <c r="B567" t="s">
        <v>368</v>
      </c>
      <c r="C567" t="s">
        <v>1805</v>
      </c>
      <c r="D567">
        <v>129876289.46774</v>
      </c>
      <c r="E567">
        <v>0</v>
      </c>
      <c r="G567">
        <v>6810</v>
      </c>
      <c r="H567" t="s">
        <v>368</v>
      </c>
      <c r="I567" t="s">
        <v>1805</v>
      </c>
      <c r="J567">
        <v>9105736.1255489998</v>
      </c>
      <c r="K567">
        <v>0</v>
      </c>
      <c r="L567" s="342" t="str">
        <f t="shared" si="77"/>
        <v/>
      </c>
      <c r="M567" s="243">
        <v>6810</v>
      </c>
      <c r="N567" s="243" t="s">
        <v>368</v>
      </c>
      <c r="O567" s="243" t="s">
        <v>1805</v>
      </c>
      <c r="P567" s="243">
        <f t="shared" si="78"/>
        <v>137160878.3681792</v>
      </c>
      <c r="S567">
        <v>6810</v>
      </c>
      <c r="T567" t="s">
        <v>368</v>
      </c>
      <c r="U567" t="s">
        <v>1805</v>
      </c>
      <c r="V567">
        <v>68123383.144442007</v>
      </c>
      <c r="W567">
        <v>210897458.87108901</v>
      </c>
      <c r="X567">
        <v>0</v>
      </c>
      <c r="Y567">
        <v>708737.222221</v>
      </c>
      <c r="AA567">
        <v>6810</v>
      </c>
      <c r="AB567" t="s">
        <v>368</v>
      </c>
      <c r="AC567" t="s">
        <v>1805</v>
      </c>
      <c r="AD567">
        <v>68123383.144442007</v>
      </c>
      <c r="AE567">
        <v>210897458.87108901</v>
      </c>
      <c r="AF567">
        <v>0</v>
      </c>
      <c r="AG567">
        <v>708737.222221</v>
      </c>
      <c r="AH567" s="342" t="str">
        <f t="shared" si="72"/>
        <v/>
      </c>
      <c r="AI567">
        <v>6810</v>
      </c>
      <c r="AJ567" t="s">
        <v>368</v>
      </c>
      <c r="AK567" t="s">
        <v>1805</v>
      </c>
      <c r="AL567" s="245">
        <f t="shared" si="73"/>
        <v>122622089.65999562</v>
      </c>
      <c r="AM567" s="245">
        <f t="shared" si="74"/>
        <v>379615425.96796024</v>
      </c>
      <c r="AN567" s="245">
        <f t="shared" si="75"/>
        <v>0</v>
      </c>
      <c r="AO567" s="245">
        <f t="shared" si="76"/>
        <v>1275726.9999978</v>
      </c>
      <c r="AR567">
        <v>6810</v>
      </c>
      <c r="AS567" t="s">
        <v>368</v>
      </c>
      <c r="AT567" t="s">
        <v>1805</v>
      </c>
      <c r="AU567">
        <v>5961577.8622160004</v>
      </c>
      <c r="AW567">
        <v>6810</v>
      </c>
      <c r="AX567" t="s">
        <v>368</v>
      </c>
      <c r="AY567" t="s">
        <v>1805</v>
      </c>
      <c r="AZ567">
        <v>1181894.053333</v>
      </c>
      <c r="BA567" s="342" t="str">
        <f t="shared" si="79"/>
        <v/>
      </c>
      <c r="BB567">
        <v>6810</v>
      </c>
      <c r="BC567" t="s">
        <v>368</v>
      </c>
      <c r="BD567" t="s">
        <v>1805</v>
      </c>
      <c r="BE567" s="243">
        <f t="shared" si="80"/>
        <v>6907093.1048824005</v>
      </c>
    </row>
    <row r="568" spans="1:57">
      <c r="A568">
        <v>7000</v>
      </c>
      <c r="B568" t="s">
        <v>369</v>
      </c>
      <c r="C568" t="s">
        <v>1214</v>
      </c>
      <c r="D568">
        <v>263970378.00771701</v>
      </c>
      <c r="E568">
        <v>0</v>
      </c>
      <c r="G568">
        <v>7000</v>
      </c>
      <c r="H568" t="s">
        <v>369</v>
      </c>
      <c r="I568" t="s">
        <v>1214</v>
      </c>
      <c r="J568">
        <v>176918782.749982</v>
      </c>
      <c r="K568">
        <v>0</v>
      </c>
      <c r="L568" s="342" t="str">
        <f t="shared" si="77"/>
        <v/>
      </c>
      <c r="M568" s="243">
        <v>7000</v>
      </c>
      <c r="N568" s="243" t="s">
        <v>369</v>
      </c>
      <c r="O568" s="243" t="s">
        <v>1214</v>
      </c>
      <c r="P568" s="243">
        <f t="shared" si="78"/>
        <v>405505404.20770264</v>
      </c>
      <c r="S568">
        <v>7000</v>
      </c>
      <c r="T568" t="s">
        <v>369</v>
      </c>
      <c r="U568" t="s">
        <v>1214</v>
      </c>
      <c r="V568">
        <v>122341106.432218</v>
      </c>
      <c r="W568">
        <v>322893360.427746</v>
      </c>
      <c r="X568">
        <v>7394837.055555</v>
      </c>
      <c r="Y568">
        <v>17687931.777777001</v>
      </c>
      <c r="AA568">
        <v>7000</v>
      </c>
      <c r="AB568" t="s">
        <v>369</v>
      </c>
      <c r="AC568" t="s">
        <v>1214</v>
      </c>
      <c r="AD568">
        <v>122341106.432218</v>
      </c>
      <c r="AE568">
        <v>322893360.427746</v>
      </c>
      <c r="AF568">
        <v>7394837.055555</v>
      </c>
      <c r="AG568">
        <v>17687931.777777001</v>
      </c>
      <c r="AH568" s="342" t="str">
        <f t="shared" si="72"/>
        <v/>
      </c>
      <c r="AI568">
        <v>7000</v>
      </c>
      <c r="AJ568" t="s">
        <v>369</v>
      </c>
      <c r="AK568" t="s">
        <v>1214</v>
      </c>
      <c r="AL568" s="245">
        <f t="shared" si="73"/>
        <v>220213991.57799241</v>
      </c>
      <c r="AM568" s="245">
        <f t="shared" si="74"/>
        <v>581208048.76994276</v>
      </c>
      <c r="AN568" s="245">
        <f t="shared" si="75"/>
        <v>13310706.699999001</v>
      </c>
      <c r="AO568" s="245">
        <f t="shared" si="76"/>
        <v>31838277.199998602</v>
      </c>
      <c r="AR568">
        <v>7000</v>
      </c>
      <c r="AS568" t="s">
        <v>369</v>
      </c>
      <c r="AT568" t="s">
        <v>1214</v>
      </c>
      <c r="AU568">
        <v>37943687.228878997</v>
      </c>
      <c r="AW568">
        <v>7000</v>
      </c>
      <c r="AX568" t="s">
        <v>369</v>
      </c>
      <c r="AY568" t="s">
        <v>1214</v>
      </c>
      <c r="AZ568">
        <v>47282704.548882999</v>
      </c>
      <c r="BA568" s="342" t="str">
        <f t="shared" si="79"/>
        <v/>
      </c>
      <c r="BB568">
        <v>7000</v>
      </c>
      <c r="BC568" t="s">
        <v>369</v>
      </c>
      <c r="BD568" t="s">
        <v>1214</v>
      </c>
      <c r="BE568" s="243">
        <f t="shared" si="80"/>
        <v>75769850.867985398</v>
      </c>
    </row>
    <row r="569" spans="1:57">
      <c r="A569">
        <v>7000</v>
      </c>
      <c r="B569" t="s">
        <v>369</v>
      </c>
      <c r="C569" t="s">
        <v>1212</v>
      </c>
      <c r="D569">
        <v>486219508.77877998</v>
      </c>
      <c r="E569">
        <v>0</v>
      </c>
      <c r="G569">
        <v>7000</v>
      </c>
      <c r="H569" t="s">
        <v>369</v>
      </c>
      <c r="I569" t="s">
        <v>1212</v>
      </c>
      <c r="J569">
        <v>342303851.119973</v>
      </c>
      <c r="K569">
        <v>0</v>
      </c>
      <c r="L569" s="342" t="str">
        <f t="shared" si="77"/>
        <v/>
      </c>
      <c r="M569" s="243">
        <v>7000</v>
      </c>
      <c r="N569" s="243" t="s">
        <v>369</v>
      </c>
      <c r="O569" s="243" t="s">
        <v>1212</v>
      </c>
      <c r="P569" s="243">
        <f t="shared" si="78"/>
        <v>760062589.67475843</v>
      </c>
      <c r="S569">
        <v>7000</v>
      </c>
      <c r="T569" t="s">
        <v>369</v>
      </c>
      <c r="U569" t="s">
        <v>1212</v>
      </c>
      <c r="V569">
        <v>21539441.228888001</v>
      </c>
      <c r="W569">
        <v>171339507.49662799</v>
      </c>
      <c r="X569">
        <v>1770000</v>
      </c>
      <c r="Y569">
        <v>12769119.765552999</v>
      </c>
      <c r="AA569">
        <v>7000</v>
      </c>
      <c r="AB569" t="s">
        <v>369</v>
      </c>
      <c r="AC569" t="s">
        <v>1212</v>
      </c>
      <c r="AD569">
        <v>21539441.228888001</v>
      </c>
      <c r="AE569">
        <v>171339507.49662799</v>
      </c>
      <c r="AF569">
        <v>1770000</v>
      </c>
      <c r="AG569">
        <v>12769119.765552999</v>
      </c>
      <c r="AH569" s="342" t="str">
        <f t="shared" si="72"/>
        <v/>
      </c>
      <c r="AI569">
        <v>7000</v>
      </c>
      <c r="AJ569" t="s">
        <v>369</v>
      </c>
      <c r="AK569" t="s">
        <v>1212</v>
      </c>
      <c r="AL569" s="245">
        <f t="shared" si="73"/>
        <v>38770994.211998403</v>
      </c>
      <c r="AM569" s="245">
        <f t="shared" si="74"/>
        <v>308411113.49393034</v>
      </c>
      <c r="AN569" s="245">
        <f t="shared" si="75"/>
        <v>3186000</v>
      </c>
      <c r="AO569" s="245">
        <f t="shared" si="76"/>
        <v>22984415.577995397</v>
      </c>
      <c r="AR569">
        <v>7000</v>
      </c>
      <c r="AS569" t="s">
        <v>369</v>
      </c>
      <c r="AT569" t="s">
        <v>1212</v>
      </c>
      <c r="AU569">
        <v>12988281.194421999</v>
      </c>
      <c r="AW569">
        <v>7000</v>
      </c>
      <c r="AX569" t="s">
        <v>369</v>
      </c>
      <c r="AY569" t="s">
        <v>1212</v>
      </c>
      <c r="AZ569">
        <v>29112788.292213999</v>
      </c>
      <c r="BA569" s="342" t="str">
        <f t="shared" si="79"/>
        <v/>
      </c>
      <c r="BB569">
        <v>7000</v>
      </c>
      <c r="BC569" t="s">
        <v>369</v>
      </c>
      <c r="BD569" t="s">
        <v>1212</v>
      </c>
      <c r="BE569" s="243">
        <f t="shared" si="80"/>
        <v>36278511.828193203</v>
      </c>
    </row>
    <row r="570" spans="1:57">
      <c r="A570">
        <v>7000</v>
      </c>
      <c r="B570" t="s">
        <v>369</v>
      </c>
      <c r="C570" t="s">
        <v>1213</v>
      </c>
      <c r="D570">
        <v>270116544.51326299</v>
      </c>
      <c r="E570">
        <v>0</v>
      </c>
      <c r="G570">
        <v>7000</v>
      </c>
      <c r="H570" t="s">
        <v>369</v>
      </c>
      <c r="I570" t="s">
        <v>1213</v>
      </c>
      <c r="J570">
        <v>208566311.48997799</v>
      </c>
      <c r="K570">
        <v>0</v>
      </c>
      <c r="L570" s="342" t="str">
        <f t="shared" si="77"/>
        <v/>
      </c>
      <c r="M570" s="243">
        <v>7000</v>
      </c>
      <c r="N570" s="243" t="s">
        <v>369</v>
      </c>
      <c r="O570" s="243" t="s">
        <v>1213</v>
      </c>
      <c r="P570" s="243">
        <f t="shared" si="78"/>
        <v>436969593.70524538</v>
      </c>
      <c r="S570">
        <v>7000</v>
      </c>
      <c r="T570" t="s">
        <v>369</v>
      </c>
      <c r="U570" t="s">
        <v>1213</v>
      </c>
      <c r="V570">
        <v>43524580.972221002</v>
      </c>
      <c r="W570">
        <v>115084858.314426</v>
      </c>
      <c r="X570">
        <v>0</v>
      </c>
      <c r="Y570">
        <v>37660495.577776998</v>
      </c>
      <c r="AA570">
        <v>7000</v>
      </c>
      <c r="AB570" t="s">
        <v>369</v>
      </c>
      <c r="AC570" t="s">
        <v>1213</v>
      </c>
      <c r="AD570">
        <v>43524580.972221002</v>
      </c>
      <c r="AE570">
        <v>115084858.314426</v>
      </c>
      <c r="AF570">
        <v>0</v>
      </c>
      <c r="AG570">
        <v>37660495.577776998</v>
      </c>
      <c r="AH570" s="342" t="str">
        <f t="shared" si="72"/>
        <v/>
      </c>
      <c r="AI570">
        <v>7000</v>
      </c>
      <c r="AJ570" t="s">
        <v>369</v>
      </c>
      <c r="AK570" t="s">
        <v>1213</v>
      </c>
      <c r="AL570" s="245">
        <f t="shared" si="73"/>
        <v>78344245.749997795</v>
      </c>
      <c r="AM570" s="245">
        <f t="shared" si="74"/>
        <v>207152744.96596682</v>
      </c>
      <c r="AN570" s="245">
        <f t="shared" si="75"/>
        <v>0</v>
      </c>
      <c r="AO570" s="245">
        <f t="shared" si="76"/>
        <v>67788892.039998591</v>
      </c>
      <c r="AR570">
        <v>7000</v>
      </c>
      <c r="AS570" t="s">
        <v>369</v>
      </c>
      <c r="AT570" t="s">
        <v>1213</v>
      </c>
      <c r="AU570">
        <v>80430331.873326004</v>
      </c>
      <c r="AW570">
        <v>7000</v>
      </c>
      <c r="AX570" t="s">
        <v>369</v>
      </c>
      <c r="AY570" t="s">
        <v>1213</v>
      </c>
      <c r="AZ570">
        <v>36935568.105547003</v>
      </c>
      <c r="BA570" s="342" t="str">
        <f t="shared" si="79"/>
        <v/>
      </c>
      <c r="BB570">
        <v>7000</v>
      </c>
      <c r="BC570" t="s">
        <v>369</v>
      </c>
      <c r="BD570" t="s">
        <v>1213</v>
      </c>
      <c r="BE570" s="243">
        <f t="shared" si="80"/>
        <v>109978786.3577636</v>
      </c>
    </row>
    <row r="571" spans="1:57">
      <c r="A571">
        <v>7000</v>
      </c>
      <c r="B571" t="s">
        <v>369</v>
      </c>
      <c r="C571" t="s">
        <v>1991</v>
      </c>
      <c r="D571">
        <v>61007835.511081003</v>
      </c>
      <c r="E571">
        <v>0</v>
      </c>
      <c r="G571">
        <v>7000</v>
      </c>
      <c r="H571" t="s">
        <v>369</v>
      </c>
      <c r="I571" t="s">
        <v>1991</v>
      </c>
      <c r="J571">
        <v>44642711.473324999</v>
      </c>
      <c r="K571">
        <v>0</v>
      </c>
      <c r="L571" s="342" t="str">
        <f t="shared" si="77"/>
        <v/>
      </c>
      <c r="M571" s="243">
        <v>7000</v>
      </c>
      <c r="N571" s="243" t="s">
        <v>369</v>
      </c>
      <c r="O571" s="243" t="s">
        <v>1991</v>
      </c>
      <c r="P571" s="243">
        <f t="shared" si="78"/>
        <v>96722004.689741001</v>
      </c>
      <c r="S571">
        <v>7000</v>
      </c>
      <c r="T571" t="s">
        <v>369</v>
      </c>
      <c r="U571" t="s">
        <v>1991</v>
      </c>
      <c r="V571">
        <v>22177571.288888</v>
      </c>
      <c r="W571">
        <v>127257536.62553801</v>
      </c>
      <c r="X571">
        <v>1193940</v>
      </c>
      <c r="Y571">
        <v>16005427.5</v>
      </c>
      <c r="AA571">
        <v>7000</v>
      </c>
      <c r="AB571" t="s">
        <v>369</v>
      </c>
      <c r="AC571" t="s">
        <v>1991</v>
      </c>
      <c r="AD571">
        <v>22177571.288888</v>
      </c>
      <c r="AE571">
        <v>127257536.62553801</v>
      </c>
      <c r="AF571">
        <v>1193940</v>
      </c>
      <c r="AG571">
        <v>16005427.5</v>
      </c>
      <c r="AH571" s="342" t="str">
        <f t="shared" si="72"/>
        <v/>
      </c>
      <c r="AI571">
        <v>7000</v>
      </c>
      <c r="AJ571" t="s">
        <v>369</v>
      </c>
      <c r="AK571" t="s">
        <v>1991</v>
      </c>
      <c r="AL571" s="245">
        <f t="shared" si="73"/>
        <v>39919628.319998398</v>
      </c>
      <c r="AM571" s="245">
        <f t="shared" si="74"/>
        <v>229063565.92596841</v>
      </c>
      <c r="AN571" s="245">
        <f t="shared" si="75"/>
        <v>2149092</v>
      </c>
      <c r="AO571" s="245">
        <f t="shared" si="76"/>
        <v>28809769.5</v>
      </c>
      <c r="AR571">
        <v>7000</v>
      </c>
      <c r="AS571" t="s">
        <v>369</v>
      </c>
      <c r="AT571" t="s">
        <v>1991</v>
      </c>
      <c r="AU571">
        <v>17587889.268881999</v>
      </c>
      <c r="AW571">
        <v>7000</v>
      </c>
      <c r="AX571" t="s">
        <v>369</v>
      </c>
      <c r="AY571" t="s">
        <v>1991</v>
      </c>
      <c r="AZ571">
        <v>7382401.046666</v>
      </c>
      <c r="BA571" s="342" t="str">
        <f t="shared" si="79"/>
        <v/>
      </c>
      <c r="BB571">
        <v>7000</v>
      </c>
      <c r="BC571" t="s">
        <v>369</v>
      </c>
      <c r="BD571" t="s">
        <v>1991</v>
      </c>
      <c r="BE571" s="243">
        <f t="shared" si="80"/>
        <v>23493810.106214799</v>
      </c>
    </row>
    <row r="572" spans="1:57">
      <c r="A572">
        <v>7010</v>
      </c>
      <c r="B572" t="s">
        <v>370</v>
      </c>
      <c r="C572" t="s">
        <v>1807</v>
      </c>
      <c r="D572">
        <v>61704867.663282998</v>
      </c>
      <c r="E572">
        <v>0</v>
      </c>
      <c r="G572">
        <v>7010</v>
      </c>
      <c r="H572" t="s">
        <v>370</v>
      </c>
      <c r="I572" t="s">
        <v>1807</v>
      </c>
      <c r="J572">
        <v>19476851.835544001</v>
      </c>
      <c r="K572">
        <v>0</v>
      </c>
      <c r="L572" s="342" t="str">
        <f t="shared" si="77"/>
        <v/>
      </c>
      <c r="M572" s="243">
        <v>7010</v>
      </c>
      <c r="N572" s="243" t="s">
        <v>370</v>
      </c>
      <c r="O572" s="243" t="s">
        <v>1807</v>
      </c>
      <c r="P572" s="243">
        <f t="shared" si="78"/>
        <v>77286349.131718203</v>
      </c>
      <c r="S572">
        <v>7010</v>
      </c>
      <c r="T572" t="s">
        <v>370</v>
      </c>
      <c r="U572" t="s">
        <v>1807</v>
      </c>
      <c r="V572">
        <v>14380497.381111</v>
      </c>
      <c r="W572">
        <v>88273233.845526993</v>
      </c>
      <c r="X572">
        <v>1237066.6666659999</v>
      </c>
      <c r="Y572">
        <v>2512790</v>
      </c>
      <c r="AA572">
        <v>7010</v>
      </c>
      <c r="AB572" t="s">
        <v>370</v>
      </c>
      <c r="AC572" t="s">
        <v>1807</v>
      </c>
      <c r="AD572">
        <v>14380497.381111</v>
      </c>
      <c r="AE572">
        <v>88273233.845526993</v>
      </c>
      <c r="AF572">
        <v>1237066.6666659999</v>
      </c>
      <c r="AG572">
        <v>2512790</v>
      </c>
      <c r="AH572" s="342" t="str">
        <f t="shared" si="72"/>
        <v/>
      </c>
      <c r="AI572">
        <v>7010</v>
      </c>
      <c r="AJ572" t="s">
        <v>370</v>
      </c>
      <c r="AK572" t="s">
        <v>1807</v>
      </c>
      <c r="AL572" s="245">
        <f t="shared" si="73"/>
        <v>25884895.285999801</v>
      </c>
      <c r="AM572" s="245">
        <f t="shared" si="74"/>
        <v>158891820.92194861</v>
      </c>
      <c r="AN572" s="245">
        <f t="shared" si="75"/>
        <v>2226719.9999988</v>
      </c>
      <c r="AO572" s="245">
        <f t="shared" si="76"/>
        <v>4523022</v>
      </c>
      <c r="AR572">
        <v>7010</v>
      </c>
      <c r="AS572" t="s">
        <v>370</v>
      </c>
      <c r="AT572" t="s">
        <v>1807</v>
      </c>
      <c r="AU572">
        <v>9357751.3811009992</v>
      </c>
      <c r="AW572">
        <v>7010</v>
      </c>
      <c r="AX572" t="s">
        <v>370</v>
      </c>
      <c r="AY572" t="s">
        <v>1807</v>
      </c>
      <c r="AZ572">
        <v>4703410.5222199997</v>
      </c>
      <c r="BA572" s="342" t="str">
        <f t="shared" si="79"/>
        <v/>
      </c>
      <c r="BB572">
        <v>7010</v>
      </c>
      <c r="BC572" t="s">
        <v>370</v>
      </c>
      <c r="BD572" t="s">
        <v>1807</v>
      </c>
      <c r="BE572" s="243">
        <f t="shared" si="80"/>
        <v>13120479.798876999</v>
      </c>
    </row>
    <row r="573" spans="1:57">
      <c r="A573">
        <v>7010</v>
      </c>
      <c r="B573" t="s">
        <v>370</v>
      </c>
      <c r="C573" t="s">
        <v>1806</v>
      </c>
      <c r="D573">
        <v>84541810.236618996</v>
      </c>
      <c r="E573">
        <v>0</v>
      </c>
      <c r="G573">
        <v>7010</v>
      </c>
      <c r="H573" t="s">
        <v>370</v>
      </c>
      <c r="I573" t="s">
        <v>1806</v>
      </c>
      <c r="J573">
        <v>31153306.588879999</v>
      </c>
      <c r="K573">
        <v>0</v>
      </c>
      <c r="L573" s="342" t="str">
        <f t="shared" si="77"/>
        <v/>
      </c>
      <c r="M573" s="243">
        <v>7010</v>
      </c>
      <c r="N573" s="243" t="s">
        <v>370</v>
      </c>
      <c r="O573" s="243" t="s">
        <v>1806</v>
      </c>
      <c r="P573" s="243">
        <f t="shared" si="78"/>
        <v>109464455.507723</v>
      </c>
      <c r="S573">
        <v>7010</v>
      </c>
      <c r="T573" t="s">
        <v>370</v>
      </c>
      <c r="U573" t="s">
        <v>1806</v>
      </c>
      <c r="V573">
        <v>18821722.046665002</v>
      </c>
      <c r="W573">
        <v>84689245.197742</v>
      </c>
      <c r="X573">
        <v>0</v>
      </c>
      <c r="Y573">
        <v>2662509.2699989998</v>
      </c>
      <c r="AA573">
        <v>7010</v>
      </c>
      <c r="AB573" t="s">
        <v>370</v>
      </c>
      <c r="AC573" t="s">
        <v>1806</v>
      </c>
      <c r="AD573">
        <v>18821722.046665002</v>
      </c>
      <c r="AE573">
        <v>84689245.197742</v>
      </c>
      <c r="AF573">
        <v>0</v>
      </c>
      <c r="AG573">
        <v>2662509.2699989998</v>
      </c>
      <c r="AH573" s="342" t="str">
        <f t="shared" si="72"/>
        <v/>
      </c>
      <c r="AI573">
        <v>7010</v>
      </c>
      <c r="AJ573" t="s">
        <v>370</v>
      </c>
      <c r="AK573" t="s">
        <v>1806</v>
      </c>
      <c r="AL573" s="245">
        <f t="shared" si="73"/>
        <v>33879099.683997005</v>
      </c>
      <c r="AM573" s="245">
        <f t="shared" si="74"/>
        <v>152440641.3559356</v>
      </c>
      <c r="AN573" s="245">
        <f t="shared" si="75"/>
        <v>0</v>
      </c>
      <c r="AO573" s="245">
        <f t="shared" si="76"/>
        <v>4792516.6859981995</v>
      </c>
      <c r="AR573">
        <v>7010</v>
      </c>
      <c r="AS573" t="s">
        <v>370</v>
      </c>
      <c r="AT573" t="s">
        <v>1806</v>
      </c>
      <c r="AU573">
        <v>16763553.3411</v>
      </c>
      <c r="AW573">
        <v>7010</v>
      </c>
      <c r="AX573" t="s">
        <v>370</v>
      </c>
      <c r="AY573" t="s">
        <v>1806</v>
      </c>
      <c r="AZ573">
        <v>4099970.731108</v>
      </c>
      <c r="BA573" s="342" t="str">
        <f t="shared" si="79"/>
        <v/>
      </c>
      <c r="BB573">
        <v>7010</v>
      </c>
      <c r="BC573" t="s">
        <v>370</v>
      </c>
      <c r="BD573" t="s">
        <v>1806</v>
      </c>
      <c r="BE573" s="243">
        <f t="shared" si="80"/>
        <v>20043529.925986402</v>
      </c>
    </row>
    <row r="574" spans="1:57">
      <c r="A574">
        <v>7010</v>
      </c>
      <c r="B574" t="s">
        <v>370</v>
      </c>
      <c r="C574" t="s">
        <v>1215</v>
      </c>
      <c r="D574">
        <v>378810621.83208698</v>
      </c>
      <c r="E574">
        <v>0</v>
      </c>
      <c r="G574">
        <v>7010</v>
      </c>
      <c r="H574" t="s">
        <v>370</v>
      </c>
      <c r="I574" t="s">
        <v>1215</v>
      </c>
      <c r="J574">
        <v>187600274.383297</v>
      </c>
      <c r="K574">
        <v>0</v>
      </c>
      <c r="L574" s="342" t="str">
        <f t="shared" si="77"/>
        <v/>
      </c>
      <c r="M574" s="243">
        <v>7010</v>
      </c>
      <c r="N574" s="243" t="s">
        <v>370</v>
      </c>
      <c r="O574" s="243" t="s">
        <v>1215</v>
      </c>
      <c r="P574" s="243">
        <f t="shared" si="78"/>
        <v>528890841.33872461</v>
      </c>
      <c r="S574">
        <v>7010</v>
      </c>
      <c r="T574" t="s">
        <v>370</v>
      </c>
      <c r="U574" t="s">
        <v>1215</v>
      </c>
      <c r="V574">
        <v>116040154.279999</v>
      </c>
      <c r="W574">
        <v>406020331.66993701</v>
      </c>
      <c r="X574">
        <v>2483966.6666660002</v>
      </c>
      <c r="Y574">
        <v>16813658.138886999</v>
      </c>
      <c r="AA574">
        <v>7010</v>
      </c>
      <c r="AB574" t="s">
        <v>370</v>
      </c>
      <c r="AC574" t="s">
        <v>1215</v>
      </c>
      <c r="AD574">
        <v>116040154.279999</v>
      </c>
      <c r="AE574">
        <v>406020331.66993701</v>
      </c>
      <c r="AF574">
        <v>2483966.6666660002</v>
      </c>
      <c r="AG574">
        <v>16813658.138886999</v>
      </c>
      <c r="AH574" s="342" t="str">
        <f t="shared" si="72"/>
        <v/>
      </c>
      <c r="AI574">
        <v>7010</v>
      </c>
      <c r="AJ574" t="s">
        <v>370</v>
      </c>
      <c r="AK574" t="s">
        <v>1215</v>
      </c>
      <c r="AL574" s="245">
        <f t="shared" si="73"/>
        <v>208872277.70399821</v>
      </c>
      <c r="AM574" s="245">
        <f t="shared" si="74"/>
        <v>730836597.00588667</v>
      </c>
      <c r="AN574" s="245">
        <f t="shared" si="75"/>
        <v>4471139.9999988005</v>
      </c>
      <c r="AO574" s="245">
        <f t="shared" si="76"/>
        <v>30264584.649996601</v>
      </c>
      <c r="AR574">
        <v>7010</v>
      </c>
      <c r="AS574" t="s">
        <v>370</v>
      </c>
      <c r="AT574" t="s">
        <v>1215</v>
      </c>
      <c r="AU574">
        <v>86865496.904413</v>
      </c>
      <c r="AW574">
        <v>7010</v>
      </c>
      <c r="AX574" t="s">
        <v>370</v>
      </c>
      <c r="AY574" t="s">
        <v>1215</v>
      </c>
      <c r="AZ574">
        <v>37370493.315545999</v>
      </c>
      <c r="BA574" s="342" t="str">
        <f t="shared" si="79"/>
        <v/>
      </c>
      <c r="BB574">
        <v>7010</v>
      </c>
      <c r="BC574" t="s">
        <v>370</v>
      </c>
      <c r="BD574" t="s">
        <v>1215</v>
      </c>
      <c r="BE574" s="243">
        <f t="shared" si="80"/>
        <v>116761891.55684981</v>
      </c>
    </row>
    <row r="575" spans="1:57">
      <c r="A575">
        <v>7020</v>
      </c>
      <c r="B575" t="s">
        <v>371</v>
      </c>
      <c r="C575" t="s">
        <v>1216</v>
      </c>
      <c r="D575">
        <v>187946603.88326201</v>
      </c>
      <c r="E575">
        <v>0</v>
      </c>
      <c r="G575">
        <v>7020</v>
      </c>
      <c r="H575" t="s">
        <v>371</v>
      </c>
      <c r="I575" t="s">
        <v>1216</v>
      </c>
      <c r="J575">
        <v>145020150.77553001</v>
      </c>
      <c r="K575">
        <v>0</v>
      </c>
      <c r="L575" s="342" t="str">
        <f t="shared" si="77"/>
        <v/>
      </c>
      <c r="M575" s="243">
        <v>7020</v>
      </c>
      <c r="N575" s="243" t="s">
        <v>371</v>
      </c>
      <c r="O575" s="243" t="s">
        <v>1216</v>
      </c>
      <c r="P575" s="243">
        <f t="shared" si="78"/>
        <v>303962724.50368601</v>
      </c>
      <c r="S575">
        <v>7020</v>
      </c>
      <c r="T575" t="s">
        <v>371</v>
      </c>
      <c r="U575" t="s">
        <v>1216</v>
      </c>
      <c r="V575">
        <v>62018548.149998002</v>
      </c>
      <c r="W575">
        <v>358279216.33439499</v>
      </c>
      <c r="X575">
        <v>0</v>
      </c>
      <c r="Y575">
        <v>24685907.115554001</v>
      </c>
      <c r="AA575">
        <v>7020</v>
      </c>
      <c r="AB575" t="s">
        <v>371</v>
      </c>
      <c r="AC575" t="s">
        <v>1216</v>
      </c>
      <c r="AD575">
        <v>62018548.149998002</v>
      </c>
      <c r="AE575">
        <v>358279216.33439499</v>
      </c>
      <c r="AF575">
        <v>0</v>
      </c>
      <c r="AG575">
        <v>24685907.115554001</v>
      </c>
      <c r="AH575" s="342" t="str">
        <f t="shared" si="72"/>
        <v/>
      </c>
      <c r="AI575">
        <v>7020</v>
      </c>
      <c r="AJ575" t="s">
        <v>371</v>
      </c>
      <c r="AK575" t="s">
        <v>1216</v>
      </c>
      <c r="AL575" s="245">
        <f t="shared" si="73"/>
        <v>111633386.66999641</v>
      </c>
      <c r="AM575" s="245">
        <f t="shared" si="74"/>
        <v>644902589.40191102</v>
      </c>
      <c r="AN575" s="245">
        <f t="shared" si="75"/>
        <v>0</v>
      </c>
      <c r="AO575" s="245">
        <f t="shared" si="76"/>
        <v>44434632.807997204</v>
      </c>
      <c r="AR575">
        <v>7020</v>
      </c>
      <c r="AS575" t="s">
        <v>371</v>
      </c>
      <c r="AT575" t="s">
        <v>1216</v>
      </c>
      <c r="AU575">
        <v>24388751.721094001</v>
      </c>
      <c r="AW575">
        <v>7020</v>
      </c>
      <c r="AX575" t="s">
        <v>371</v>
      </c>
      <c r="AY575" t="s">
        <v>1216</v>
      </c>
      <c r="AZ575">
        <v>35558449.731105998</v>
      </c>
      <c r="BA575" s="342" t="str">
        <f t="shared" si="79"/>
        <v/>
      </c>
      <c r="BB575">
        <v>7020</v>
      </c>
      <c r="BC575" t="s">
        <v>371</v>
      </c>
      <c r="BD575" t="s">
        <v>1216</v>
      </c>
      <c r="BE575" s="243">
        <f t="shared" si="80"/>
        <v>52835511.5059788</v>
      </c>
    </row>
    <row r="576" spans="1:57">
      <c r="A576">
        <v>7020</v>
      </c>
      <c r="B576" t="s">
        <v>371</v>
      </c>
      <c r="C576" t="s">
        <v>1590</v>
      </c>
      <c r="D576">
        <v>191625825.155451</v>
      </c>
      <c r="E576">
        <v>0</v>
      </c>
      <c r="G576">
        <v>7020</v>
      </c>
      <c r="H576" t="s">
        <v>371</v>
      </c>
      <c r="I576" t="s">
        <v>1590</v>
      </c>
      <c r="J576">
        <v>141295232.051094</v>
      </c>
      <c r="K576">
        <v>0</v>
      </c>
      <c r="L576" s="342" t="str">
        <f t="shared" si="77"/>
        <v/>
      </c>
      <c r="M576" s="243">
        <v>7020</v>
      </c>
      <c r="N576" s="243" t="s">
        <v>371</v>
      </c>
      <c r="O576" s="243" t="s">
        <v>1590</v>
      </c>
      <c r="P576" s="243">
        <f t="shared" si="78"/>
        <v>304662010.79632622</v>
      </c>
      <c r="S576">
        <v>7020</v>
      </c>
      <c r="T576" t="s">
        <v>371</v>
      </c>
      <c r="U576" t="s">
        <v>1590</v>
      </c>
      <c r="V576">
        <v>25491130.308887001</v>
      </c>
      <c r="W576">
        <v>177814864.39994499</v>
      </c>
      <c r="X576">
        <v>1171200</v>
      </c>
      <c r="Y576">
        <v>59792324.691109002</v>
      </c>
      <c r="AA576">
        <v>7020</v>
      </c>
      <c r="AB576" t="s">
        <v>371</v>
      </c>
      <c r="AC576" t="s">
        <v>1590</v>
      </c>
      <c r="AD576">
        <v>25491130.308887001</v>
      </c>
      <c r="AE576">
        <v>177814864.39994499</v>
      </c>
      <c r="AF576">
        <v>1171200</v>
      </c>
      <c r="AG576">
        <v>59792324.691109002</v>
      </c>
      <c r="AH576" s="342" t="str">
        <f t="shared" si="72"/>
        <v/>
      </c>
      <c r="AI576">
        <v>7020</v>
      </c>
      <c r="AJ576" t="s">
        <v>371</v>
      </c>
      <c r="AK576" t="s">
        <v>1590</v>
      </c>
      <c r="AL576" s="245">
        <f t="shared" si="73"/>
        <v>45884034.555996604</v>
      </c>
      <c r="AM576" s="245">
        <f t="shared" si="74"/>
        <v>320066755.91990101</v>
      </c>
      <c r="AN576" s="245">
        <f t="shared" si="75"/>
        <v>2108160</v>
      </c>
      <c r="AO576" s="245">
        <f t="shared" si="76"/>
        <v>107626184.44399621</v>
      </c>
      <c r="AR576">
        <v>7020</v>
      </c>
      <c r="AS576" t="s">
        <v>371</v>
      </c>
      <c r="AT576" t="s">
        <v>1590</v>
      </c>
      <c r="AU576">
        <v>149156271.91887501</v>
      </c>
      <c r="AW576">
        <v>7020</v>
      </c>
      <c r="AX576" t="s">
        <v>371</v>
      </c>
      <c r="AY576" t="s">
        <v>1590</v>
      </c>
      <c r="AZ576">
        <v>15699168.934442</v>
      </c>
      <c r="BA576" s="342" t="str">
        <f t="shared" si="79"/>
        <v/>
      </c>
      <c r="BB576">
        <v>7020</v>
      </c>
      <c r="BC576" t="s">
        <v>371</v>
      </c>
      <c r="BD576" t="s">
        <v>1590</v>
      </c>
      <c r="BE576" s="243">
        <f t="shared" si="80"/>
        <v>161715607.0664286</v>
      </c>
    </row>
    <row r="577" spans="1:57">
      <c r="A577">
        <v>7030</v>
      </c>
      <c r="B577" t="s">
        <v>372</v>
      </c>
      <c r="C577" t="s">
        <v>1218</v>
      </c>
      <c r="D577">
        <v>178013902.684333</v>
      </c>
      <c r="E577">
        <v>0</v>
      </c>
      <c r="G577">
        <v>7030</v>
      </c>
      <c r="H577" t="s">
        <v>372</v>
      </c>
      <c r="I577" t="s">
        <v>1218</v>
      </c>
      <c r="J577">
        <v>54157115.907757998</v>
      </c>
      <c r="K577">
        <v>0</v>
      </c>
      <c r="L577" s="342" t="str">
        <f t="shared" si="77"/>
        <v/>
      </c>
      <c r="M577" s="243">
        <v>7030</v>
      </c>
      <c r="N577" s="243" t="s">
        <v>372</v>
      </c>
      <c r="O577" s="243" t="s">
        <v>1218</v>
      </c>
      <c r="P577" s="243">
        <f t="shared" si="78"/>
        <v>221339595.41053939</v>
      </c>
      <c r="S577">
        <v>7030</v>
      </c>
      <c r="T577" t="s">
        <v>372</v>
      </c>
      <c r="U577" t="s">
        <v>1218</v>
      </c>
      <c r="V577">
        <v>47369748.787776001</v>
      </c>
      <c r="W577">
        <v>264517117.183229</v>
      </c>
      <c r="X577">
        <v>4146100</v>
      </c>
      <c r="Y577">
        <v>19417406.364441</v>
      </c>
      <c r="AA577">
        <v>7030</v>
      </c>
      <c r="AB577" t="s">
        <v>372</v>
      </c>
      <c r="AC577" t="s">
        <v>1218</v>
      </c>
      <c r="AD577">
        <v>47369748.787776001</v>
      </c>
      <c r="AE577">
        <v>264517117.183229</v>
      </c>
      <c r="AF577">
        <v>4146100</v>
      </c>
      <c r="AG577">
        <v>19417406.364441</v>
      </c>
      <c r="AH577" s="342" t="str">
        <f t="shared" si="72"/>
        <v/>
      </c>
      <c r="AI577">
        <v>7030</v>
      </c>
      <c r="AJ577" t="s">
        <v>372</v>
      </c>
      <c r="AK577" t="s">
        <v>1218</v>
      </c>
      <c r="AL577" s="245">
        <f t="shared" si="73"/>
        <v>85265547.8179968</v>
      </c>
      <c r="AM577" s="245">
        <f t="shared" si="74"/>
        <v>476130810.92981219</v>
      </c>
      <c r="AN577" s="245">
        <f t="shared" si="75"/>
        <v>7462980</v>
      </c>
      <c r="AO577" s="245">
        <f t="shared" si="76"/>
        <v>34951331.455993801</v>
      </c>
      <c r="AR577">
        <v>7030</v>
      </c>
      <c r="AS577" t="s">
        <v>372</v>
      </c>
      <c r="AT577" t="s">
        <v>1218</v>
      </c>
      <c r="AU577">
        <v>18587290.811097998</v>
      </c>
      <c r="AW577">
        <v>7030</v>
      </c>
      <c r="AX577" t="s">
        <v>372</v>
      </c>
      <c r="AY577" t="s">
        <v>1218</v>
      </c>
      <c r="AZ577">
        <v>5286759.3533300003</v>
      </c>
      <c r="BA577" s="342" t="str">
        <f t="shared" si="79"/>
        <v/>
      </c>
      <c r="BB577">
        <v>7030</v>
      </c>
      <c r="BC577" t="s">
        <v>372</v>
      </c>
      <c r="BD577" t="s">
        <v>1218</v>
      </c>
      <c r="BE577" s="243">
        <f t="shared" si="80"/>
        <v>22816698.293761998</v>
      </c>
    </row>
    <row r="578" spans="1:57">
      <c r="A578">
        <v>7030</v>
      </c>
      <c r="B578" t="s">
        <v>372</v>
      </c>
      <c r="C578" t="s">
        <v>1227</v>
      </c>
      <c r="D578">
        <v>222478230.34437701</v>
      </c>
      <c r="E578">
        <v>0</v>
      </c>
      <c r="G578">
        <v>7030</v>
      </c>
      <c r="H578" t="s">
        <v>372</v>
      </c>
      <c r="I578" t="s">
        <v>1227</v>
      </c>
      <c r="J578">
        <v>130086847.51109301</v>
      </c>
      <c r="K578">
        <v>0</v>
      </c>
      <c r="L578" s="342" t="str">
        <f t="shared" si="77"/>
        <v/>
      </c>
      <c r="M578" s="243">
        <v>7030</v>
      </c>
      <c r="N578" s="243" t="s">
        <v>372</v>
      </c>
      <c r="O578" s="243" t="s">
        <v>1227</v>
      </c>
      <c r="P578" s="243">
        <f t="shared" si="78"/>
        <v>326547708.35325146</v>
      </c>
      <c r="S578">
        <v>7030</v>
      </c>
      <c r="T578" t="s">
        <v>372</v>
      </c>
      <c r="U578" t="s">
        <v>1227</v>
      </c>
      <c r="V578">
        <v>33356549.052221</v>
      </c>
      <c r="W578">
        <v>244170870.49774399</v>
      </c>
      <c r="X578">
        <v>1556050</v>
      </c>
      <c r="Y578">
        <v>40066661.795553997</v>
      </c>
      <c r="AA578">
        <v>7030</v>
      </c>
      <c r="AB578" t="s">
        <v>372</v>
      </c>
      <c r="AC578" t="s">
        <v>1227</v>
      </c>
      <c r="AD578">
        <v>33356549.052221</v>
      </c>
      <c r="AE578">
        <v>244170870.49774399</v>
      </c>
      <c r="AF578">
        <v>1556050</v>
      </c>
      <c r="AG578">
        <v>40066661.795553997</v>
      </c>
      <c r="AH578" s="342" t="str">
        <f t="shared" si="72"/>
        <v/>
      </c>
      <c r="AI578">
        <v>7030</v>
      </c>
      <c r="AJ578" t="s">
        <v>372</v>
      </c>
      <c r="AK578" t="s">
        <v>1227</v>
      </c>
      <c r="AL578" s="245">
        <f t="shared" si="73"/>
        <v>60041788.293997802</v>
      </c>
      <c r="AM578" s="245">
        <f t="shared" si="74"/>
        <v>439507566.89593923</v>
      </c>
      <c r="AN578" s="245">
        <f t="shared" si="75"/>
        <v>2800890</v>
      </c>
      <c r="AO578" s="245">
        <f t="shared" si="76"/>
        <v>72119991.231997192</v>
      </c>
      <c r="AR578">
        <v>7030</v>
      </c>
      <c r="AS578" t="s">
        <v>372</v>
      </c>
      <c r="AT578" t="s">
        <v>1227</v>
      </c>
      <c r="AU578">
        <v>36261895.724430002</v>
      </c>
      <c r="AW578">
        <v>7030</v>
      </c>
      <c r="AX578" t="s">
        <v>372</v>
      </c>
      <c r="AY578" t="s">
        <v>1227</v>
      </c>
      <c r="AZ578">
        <v>18692019.816658001</v>
      </c>
      <c r="BA578" s="342" t="str">
        <f t="shared" si="79"/>
        <v/>
      </c>
      <c r="BB578">
        <v>7030</v>
      </c>
      <c r="BC578" t="s">
        <v>372</v>
      </c>
      <c r="BD578" t="s">
        <v>1227</v>
      </c>
      <c r="BE578" s="243">
        <f t="shared" si="80"/>
        <v>51215511.577756405</v>
      </c>
    </row>
    <row r="579" spans="1:57">
      <c r="A579">
        <v>7040</v>
      </c>
      <c r="B579" t="s">
        <v>373</v>
      </c>
      <c r="C579" t="s">
        <v>1591</v>
      </c>
      <c r="D579">
        <v>57054402.759939998</v>
      </c>
      <c r="E579">
        <v>0</v>
      </c>
      <c r="G579">
        <v>7040</v>
      </c>
      <c r="H579" t="s">
        <v>373</v>
      </c>
      <c r="I579" t="s">
        <v>1591</v>
      </c>
      <c r="J579">
        <v>23846888.296656001</v>
      </c>
      <c r="K579">
        <v>0</v>
      </c>
      <c r="L579" s="342" t="str">
        <f t="shared" si="77"/>
        <v/>
      </c>
      <c r="M579" s="243">
        <v>7040</v>
      </c>
      <c r="N579" s="243" t="s">
        <v>373</v>
      </c>
      <c r="O579" s="243" t="s">
        <v>1591</v>
      </c>
      <c r="P579" s="243">
        <f t="shared" si="78"/>
        <v>76131913.397264808</v>
      </c>
      <c r="S579">
        <v>7040</v>
      </c>
      <c r="T579" t="s">
        <v>373</v>
      </c>
      <c r="U579" t="s">
        <v>1591</v>
      </c>
      <c r="V579">
        <v>8965831.2666650005</v>
      </c>
      <c r="W579">
        <v>68724502.336630002</v>
      </c>
      <c r="X579">
        <v>0</v>
      </c>
      <c r="Y579">
        <v>11510283.333333001</v>
      </c>
      <c r="AA579">
        <v>7040</v>
      </c>
      <c r="AB579" t="s">
        <v>373</v>
      </c>
      <c r="AC579" t="s">
        <v>1591</v>
      </c>
      <c r="AD579">
        <v>8965831.2666650005</v>
      </c>
      <c r="AE579">
        <v>68724502.336630002</v>
      </c>
      <c r="AF579">
        <v>0</v>
      </c>
      <c r="AG579">
        <v>11510283.333333001</v>
      </c>
      <c r="AH579" s="342" t="str">
        <f t="shared" si="72"/>
        <v/>
      </c>
      <c r="AI579">
        <v>7040</v>
      </c>
      <c r="AJ579" t="s">
        <v>373</v>
      </c>
      <c r="AK579" t="s">
        <v>1591</v>
      </c>
      <c r="AL579" s="245">
        <f t="shared" si="73"/>
        <v>16138496.279997002</v>
      </c>
      <c r="AM579" s="245">
        <f t="shared" si="74"/>
        <v>123704104.205934</v>
      </c>
      <c r="AN579" s="245">
        <f t="shared" si="75"/>
        <v>0</v>
      </c>
      <c r="AO579" s="245">
        <f t="shared" si="76"/>
        <v>20718509.999999404</v>
      </c>
      <c r="AR579">
        <v>7040</v>
      </c>
      <c r="AS579" t="s">
        <v>373</v>
      </c>
      <c r="AT579" t="s">
        <v>1591</v>
      </c>
      <c r="AU579">
        <v>10523430.531098001</v>
      </c>
      <c r="AW579">
        <v>7040</v>
      </c>
      <c r="AX579" t="s">
        <v>373</v>
      </c>
      <c r="AY579" t="s">
        <v>1591</v>
      </c>
      <c r="AZ579">
        <v>4655830.3277749997</v>
      </c>
      <c r="BA579" s="342" t="str">
        <f t="shared" si="79"/>
        <v/>
      </c>
      <c r="BB579">
        <v>7040</v>
      </c>
      <c r="BC579" t="s">
        <v>373</v>
      </c>
      <c r="BD579" t="s">
        <v>1591</v>
      </c>
      <c r="BE579" s="243">
        <f t="shared" si="80"/>
        <v>14248094.793318</v>
      </c>
    </row>
    <row r="580" spans="1:57">
      <c r="A580">
        <v>7040</v>
      </c>
      <c r="B580" t="s">
        <v>373</v>
      </c>
      <c r="C580" t="s">
        <v>1219</v>
      </c>
      <c r="D580">
        <v>215256212.92434201</v>
      </c>
      <c r="E580">
        <v>0</v>
      </c>
      <c r="G580">
        <v>7040</v>
      </c>
      <c r="H580" t="s">
        <v>373</v>
      </c>
      <c r="I580" t="s">
        <v>1219</v>
      </c>
      <c r="J580">
        <v>139503560.41774699</v>
      </c>
      <c r="K580">
        <v>0</v>
      </c>
      <c r="L580" s="342" t="str">
        <f t="shared" si="77"/>
        <v/>
      </c>
      <c r="M580" s="243">
        <v>7040</v>
      </c>
      <c r="N580" s="243" t="s">
        <v>373</v>
      </c>
      <c r="O580" s="243" t="s">
        <v>1219</v>
      </c>
      <c r="P580" s="243">
        <f t="shared" si="78"/>
        <v>326859061.25853962</v>
      </c>
      <c r="S580">
        <v>7040</v>
      </c>
      <c r="T580" t="s">
        <v>373</v>
      </c>
      <c r="U580" t="s">
        <v>1219</v>
      </c>
      <c r="V580">
        <v>35586529.431107998</v>
      </c>
      <c r="W580">
        <v>175498545.852171</v>
      </c>
      <c r="X580">
        <v>0</v>
      </c>
      <c r="Y580">
        <v>81946579.999993995</v>
      </c>
      <c r="AA580">
        <v>7040</v>
      </c>
      <c r="AB580" t="s">
        <v>373</v>
      </c>
      <c r="AC580" t="s">
        <v>1219</v>
      </c>
      <c r="AD580">
        <v>35586529.431107998</v>
      </c>
      <c r="AE580">
        <v>175498545.852171</v>
      </c>
      <c r="AF580">
        <v>0</v>
      </c>
      <c r="AG580">
        <v>81946579.999993995</v>
      </c>
      <c r="AH580" s="342" t="str">
        <f t="shared" ref="AH580:AH643" si="81">IF(AND(M580 = S580, O580 = U580), "", "ATT")</f>
        <v/>
      </c>
      <c r="AI580">
        <v>7040</v>
      </c>
      <c r="AJ580" t="s">
        <v>373</v>
      </c>
      <c r="AK580" t="s">
        <v>1219</v>
      </c>
      <c r="AL580" s="245">
        <f t="shared" ref="AL580:AL643" si="82">V580+(AD580*0.8)</f>
        <v>64055752.975994393</v>
      </c>
      <c r="AM580" s="245">
        <f t="shared" ref="AM580:AM643" si="83">W580+(AE580*0.8)</f>
        <v>315897382.53390777</v>
      </c>
      <c r="AN580" s="245">
        <f t="shared" ref="AN580:AN643" si="84">X580+(AF580*0.8)</f>
        <v>0</v>
      </c>
      <c r="AO580" s="245">
        <f t="shared" ref="AO580:AO643" si="85">Y580+(AG580*0.8)</f>
        <v>147503843.99998921</v>
      </c>
      <c r="AR580">
        <v>7040</v>
      </c>
      <c r="AS580" t="s">
        <v>373</v>
      </c>
      <c r="AT580" t="s">
        <v>1219</v>
      </c>
      <c r="AU580">
        <v>11801542.313325001</v>
      </c>
      <c r="AW580">
        <v>7040</v>
      </c>
      <c r="AX580" t="s">
        <v>373</v>
      </c>
      <c r="AY580" t="s">
        <v>1219</v>
      </c>
      <c r="AZ580">
        <v>25370464.967771001</v>
      </c>
      <c r="BA580" s="342" t="str">
        <f t="shared" si="79"/>
        <v/>
      </c>
      <c r="BB580">
        <v>7040</v>
      </c>
      <c r="BC580" t="s">
        <v>373</v>
      </c>
      <c r="BD580" t="s">
        <v>1219</v>
      </c>
      <c r="BE580" s="243">
        <f t="shared" si="80"/>
        <v>32097914.287541807</v>
      </c>
    </row>
    <row r="581" spans="1:57">
      <c r="A581">
        <v>7040</v>
      </c>
      <c r="B581" t="s">
        <v>373</v>
      </c>
      <c r="C581" t="s">
        <v>1220</v>
      </c>
      <c r="D581">
        <v>150582382.18659201</v>
      </c>
      <c r="E581">
        <v>0</v>
      </c>
      <c r="G581">
        <v>7040</v>
      </c>
      <c r="H581" t="s">
        <v>373</v>
      </c>
      <c r="I581" t="s">
        <v>1220</v>
      </c>
      <c r="J581">
        <v>121051724.591087</v>
      </c>
      <c r="K581">
        <v>0</v>
      </c>
      <c r="L581" s="342" t="str">
        <f t="shared" ref="L581:L644" si="86">IF(AND(A581 = G581, C581 = I581), "", "ATT")</f>
        <v/>
      </c>
      <c r="M581" s="243">
        <v>7040</v>
      </c>
      <c r="N581" s="243" t="s">
        <v>373</v>
      </c>
      <c r="O581" s="243" t="s">
        <v>1220</v>
      </c>
      <c r="P581" s="243">
        <f t="shared" ref="P581:P644" si="87">D581+(J581*0.8)</f>
        <v>247423761.85946161</v>
      </c>
      <c r="S581">
        <v>7040</v>
      </c>
      <c r="T581" t="s">
        <v>373</v>
      </c>
      <c r="U581" t="s">
        <v>1220</v>
      </c>
      <c r="V581">
        <v>39876755.023332</v>
      </c>
      <c r="W581">
        <v>196988118.84216499</v>
      </c>
      <c r="X581">
        <v>2766577.7777769999</v>
      </c>
      <c r="Y581">
        <v>44191458.657775998</v>
      </c>
      <c r="AA581">
        <v>7040</v>
      </c>
      <c r="AB581" t="s">
        <v>373</v>
      </c>
      <c r="AC581" t="s">
        <v>1220</v>
      </c>
      <c r="AD581">
        <v>39876755.023332</v>
      </c>
      <c r="AE581">
        <v>196988118.84216499</v>
      </c>
      <c r="AF581">
        <v>2766577.7777769999</v>
      </c>
      <c r="AG581">
        <v>44191458.657775998</v>
      </c>
      <c r="AH581" s="342" t="str">
        <f t="shared" si="81"/>
        <v/>
      </c>
      <c r="AI581">
        <v>7040</v>
      </c>
      <c r="AJ581" t="s">
        <v>373</v>
      </c>
      <c r="AK581" t="s">
        <v>1220</v>
      </c>
      <c r="AL581" s="245">
        <f t="shared" si="82"/>
        <v>71778159.041997597</v>
      </c>
      <c r="AM581" s="245">
        <f t="shared" si="83"/>
        <v>354578613.91589701</v>
      </c>
      <c r="AN581" s="245">
        <f t="shared" si="84"/>
        <v>4979839.9999985993</v>
      </c>
      <c r="AO581" s="245">
        <f t="shared" si="85"/>
        <v>79544625.583996803</v>
      </c>
      <c r="AR581">
        <v>7040</v>
      </c>
      <c r="AS581" t="s">
        <v>373</v>
      </c>
      <c r="AT581" t="s">
        <v>1220</v>
      </c>
      <c r="AU581">
        <v>39785872.889986999</v>
      </c>
      <c r="AW581">
        <v>7040</v>
      </c>
      <c r="AX581" t="s">
        <v>373</v>
      </c>
      <c r="AY581" t="s">
        <v>1220</v>
      </c>
      <c r="AZ581">
        <v>27941746.856662001</v>
      </c>
      <c r="BA581" s="342" t="str">
        <f t="shared" ref="BA581:BA644" si="88">IF(AND(AR581 = AW581, AT581 = AY581), "", "ATT")</f>
        <v/>
      </c>
      <c r="BB581">
        <v>7040</v>
      </c>
      <c r="BC581" t="s">
        <v>373</v>
      </c>
      <c r="BD581" t="s">
        <v>1220</v>
      </c>
      <c r="BE581" s="243">
        <f t="shared" ref="BE581:BE644" si="89">AU581+(0.8*AZ581)</f>
        <v>62139270.375316605</v>
      </c>
    </row>
    <row r="582" spans="1:57">
      <c r="A582">
        <v>7050</v>
      </c>
      <c r="B582" t="s">
        <v>374</v>
      </c>
      <c r="C582" t="s">
        <v>1808</v>
      </c>
      <c r="D582">
        <v>60289877.312188998</v>
      </c>
      <c r="E582">
        <v>0</v>
      </c>
      <c r="G582">
        <v>7050</v>
      </c>
      <c r="H582" t="s">
        <v>374</v>
      </c>
      <c r="I582" t="s">
        <v>1808</v>
      </c>
      <c r="J582">
        <v>11111780.543328</v>
      </c>
      <c r="K582">
        <v>0</v>
      </c>
      <c r="L582" s="342" t="str">
        <f t="shared" si="86"/>
        <v/>
      </c>
      <c r="M582" s="243">
        <v>7050</v>
      </c>
      <c r="N582" s="243" t="s">
        <v>374</v>
      </c>
      <c r="O582" s="243" t="s">
        <v>1808</v>
      </c>
      <c r="P582" s="243">
        <f t="shared" si="87"/>
        <v>69179301.7468514</v>
      </c>
      <c r="S582">
        <v>7050</v>
      </c>
      <c r="T582" t="s">
        <v>374</v>
      </c>
      <c r="U582" t="s">
        <v>1808</v>
      </c>
      <c r="V582">
        <v>7049698.6799999997</v>
      </c>
      <c r="W582">
        <v>83307954.012199</v>
      </c>
      <c r="X582">
        <v>0</v>
      </c>
      <c r="Y582">
        <v>4654166.6666660002</v>
      </c>
      <c r="AA582">
        <v>7050</v>
      </c>
      <c r="AB582" t="s">
        <v>374</v>
      </c>
      <c r="AC582" t="s">
        <v>1808</v>
      </c>
      <c r="AD582">
        <v>7049698.6799999997</v>
      </c>
      <c r="AE582">
        <v>83307954.012199</v>
      </c>
      <c r="AF582">
        <v>0</v>
      </c>
      <c r="AG582">
        <v>4654166.6666660002</v>
      </c>
      <c r="AH582" s="342" t="str">
        <f t="shared" si="81"/>
        <v/>
      </c>
      <c r="AI582">
        <v>7050</v>
      </c>
      <c r="AJ582" t="s">
        <v>374</v>
      </c>
      <c r="AK582" t="s">
        <v>1808</v>
      </c>
      <c r="AL582" s="245">
        <f t="shared" si="82"/>
        <v>12689457.624</v>
      </c>
      <c r="AM582" s="245">
        <f t="shared" si="83"/>
        <v>149954317.22195822</v>
      </c>
      <c r="AN582" s="245">
        <f t="shared" si="84"/>
        <v>0</v>
      </c>
      <c r="AO582" s="245">
        <f t="shared" si="85"/>
        <v>8377499.9999988005</v>
      </c>
      <c r="AR582">
        <v>7050</v>
      </c>
      <c r="AS582" t="s">
        <v>374</v>
      </c>
      <c r="AT582" t="s">
        <v>1808</v>
      </c>
      <c r="AU582">
        <v>9701909.0266570002</v>
      </c>
      <c r="AW582">
        <v>7050</v>
      </c>
      <c r="AX582" t="s">
        <v>374</v>
      </c>
      <c r="AY582" t="s">
        <v>1808</v>
      </c>
      <c r="AZ582">
        <v>2577021.141111</v>
      </c>
      <c r="BA582" s="342" t="str">
        <f t="shared" si="88"/>
        <v/>
      </c>
      <c r="BB582">
        <v>7050</v>
      </c>
      <c r="BC582" t="s">
        <v>374</v>
      </c>
      <c r="BD582" t="s">
        <v>1808</v>
      </c>
      <c r="BE582" s="243">
        <f t="shared" si="89"/>
        <v>11763525.939545801</v>
      </c>
    </row>
    <row r="583" spans="1:57">
      <c r="A583">
        <v>7050</v>
      </c>
      <c r="B583" t="s">
        <v>374</v>
      </c>
      <c r="C583" t="s">
        <v>1221</v>
      </c>
      <c r="D583">
        <v>69769277.532184005</v>
      </c>
      <c r="E583">
        <v>0</v>
      </c>
      <c r="G583">
        <v>7050</v>
      </c>
      <c r="H583" t="s">
        <v>374</v>
      </c>
      <c r="I583" t="s">
        <v>1221</v>
      </c>
      <c r="J583">
        <v>111017313.906655</v>
      </c>
      <c r="K583">
        <v>0</v>
      </c>
      <c r="L583" s="342" t="str">
        <f t="shared" si="86"/>
        <v/>
      </c>
      <c r="M583" s="243">
        <v>7050</v>
      </c>
      <c r="N583" s="243" t="s">
        <v>374</v>
      </c>
      <c r="O583" s="243" t="s">
        <v>1221</v>
      </c>
      <c r="P583" s="243">
        <f t="shared" si="87"/>
        <v>158583128.65750802</v>
      </c>
      <c r="S583">
        <v>7050</v>
      </c>
      <c r="T583" t="s">
        <v>374</v>
      </c>
      <c r="U583" t="s">
        <v>1221</v>
      </c>
      <c r="V583">
        <v>31052913.109999001</v>
      </c>
      <c r="W583">
        <v>123846776.023306</v>
      </c>
      <c r="X583">
        <v>0</v>
      </c>
      <c r="Y583">
        <v>1728019.999999</v>
      </c>
      <c r="AA583">
        <v>7050</v>
      </c>
      <c r="AB583" t="s">
        <v>374</v>
      </c>
      <c r="AC583" t="s">
        <v>1221</v>
      </c>
      <c r="AD583">
        <v>31052913.109999001</v>
      </c>
      <c r="AE583">
        <v>123846776.023306</v>
      </c>
      <c r="AF583">
        <v>0</v>
      </c>
      <c r="AG583">
        <v>1728019.999999</v>
      </c>
      <c r="AH583" s="342" t="str">
        <f t="shared" si="81"/>
        <v/>
      </c>
      <c r="AI583">
        <v>7050</v>
      </c>
      <c r="AJ583" t="s">
        <v>374</v>
      </c>
      <c r="AK583" t="s">
        <v>1221</v>
      </c>
      <c r="AL583" s="245">
        <f t="shared" si="82"/>
        <v>55895243.597998202</v>
      </c>
      <c r="AM583" s="245">
        <f t="shared" si="83"/>
        <v>222924196.8419508</v>
      </c>
      <c r="AN583" s="245">
        <f t="shared" si="84"/>
        <v>0</v>
      </c>
      <c r="AO583" s="245">
        <f t="shared" si="85"/>
        <v>3110435.9999981998</v>
      </c>
      <c r="AR583">
        <v>7050</v>
      </c>
      <c r="AS583" t="s">
        <v>374</v>
      </c>
      <c r="AT583" t="s">
        <v>1221</v>
      </c>
      <c r="AU583">
        <v>5624774.1599930003</v>
      </c>
      <c r="AW583">
        <v>7050</v>
      </c>
      <c r="AX583" t="s">
        <v>374</v>
      </c>
      <c r="AY583" t="s">
        <v>1221</v>
      </c>
      <c r="AZ583">
        <v>6970459.3166629998</v>
      </c>
      <c r="BA583" s="342" t="str">
        <f t="shared" si="88"/>
        <v/>
      </c>
      <c r="BB583">
        <v>7050</v>
      </c>
      <c r="BC583" t="s">
        <v>374</v>
      </c>
      <c r="BD583" t="s">
        <v>1221</v>
      </c>
      <c r="BE583" s="243">
        <f t="shared" si="89"/>
        <v>11201141.613323402</v>
      </c>
    </row>
    <row r="584" spans="1:57">
      <c r="A584">
        <v>7050</v>
      </c>
      <c r="B584" t="s">
        <v>374</v>
      </c>
      <c r="C584" t="s">
        <v>1222</v>
      </c>
      <c r="D584">
        <v>507440416.19543099</v>
      </c>
      <c r="E584">
        <v>0</v>
      </c>
      <c r="G584">
        <v>7050</v>
      </c>
      <c r="H584" t="s">
        <v>374</v>
      </c>
      <c r="I584" t="s">
        <v>1222</v>
      </c>
      <c r="J584">
        <v>281662622.35330498</v>
      </c>
      <c r="K584">
        <v>0</v>
      </c>
      <c r="L584" s="342" t="str">
        <f t="shared" si="86"/>
        <v/>
      </c>
      <c r="M584" s="243">
        <v>7050</v>
      </c>
      <c r="N584" s="243" t="s">
        <v>374</v>
      </c>
      <c r="O584" s="243" t="s">
        <v>1222</v>
      </c>
      <c r="P584" s="243">
        <f t="shared" si="87"/>
        <v>732770514.07807493</v>
      </c>
      <c r="S584">
        <v>7050</v>
      </c>
      <c r="T584" t="s">
        <v>374</v>
      </c>
      <c r="U584" t="s">
        <v>1222</v>
      </c>
      <c r="V584">
        <v>37510101.542221002</v>
      </c>
      <c r="W584">
        <v>184692990.15773401</v>
      </c>
      <c r="X584">
        <v>0</v>
      </c>
      <c r="Y584">
        <v>10325807.499999</v>
      </c>
      <c r="AA584">
        <v>7050</v>
      </c>
      <c r="AB584" t="s">
        <v>374</v>
      </c>
      <c r="AC584" t="s">
        <v>1222</v>
      </c>
      <c r="AD584">
        <v>37510101.542221002</v>
      </c>
      <c r="AE584">
        <v>184692990.15773401</v>
      </c>
      <c r="AF584">
        <v>0</v>
      </c>
      <c r="AG584">
        <v>10325807.499999</v>
      </c>
      <c r="AH584" s="342" t="str">
        <f t="shared" si="81"/>
        <v/>
      </c>
      <c r="AI584">
        <v>7050</v>
      </c>
      <c r="AJ584" t="s">
        <v>374</v>
      </c>
      <c r="AK584" t="s">
        <v>1222</v>
      </c>
      <c r="AL584" s="245">
        <f t="shared" si="82"/>
        <v>67518182.775997803</v>
      </c>
      <c r="AM584" s="245">
        <f t="shared" si="83"/>
        <v>332447382.28392124</v>
      </c>
      <c r="AN584" s="245">
        <f t="shared" si="84"/>
        <v>0</v>
      </c>
      <c r="AO584" s="245">
        <f t="shared" si="85"/>
        <v>18586453.499998201</v>
      </c>
      <c r="AR584">
        <v>7050</v>
      </c>
      <c r="AS584" t="s">
        <v>374</v>
      </c>
      <c r="AT584" t="s">
        <v>1222</v>
      </c>
      <c r="AU584">
        <v>97884146.466645002</v>
      </c>
      <c r="AW584">
        <v>7050</v>
      </c>
      <c r="AX584" t="s">
        <v>374</v>
      </c>
      <c r="AY584" t="s">
        <v>1222</v>
      </c>
      <c r="AZ584">
        <v>51074097.529987998</v>
      </c>
      <c r="BA584" s="342" t="str">
        <f t="shared" si="88"/>
        <v/>
      </c>
      <c r="BB584">
        <v>7050</v>
      </c>
      <c r="BC584" t="s">
        <v>374</v>
      </c>
      <c r="BD584" t="s">
        <v>1222</v>
      </c>
      <c r="BE584" s="243">
        <f t="shared" si="89"/>
        <v>138743424.4906354</v>
      </c>
    </row>
    <row r="585" spans="1:57">
      <c r="A585">
        <v>7060</v>
      </c>
      <c r="B585" t="s">
        <v>375</v>
      </c>
      <c r="C585" t="s">
        <v>1239</v>
      </c>
      <c r="D585">
        <v>112148582.094364</v>
      </c>
      <c r="E585">
        <v>0</v>
      </c>
      <c r="G585">
        <v>7060</v>
      </c>
      <c r="H585" t="s">
        <v>375</v>
      </c>
      <c r="I585" t="s">
        <v>1239</v>
      </c>
      <c r="J585">
        <v>56562233.407768004</v>
      </c>
      <c r="K585">
        <v>0</v>
      </c>
      <c r="L585" s="342" t="str">
        <f t="shared" si="86"/>
        <v/>
      </c>
      <c r="M585" s="243">
        <v>7060</v>
      </c>
      <c r="N585" s="243" t="s">
        <v>375</v>
      </c>
      <c r="O585" s="243" t="s">
        <v>1239</v>
      </c>
      <c r="P585" s="243">
        <f t="shared" si="87"/>
        <v>157398368.8205784</v>
      </c>
      <c r="S585">
        <v>7060</v>
      </c>
      <c r="T585" t="s">
        <v>375</v>
      </c>
      <c r="U585" t="s">
        <v>1239</v>
      </c>
      <c r="V585">
        <v>39724551.039999001</v>
      </c>
      <c r="W585">
        <v>119933661.706642</v>
      </c>
      <c r="X585">
        <v>500000</v>
      </c>
      <c r="Y585">
        <v>13747263.222222</v>
      </c>
      <c r="AA585">
        <v>7060</v>
      </c>
      <c r="AB585" t="s">
        <v>375</v>
      </c>
      <c r="AC585" t="s">
        <v>1239</v>
      </c>
      <c r="AD585">
        <v>39724551.039999001</v>
      </c>
      <c r="AE585">
        <v>119933661.706642</v>
      </c>
      <c r="AF585">
        <v>500000</v>
      </c>
      <c r="AG585">
        <v>13747263.222222</v>
      </c>
      <c r="AH585" s="342" t="str">
        <f t="shared" si="81"/>
        <v/>
      </c>
      <c r="AI585">
        <v>7060</v>
      </c>
      <c r="AJ585" t="s">
        <v>375</v>
      </c>
      <c r="AK585" t="s">
        <v>1239</v>
      </c>
      <c r="AL585" s="245">
        <f t="shared" si="82"/>
        <v>71504191.871998206</v>
      </c>
      <c r="AM585" s="245">
        <f t="shared" si="83"/>
        <v>215880591.07195562</v>
      </c>
      <c r="AN585" s="245">
        <f t="shared" si="84"/>
        <v>900000</v>
      </c>
      <c r="AO585" s="245">
        <f t="shared" si="85"/>
        <v>24745073.799999602</v>
      </c>
      <c r="AR585">
        <v>7060</v>
      </c>
      <c r="AS585" t="s">
        <v>375</v>
      </c>
      <c r="AT585" t="s">
        <v>1239</v>
      </c>
      <c r="AU585">
        <v>15499800.762212001</v>
      </c>
      <c r="AW585">
        <v>7060</v>
      </c>
      <c r="AX585" t="s">
        <v>375</v>
      </c>
      <c r="AY585" t="s">
        <v>1239</v>
      </c>
      <c r="AZ585">
        <v>15930133.261104999</v>
      </c>
      <c r="BA585" s="342" t="str">
        <f t="shared" si="88"/>
        <v/>
      </c>
      <c r="BB585">
        <v>7060</v>
      </c>
      <c r="BC585" t="s">
        <v>375</v>
      </c>
      <c r="BD585" t="s">
        <v>1239</v>
      </c>
      <c r="BE585" s="243">
        <f t="shared" si="89"/>
        <v>28243907.371096</v>
      </c>
    </row>
    <row r="586" spans="1:57">
      <c r="A586">
        <v>7060</v>
      </c>
      <c r="B586" t="s">
        <v>375</v>
      </c>
      <c r="C586" t="s">
        <v>1992</v>
      </c>
      <c r="D586">
        <v>230750582.294377</v>
      </c>
      <c r="E586">
        <v>0</v>
      </c>
      <c r="G586">
        <v>7060</v>
      </c>
      <c r="H586" t="s">
        <v>375</v>
      </c>
      <c r="I586" t="s">
        <v>1992</v>
      </c>
      <c r="J586">
        <v>252237872.64330199</v>
      </c>
      <c r="K586">
        <v>0</v>
      </c>
      <c r="L586" s="342" t="str">
        <f t="shared" si="86"/>
        <v/>
      </c>
      <c r="M586" s="243">
        <v>7060</v>
      </c>
      <c r="N586" s="243" t="s">
        <v>375</v>
      </c>
      <c r="O586" s="243" t="s">
        <v>1992</v>
      </c>
      <c r="P586" s="243">
        <f t="shared" si="87"/>
        <v>432540880.40901864</v>
      </c>
      <c r="S586">
        <v>7060</v>
      </c>
      <c r="T586" t="s">
        <v>375</v>
      </c>
      <c r="U586" t="s">
        <v>1992</v>
      </c>
      <c r="V586">
        <v>77771290.955552995</v>
      </c>
      <c r="W586">
        <v>369429053.41331202</v>
      </c>
      <c r="X586">
        <v>2497110</v>
      </c>
      <c r="Y586">
        <v>19036708.617775001</v>
      </c>
      <c r="AA586">
        <v>7060</v>
      </c>
      <c r="AB586" t="s">
        <v>375</v>
      </c>
      <c r="AC586" t="s">
        <v>1992</v>
      </c>
      <c r="AD586">
        <v>77771290.955552995</v>
      </c>
      <c r="AE586">
        <v>369429053.41331202</v>
      </c>
      <c r="AF586">
        <v>2497110</v>
      </c>
      <c r="AG586">
        <v>19036708.617775001</v>
      </c>
      <c r="AH586" s="342" t="str">
        <f t="shared" si="81"/>
        <v/>
      </c>
      <c r="AI586">
        <v>7060</v>
      </c>
      <c r="AJ586" t="s">
        <v>375</v>
      </c>
      <c r="AK586" t="s">
        <v>1992</v>
      </c>
      <c r="AL586" s="245">
        <f t="shared" si="82"/>
        <v>139988323.71999538</v>
      </c>
      <c r="AM586" s="245">
        <f t="shared" si="83"/>
        <v>664972296.14396167</v>
      </c>
      <c r="AN586" s="245">
        <f t="shared" si="84"/>
        <v>4494798</v>
      </c>
      <c r="AO586" s="245">
        <f t="shared" si="85"/>
        <v>34266075.511995003</v>
      </c>
      <c r="AR586">
        <v>7060</v>
      </c>
      <c r="AS586" t="s">
        <v>375</v>
      </c>
      <c r="AT586" t="s">
        <v>1992</v>
      </c>
      <c r="AU586">
        <v>62478731.153313003</v>
      </c>
      <c r="AW586">
        <v>7060</v>
      </c>
      <c r="AX586" t="s">
        <v>375</v>
      </c>
      <c r="AY586" t="s">
        <v>1992</v>
      </c>
      <c r="AZ586">
        <v>46374801.279994003</v>
      </c>
      <c r="BA586" s="342" t="str">
        <f t="shared" si="88"/>
        <v/>
      </c>
      <c r="BB586">
        <v>7060</v>
      </c>
      <c r="BC586" t="s">
        <v>375</v>
      </c>
      <c r="BD586" t="s">
        <v>1992</v>
      </c>
      <c r="BE586" s="243">
        <f t="shared" si="89"/>
        <v>99578572.177308202</v>
      </c>
    </row>
    <row r="587" spans="1:57">
      <c r="A587">
        <v>7060</v>
      </c>
      <c r="B587" t="s">
        <v>375</v>
      </c>
      <c r="C587" t="s">
        <v>1809</v>
      </c>
      <c r="D587">
        <v>118148571.66989399</v>
      </c>
      <c r="E587">
        <v>0</v>
      </c>
      <c r="G587">
        <v>7060</v>
      </c>
      <c r="H587" t="s">
        <v>375</v>
      </c>
      <c r="I587" t="s">
        <v>1809</v>
      </c>
      <c r="J587">
        <v>23380086.234432001</v>
      </c>
      <c r="K587">
        <v>0</v>
      </c>
      <c r="L587" s="342" t="str">
        <f t="shared" si="86"/>
        <v/>
      </c>
      <c r="M587" s="243">
        <v>7060</v>
      </c>
      <c r="N587" s="243" t="s">
        <v>375</v>
      </c>
      <c r="O587" s="243" t="s">
        <v>1809</v>
      </c>
      <c r="P587" s="243">
        <f t="shared" si="87"/>
        <v>136852640.65743959</v>
      </c>
      <c r="S587">
        <v>7060</v>
      </c>
      <c r="T587" t="s">
        <v>375</v>
      </c>
      <c r="U587" t="s">
        <v>1809</v>
      </c>
      <c r="V587">
        <v>53617616.609998003</v>
      </c>
      <c r="W587">
        <v>142652013.28661901</v>
      </c>
      <c r="X587">
        <v>571400</v>
      </c>
      <c r="Y587">
        <v>8365632.1111099999</v>
      </c>
      <c r="AA587">
        <v>7060</v>
      </c>
      <c r="AB587" t="s">
        <v>375</v>
      </c>
      <c r="AC587" t="s">
        <v>1809</v>
      </c>
      <c r="AD587">
        <v>53617616.609998003</v>
      </c>
      <c r="AE587">
        <v>142652013.28661901</v>
      </c>
      <c r="AF587">
        <v>571400</v>
      </c>
      <c r="AG587">
        <v>8365632.1111099999</v>
      </c>
      <c r="AH587" s="342" t="str">
        <f t="shared" si="81"/>
        <v/>
      </c>
      <c r="AI587">
        <v>7060</v>
      </c>
      <c r="AJ587" t="s">
        <v>375</v>
      </c>
      <c r="AK587" t="s">
        <v>1809</v>
      </c>
      <c r="AL587" s="245">
        <f t="shared" si="82"/>
        <v>96511709.897996411</v>
      </c>
      <c r="AM587" s="245">
        <f t="shared" si="83"/>
        <v>256773623.91591424</v>
      </c>
      <c r="AN587" s="245">
        <f t="shared" si="84"/>
        <v>1028520</v>
      </c>
      <c r="AO587" s="245">
        <f t="shared" si="85"/>
        <v>15058137.799998</v>
      </c>
      <c r="AR587">
        <v>7060</v>
      </c>
      <c r="AS587" t="s">
        <v>375</v>
      </c>
      <c r="AT587" t="s">
        <v>1809</v>
      </c>
      <c r="AU587">
        <v>8555216.738876</v>
      </c>
      <c r="AW587">
        <v>7060</v>
      </c>
      <c r="AX587" t="s">
        <v>375</v>
      </c>
      <c r="AY587" t="s">
        <v>1809</v>
      </c>
      <c r="AZ587">
        <v>36198475.01111</v>
      </c>
      <c r="BA587" s="342" t="str">
        <f t="shared" si="88"/>
        <v/>
      </c>
      <c r="BB587">
        <v>7060</v>
      </c>
      <c r="BC587" t="s">
        <v>375</v>
      </c>
      <c r="BD587" t="s">
        <v>1809</v>
      </c>
      <c r="BE587" s="243">
        <f t="shared" si="89"/>
        <v>37513996.747764006</v>
      </c>
    </row>
    <row r="588" spans="1:57">
      <c r="A588">
        <v>7070</v>
      </c>
      <c r="B588" t="s">
        <v>376</v>
      </c>
      <c r="C588" t="s">
        <v>1217</v>
      </c>
      <c r="D588">
        <v>206799191.22440901</v>
      </c>
      <c r="E588">
        <v>0</v>
      </c>
      <c r="G588">
        <v>7070</v>
      </c>
      <c r="H588" t="s">
        <v>376</v>
      </c>
      <c r="I588" t="s">
        <v>1217</v>
      </c>
      <c r="J588">
        <v>108946823.64331999</v>
      </c>
      <c r="K588">
        <v>0</v>
      </c>
      <c r="L588" s="342" t="str">
        <f t="shared" si="86"/>
        <v/>
      </c>
      <c r="M588" s="243">
        <v>7070</v>
      </c>
      <c r="N588" s="243" t="s">
        <v>376</v>
      </c>
      <c r="O588" s="243" t="s">
        <v>1217</v>
      </c>
      <c r="P588" s="243">
        <f t="shared" si="87"/>
        <v>293956650.13906503</v>
      </c>
      <c r="S588">
        <v>7070</v>
      </c>
      <c r="T588" t="s">
        <v>376</v>
      </c>
      <c r="U588" t="s">
        <v>1217</v>
      </c>
      <c r="V588">
        <v>38219452.433332004</v>
      </c>
      <c r="W588">
        <v>134940449.85887</v>
      </c>
      <c r="X588">
        <v>2184777</v>
      </c>
      <c r="Y588">
        <v>40342578.87111</v>
      </c>
      <c r="AA588">
        <v>7070</v>
      </c>
      <c r="AB588" t="s">
        <v>376</v>
      </c>
      <c r="AC588" t="s">
        <v>1217</v>
      </c>
      <c r="AD588">
        <v>38219452.433332004</v>
      </c>
      <c r="AE588">
        <v>134940449.85887</v>
      </c>
      <c r="AF588">
        <v>2184777</v>
      </c>
      <c r="AG588">
        <v>40342578.87111</v>
      </c>
      <c r="AH588" s="342" t="str">
        <f t="shared" si="81"/>
        <v/>
      </c>
      <c r="AI588">
        <v>7070</v>
      </c>
      <c r="AJ588" t="s">
        <v>376</v>
      </c>
      <c r="AK588" t="s">
        <v>1217</v>
      </c>
      <c r="AL588" s="245">
        <f t="shared" si="82"/>
        <v>68795014.379997611</v>
      </c>
      <c r="AM588" s="245">
        <f t="shared" si="83"/>
        <v>242892809.74596602</v>
      </c>
      <c r="AN588" s="245">
        <f t="shared" si="84"/>
        <v>3932598.6</v>
      </c>
      <c r="AO588" s="245">
        <f t="shared" si="85"/>
        <v>72616641.967997998</v>
      </c>
      <c r="AR588">
        <v>7070</v>
      </c>
      <c r="AS588" t="s">
        <v>376</v>
      </c>
      <c r="AT588" t="s">
        <v>1217</v>
      </c>
      <c r="AU588">
        <v>76759398.676655993</v>
      </c>
      <c r="AW588">
        <v>7070</v>
      </c>
      <c r="AX588" t="s">
        <v>376</v>
      </c>
      <c r="AY588" t="s">
        <v>1217</v>
      </c>
      <c r="AZ588">
        <v>146675079.80666199</v>
      </c>
      <c r="BA588" s="342" t="str">
        <f t="shared" si="88"/>
        <v/>
      </c>
      <c r="BB588">
        <v>7070</v>
      </c>
      <c r="BC588" t="s">
        <v>376</v>
      </c>
      <c r="BD588" t="s">
        <v>1217</v>
      </c>
      <c r="BE588" s="243">
        <f t="shared" si="89"/>
        <v>194099462.52198559</v>
      </c>
    </row>
    <row r="589" spans="1:57">
      <c r="A589">
        <v>7070</v>
      </c>
      <c r="B589" t="s">
        <v>376</v>
      </c>
      <c r="C589" t="s">
        <v>1592</v>
      </c>
      <c r="D589">
        <v>119605291.00657199</v>
      </c>
      <c r="E589">
        <v>0</v>
      </c>
      <c r="G589">
        <v>7070</v>
      </c>
      <c r="H589" t="s">
        <v>376</v>
      </c>
      <c r="I589" t="s">
        <v>1592</v>
      </c>
      <c r="J589">
        <v>47095252.571096003</v>
      </c>
      <c r="K589">
        <v>0</v>
      </c>
      <c r="L589" s="342" t="str">
        <f t="shared" si="86"/>
        <v/>
      </c>
      <c r="M589" s="243">
        <v>7070</v>
      </c>
      <c r="N589" s="243" t="s">
        <v>376</v>
      </c>
      <c r="O589" s="243" t="s">
        <v>1592</v>
      </c>
      <c r="P589" s="243">
        <f t="shared" si="87"/>
        <v>157281493.06344879</v>
      </c>
      <c r="S589">
        <v>7070</v>
      </c>
      <c r="T589" t="s">
        <v>376</v>
      </c>
      <c r="U589" t="s">
        <v>1592</v>
      </c>
      <c r="V589">
        <v>37991574.045553997</v>
      </c>
      <c r="W589">
        <v>134983912.33885401</v>
      </c>
      <c r="X589">
        <v>0</v>
      </c>
      <c r="Y589">
        <v>7676305.555555</v>
      </c>
      <c r="AA589">
        <v>7070</v>
      </c>
      <c r="AB589" t="s">
        <v>376</v>
      </c>
      <c r="AC589" t="s">
        <v>1592</v>
      </c>
      <c r="AD589">
        <v>37991574.045553997</v>
      </c>
      <c r="AE589">
        <v>134983912.33885401</v>
      </c>
      <c r="AF589">
        <v>0</v>
      </c>
      <c r="AG589">
        <v>7676305.555555</v>
      </c>
      <c r="AH589" s="342" t="str">
        <f t="shared" si="81"/>
        <v/>
      </c>
      <c r="AI589">
        <v>7070</v>
      </c>
      <c r="AJ589" t="s">
        <v>376</v>
      </c>
      <c r="AK589" t="s">
        <v>1592</v>
      </c>
      <c r="AL589" s="245">
        <f t="shared" si="82"/>
        <v>68384833.281997204</v>
      </c>
      <c r="AM589" s="245">
        <f t="shared" si="83"/>
        <v>242971042.20993721</v>
      </c>
      <c r="AN589" s="245">
        <f t="shared" si="84"/>
        <v>0</v>
      </c>
      <c r="AO589" s="245">
        <f t="shared" si="85"/>
        <v>13817349.999999002</v>
      </c>
      <c r="AR589">
        <v>7070</v>
      </c>
      <c r="AS589" t="s">
        <v>376</v>
      </c>
      <c r="AT589" t="s">
        <v>1592</v>
      </c>
      <c r="AU589">
        <v>16503697.776660999</v>
      </c>
      <c r="AW589">
        <v>7070</v>
      </c>
      <c r="AX589" t="s">
        <v>376</v>
      </c>
      <c r="AY589" t="s">
        <v>1592</v>
      </c>
      <c r="AZ589">
        <v>2537805.7611090001</v>
      </c>
      <c r="BA589" s="342" t="str">
        <f t="shared" si="88"/>
        <v/>
      </c>
      <c r="BB589">
        <v>7070</v>
      </c>
      <c r="BC589" t="s">
        <v>376</v>
      </c>
      <c r="BD589" t="s">
        <v>1592</v>
      </c>
      <c r="BE589" s="243">
        <f t="shared" si="89"/>
        <v>18533942.3855482</v>
      </c>
    </row>
    <row r="590" spans="1:57">
      <c r="A590">
        <v>7070</v>
      </c>
      <c r="B590" t="s">
        <v>376</v>
      </c>
      <c r="C590" t="s">
        <v>1993</v>
      </c>
      <c r="D590">
        <v>53606245.865524001</v>
      </c>
      <c r="E590">
        <v>0</v>
      </c>
      <c r="G590">
        <v>7070</v>
      </c>
      <c r="H590" t="s">
        <v>376</v>
      </c>
      <c r="I590" t="s">
        <v>1993</v>
      </c>
      <c r="J590">
        <v>9088169.7311049998</v>
      </c>
      <c r="K590">
        <v>0</v>
      </c>
      <c r="L590" s="342" t="str">
        <f t="shared" si="86"/>
        <v/>
      </c>
      <c r="M590" s="243">
        <v>7070</v>
      </c>
      <c r="N590" s="243" t="s">
        <v>376</v>
      </c>
      <c r="O590" s="243" t="s">
        <v>1993</v>
      </c>
      <c r="P590" s="243">
        <f t="shared" si="87"/>
        <v>60876781.650408</v>
      </c>
      <c r="S590">
        <v>7070</v>
      </c>
      <c r="T590" t="s">
        <v>376</v>
      </c>
      <c r="U590" t="s">
        <v>1993</v>
      </c>
      <c r="V590">
        <v>39186847.061109997</v>
      </c>
      <c r="W590">
        <v>66593801.999986999</v>
      </c>
      <c r="X590">
        <v>2000000</v>
      </c>
      <c r="Y590">
        <v>4604400</v>
      </c>
      <c r="AA590">
        <v>7070</v>
      </c>
      <c r="AB590" t="s">
        <v>376</v>
      </c>
      <c r="AC590" t="s">
        <v>1993</v>
      </c>
      <c r="AD590">
        <v>39186847.061109997</v>
      </c>
      <c r="AE590">
        <v>66593801.999986999</v>
      </c>
      <c r="AF590">
        <v>2000000</v>
      </c>
      <c r="AG590">
        <v>4604400</v>
      </c>
      <c r="AH590" s="342" t="str">
        <f t="shared" si="81"/>
        <v/>
      </c>
      <c r="AI590">
        <v>7070</v>
      </c>
      <c r="AJ590" t="s">
        <v>376</v>
      </c>
      <c r="AK590" t="s">
        <v>1993</v>
      </c>
      <c r="AL590" s="245">
        <f t="shared" si="82"/>
        <v>70536324.709997997</v>
      </c>
      <c r="AM590" s="245">
        <f t="shared" si="83"/>
        <v>119868843.5999766</v>
      </c>
      <c r="AN590" s="245">
        <f t="shared" si="84"/>
        <v>3600000</v>
      </c>
      <c r="AO590" s="245">
        <f t="shared" si="85"/>
        <v>8287920</v>
      </c>
      <c r="AR590">
        <v>7070</v>
      </c>
      <c r="AS590" t="s">
        <v>376</v>
      </c>
      <c r="AT590" t="s">
        <v>1993</v>
      </c>
      <c r="AU590">
        <v>6530393.5455499999</v>
      </c>
      <c r="AW590">
        <v>7070</v>
      </c>
      <c r="AX590" t="s">
        <v>376</v>
      </c>
      <c r="AY590" t="s">
        <v>1993</v>
      </c>
      <c r="AZ590">
        <v>3772288.9222200001</v>
      </c>
      <c r="BA590" s="342" t="str">
        <f t="shared" si="88"/>
        <v/>
      </c>
      <c r="BB590">
        <v>7070</v>
      </c>
      <c r="BC590" t="s">
        <v>376</v>
      </c>
      <c r="BD590" t="s">
        <v>1993</v>
      </c>
      <c r="BE590" s="243">
        <f t="shared" si="89"/>
        <v>9548224.6833260003</v>
      </c>
    </row>
    <row r="591" spans="1:57">
      <c r="A591">
        <v>7080</v>
      </c>
      <c r="B591" t="s">
        <v>377</v>
      </c>
      <c r="C591" t="s">
        <v>1810</v>
      </c>
      <c r="D591">
        <v>150907614.77882901</v>
      </c>
      <c r="E591">
        <v>0</v>
      </c>
      <c r="G591">
        <v>7080</v>
      </c>
      <c r="H591" t="s">
        <v>377</v>
      </c>
      <c r="I591" t="s">
        <v>1810</v>
      </c>
      <c r="J591">
        <v>121024518.332201</v>
      </c>
      <c r="K591">
        <v>0</v>
      </c>
      <c r="L591" s="342" t="str">
        <f t="shared" si="86"/>
        <v/>
      </c>
      <c r="M591" s="243">
        <v>7080</v>
      </c>
      <c r="N591" s="243" t="s">
        <v>377</v>
      </c>
      <c r="O591" s="243" t="s">
        <v>1810</v>
      </c>
      <c r="P591" s="243">
        <f t="shared" si="87"/>
        <v>247727229.44458982</v>
      </c>
      <c r="S591">
        <v>7080</v>
      </c>
      <c r="T591" t="s">
        <v>377</v>
      </c>
      <c r="U591" t="s">
        <v>1810</v>
      </c>
      <c r="V591">
        <v>29977911.385554001</v>
      </c>
      <c r="W591">
        <v>200879097.027742</v>
      </c>
      <c r="X591">
        <v>0</v>
      </c>
      <c r="Y591">
        <v>21833934.368887</v>
      </c>
      <c r="AA591">
        <v>7080</v>
      </c>
      <c r="AB591" t="s">
        <v>377</v>
      </c>
      <c r="AC591" t="s">
        <v>1810</v>
      </c>
      <c r="AD591">
        <v>29977911.385554001</v>
      </c>
      <c r="AE591">
        <v>200879097.027742</v>
      </c>
      <c r="AF591">
        <v>0</v>
      </c>
      <c r="AG591">
        <v>21833934.368887</v>
      </c>
      <c r="AH591" s="342" t="str">
        <f t="shared" si="81"/>
        <v/>
      </c>
      <c r="AI591">
        <v>7080</v>
      </c>
      <c r="AJ591" t="s">
        <v>377</v>
      </c>
      <c r="AK591" t="s">
        <v>1810</v>
      </c>
      <c r="AL591" s="245">
        <f t="shared" si="82"/>
        <v>53960240.493997201</v>
      </c>
      <c r="AM591" s="245">
        <f t="shared" si="83"/>
        <v>361582374.6499356</v>
      </c>
      <c r="AN591" s="245">
        <f t="shared" si="84"/>
        <v>0</v>
      </c>
      <c r="AO591" s="245">
        <f t="shared" si="85"/>
        <v>39301081.863996595</v>
      </c>
      <c r="AR591">
        <v>7080</v>
      </c>
      <c r="AS591" t="s">
        <v>377</v>
      </c>
      <c r="AT591" t="s">
        <v>1810</v>
      </c>
      <c r="AU591">
        <v>23424089.804432001</v>
      </c>
      <c r="AW591">
        <v>7080</v>
      </c>
      <c r="AX591" t="s">
        <v>377</v>
      </c>
      <c r="AY591" t="s">
        <v>1810</v>
      </c>
      <c r="AZ591">
        <v>7822621.059998</v>
      </c>
      <c r="BA591" s="342" t="str">
        <f t="shared" si="88"/>
        <v/>
      </c>
      <c r="BB591">
        <v>7080</v>
      </c>
      <c r="BC591" t="s">
        <v>377</v>
      </c>
      <c r="BD591" t="s">
        <v>1810</v>
      </c>
      <c r="BE591" s="243">
        <f t="shared" si="89"/>
        <v>29682186.6524304</v>
      </c>
    </row>
    <row r="592" spans="1:57">
      <c r="A592">
        <v>7080</v>
      </c>
      <c r="B592" t="s">
        <v>377</v>
      </c>
      <c r="C592" t="s">
        <v>1224</v>
      </c>
      <c r="D592">
        <v>212874167.72765899</v>
      </c>
      <c r="E592">
        <v>0</v>
      </c>
      <c r="G592">
        <v>7080</v>
      </c>
      <c r="H592" t="s">
        <v>377</v>
      </c>
      <c r="I592" t="s">
        <v>1224</v>
      </c>
      <c r="J592">
        <v>106816381.797748</v>
      </c>
      <c r="K592">
        <v>0</v>
      </c>
      <c r="L592" s="342" t="str">
        <f t="shared" si="86"/>
        <v/>
      </c>
      <c r="M592" s="243">
        <v>7080</v>
      </c>
      <c r="N592" s="243" t="s">
        <v>377</v>
      </c>
      <c r="O592" s="243" t="s">
        <v>1224</v>
      </c>
      <c r="P592" s="243">
        <f t="shared" si="87"/>
        <v>298327273.16585737</v>
      </c>
      <c r="S592">
        <v>7080</v>
      </c>
      <c r="T592" t="s">
        <v>377</v>
      </c>
      <c r="U592" t="s">
        <v>1224</v>
      </c>
      <c r="V592">
        <v>94385005.256660998</v>
      </c>
      <c r="W592">
        <v>287012295.00218099</v>
      </c>
      <c r="X592">
        <v>7148336.6666660002</v>
      </c>
      <c r="Y592">
        <v>52333490.789999001</v>
      </c>
      <c r="AA592">
        <v>7080</v>
      </c>
      <c r="AB592" t="s">
        <v>377</v>
      </c>
      <c r="AC592" t="s">
        <v>1224</v>
      </c>
      <c r="AD592">
        <v>94385005.256660998</v>
      </c>
      <c r="AE592">
        <v>287012295.00218099</v>
      </c>
      <c r="AF592">
        <v>7148336.6666660002</v>
      </c>
      <c r="AG592">
        <v>52333490.789999001</v>
      </c>
      <c r="AH592" s="342" t="str">
        <f t="shared" si="81"/>
        <v/>
      </c>
      <c r="AI592">
        <v>7080</v>
      </c>
      <c r="AJ592" t="s">
        <v>377</v>
      </c>
      <c r="AK592" t="s">
        <v>1224</v>
      </c>
      <c r="AL592" s="245">
        <f t="shared" si="82"/>
        <v>169893009.46198982</v>
      </c>
      <c r="AM592" s="245">
        <f t="shared" si="83"/>
        <v>516622131.0039258</v>
      </c>
      <c r="AN592" s="245">
        <f t="shared" si="84"/>
        <v>12867005.9999988</v>
      </c>
      <c r="AO592" s="245">
        <f t="shared" si="85"/>
        <v>94200283.421998203</v>
      </c>
      <c r="AR592">
        <v>7080</v>
      </c>
      <c r="AS592" t="s">
        <v>377</v>
      </c>
      <c r="AT592" t="s">
        <v>1224</v>
      </c>
      <c r="AU592">
        <v>60982547.373319</v>
      </c>
      <c r="AW592">
        <v>7080</v>
      </c>
      <c r="AX592" t="s">
        <v>377</v>
      </c>
      <c r="AY592" t="s">
        <v>1224</v>
      </c>
      <c r="AZ592">
        <v>76170594.272217005</v>
      </c>
      <c r="BA592" s="342" t="str">
        <f t="shared" si="88"/>
        <v/>
      </c>
      <c r="BB592">
        <v>7080</v>
      </c>
      <c r="BC592" t="s">
        <v>377</v>
      </c>
      <c r="BD592" t="s">
        <v>1224</v>
      </c>
      <c r="BE592" s="243">
        <f t="shared" si="89"/>
        <v>121919022.7910926</v>
      </c>
    </row>
    <row r="593" spans="1:57">
      <c r="A593">
        <v>7090</v>
      </c>
      <c r="B593" t="s">
        <v>378</v>
      </c>
      <c r="C593" t="s">
        <v>1226</v>
      </c>
      <c r="D593">
        <v>131692477.00773101</v>
      </c>
      <c r="E593">
        <v>0</v>
      </c>
      <c r="G593">
        <v>7090</v>
      </c>
      <c r="H593" t="s">
        <v>378</v>
      </c>
      <c r="I593" t="s">
        <v>1226</v>
      </c>
      <c r="J593">
        <v>233522532.568876</v>
      </c>
      <c r="K593">
        <v>0</v>
      </c>
      <c r="L593" s="342" t="str">
        <f t="shared" si="86"/>
        <v/>
      </c>
      <c r="M593" s="243">
        <v>7090</v>
      </c>
      <c r="N593" s="243" t="s">
        <v>378</v>
      </c>
      <c r="O593" s="243" t="s">
        <v>1226</v>
      </c>
      <c r="P593" s="243">
        <f t="shared" si="87"/>
        <v>318510503.06283182</v>
      </c>
      <c r="S593">
        <v>7090</v>
      </c>
      <c r="T593" t="s">
        <v>378</v>
      </c>
      <c r="U593" t="s">
        <v>1226</v>
      </c>
      <c r="V593">
        <v>73662707.979999006</v>
      </c>
      <c r="W593">
        <v>184637642.35330901</v>
      </c>
      <c r="X593">
        <v>3318500</v>
      </c>
      <c r="Y593">
        <v>20603666.111111</v>
      </c>
      <c r="AA593">
        <v>7090</v>
      </c>
      <c r="AB593" t="s">
        <v>378</v>
      </c>
      <c r="AC593" t="s">
        <v>1226</v>
      </c>
      <c r="AD593">
        <v>73662707.979999006</v>
      </c>
      <c r="AE593">
        <v>184637642.35330901</v>
      </c>
      <c r="AF593">
        <v>3318500</v>
      </c>
      <c r="AG593">
        <v>20603666.111111</v>
      </c>
      <c r="AH593" s="342" t="str">
        <f t="shared" si="81"/>
        <v/>
      </c>
      <c r="AI593">
        <v>7090</v>
      </c>
      <c r="AJ593" t="s">
        <v>378</v>
      </c>
      <c r="AK593" t="s">
        <v>1226</v>
      </c>
      <c r="AL593" s="245">
        <f t="shared" si="82"/>
        <v>132592874.3639982</v>
      </c>
      <c r="AM593" s="245">
        <f t="shared" si="83"/>
        <v>332347756.23595619</v>
      </c>
      <c r="AN593" s="245">
        <f t="shared" si="84"/>
        <v>5973300</v>
      </c>
      <c r="AO593" s="245">
        <f t="shared" si="85"/>
        <v>37086598.999999799</v>
      </c>
      <c r="AR593">
        <v>7090</v>
      </c>
      <c r="AS593" t="s">
        <v>378</v>
      </c>
      <c r="AT593" t="s">
        <v>1226</v>
      </c>
      <c r="AU593">
        <v>18089622.838884</v>
      </c>
      <c r="AW593">
        <v>7090</v>
      </c>
      <c r="AX593" t="s">
        <v>378</v>
      </c>
      <c r="AY593" t="s">
        <v>1226</v>
      </c>
      <c r="AZ593">
        <v>119722254.404441</v>
      </c>
      <c r="BA593" s="342" t="str">
        <f t="shared" si="88"/>
        <v/>
      </c>
      <c r="BB593">
        <v>7090</v>
      </c>
      <c r="BC593" t="s">
        <v>378</v>
      </c>
      <c r="BD593" t="s">
        <v>1226</v>
      </c>
      <c r="BE593" s="243">
        <f t="shared" si="89"/>
        <v>113867426.3624368</v>
      </c>
    </row>
    <row r="594" spans="1:57">
      <c r="A594">
        <v>7090</v>
      </c>
      <c r="B594" t="s">
        <v>378</v>
      </c>
      <c r="C594" t="s">
        <v>1811</v>
      </c>
      <c r="D594">
        <v>72868112.187721997</v>
      </c>
      <c r="E594">
        <v>0</v>
      </c>
      <c r="G594">
        <v>7090</v>
      </c>
      <c r="H594" t="s">
        <v>378</v>
      </c>
      <c r="I594" t="s">
        <v>1811</v>
      </c>
      <c r="J594">
        <v>21204211.784433998</v>
      </c>
      <c r="K594">
        <v>0</v>
      </c>
      <c r="L594" s="342" t="str">
        <f t="shared" si="86"/>
        <v/>
      </c>
      <c r="M594" s="243">
        <v>7090</v>
      </c>
      <c r="N594" s="243" t="s">
        <v>378</v>
      </c>
      <c r="O594" s="243" t="s">
        <v>1811</v>
      </c>
      <c r="P594" s="243">
        <f t="shared" si="87"/>
        <v>89831481.615269199</v>
      </c>
      <c r="S594">
        <v>7090</v>
      </c>
      <c r="T594" t="s">
        <v>378</v>
      </c>
      <c r="U594" t="s">
        <v>1811</v>
      </c>
      <c r="V594">
        <v>38074928.202220999</v>
      </c>
      <c r="W594">
        <v>74895394.441084996</v>
      </c>
      <c r="X594">
        <v>0</v>
      </c>
      <c r="Y594">
        <v>5763000</v>
      </c>
      <c r="AA594">
        <v>7090</v>
      </c>
      <c r="AB594" t="s">
        <v>378</v>
      </c>
      <c r="AC594" t="s">
        <v>1811</v>
      </c>
      <c r="AD594">
        <v>38074928.202220999</v>
      </c>
      <c r="AE594">
        <v>74895394.441084996</v>
      </c>
      <c r="AF594">
        <v>0</v>
      </c>
      <c r="AG594">
        <v>5763000</v>
      </c>
      <c r="AH594" s="342" t="str">
        <f t="shared" si="81"/>
        <v/>
      </c>
      <c r="AI594">
        <v>7090</v>
      </c>
      <c r="AJ594" t="s">
        <v>378</v>
      </c>
      <c r="AK594" t="s">
        <v>1811</v>
      </c>
      <c r="AL594" s="245">
        <f t="shared" si="82"/>
        <v>68534870.763997793</v>
      </c>
      <c r="AM594" s="245">
        <f t="shared" si="83"/>
        <v>134811709.99395299</v>
      </c>
      <c r="AN594" s="245">
        <f t="shared" si="84"/>
        <v>0</v>
      </c>
      <c r="AO594" s="245">
        <f t="shared" si="85"/>
        <v>10373400</v>
      </c>
      <c r="AR594">
        <v>7090</v>
      </c>
      <c r="AS594" t="s">
        <v>378</v>
      </c>
      <c r="AT594" t="s">
        <v>1811</v>
      </c>
      <c r="AU594">
        <v>943581.50555</v>
      </c>
      <c r="AW594">
        <v>7090</v>
      </c>
      <c r="AX594" t="s">
        <v>378</v>
      </c>
      <c r="AY594" t="s">
        <v>1811</v>
      </c>
      <c r="AZ594">
        <v>1356098.0055539999</v>
      </c>
      <c r="BA594" s="342" t="str">
        <f t="shared" si="88"/>
        <v/>
      </c>
      <c r="BB594">
        <v>7090</v>
      </c>
      <c r="BC594" t="s">
        <v>378</v>
      </c>
      <c r="BD594" t="s">
        <v>1811</v>
      </c>
      <c r="BE594" s="243">
        <f t="shared" si="89"/>
        <v>2028459.9099932001</v>
      </c>
    </row>
    <row r="595" spans="1:57">
      <c r="A595">
        <v>7090</v>
      </c>
      <c r="B595" t="s">
        <v>378</v>
      </c>
      <c r="C595" t="s">
        <v>1225</v>
      </c>
      <c r="D595">
        <v>235160950.98884201</v>
      </c>
      <c r="E595">
        <v>0</v>
      </c>
      <c r="G595">
        <v>7090</v>
      </c>
      <c r="H595" t="s">
        <v>378</v>
      </c>
      <c r="I595" t="s">
        <v>1225</v>
      </c>
      <c r="J595">
        <v>188075598.85776001</v>
      </c>
      <c r="K595">
        <v>0</v>
      </c>
      <c r="L595" s="342" t="str">
        <f t="shared" si="86"/>
        <v/>
      </c>
      <c r="M595" s="243">
        <v>7090</v>
      </c>
      <c r="N595" s="243" t="s">
        <v>378</v>
      </c>
      <c r="O595" s="243" t="s">
        <v>1225</v>
      </c>
      <c r="P595" s="243">
        <f t="shared" si="87"/>
        <v>385621430.07505</v>
      </c>
      <c r="S595">
        <v>7090</v>
      </c>
      <c r="T595" t="s">
        <v>378</v>
      </c>
      <c r="U595" t="s">
        <v>1225</v>
      </c>
      <c r="V595">
        <v>37075535.396664999</v>
      </c>
      <c r="W595">
        <v>166196059.66219601</v>
      </c>
      <c r="X595">
        <v>1500000</v>
      </c>
      <c r="Y595">
        <v>10620369.5</v>
      </c>
      <c r="AA595">
        <v>7090</v>
      </c>
      <c r="AB595" t="s">
        <v>378</v>
      </c>
      <c r="AC595" t="s">
        <v>1225</v>
      </c>
      <c r="AD595">
        <v>37075535.396664999</v>
      </c>
      <c r="AE595">
        <v>166196059.66219601</v>
      </c>
      <c r="AF595">
        <v>1500000</v>
      </c>
      <c r="AG595">
        <v>10620369.5</v>
      </c>
      <c r="AH595" s="342" t="str">
        <f t="shared" si="81"/>
        <v/>
      </c>
      <c r="AI595">
        <v>7090</v>
      </c>
      <c r="AJ595" t="s">
        <v>378</v>
      </c>
      <c r="AK595" t="s">
        <v>1225</v>
      </c>
      <c r="AL595" s="245">
        <f t="shared" si="82"/>
        <v>66735963.713996999</v>
      </c>
      <c r="AM595" s="245">
        <f t="shared" si="83"/>
        <v>299152907.39195281</v>
      </c>
      <c r="AN595" s="245">
        <f t="shared" si="84"/>
        <v>2700000</v>
      </c>
      <c r="AO595" s="245">
        <f t="shared" si="85"/>
        <v>19116665.100000001</v>
      </c>
      <c r="AR595">
        <v>7090</v>
      </c>
      <c r="AS595" t="s">
        <v>378</v>
      </c>
      <c r="AT595" t="s">
        <v>1225</v>
      </c>
      <c r="AU595">
        <v>104123176.569989</v>
      </c>
      <c r="AW595">
        <v>7090</v>
      </c>
      <c r="AX595" t="s">
        <v>378</v>
      </c>
      <c r="AY595" t="s">
        <v>1225</v>
      </c>
      <c r="AZ595">
        <v>116696220.374437</v>
      </c>
      <c r="BA595" s="342" t="str">
        <f t="shared" si="88"/>
        <v/>
      </c>
      <c r="BB595">
        <v>7090</v>
      </c>
      <c r="BC595" t="s">
        <v>378</v>
      </c>
      <c r="BD595" t="s">
        <v>1225</v>
      </c>
      <c r="BE595" s="243">
        <f t="shared" si="89"/>
        <v>197480152.86953861</v>
      </c>
    </row>
    <row r="596" spans="1:57">
      <c r="A596">
        <v>7090</v>
      </c>
      <c r="B596" t="s">
        <v>378</v>
      </c>
      <c r="C596" t="s">
        <v>1812</v>
      </c>
      <c r="D596">
        <v>92345149.245482996</v>
      </c>
      <c r="E596">
        <v>0</v>
      </c>
      <c r="G596">
        <v>7090</v>
      </c>
      <c r="H596" t="s">
        <v>378</v>
      </c>
      <c r="I596" t="s">
        <v>1812</v>
      </c>
      <c r="J596">
        <v>24878160.405538999</v>
      </c>
      <c r="K596">
        <v>0</v>
      </c>
      <c r="L596" s="342" t="str">
        <f t="shared" si="86"/>
        <v/>
      </c>
      <c r="M596" s="243">
        <v>7090</v>
      </c>
      <c r="N596" s="243" t="s">
        <v>378</v>
      </c>
      <c r="O596" s="243" t="s">
        <v>1812</v>
      </c>
      <c r="P596" s="243">
        <f t="shared" si="87"/>
        <v>112247677.56991419</v>
      </c>
      <c r="S596">
        <v>7090</v>
      </c>
      <c r="T596" t="s">
        <v>378</v>
      </c>
      <c r="U596" t="s">
        <v>1812</v>
      </c>
      <c r="V596">
        <v>28737569.176665001</v>
      </c>
      <c r="W596">
        <v>80011841.322205007</v>
      </c>
      <c r="X596">
        <v>1005208.6</v>
      </c>
      <c r="Y596">
        <v>15690458.333331</v>
      </c>
      <c r="AA596">
        <v>7090</v>
      </c>
      <c r="AB596" t="s">
        <v>378</v>
      </c>
      <c r="AC596" t="s">
        <v>1812</v>
      </c>
      <c r="AD596">
        <v>28737569.176665001</v>
      </c>
      <c r="AE596">
        <v>80011841.322205007</v>
      </c>
      <c r="AF596">
        <v>1005208.6</v>
      </c>
      <c r="AG596">
        <v>15690458.333331</v>
      </c>
      <c r="AH596" s="342" t="str">
        <f t="shared" si="81"/>
        <v/>
      </c>
      <c r="AI596">
        <v>7090</v>
      </c>
      <c r="AJ596" t="s">
        <v>378</v>
      </c>
      <c r="AK596" t="s">
        <v>1812</v>
      </c>
      <c r="AL596" s="245">
        <f t="shared" si="82"/>
        <v>51727624.517997004</v>
      </c>
      <c r="AM596" s="245">
        <f t="shared" si="83"/>
        <v>144021314.379969</v>
      </c>
      <c r="AN596" s="245">
        <f t="shared" si="84"/>
        <v>1809375.48</v>
      </c>
      <c r="AO596" s="245">
        <f t="shared" si="85"/>
        <v>28242824.999995802</v>
      </c>
      <c r="AR596">
        <v>7090</v>
      </c>
      <c r="AS596" t="s">
        <v>378</v>
      </c>
      <c r="AT596" t="s">
        <v>1812</v>
      </c>
      <c r="AU596">
        <v>8938898.8255439997</v>
      </c>
      <c r="AW596">
        <v>7090</v>
      </c>
      <c r="AX596" t="s">
        <v>378</v>
      </c>
      <c r="AY596" t="s">
        <v>1812</v>
      </c>
      <c r="AZ596">
        <v>3366530.2722180001</v>
      </c>
      <c r="BA596" s="342" t="str">
        <f t="shared" si="88"/>
        <v/>
      </c>
      <c r="BB596">
        <v>7090</v>
      </c>
      <c r="BC596" t="s">
        <v>378</v>
      </c>
      <c r="BD596" t="s">
        <v>1812</v>
      </c>
      <c r="BE596" s="243">
        <f t="shared" si="89"/>
        <v>11632123.0433184</v>
      </c>
    </row>
    <row r="597" spans="1:57">
      <c r="A597">
        <v>7100</v>
      </c>
      <c r="B597" t="s">
        <v>379</v>
      </c>
      <c r="C597" t="s">
        <v>1223</v>
      </c>
      <c r="D597">
        <v>98121153.326618001</v>
      </c>
      <c r="E597">
        <v>0</v>
      </c>
      <c r="G597">
        <v>7100</v>
      </c>
      <c r="H597" t="s">
        <v>379</v>
      </c>
      <c r="I597" t="s">
        <v>1223</v>
      </c>
      <c r="J597">
        <v>68727290.508876994</v>
      </c>
      <c r="K597">
        <v>0</v>
      </c>
      <c r="L597" s="342" t="str">
        <f t="shared" si="86"/>
        <v/>
      </c>
      <c r="M597" s="243">
        <v>7100</v>
      </c>
      <c r="N597" s="243" t="s">
        <v>379</v>
      </c>
      <c r="O597" s="243" t="s">
        <v>1223</v>
      </c>
      <c r="P597" s="243">
        <f t="shared" si="87"/>
        <v>153102985.73371959</v>
      </c>
      <c r="S597">
        <v>7100</v>
      </c>
      <c r="T597" t="s">
        <v>379</v>
      </c>
      <c r="U597" t="s">
        <v>1223</v>
      </c>
      <c r="V597">
        <v>7308616.2000000002</v>
      </c>
      <c r="W597">
        <v>152920292.78443199</v>
      </c>
      <c r="X597">
        <v>0</v>
      </c>
      <c r="Y597">
        <v>13772033.938888</v>
      </c>
      <c r="AA597">
        <v>7100</v>
      </c>
      <c r="AB597" t="s">
        <v>379</v>
      </c>
      <c r="AC597" t="s">
        <v>1223</v>
      </c>
      <c r="AD597">
        <v>7308616.2000000002</v>
      </c>
      <c r="AE597">
        <v>152920292.78443199</v>
      </c>
      <c r="AF597">
        <v>0</v>
      </c>
      <c r="AG597">
        <v>13772033.938888</v>
      </c>
      <c r="AH597" s="342" t="str">
        <f t="shared" si="81"/>
        <v/>
      </c>
      <c r="AI597">
        <v>7100</v>
      </c>
      <c r="AJ597" t="s">
        <v>379</v>
      </c>
      <c r="AK597" t="s">
        <v>1223</v>
      </c>
      <c r="AL597" s="245">
        <f t="shared" si="82"/>
        <v>13155509.16</v>
      </c>
      <c r="AM597" s="245">
        <f t="shared" si="83"/>
        <v>275256527.01197761</v>
      </c>
      <c r="AN597" s="245">
        <f t="shared" si="84"/>
        <v>0</v>
      </c>
      <c r="AO597" s="245">
        <f t="shared" si="85"/>
        <v>24789661.089998402</v>
      </c>
      <c r="AR597">
        <v>7100</v>
      </c>
      <c r="AS597" t="s">
        <v>379</v>
      </c>
      <c r="AT597" t="s">
        <v>1223</v>
      </c>
      <c r="AU597">
        <v>4285137.6955519998</v>
      </c>
      <c r="AW597">
        <v>7100</v>
      </c>
      <c r="AX597" t="s">
        <v>379</v>
      </c>
      <c r="AY597" t="s">
        <v>1223</v>
      </c>
      <c r="AZ597">
        <v>729072.13666600001</v>
      </c>
      <c r="BA597" s="342" t="str">
        <f t="shared" si="88"/>
        <v/>
      </c>
      <c r="BB597">
        <v>7100</v>
      </c>
      <c r="BC597" t="s">
        <v>379</v>
      </c>
      <c r="BD597" t="s">
        <v>1223</v>
      </c>
      <c r="BE597" s="243">
        <f t="shared" si="89"/>
        <v>4868395.4048848003</v>
      </c>
    </row>
    <row r="598" spans="1:57">
      <c r="A598">
        <v>7100</v>
      </c>
      <c r="B598" t="s">
        <v>379</v>
      </c>
      <c r="C598" t="s">
        <v>1593</v>
      </c>
      <c r="D598">
        <v>275300854.76881301</v>
      </c>
      <c r="E598">
        <v>0</v>
      </c>
      <c r="G598">
        <v>7100</v>
      </c>
      <c r="H598" t="s">
        <v>379</v>
      </c>
      <c r="I598" t="s">
        <v>1593</v>
      </c>
      <c r="J598">
        <v>71479478.299985006</v>
      </c>
      <c r="K598">
        <v>0</v>
      </c>
      <c r="L598" s="342" t="str">
        <f t="shared" si="86"/>
        <v/>
      </c>
      <c r="M598" s="243">
        <v>7100</v>
      </c>
      <c r="N598" s="243" t="s">
        <v>379</v>
      </c>
      <c r="O598" s="243" t="s">
        <v>1593</v>
      </c>
      <c r="P598" s="243">
        <f t="shared" si="87"/>
        <v>332484437.40880102</v>
      </c>
      <c r="S598">
        <v>7100</v>
      </c>
      <c r="T598" t="s">
        <v>379</v>
      </c>
      <c r="U598" t="s">
        <v>1593</v>
      </c>
      <c r="V598">
        <v>56218766.512221001</v>
      </c>
      <c r="W598">
        <v>333981663.59330499</v>
      </c>
      <c r="X598">
        <v>3000000</v>
      </c>
      <c r="Y598">
        <v>17936378.844443001</v>
      </c>
      <c r="AA598">
        <v>7100</v>
      </c>
      <c r="AB598" t="s">
        <v>379</v>
      </c>
      <c r="AC598" t="s">
        <v>1593</v>
      </c>
      <c r="AD598">
        <v>56218766.512221001</v>
      </c>
      <c r="AE598">
        <v>333981663.59330499</v>
      </c>
      <c r="AF598">
        <v>3000000</v>
      </c>
      <c r="AG598">
        <v>17936378.844443001</v>
      </c>
      <c r="AH598" s="342" t="str">
        <f t="shared" si="81"/>
        <v/>
      </c>
      <c r="AI598">
        <v>7100</v>
      </c>
      <c r="AJ598" t="s">
        <v>379</v>
      </c>
      <c r="AK598" t="s">
        <v>1593</v>
      </c>
      <c r="AL598" s="245">
        <f t="shared" si="82"/>
        <v>101193779.7219978</v>
      </c>
      <c r="AM598" s="245">
        <f t="shared" si="83"/>
        <v>601166994.46794903</v>
      </c>
      <c r="AN598" s="245">
        <f t="shared" si="84"/>
        <v>5400000</v>
      </c>
      <c r="AO598" s="245">
        <f t="shared" si="85"/>
        <v>32285481.919997402</v>
      </c>
      <c r="AR598">
        <v>7100</v>
      </c>
      <c r="AS598" t="s">
        <v>379</v>
      </c>
      <c r="AT598" t="s">
        <v>1593</v>
      </c>
      <c r="AU598">
        <v>32955206.729991</v>
      </c>
      <c r="AW598">
        <v>7100</v>
      </c>
      <c r="AX598" t="s">
        <v>379</v>
      </c>
      <c r="AY598" t="s">
        <v>1593</v>
      </c>
      <c r="AZ598">
        <v>7709999.2033310002</v>
      </c>
      <c r="BA598" s="342" t="str">
        <f t="shared" si="88"/>
        <v/>
      </c>
      <c r="BB598">
        <v>7100</v>
      </c>
      <c r="BC598" t="s">
        <v>379</v>
      </c>
      <c r="BD598" t="s">
        <v>1593</v>
      </c>
      <c r="BE598" s="243">
        <f t="shared" si="89"/>
        <v>39123206.0926558</v>
      </c>
    </row>
    <row r="599" spans="1:57">
      <c r="A599">
        <v>7100</v>
      </c>
      <c r="B599" t="s">
        <v>379</v>
      </c>
      <c r="C599" t="s">
        <v>1228</v>
      </c>
      <c r="D599">
        <v>226369602.87317601</v>
      </c>
      <c r="E599">
        <v>0</v>
      </c>
      <c r="G599">
        <v>7100</v>
      </c>
      <c r="H599" t="s">
        <v>379</v>
      </c>
      <c r="I599" t="s">
        <v>1228</v>
      </c>
      <c r="J599">
        <v>97894049.111082003</v>
      </c>
      <c r="K599">
        <v>0</v>
      </c>
      <c r="L599" s="342" t="str">
        <f t="shared" si="86"/>
        <v/>
      </c>
      <c r="M599" s="243">
        <v>7100</v>
      </c>
      <c r="N599" s="243" t="s">
        <v>379</v>
      </c>
      <c r="O599" s="243" t="s">
        <v>1228</v>
      </c>
      <c r="P599" s="243">
        <f t="shared" si="87"/>
        <v>304684842.1620416</v>
      </c>
      <c r="S599">
        <v>7100</v>
      </c>
      <c r="T599" t="s">
        <v>379</v>
      </c>
      <c r="U599" t="s">
        <v>1228</v>
      </c>
      <c r="V599">
        <v>86379937.829997003</v>
      </c>
      <c r="W599">
        <v>581225703.43995404</v>
      </c>
      <c r="X599">
        <v>5992222.2222220004</v>
      </c>
      <c r="Y599">
        <v>34999708.724440999</v>
      </c>
      <c r="AA599">
        <v>7100</v>
      </c>
      <c r="AB599" t="s">
        <v>379</v>
      </c>
      <c r="AC599" t="s">
        <v>1228</v>
      </c>
      <c r="AD599">
        <v>86379937.829997003</v>
      </c>
      <c r="AE599">
        <v>581225703.43995404</v>
      </c>
      <c r="AF599">
        <v>5992222.2222220004</v>
      </c>
      <c r="AG599">
        <v>34999708.724440999</v>
      </c>
      <c r="AH599" s="342" t="str">
        <f t="shared" si="81"/>
        <v/>
      </c>
      <c r="AI599">
        <v>7100</v>
      </c>
      <c r="AJ599" t="s">
        <v>379</v>
      </c>
      <c r="AK599" t="s">
        <v>1228</v>
      </c>
      <c r="AL599" s="245">
        <f t="shared" si="82"/>
        <v>155483888.09399462</v>
      </c>
      <c r="AM599" s="245">
        <f t="shared" si="83"/>
        <v>1046206266.1919173</v>
      </c>
      <c r="AN599" s="245">
        <f t="shared" si="84"/>
        <v>10785999.999999601</v>
      </c>
      <c r="AO599" s="245">
        <f t="shared" si="85"/>
        <v>62999475.703993797</v>
      </c>
      <c r="AR599">
        <v>7100</v>
      </c>
      <c r="AS599" t="s">
        <v>379</v>
      </c>
      <c r="AT599" t="s">
        <v>1228</v>
      </c>
      <c r="AU599">
        <v>40218643.906650998</v>
      </c>
      <c r="AW599">
        <v>7100</v>
      </c>
      <c r="AX599" t="s">
        <v>379</v>
      </c>
      <c r="AY599" t="s">
        <v>1228</v>
      </c>
      <c r="AZ599">
        <v>40417093.111106001</v>
      </c>
      <c r="BA599" s="342" t="str">
        <f t="shared" si="88"/>
        <v/>
      </c>
      <c r="BB599">
        <v>7100</v>
      </c>
      <c r="BC599" t="s">
        <v>379</v>
      </c>
      <c r="BD599" t="s">
        <v>1228</v>
      </c>
      <c r="BE599" s="243">
        <f t="shared" si="89"/>
        <v>72552318.395535797</v>
      </c>
    </row>
    <row r="600" spans="1:57">
      <c r="A600">
        <v>7100</v>
      </c>
      <c r="B600" t="s">
        <v>379</v>
      </c>
      <c r="C600" t="s">
        <v>1813</v>
      </c>
      <c r="D600">
        <v>57584650.805506997</v>
      </c>
      <c r="E600">
        <v>0</v>
      </c>
      <c r="G600">
        <v>7100</v>
      </c>
      <c r="H600" t="s">
        <v>379</v>
      </c>
      <c r="I600" t="s">
        <v>1813</v>
      </c>
      <c r="J600">
        <v>38234193.065548003</v>
      </c>
      <c r="K600">
        <v>0</v>
      </c>
      <c r="L600" s="342" t="str">
        <f t="shared" si="86"/>
        <v/>
      </c>
      <c r="M600" s="243">
        <v>7100</v>
      </c>
      <c r="N600" s="243" t="s">
        <v>379</v>
      </c>
      <c r="O600" s="243" t="s">
        <v>1813</v>
      </c>
      <c r="P600" s="243">
        <f t="shared" si="87"/>
        <v>88172005.257945403</v>
      </c>
      <c r="S600">
        <v>7100</v>
      </c>
      <c r="T600" t="s">
        <v>379</v>
      </c>
      <c r="U600" t="s">
        <v>1813</v>
      </c>
      <c r="V600">
        <v>16930882.242221002</v>
      </c>
      <c r="W600">
        <v>78836868.519986004</v>
      </c>
      <c r="X600">
        <v>1444444.444444</v>
      </c>
      <c r="Y600">
        <v>3244044.444443</v>
      </c>
      <c r="AA600">
        <v>7100</v>
      </c>
      <c r="AB600" t="s">
        <v>379</v>
      </c>
      <c r="AC600" t="s">
        <v>1813</v>
      </c>
      <c r="AD600">
        <v>16930882.242221002</v>
      </c>
      <c r="AE600">
        <v>78836868.519986004</v>
      </c>
      <c r="AF600">
        <v>1444444.444444</v>
      </c>
      <c r="AG600">
        <v>3244044.444443</v>
      </c>
      <c r="AH600" s="342" t="str">
        <f t="shared" si="81"/>
        <v/>
      </c>
      <c r="AI600">
        <v>7100</v>
      </c>
      <c r="AJ600" t="s">
        <v>379</v>
      </c>
      <c r="AK600" t="s">
        <v>1813</v>
      </c>
      <c r="AL600" s="245">
        <f t="shared" si="82"/>
        <v>30475588.035997804</v>
      </c>
      <c r="AM600" s="245">
        <f t="shared" si="83"/>
        <v>141906363.33597481</v>
      </c>
      <c r="AN600" s="245">
        <f t="shared" si="84"/>
        <v>2599999.9999992</v>
      </c>
      <c r="AO600" s="245">
        <f t="shared" si="85"/>
        <v>5839279.9999973997</v>
      </c>
      <c r="AR600">
        <v>7100</v>
      </c>
      <c r="AS600" t="s">
        <v>379</v>
      </c>
      <c r="AT600" t="s">
        <v>1813</v>
      </c>
      <c r="AU600">
        <v>16541195.693329999</v>
      </c>
      <c r="AW600">
        <v>7100</v>
      </c>
      <c r="AX600" t="s">
        <v>379</v>
      </c>
      <c r="AY600" t="s">
        <v>1813</v>
      </c>
      <c r="AZ600">
        <v>0</v>
      </c>
      <c r="BA600" s="342" t="str">
        <f t="shared" si="88"/>
        <v/>
      </c>
      <c r="BB600">
        <v>7100</v>
      </c>
      <c r="BC600" t="s">
        <v>379</v>
      </c>
      <c r="BD600" t="s">
        <v>1813</v>
      </c>
      <c r="BE600" s="243">
        <f t="shared" si="89"/>
        <v>16541195.693329999</v>
      </c>
    </row>
    <row r="601" spans="1:57">
      <c r="A601">
        <v>7110</v>
      </c>
      <c r="B601" t="s">
        <v>380</v>
      </c>
      <c r="C601" t="s">
        <v>1229</v>
      </c>
      <c r="D601">
        <v>332382659.59880698</v>
      </c>
      <c r="E601">
        <v>0</v>
      </c>
      <c r="G601">
        <v>7110</v>
      </c>
      <c r="H601" t="s">
        <v>380</v>
      </c>
      <c r="I601" t="s">
        <v>1229</v>
      </c>
      <c r="J601">
        <v>118509327.988869</v>
      </c>
      <c r="K601">
        <v>0</v>
      </c>
      <c r="L601" s="342" t="str">
        <f t="shared" si="86"/>
        <v/>
      </c>
      <c r="M601" s="243">
        <v>7110</v>
      </c>
      <c r="N601" s="243" t="s">
        <v>380</v>
      </c>
      <c r="O601" s="243" t="s">
        <v>1229</v>
      </c>
      <c r="P601" s="243">
        <f t="shared" si="87"/>
        <v>427190121.9899022</v>
      </c>
      <c r="S601">
        <v>7110</v>
      </c>
      <c r="T601" t="s">
        <v>380</v>
      </c>
      <c r="U601" t="s">
        <v>1229</v>
      </c>
      <c r="V601">
        <v>14967884.225554001</v>
      </c>
      <c r="W601">
        <v>169933618.88885301</v>
      </c>
      <c r="X601">
        <v>4087200</v>
      </c>
      <c r="Y601">
        <v>51031745.989996001</v>
      </c>
      <c r="AA601">
        <v>7110</v>
      </c>
      <c r="AB601" t="s">
        <v>380</v>
      </c>
      <c r="AC601" t="s">
        <v>1229</v>
      </c>
      <c r="AD601">
        <v>14967884.225554001</v>
      </c>
      <c r="AE601">
        <v>169933618.88885301</v>
      </c>
      <c r="AF601">
        <v>4087200</v>
      </c>
      <c r="AG601">
        <v>51031745.989996001</v>
      </c>
      <c r="AH601" s="342" t="str">
        <f t="shared" si="81"/>
        <v/>
      </c>
      <c r="AI601">
        <v>7110</v>
      </c>
      <c r="AJ601" t="s">
        <v>380</v>
      </c>
      <c r="AK601" t="s">
        <v>1229</v>
      </c>
      <c r="AL601" s="245">
        <f t="shared" si="82"/>
        <v>26942191.605997201</v>
      </c>
      <c r="AM601" s="245">
        <f t="shared" si="83"/>
        <v>305880513.99993539</v>
      </c>
      <c r="AN601" s="245">
        <f t="shared" si="84"/>
        <v>7356960</v>
      </c>
      <c r="AO601" s="245">
        <f t="shared" si="85"/>
        <v>91857142.781992808</v>
      </c>
      <c r="AR601">
        <v>7110</v>
      </c>
      <c r="AS601" t="s">
        <v>380</v>
      </c>
      <c r="AT601" t="s">
        <v>1229</v>
      </c>
      <c r="AU601">
        <v>11277522.676654</v>
      </c>
      <c r="AW601">
        <v>7110</v>
      </c>
      <c r="AX601" t="s">
        <v>380</v>
      </c>
      <c r="AY601" t="s">
        <v>1229</v>
      </c>
      <c r="AZ601">
        <v>25322596.878885999</v>
      </c>
      <c r="BA601" s="342" t="str">
        <f t="shared" si="88"/>
        <v/>
      </c>
      <c r="BB601">
        <v>7110</v>
      </c>
      <c r="BC601" t="s">
        <v>380</v>
      </c>
      <c r="BD601" t="s">
        <v>1229</v>
      </c>
      <c r="BE601" s="243">
        <f t="shared" si="89"/>
        <v>31535600.179762799</v>
      </c>
    </row>
    <row r="602" spans="1:57">
      <c r="A602">
        <v>7110</v>
      </c>
      <c r="B602" t="s">
        <v>380</v>
      </c>
      <c r="C602" t="s">
        <v>1230</v>
      </c>
      <c r="D602">
        <v>332815827.842053</v>
      </c>
      <c r="E602">
        <v>0</v>
      </c>
      <c r="G602">
        <v>7110</v>
      </c>
      <c r="H602" t="s">
        <v>380</v>
      </c>
      <c r="I602" t="s">
        <v>1230</v>
      </c>
      <c r="J602">
        <v>146684660.71219099</v>
      </c>
      <c r="K602">
        <v>0</v>
      </c>
      <c r="L602" s="342" t="str">
        <f t="shared" si="86"/>
        <v/>
      </c>
      <c r="M602" s="243">
        <v>7110</v>
      </c>
      <c r="N602" s="243" t="s">
        <v>380</v>
      </c>
      <c r="O602" s="243" t="s">
        <v>1230</v>
      </c>
      <c r="P602" s="243">
        <f t="shared" si="87"/>
        <v>450163556.41180581</v>
      </c>
      <c r="S602">
        <v>7110</v>
      </c>
      <c r="T602" t="s">
        <v>380</v>
      </c>
      <c r="U602" t="s">
        <v>1230</v>
      </c>
      <c r="V602">
        <v>92897573.513329998</v>
      </c>
      <c r="W602">
        <v>330704494.96325302</v>
      </c>
      <c r="X602">
        <v>0</v>
      </c>
      <c r="Y602">
        <v>23639840.555551998</v>
      </c>
      <c r="AA602">
        <v>7110</v>
      </c>
      <c r="AB602" t="s">
        <v>380</v>
      </c>
      <c r="AC602" t="s">
        <v>1230</v>
      </c>
      <c r="AD602">
        <v>92897573.513329998</v>
      </c>
      <c r="AE602">
        <v>330704494.96325302</v>
      </c>
      <c r="AF602">
        <v>0</v>
      </c>
      <c r="AG602">
        <v>23639840.555551998</v>
      </c>
      <c r="AH602" s="342" t="str">
        <f t="shared" si="81"/>
        <v/>
      </c>
      <c r="AI602">
        <v>7110</v>
      </c>
      <c r="AJ602" t="s">
        <v>380</v>
      </c>
      <c r="AK602" t="s">
        <v>1230</v>
      </c>
      <c r="AL602" s="245">
        <f t="shared" si="82"/>
        <v>167215632.32399398</v>
      </c>
      <c r="AM602" s="245">
        <f t="shared" si="83"/>
        <v>595268090.93385541</v>
      </c>
      <c r="AN602" s="245">
        <f t="shared" si="84"/>
        <v>0</v>
      </c>
      <c r="AO602" s="245">
        <f t="shared" si="85"/>
        <v>42551712.999993593</v>
      </c>
      <c r="AR602">
        <v>7110</v>
      </c>
      <c r="AS602" t="s">
        <v>380</v>
      </c>
      <c r="AT602" t="s">
        <v>1230</v>
      </c>
      <c r="AU602">
        <v>41176674.922204003</v>
      </c>
      <c r="AW602">
        <v>7110</v>
      </c>
      <c r="AX602" t="s">
        <v>380</v>
      </c>
      <c r="AY602" t="s">
        <v>1230</v>
      </c>
      <c r="AZ602">
        <v>22131039.435550999</v>
      </c>
      <c r="BA602" s="342" t="str">
        <f t="shared" si="88"/>
        <v/>
      </c>
      <c r="BB602">
        <v>7110</v>
      </c>
      <c r="BC602" t="s">
        <v>380</v>
      </c>
      <c r="BD602" t="s">
        <v>1230</v>
      </c>
      <c r="BE602" s="243">
        <f t="shared" si="89"/>
        <v>58881506.470644802</v>
      </c>
    </row>
    <row r="603" spans="1:57">
      <c r="A603">
        <v>7110</v>
      </c>
      <c r="B603" t="s">
        <v>380</v>
      </c>
      <c r="C603" t="s">
        <v>1994</v>
      </c>
      <c r="D603">
        <v>88570609.387730002</v>
      </c>
      <c r="E603">
        <v>0</v>
      </c>
      <c r="G603">
        <v>7110</v>
      </c>
      <c r="H603" t="s">
        <v>380</v>
      </c>
      <c r="I603" t="s">
        <v>1994</v>
      </c>
      <c r="J603">
        <v>35212145.711102001</v>
      </c>
      <c r="K603">
        <v>0</v>
      </c>
      <c r="L603" s="342" t="str">
        <f t="shared" si="86"/>
        <v/>
      </c>
      <c r="M603" s="243">
        <v>7110</v>
      </c>
      <c r="N603" s="243" t="s">
        <v>380</v>
      </c>
      <c r="O603" s="243" t="s">
        <v>1994</v>
      </c>
      <c r="P603" s="243">
        <f t="shared" si="87"/>
        <v>116740325.9566116</v>
      </c>
      <c r="S603">
        <v>7110</v>
      </c>
      <c r="T603" t="s">
        <v>380</v>
      </c>
      <c r="U603" t="s">
        <v>1994</v>
      </c>
      <c r="V603">
        <v>13142485.938886</v>
      </c>
      <c r="W603">
        <v>57520375.337760001</v>
      </c>
      <c r="X603">
        <v>0</v>
      </c>
      <c r="Y603">
        <v>3240952.2222219999</v>
      </c>
      <c r="AA603">
        <v>7110</v>
      </c>
      <c r="AB603" t="s">
        <v>380</v>
      </c>
      <c r="AC603" t="s">
        <v>1994</v>
      </c>
      <c r="AD603">
        <v>13142485.938886</v>
      </c>
      <c r="AE603">
        <v>57520375.337760001</v>
      </c>
      <c r="AF603">
        <v>0</v>
      </c>
      <c r="AG603">
        <v>3240952.2222219999</v>
      </c>
      <c r="AH603" s="342" t="str">
        <f t="shared" si="81"/>
        <v/>
      </c>
      <c r="AI603">
        <v>7110</v>
      </c>
      <c r="AJ603" t="s">
        <v>380</v>
      </c>
      <c r="AK603" t="s">
        <v>1994</v>
      </c>
      <c r="AL603" s="245">
        <f t="shared" si="82"/>
        <v>23656474.689994801</v>
      </c>
      <c r="AM603" s="245">
        <f t="shared" si="83"/>
        <v>103536675.607968</v>
      </c>
      <c r="AN603" s="245">
        <f t="shared" si="84"/>
        <v>0</v>
      </c>
      <c r="AO603" s="245">
        <f t="shared" si="85"/>
        <v>5833713.9999995995</v>
      </c>
      <c r="AR603">
        <v>7110</v>
      </c>
      <c r="AS603" t="s">
        <v>380</v>
      </c>
      <c r="AT603" t="s">
        <v>1994</v>
      </c>
      <c r="AU603">
        <v>1726749.8611049999</v>
      </c>
      <c r="AW603">
        <v>7110</v>
      </c>
      <c r="AX603" t="s">
        <v>380</v>
      </c>
      <c r="AY603" t="s">
        <v>1994</v>
      </c>
      <c r="AZ603">
        <v>463017.794444</v>
      </c>
      <c r="BA603" s="342" t="str">
        <f t="shared" si="88"/>
        <v/>
      </c>
      <c r="BB603">
        <v>7110</v>
      </c>
      <c r="BC603" t="s">
        <v>380</v>
      </c>
      <c r="BD603" t="s">
        <v>1994</v>
      </c>
      <c r="BE603" s="243">
        <f t="shared" si="89"/>
        <v>2097164.0966602</v>
      </c>
    </row>
    <row r="604" spans="1:57">
      <c r="A604">
        <v>7120</v>
      </c>
      <c r="B604" t="s">
        <v>381</v>
      </c>
      <c r="C604" t="s">
        <v>1814</v>
      </c>
      <c r="D604">
        <v>99050357.982179999</v>
      </c>
      <c r="E604">
        <v>0</v>
      </c>
      <c r="G604">
        <v>7120</v>
      </c>
      <c r="H604" t="s">
        <v>381</v>
      </c>
      <c r="I604" t="s">
        <v>1814</v>
      </c>
      <c r="J604">
        <v>32735351.585546002</v>
      </c>
      <c r="K604">
        <v>0</v>
      </c>
      <c r="L604" s="342" t="str">
        <f t="shared" si="86"/>
        <v/>
      </c>
      <c r="M604" s="243">
        <v>7120</v>
      </c>
      <c r="N604" s="243" t="s">
        <v>381</v>
      </c>
      <c r="O604" s="243" t="s">
        <v>1814</v>
      </c>
      <c r="P604" s="243">
        <f t="shared" si="87"/>
        <v>125238639.2506168</v>
      </c>
      <c r="S604">
        <v>7120</v>
      </c>
      <c r="T604" t="s">
        <v>381</v>
      </c>
      <c r="U604" t="s">
        <v>1814</v>
      </c>
      <c r="V604">
        <v>20884474.190000001</v>
      </c>
      <c r="W604">
        <v>165255897.45552799</v>
      </c>
      <c r="X604">
        <v>0</v>
      </c>
      <c r="Y604">
        <v>7813449.6666660002</v>
      </c>
      <c r="AA604">
        <v>7120</v>
      </c>
      <c r="AB604" t="s">
        <v>381</v>
      </c>
      <c r="AC604" t="s">
        <v>1814</v>
      </c>
      <c r="AD604">
        <v>20884474.190000001</v>
      </c>
      <c r="AE604">
        <v>165255897.45552799</v>
      </c>
      <c r="AF604">
        <v>0</v>
      </c>
      <c r="AG604">
        <v>7813449.6666660002</v>
      </c>
      <c r="AH604" s="342" t="str">
        <f t="shared" si="81"/>
        <v/>
      </c>
      <c r="AI604">
        <v>7120</v>
      </c>
      <c r="AJ604" t="s">
        <v>381</v>
      </c>
      <c r="AK604" t="s">
        <v>1814</v>
      </c>
      <c r="AL604" s="245">
        <f t="shared" si="82"/>
        <v>37592053.542000003</v>
      </c>
      <c r="AM604" s="245">
        <f t="shared" si="83"/>
        <v>297460615.41995037</v>
      </c>
      <c r="AN604" s="245">
        <f t="shared" si="84"/>
        <v>0</v>
      </c>
      <c r="AO604" s="245">
        <f t="shared" si="85"/>
        <v>14064209.399998801</v>
      </c>
      <c r="AR604">
        <v>7120</v>
      </c>
      <c r="AS604" t="s">
        <v>381</v>
      </c>
      <c r="AT604" t="s">
        <v>1814</v>
      </c>
      <c r="AU604">
        <v>23720526.589993998</v>
      </c>
      <c r="AW604">
        <v>7120</v>
      </c>
      <c r="AX604" t="s">
        <v>381</v>
      </c>
      <c r="AY604" t="s">
        <v>1814</v>
      </c>
      <c r="AZ604">
        <v>3893644.5822200002</v>
      </c>
      <c r="BA604" s="342" t="str">
        <f t="shared" si="88"/>
        <v/>
      </c>
      <c r="BB604">
        <v>7120</v>
      </c>
      <c r="BC604" t="s">
        <v>381</v>
      </c>
      <c r="BD604" t="s">
        <v>1814</v>
      </c>
      <c r="BE604" s="243">
        <f t="shared" si="89"/>
        <v>26835442.255769998</v>
      </c>
    </row>
    <row r="605" spans="1:57">
      <c r="A605">
        <v>7120</v>
      </c>
      <c r="B605" t="s">
        <v>381</v>
      </c>
      <c r="C605" t="s">
        <v>1995</v>
      </c>
      <c r="D605">
        <v>116300579.038774</v>
      </c>
      <c r="E605">
        <v>0</v>
      </c>
      <c r="G605">
        <v>7120</v>
      </c>
      <c r="H605" t="s">
        <v>381</v>
      </c>
      <c r="I605" t="s">
        <v>1995</v>
      </c>
      <c r="J605">
        <v>30347918.987764999</v>
      </c>
      <c r="K605">
        <v>0</v>
      </c>
      <c r="L605" s="342" t="str">
        <f t="shared" si="86"/>
        <v/>
      </c>
      <c r="M605" s="243">
        <v>7120</v>
      </c>
      <c r="N605" s="243" t="s">
        <v>381</v>
      </c>
      <c r="O605" s="243" t="s">
        <v>1995</v>
      </c>
      <c r="P605" s="243">
        <f t="shared" si="87"/>
        <v>140578914.228986</v>
      </c>
      <c r="S605">
        <v>7120</v>
      </c>
      <c r="T605" t="s">
        <v>381</v>
      </c>
      <c r="U605" t="s">
        <v>1995</v>
      </c>
      <c r="V605">
        <v>42400114.656666003</v>
      </c>
      <c r="W605">
        <v>166026709.087722</v>
      </c>
      <c r="X605">
        <v>0</v>
      </c>
      <c r="Y605">
        <v>13919514.029999999</v>
      </c>
      <c r="AA605">
        <v>7120</v>
      </c>
      <c r="AB605" t="s">
        <v>381</v>
      </c>
      <c r="AC605" t="s">
        <v>1995</v>
      </c>
      <c r="AD605">
        <v>42400114.656666003</v>
      </c>
      <c r="AE605">
        <v>166026709.087722</v>
      </c>
      <c r="AF605">
        <v>0</v>
      </c>
      <c r="AG605">
        <v>13919514.029999999</v>
      </c>
      <c r="AH605" s="342" t="str">
        <f t="shared" si="81"/>
        <v/>
      </c>
      <c r="AI605">
        <v>7120</v>
      </c>
      <c r="AJ605" t="s">
        <v>381</v>
      </c>
      <c r="AK605" t="s">
        <v>1995</v>
      </c>
      <c r="AL605" s="245">
        <f t="shared" si="82"/>
        <v>76320206.381998807</v>
      </c>
      <c r="AM605" s="245">
        <f t="shared" si="83"/>
        <v>298848076.35789961</v>
      </c>
      <c r="AN605" s="245">
        <f t="shared" si="84"/>
        <v>0</v>
      </c>
      <c r="AO605" s="245">
        <f t="shared" si="85"/>
        <v>25055125.254000001</v>
      </c>
      <c r="AR605">
        <v>7120</v>
      </c>
      <c r="AS605" t="s">
        <v>381</v>
      </c>
      <c r="AT605" t="s">
        <v>1995</v>
      </c>
      <c r="AU605">
        <v>12749946.188873</v>
      </c>
      <c r="AW605">
        <v>7120</v>
      </c>
      <c r="AX605" t="s">
        <v>381</v>
      </c>
      <c r="AY605" t="s">
        <v>1995</v>
      </c>
      <c r="AZ605">
        <v>3031389.187775</v>
      </c>
      <c r="BA605" s="342" t="str">
        <f t="shared" si="88"/>
        <v/>
      </c>
      <c r="BB605">
        <v>7120</v>
      </c>
      <c r="BC605" t="s">
        <v>381</v>
      </c>
      <c r="BD605" t="s">
        <v>1995</v>
      </c>
      <c r="BE605" s="243">
        <f t="shared" si="89"/>
        <v>15175057.539093001</v>
      </c>
    </row>
    <row r="606" spans="1:57">
      <c r="A606">
        <v>7190</v>
      </c>
      <c r="B606" t="s">
        <v>382</v>
      </c>
      <c r="C606" t="s">
        <v>1816</v>
      </c>
      <c r="D606">
        <v>311946102.28884</v>
      </c>
      <c r="E606">
        <v>0</v>
      </c>
      <c r="G606">
        <v>7190</v>
      </c>
      <c r="H606" t="s">
        <v>382</v>
      </c>
      <c r="I606" t="s">
        <v>1816</v>
      </c>
      <c r="J606">
        <v>263442504.608872</v>
      </c>
      <c r="K606">
        <v>0</v>
      </c>
      <c r="L606" s="342" t="str">
        <f t="shared" si="86"/>
        <v/>
      </c>
      <c r="M606" s="243">
        <v>7190</v>
      </c>
      <c r="N606" s="243" t="s">
        <v>382</v>
      </c>
      <c r="O606" s="243" t="s">
        <v>1816</v>
      </c>
      <c r="P606" s="243">
        <f t="shared" si="87"/>
        <v>522700105.9759376</v>
      </c>
      <c r="S606">
        <v>7190</v>
      </c>
      <c r="T606" t="s">
        <v>382</v>
      </c>
      <c r="U606" t="s">
        <v>1816</v>
      </c>
      <c r="V606">
        <v>101168240.379999</v>
      </c>
      <c r="W606">
        <v>192316209.42220601</v>
      </c>
      <c r="X606">
        <v>639860</v>
      </c>
      <c r="Y606">
        <v>13245796.666665999</v>
      </c>
      <c r="AA606">
        <v>7190</v>
      </c>
      <c r="AB606" t="s">
        <v>382</v>
      </c>
      <c r="AC606" t="s">
        <v>1816</v>
      </c>
      <c r="AD606">
        <v>101168240.379999</v>
      </c>
      <c r="AE606">
        <v>192316209.42220601</v>
      </c>
      <c r="AF606">
        <v>639860</v>
      </c>
      <c r="AG606">
        <v>13245796.666665999</v>
      </c>
      <c r="AH606" s="342" t="str">
        <f t="shared" si="81"/>
        <v/>
      </c>
      <c r="AI606">
        <v>7190</v>
      </c>
      <c r="AJ606" t="s">
        <v>382</v>
      </c>
      <c r="AK606" t="s">
        <v>1816</v>
      </c>
      <c r="AL606" s="245">
        <f t="shared" si="82"/>
        <v>182102832.6839982</v>
      </c>
      <c r="AM606" s="245">
        <f t="shared" si="83"/>
        <v>346169176.95997083</v>
      </c>
      <c r="AN606" s="245">
        <f t="shared" si="84"/>
        <v>1151748</v>
      </c>
      <c r="AO606" s="245">
        <f t="shared" si="85"/>
        <v>23842433.9999988</v>
      </c>
      <c r="AR606">
        <v>7190</v>
      </c>
      <c r="AS606" t="s">
        <v>382</v>
      </c>
      <c r="AT606" t="s">
        <v>1816</v>
      </c>
      <c r="AU606">
        <v>68871733.971101999</v>
      </c>
      <c r="AW606">
        <v>7190</v>
      </c>
      <c r="AX606" t="s">
        <v>382</v>
      </c>
      <c r="AY606" t="s">
        <v>1816</v>
      </c>
      <c r="AZ606">
        <v>83643165.795551002</v>
      </c>
      <c r="BA606" s="342" t="str">
        <f t="shared" si="88"/>
        <v/>
      </c>
      <c r="BB606">
        <v>7190</v>
      </c>
      <c r="BC606" t="s">
        <v>382</v>
      </c>
      <c r="BD606" t="s">
        <v>1816</v>
      </c>
      <c r="BE606" s="243">
        <f t="shared" si="89"/>
        <v>135786266.60754281</v>
      </c>
    </row>
    <row r="607" spans="1:57">
      <c r="A607">
        <v>7190</v>
      </c>
      <c r="B607" t="s">
        <v>382</v>
      </c>
      <c r="C607" t="s">
        <v>1594</v>
      </c>
      <c r="D607">
        <v>162650752.984411</v>
      </c>
      <c r="E607">
        <v>0</v>
      </c>
      <c r="G607">
        <v>7190</v>
      </c>
      <c r="H607" t="s">
        <v>382</v>
      </c>
      <c r="I607" t="s">
        <v>1594</v>
      </c>
      <c r="J607">
        <v>41137104.317769997</v>
      </c>
      <c r="K607">
        <v>0</v>
      </c>
      <c r="L607" s="342" t="str">
        <f t="shared" si="86"/>
        <v/>
      </c>
      <c r="M607" s="243">
        <v>7190</v>
      </c>
      <c r="N607" s="243" t="s">
        <v>382</v>
      </c>
      <c r="O607" s="243" t="s">
        <v>1594</v>
      </c>
      <c r="P607" s="243">
        <f t="shared" si="87"/>
        <v>195560436.438627</v>
      </c>
      <c r="S607">
        <v>7190</v>
      </c>
      <c r="T607" t="s">
        <v>382</v>
      </c>
      <c r="U607" t="s">
        <v>1594</v>
      </c>
      <c r="V607">
        <v>33614231.001110002</v>
      </c>
      <c r="W607">
        <v>130858756.10998499</v>
      </c>
      <c r="X607">
        <v>500016</v>
      </c>
      <c r="Y607">
        <v>12373179.999999</v>
      </c>
      <c r="AA607">
        <v>7190</v>
      </c>
      <c r="AB607" t="s">
        <v>382</v>
      </c>
      <c r="AC607" t="s">
        <v>1594</v>
      </c>
      <c r="AD607">
        <v>33614231.001110002</v>
      </c>
      <c r="AE607">
        <v>130858756.10998499</v>
      </c>
      <c r="AF607">
        <v>500016</v>
      </c>
      <c r="AG607">
        <v>12373179.999999</v>
      </c>
      <c r="AH607" s="342" t="str">
        <f t="shared" si="81"/>
        <v/>
      </c>
      <c r="AI607">
        <v>7190</v>
      </c>
      <c r="AJ607" t="s">
        <v>382</v>
      </c>
      <c r="AK607" t="s">
        <v>1594</v>
      </c>
      <c r="AL607" s="245">
        <f t="shared" si="82"/>
        <v>60505615.801998004</v>
      </c>
      <c r="AM607" s="245">
        <f t="shared" si="83"/>
        <v>235545760.997973</v>
      </c>
      <c r="AN607" s="245">
        <f t="shared" si="84"/>
        <v>900028.8</v>
      </c>
      <c r="AO607" s="245">
        <f t="shared" si="85"/>
        <v>22271723.999998201</v>
      </c>
      <c r="AR607">
        <v>7190</v>
      </c>
      <c r="AS607" t="s">
        <v>382</v>
      </c>
      <c r="AT607" t="s">
        <v>1594</v>
      </c>
      <c r="AU607">
        <v>48262241.152217001</v>
      </c>
      <c r="AW607">
        <v>7190</v>
      </c>
      <c r="AX607" t="s">
        <v>382</v>
      </c>
      <c r="AY607" t="s">
        <v>1594</v>
      </c>
      <c r="AZ607">
        <v>35184870.277776003</v>
      </c>
      <c r="BA607" s="342" t="str">
        <f t="shared" si="88"/>
        <v/>
      </c>
      <c r="BB607">
        <v>7190</v>
      </c>
      <c r="BC607" t="s">
        <v>382</v>
      </c>
      <c r="BD607" t="s">
        <v>1594</v>
      </c>
      <c r="BE607" s="243">
        <f t="shared" si="89"/>
        <v>76410137.374437809</v>
      </c>
    </row>
    <row r="608" spans="1:57">
      <c r="A608">
        <v>7190</v>
      </c>
      <c r="B608" t="s">
        <v>382</v>
      </c>
      <c r="C608" t="s">
        <v>1231</v>
      </c>
      <c r="D608">
        <v>229694092.16205099</v>
      </c>
      <c r="E608">
        <v>0</v>
      </c>
      <c r="G608">
        <v>7190</v>
      </c>
      <c r="H608" t="s">
        <v>382</v>
      </c>
      <c r="I608" t="s">
        <v>1231</v>
      </c>
      <c r="J608">
        <v>81243022.134421006</v>
      </c>
      <c r="K608">
        <v>0</v>
      </c>
      <c r="L608" s="342" t="str">
        <f t="shared" si="86"/>
        <v/>
      </c>
      <c r="M608" s="243">
        <v>7190</v>
      </c>
      <c r="N608" s="243" t="s">
        <v>382</v>
      </c>
      <c r="O608" s="243" t="s">
        <v>1231</v>
      </c>
      <c r="P608" s="243">
        <f t="shared" si="87"/>
        <v>294688509.86958778</v>
      </c>
      <c r="S608">
        <v>7190</v>
      </c>
      <c r="T608" t="s">
        <v>382</v>
      </c>
      <c r="U608" t="s">
        <v>1231</v>
      </c>
      <c r="V608">
        <v>78952153.617773995</v>
      </c>
      <c r="W608">
        <v>567041248.72438896</v>
      </c>
      <c r="X608">
        <v>0</v>
      </c>
      <c r="Y608">
        <v>18978201.111108001</v>
      </c>
      <c r="AA608">
        <v>7190</v>
      </c>
      <c r="AB608" t="s">
        <v>382</v>
      </c>
      <c r="AC608" t="s">
        <v>1231</v>
      </c>
      <c r="AD608">
        <v>78952153.617773995</v>
      </c>
      <c r="AE608">
        <v>567041248.72438896</v>
      </c>
      <c r="AF608">
        <v>0</v>
      </c>
      <c r="AG608">
        <v>18978201.111108001</v>
      </c>
      <c r="AH608" s="342" t="str">
        <f t="shared" si="81"/>
        <v/>
      </c>
      <c r="AI608">
        <v>7190</v>
      </c>
      <c r="AJ608" t="s">
        <v>382</v>
      </c>
      <c r="AK608" t="s">
        <v>1231</v>
      </c>
      <c r="AL608" s="245">
        <f t="shared" si="82"/>
        <v>142113876.5119932</v>
      </c>
      <c r="AM608" s="245">
        <f t="shared" si="83"/>
        <v>1020674247.7039001</v>
      </c>
      <c r="AN608" s="245">
        <f t="shared" si="84"/>
        <v>0</v>
      </c>
      <c r="AO608" s="245">
        <f t="shared" si="85"/>
        <v>34160761.999994405</v>
      </c>
      <c r="AR608">
        <v>7190</v>
      </c>
      <c r="AS608" t="s">
        <v>382</v>
      </c>
      <c r="AT608" t="s">
        <v>1231</v>
      </c>
      <c r="AU608">
        <v>34305677.845541999</v>
      </c>
      <c r="AW608">
        <v>7190</v>
      </c>
      <c r="AX608" t="s">
        <v>382</v>
      </c>
      <c r="AY608" t="s">
        <v>1231</v>
      </c>
      <c r="AZ608">
        <v>78615266.267772004</v>
      </c>
      <c r="BA608" s="342" t="str">
        <f t="shared" si="88"/>
        <v/>
      </c>
      <c r="BB608">
        <v>7190</v>
      </c>
      <c r="BC608" t="s">
        <v>382</v>
      </c>
      <c r="BD608" t="s">
        <v>1231</v>
      </c>
      <c r="BE608" s="243">
        <f t="shared" si="89"/>
        <v>97197890.859759599</v>
      </c>
    </row>
    <row r="609" spans="1:57">
      <c r="A609">
        <v>7190</v>
      </c>
      <c r="B609" t="s">
        <v>382</v>
      </c>
      <c r="C609" t="s">
        <v>1815</v>
      </c>
      <c r="D609">
        <v>167700690.77103701</v>
      </c>
      <c r="E609">
        <v>0</v>
      </c>
      <c r="G609">
        <v>7190</v>
      </c>
      <c r="H609" t="s">
        <v>382</v>
      </c>
      <c r="I609" t="s">
        <v>1815</v>
      </c>
      <c r="J609">
        <v>50300656.195542999</v>
      </c>
      <c r="K609">
        <v>0</v>
      </c>
      <c r="L609" s="342" t="str">
        <f t="shared" si="86"/>
        <v/>
      </c>
      <c r="M609" s="243">
        <v>7190</v>
      </c>
      <c r="N609" s="243" t="s">
        <v>382</v>
      </c>
      <c r="O609" s="243" t="s">
        <v>1815</v>
      </c>
      <c r="P609" s="243">
        <f t="shared" si="87"/>
        <v>207941215.72747141</v>
      </c>
      <c r="S609">
        <v>7190</v>
      </c>
      <c r="T609" t="s">
        <v>382</v>
      </c>
      <c r="U609" t="s">
        <v>1815</v>
      </c>
      <c r="V609">
        <v>15849112.113333</v>
      </c>
      <c r="W609">
        <v>114436148.907754</v>
      </c>
      <c r="X609">
        <v>0</v>
      </c>
      <c r="Y609">
        <v>14173224.444444001</v>
      </c>
      <c r="AA609">
        <v>7190</v>
      </c>
      <c r="AB609" t="s">
        <v>382</v>
      </c>
      <c r="AC609" t="s">
        <v>1815</v>
      </c>
      <c r="AD609">
        <v>15849112.113333</v>
      </c>
      <c r="AE609">
        <v>114436148.907754</v>
      </c>
      <c r="AF609">
        <v>0</v>
      </c>
      <c r="AG609">
        <v>14173224.444444001</v>
      </c>
      <c r="AH609" s="342" t="str">
        <f t="shared" si="81"/>
        <v/>
      </c>
      <c r="AI609">
        <v>7190</v>
      </c>
      <c r="AJ609" t="s">
        <v>382</v>
      </c>
      <c r="AK609" t="s">
        <v>1815</v>
      </c>
      <c r="AL609" s="245">
        <f t="shared" si="82"/>
        <v>28528401.803999402</v>
      </c>
      <c r="AM609" s="245">
        <f t="shared" si="83"/>
        <v>205985068.03395721</v>
      </c>
      <c r="AN609" s="245">
        <f t="shared" si="84"/>
        <v>0</v>
      </c>
      <c r="AO609" s="245">
        <f t="shared" si="85"/>
        <v>25511803.999999203</v>
      </c>
      <c r="AR609">
        <v>7190</v>
      </c>
      <c r="AS609" t="s">
        <v>382</v>
      </c>
      <c r="AT609" t="s">
        <v>1815</v>
      </c>
      <c r="AU609">
        <v>5310016.3788830005</v>
      </c>
      <c r="AW609">
        <v>7190</v>
      </c>
      <c r="AX609" t="s">
        <v>382</v>
      </c>
      <c r="AY609" t="s">
        <v>1815</v>
      </c>
      <c r="AZ609">
        <v>2810.5544439999999</v>
      </c>
      <c r="BA609" s="342" t="str">
        <f t="shared" si="88"/>
        <v/>
      </c>
      <c r="BB609">
        <v>7190</v>
      </c>
      <c r="BC609" t="s">
        <v>382</v>
      </c>
      <c r="BD609" t="s">
        <v>1815</v>
      </c>
      <c r="BE609" s="243">
        <f t="shared" si="89"/>
        <v>5312264.8224382</v>
      </c>
    </row>
    <row r="610" spans="1:57">
      <c r="A610">
        <v>7200</v>
      </c>
      <c r="B610" t="s">
        <v>383</v>
      </c>
      <c r="C610" t="s">
        <v>1233</v>
      </c>
      <c r="D610">
        <v>284713085.34435302</v>
      </c>
      <c r="E610">
        <v>0</v>
      </c>
      <c r="G610">
        <v>7200</v>
      </c>
      <c r="H610" t="s">
        <v>383</v>
      </c>
      <c r="I610" t="s">
        <v>1233</v>
      </c>
      <c r="J610">
        <v>170357122.53329799</v>
      </c>
      <c r="K610">
        <v>0</v>
      </c>
      <c r="L610" s="342" t="str">
        <f t="shared" si="86"/>
        <v/>
      </c>
      <c r="M610" s="243">
        <v>7200</v>
      </c>
      <c r="N610" s="243" t="s">
        <v>383</v>
      </c>
      <c r="O610" s="243" t="s">
        <v>1233</v>
      </c>
      <c r="P610" s="243">
        <f t="shared" si="87"/>
        <v>420998783.37099141</v>
      </c>
      <c r="S610">
        <v>7200</v>
      </c>
      <c r="T610" t="s">
        <v>383</v>
      </c>
      <c r="U610" t="s">
        <v>1233</v>
      </c>
      <c r="V610">
        <v>70890125.475549996</v>
      </c>
      <c r="W610">
        <v>143774052.42441899</v>
      </c>
      <c r="X610">
        <v>0</v>
      </c>
      <c r="Y610">
        <v>1999755</v>
      </c>
      <c r="AA610">
        <v>7200</v>
      </c>
      <c r="AB610" t="s">
        <v>383</v>
      </c>
      <c r="AC610" t="s">
        <v>1233</v>
      </c>
      <c r="AD610">
        <v>70890125.475549996</v>
      </c>
      <c r="AE610">
        <v>143774052.42441899</v>
      </c>
      <c r="AF610">
        <v>0</v>
      </c>
      <c r="AG610">
        <v>1999755</v>
      </c>
      <c r="AH610" s="342" t="str">
        <f t="shared" si="81"/>
        <v/>
      </c>
      <c r="AI610">
        <v>7200</v>
      </c>
      <c r="AJ610" t="s">
        <v>383</v>
      </c>
      <c r="AK610" t="s">
        <v>1233</v>
      </c>
      <c r="AL610" s="245">
        <f t="shared" si="82"/>
        <v>127602225.85598999</v>
      </c>
      <c r="AM610" s="245">
        <f t="shared" si="83"/>
        <v>258793294.36395419</v>
      </c>
      <c r="AN610" s="245">
        <f t="shared" si="84"/>
        <v>0</v>
      </c>
      <c r="AO610" s="245">
        <f t="shared" si="85"/>
        <v>3599559</v>
      </c>
      <c r="AR610">
        <v>7200</v>
      </c>
      <c r="AS610" t="s">
        <v>383</v>
      </c>
      <c r="AT610" t="s">
        <v>1233</v>
      </c>
      <c r="AU610">
        <v>2438540.5399969998</v>
      </c>
      <c r="AW610">
        <v>7200</v>
      </c>
      <c r="AX610" t="s">
        <v>383</v>
      </c>
      <c r="AY610" t="s">
        <v>1233</v>
      </c>
      <c r="AZ610">
        <v>1613029.8244439999</v>
      </c>
      <c r="BA610" s="342" t="str">
        <f t="shared" si="88"/>
        <v/>
      </c>
      <c r="BB610">
        <v>7200</v>
      </c>
      <c r="BC610" t="s">
        <v>383</v>
      </c>
      <c r="BD610" t="s">
        <v>1233</v>
      </c>
      <c r="BE610" s="243">
        <f t="shared" si="89"/>
        <v>3728964.3995522</v>
      </c>
    </row>
    <row r="611" spans="1:57">
      <c r="A611">
        <v>7200</v>
      </c>
      <c r="B611" t="s">
        <v>383</v>
      </c>
      <c r="C611" t="s">
        <v>1234</v>
      </c>
      <c r="D611">
        <v>344009119.10764498</v>
      </c>
      <c r="E611">
        <v>0</v>
      </c>
      <c r="G611">
        <v>7200</v>
      </c>
      <c r="H611" t="s">
        <v>383</v>
      </c>
      <c r="I611" t="s">
        <v>1234</v>
      </c>
      <c r="J611">
        <v>139356799.04886201</v>
      </c>
      <c r="K611">
        <v>0</v>
      </c>
      <c r="L611" s="342" t="str">
        <f t="shared" si="86"/>
        <v/>
      </c>
      <c r="M611" s="243">
        <v>7200</v>
      </c>
      <c r="N611" s="243" t="s">
        <v>383</v>
      </c>
      <c r="O611" s="243" t="s">
        <v>1234</v>
      </c>
      <c r="P611" s="243">
        <f t="shared" si="87"/>
        <v>455494558.34673458</v>
      </c>
      <c r="S611">
        <v>7200</v>
      </c>
      <c r="T611" t="s">
        <v>383</v>
      </c>
      <c r="U611" t="s">
        <v>1234</v>
      </c>
      <c r="V611">
        <v>74587877.155552998</v>
      </c>
      <c r="W611">
        <v>293526391.07884598</v>
      </c>
      <c r="X611">
        <v>600000</v>
      </c>
      <c r="Y611">
        <v>16787197.777777001</v>
      </c>
      <c r="AA611">
        <v>7200</v>
      </c>
      <c r="AB611" t="s">
        <v>383</v>
      </c>
      <c r="AC611" t="s">
        <v>1234</v>
      </c>
      <c r="AD611">
        <v>74587877.155552998</v>
      </c>
      <c r="AE611">
        <v>293526391.07884598</v>
      </c>
      <c r="AF611">
        <v>600000</v>
      </c>
      <c r="AG611">
        <v>16787197.777777001</v>
      </c>
      <c r="AH611" s="342" t="str">
        <f t="shared" si="81"/>
        <v/>
      </c>
      <c r="AI611">
        <v>7200</v>
      </c>
      <c r="AJ611" t="s">
        <v>383</v>
      </c>
      <c r="AK611" t="s">
        <v>1234</v>
      </c>
      <c r="AL611" s="245">
        <f t="shared" si="82"/>
        <v>134258178.87999541</v>
      </c>
      <c r="AM611" s="245">
        <f t="shared" si="83"/>
        <v>528347503.94192278</v>
      </c>
      <c r="AN611" s="245">
        <f t="shared" si="84"/>
        <v>1080000</v>
      </c>
      <c r="AO611" s="245">
        <f t="shared" si="85"/>
        <v>30216955.999998603</v>
      </c>
      <c r="AR611">
        <v>7200</v>
      </c>
      <c r="AS611" t="s">
        <v>383</v>
      </c>
      <c r="AT611" t="s">
        <v>1234</v>
      </c>
      <c r="AU611">
        <v>22030979.385543</v>
      </c>
      <c r="AW611">
        <v>7200</v>
      </c>
      <c r="AX611" t="s">
        <v>383</v>
      </c>
      <c r="AY611" t="s">
        <v>1234</v>
      </c>
      <c r="AZ611">
        <v>12889018.508886</v>
      </c>
      <c r="BA611" s="342" t="str">
        <f t="shared" si="88"/>
        <v/>
      </c>
      <c r="BB611">
        <v>7200</v>
      </c>
      <c r="BC611" t="s">
        <v>383</v>
      </c>
      <c r="BD611" t="s">
        <v>1234</v>
      </c>
      <c r="BE611" s="243">
        <f t="shared" si="89"/>
        <v>32342194.192651801</v>
      </c>
    </row>
    <row r="612" spans="1:57">
      <c r="A612">
        <v>7200</v>
      </c>
      <c r="B612" t="s">
        <v>383</v>
      </c>
      <c r="C612" t="s">
        <v>1232</v>
      </c>
      <c r="D612">
        <v>588647663.08879602</v>
      </c>
      <c r="E612">
        <v>0</v>
      </c>
      <c r="G612">
        <v>7200</v>
      </c>
      <c r="H612" t="s">
        <v>383</v>
      </c>
      <c r="I612" t="s">
        <v>1232</v>
      </c>
      <c r="J612">
        <v>330084283.95330501</v>
      </c>
      <c r="K612">
        <v>0</v>
      </c>
      <c r="L612" s="342" t="str">
        <f t="shared" si="86"/>
        <v/>
      </c>
      <c r="M612" s="243">
        <v>7200</v>
      </c>
      <c r="N612" s="243" t="s">
        <v>383</v>
      </c>
      <c r="O612" s="243" t="s">
        <v>1232</v>
      </c>
      <c r="P612" s="243">
        <f t="shared" si="87"/>
        <v>852715090.25144005</v>
      </c>
      <c r="S612">
        <v>7200</v>
      </c>
      <c r="T612" t="s">
        <v>383</v>
      </c>
      <c r="U612" t="s">
        <v>1232</v>
      </c>
      <c r="V612">
        <v>28165205.622219998</v>
      </c>
      <c r="W612">
        <v>248992542.56997401</v>
      </c>
      <c r="X612">
        <v>1000000</v>
      </c>
      <c r="Y612">
        <v>9687358.5555540007</v>
      </c>
      <c r="AA612">
        <v>7200</v>
      </c>
      <c r="AB612" t="s">
        <v>383</v>
      </c>
      <c r="AC612" t="s">
        <v>1232</v>
      </c>
      <c r="AD612">
        <v>28165205.622219998</v>
      </c>
      <c r="AE612">
        <v>248992542.56997401</v>
      </c>
      <c r="AF612">
        <v>1000000</v>
      </c>
      <c r="AG612">
        <v>9687358.5555540007</v>
      </c>
      <c r="AH612" s="342" t="str">
        <f t="shared" si="81"/>
        <v/>
      </c>
      <c r="AI612">
        <v>7200</v>
      </c>
      <c r="AJ612" t="s">
        <v>383</v>
      </c>
      <c r="AK612" t="s">
        <v>1232</v>
      </c>
      <c r="AL612" s="245">
        <f t="shared" si="82"/>
        <v>50697370.119995996</v>
      </c>
      <c r="AM612" s="245">
        <f t="shared" si="83"/>
        <v>448186576.6259532</v>
      </c>
      <c r="AN612" s="245">
        <f t="shared" si="84"/>
        <v>1800000</v>
      </c>
      <c r="AO612" s="245">
        <f t="shared" si="85"/>
        <v>17437245.399997201</v>
      </c>
      <c r="AR612">
        <v>7200</v>
      </c>
      <c r="AS612" t="s">
        <v>383</v>
      </c>
      <c r="AT612" t="s">
        <v>1232</v>
      </c>
      <c r="AU612">
        <v>87668021.987767994</v>
      </c>
      <c r="AW612">
        <v>7200</v>
      </c>
      <c r="AX612" t="s">
        <v>383</v>
      </c>
      <c r="AY612" t="s">
        <v>1232</v>
      </c>
      <c r="AZ612">
        <v>90799767.809995994</v>
      </c>
      <c r="BA612" s="342" t="str">
        <f t="shared" si="88"/>
        <v/>
      </c>
      <c r="BB612">
        <v>7200</v>
      </c>
      <c r="BC612" t="s">
        <v>383</v>
      </c>
      <c r="BD612" t="s">
        <v>1232</v>
      </c>
      <c r="BE612" s="243">
        <f t="shared" si="89"/>
        <v>160307836.2357648</v>
      </c>
    </row>
    <row r="613" spans="1:57">
      <c r="A613">
        <v>7200</v>
      </c>
      <c r="B613" t="s">
        <v>383</v>
      </c>
      <c r="C613" t="s">
        <v>1817</v>
      </c>
      <c r="D613">
        <v>73425197.011062995</v>
      </c>
      <c r="E613">
        <v>0</v>
      </c>
      <c r="G613">
        <v>7200</v>
      </c>
      <c r="H613" t="s">
        <v>383</v>
      </c>
      <c r="I613" t="s">
        <v>1817</v>
      </c>
      <c r="J613">
        <v>39504359.826654002</v>
      </c>
      <c r="K613">
        <v>0</v>
      </c>
      <c r="L613" s="342" t="str">
        <f t="shared" si="86"/>
        <v/>
      </c>
      <c r="M613" s="243">
        <v>7200</v>
      </c>
      <c r="N613" s="243" t="s">
        <v>383</v>
      </c>
      <c r="O613" s="243" t="s">
        <v>1817</v>
      </c>
      <c r="P613" s="243">
        <f t="shared" si="87"/>
        <v>105028684.8723862</v>
      </c>
      <c r="S613">
        <v>7200</v>
      </c>
      <c r="T613" t="s">
        <v>383</v>
      </c>
      <c r="U613" t="s">
        <v>1817</v>
      </c>
      <c r="V613">
        <v>26374409.798888002</v>
      </c>
      <c r="W613">
        <v>61100862.564430997</v>
      </c>
      <c r="X613">
        <v>0</v>
      </c>
      <c r="Y613">
        <v>4240400</v>
      </c>
      <c r="AA613">
        <v>7200</v>
      </c>
      <c r="AB613" t="s">
        <v>383</v>
      </c>
      <c r="AC613" t="s">
        <v>1817</v>
      </c>
      <c r="AD613">
        <v>26374409.798888002</v>
      </c>
      <c r="AE613">
        <v>61100862.564430997</v>
      </c>
      <c r="AF613">
        <v>0</v>
      </c>
      <c r="AG613">
        <v>4240400</v>
      </c>
      <c r="AH613" s="342" t="str">
        <f t="shared" si="81"/>
        <v/>
      </c>
      <c r="AI613">
        <v>7200</v>
      </c>
      <c r="AJ613" t="s">
        <v>383</v>
      </c>
      <c r="AK613" t="s">
        <v>1817</v>
      </c>
      <c r="AL613" s="245">
        <f t="shared" si="82"/>
        <v>47473937.637998402</v>
      </c>
      <c r="AM613" s="245">
        <f t="shared" si="83"/>
        <v>109981552.6159758</v>
      </c>
      <c r="AN613" s="245">
        <f t="shared" si="84"/>
        <v>0</v>
      </c>
      <c r="AO613" s="245">
        <f t="shared" si="85"/>
        <v>7632720</v>
      </c>
      <c r="AR613">
        <v>7200</v>
      </c>
      <c r="AS613" t="s">
        <v>383</v>
      </c>
      <c r="AT613" t="s">
        <v>1817</v>
      </c>
      <c r="AU613">
        <v>9072224.2722149994</v>
      </c>
      <c r="AW613">
        <v>7200</v>
      </c>
      <c r="AX613" t="s">
        <v>383</v>
      </c>
      <c r="AY613" t="s">
        <v>1817</v>
      </c>
      <c r="AZ613">
        <v>1619640.288888</v>
      </c>
      <c r="BA613" s="342" t="str">
        <f t="shared" si="88"/>
        <v/>
      </c>
      <c r="BB613">
        <v>7200</v>
      </c>
      <c r="BC613" t="s">
        <v>383</v>
      </c>
      <c r="BD613" t="s">
        <v>1817</v>
      </c>
      <c r="BE613" s="243">
        <f t="shared" si="89"/>
        <v>10367936.503325399</v>
      </c>
    </row>
    <row r="614" spans="1:57">
      <c r="A614">
        <v>7210</v>
      </c>
      <c r="B614" t="s">
        <v>384</v>
      </c>
      <c r="C614" t="s">
        <v>1818</v>
      </c>
      <c r="D614">
        <v>116330405.89552499</v>
      </c>
      <c r="E614">
        <v>0</v>
      </c>
      <c r="G614">
        <v>7210</v>
      </c>
      <c r="H614" t="s">
        <v>384</v>
      </c>
      <c r="I614" t="s">
        <v>1818</v>
      </c>
      <c r="J614">
        <v>72514807.695547</v>
      </c>
      <c r="K614">
        <v>0</v>
      </c>
      <c r="L614" s="342" t="str">
        <f t="shared" si="86"/>
        <v/>
      </c>
      <c r="M614" s="243">
        <v>7210</v>
      </c>
      <c r="N614" s="243" t="s">
        <v>384</v>
      </c>
      <c r="O614" s="243" t="s">
        <v>1818</v>
      </c>
      <c r="P614" s="243">
        <f t="shared" si="87"/>
        <v>174342252.05196261</v>
      </c>
      <c r="S614">
        <v>7210</v>
      </c>
      <c r="T614" t="s">
        <v>384</v>
      </c>
      <c r="U614" t="s">
        <v>1818</v>
      </c>
      <c r="V614">
        <v>52179447.039999999</v>
      </c>
      <c r="W614">
        <v>139779138.699981</v>
      </c>
      <c r="X614">
        <v>0</v>
      </c>
      <c r="Y614">
        <v>4635044.4444439998</v>
      </c>
      <c r="AA614">
        <v>7210</v>
      </c>
      <c r="AB614" t="s">
        <v>384</v>
      </c>
      <c r="AC614" t="s">
        <v>1818</v>
      </c>
      <c r="AD614">
        <v>52179447.039999999</v>
      </c>
      <c r="AE614">
        <v>139779138.699981</v>
      </c>
      <c r="AF614">
        <v>0</v>
      </c>
      <c r="AG614">
        <v>4635044.4444439998</v>
      </c>
      <c r="AH614" s="342" t="str">
        <f t="shared" si="81"/>
        <v/>
      </c>
      <c r="AI614">
        <v>7210</v>
      </c>
      <c r="AJ614" t="s">
        <v>384</v>
      </c>
      <c r="AK614" t="s">
        <v>1818</v>
      </c>
      <c r="AL614" s="245">
        <f t="shared" si="82"/>
        <v>93923004.671999991</v>
      </c>
      <c r="AM614" s="245">
        <f t="shared" si="83"/>
        <v>251602449.65996581</v>
      </c>
      <c r="AN614" s="245">
        <f t="shared" si="84"/>
        <v>0</v>
      </c>
      <c r="AO614" s="245">
        <f t="shared" si="85"/>
        <v>8343079.9999992</v>
      </c>
      <c r="AR614">
        <v>7210</v>
      </c>
      <c r="AS614" t="s">
        <v>384</v>
      </c>
      <c r="AT614" t="s">
        <v>1818</v>
      </c>
      <c r="AU614">
        <v>14581089.169995001</v>
      </c>
      <c r="AW614">
        <v>7210</v>
      </c>
      <c r="AX614" t="s">
        <v>384</v>
      </c>
      <c r="AY614" t="s">
        <v>1818</v>
      </c>
      <c r="AZ614">
        <v>1347427.154443</v>
      </c>
      <c r="BA614" s="342" t="str">
        <f t="shared" si="88"/>
        <v/>
      </c>
      <c r="BB614">
        <v>7210</v>
      </c>
      <c r="BC614" t="s">
        <v>384</v>
      </c>
      <c r="BD614" t="s">
        <v>1818</v>
      </c>
      <c r="BE614" s="243">
        <f t="shared" si="89"/>
        <v>15659030.893549401</v>
      </c>
    </row>
    <row r="615" spans="1:57">
      <c r="A615">
        <v>7210</v>
      </c>
      <c r="B615" t="s">
        <v>384</v>
      </c>
      <c r="C615" t="s">
        <v>1236</v>
      </c>
      <c r="D615">
        <v>221759683.23209599</v>
      </c>
      <c r="E615">
        <v>0</v>
      </c>
      <c r="G615">
        <v>7210</v>
      </c>
      <c r="H615" t="s">
        <v>384</v>
      </c>
      <c r="I615" t="s">
        <v>1236</v>
      </c>
      <c r="J615">
        <v>118969133.37998299</v>
      </c>
      <c r="K615">
        <v>0</v>
      </c>
      <c r="L615" s="342" t="str">
        <f t="shared" si="86"/>
        <v/>
      </c>
      <c r="M615" s="243">
        <v>7210</v>
      </c>
      <c r="N615" s="243" t="s">
        <v>384</v>
      </c>
      <c r="O615" s="243" t="s">
        <v>1236</v>
      </c>
      <c r="P615" s="243">
        <f t="shared" si="87"/>
        <v>316934989.93608236</v>
      </c>
      <c r="S615">
        <v>7210</v>
      </c>
      <c r="T615" t="s">
        <v>384</v>
      </c>
      <c r="U615" t="s">
        <v>1236</v>
      </c>
      <c r="V615">
        <v>80837455.965553001</v>
      </c>
      <c r="W615">
        <v>181112913.33219999</v>
      </c>
      <c r="X615">
        <v>0</v>
      </c>
      <c r="Y615">
        <v>28330968.888888001</v>
      </c>
      <c r="AA615">
        <v>7210</v>
      </c>
      <c r="AB615" t="s">
        <v>384</v>
      </c>
      <c r="AC615" t="s">
        <v>1236</v>
      </c>
      <c r="AD615">
        <v>80837455.965553001</v>
      </c>
      <c r="AE615">
        <v>181112913.33219999</v>
      </c>
      <c r="AF615">
        <v>0</v>
      </c>
      <c r="AG615">
        <v>28330968.888888001</v>
      </c>
      <c r="AH615" s="342" t="str">
        <f t="shared" si="81"/>
        <v/>
      </c>
      <c r="AI615">
        <v>7210</v>
      </c>
      <c r="AJ615" t="s">
        <v>384</v>
      </c>
      <c r="AK615" t="s">
        <v>1236</v>
      </c>
      <c r="AL615" s="245">
        <f t="shared" si="82"/>
        <v>145507420.73799539</v>
      </c>
      <c r="AM615" s="245">
        <f t="shared" si="83"/>
        <v>326003243.99795997</v>
      </c>
      <c r="AN615" s="245">
        <f t="shared" si="84"/>
        <v>0</v>
      </c>
      <c r="AO615" s="245">
        <f t="shared" si="85"/>
        <v>50995743.999998406</v>
      </c>
      <c r="AR615">
        <v>7210</v>
      </c>
      <c r="AS615" t="s">
        <v>384</v>
      </c>
      <c r="AT615" t="s">
        <v>1236</v>
      </c>
      <c r="AU615">
        <v>23056284.185536001</v>
      </c>
      <c r="AW615">
        <v>7210</v>
      </c>
      <c r="AX615" t="s">
        <v>384</v>
      </c>
      <c r="AY615" t="s">
        <v>1236</v>
      </c>
      <c r="AZ615">
        <v>11025932.977771999</v>
      </c>
      <c r="BA615" s="342" t="str">
        <f t="shared" si="88"/>
        <v/>
      </c>
      <c r="BB615">
        <v>7210</v>
      </c>
      <c r="BC615" t="s">
        <v>384</v>
      </c>
      <c r="BD615" t="s">
        <v>1236</v>
      </c>
      <c r="BE615" s="243">
        <f t="shared" si="89"/>
        <v>31877030.567753598</v>
      </c>
    </row>
    <row r="616" spans="1:57">
      <c r="A616">
        <v>7210</v>
      </c>
      <c r="B616" t="s">
        <v>384</v>
      </c>
      <c r="C616" t="s">
        <v>1819</v>
      </c>
      <c r="D616">
        <v>106969128.05773</v>
      </c>
      <c r="E616">
        <v>0</v>
      </c>
      <c r="G616">
        <v>7210</v>
      </c>
      <c r="H616" t="s">
        <v>384</v>
      </c>
      <c r="I616" t="s">
        <v>1819</v>
      </c>
      <c r="J616">
        <v>23788294.685550999</v>
      </c>
      <c r="K616">
        <v>0</v>
      </c>
      <c r="L616" s="342" t="str">
        <f t="shared" si="86"/>
        <v/>
      </c>
      <c r="M616" s="243">
        <v>7210</v>
      </c>
      <c r="N616" s="243" t="s">
        <v>384</v>
      </c>
      <c r="O616" s="243" t="s">
        <v>1819</v>
      </c>
      <c r="P616" s="243">
        <f t="shared" si="87"/>
        <v>125999763.80617081</v>
      </c>
      <c r="S616">
        <v>7210</v>
      </c>
      <c r="T616" t="s">
        <v>384</v>
      </c>
      <c r="U616" t="s">
        <v>1819</v>
      </c>
      <c r="V616">
        <v>38097964.464441001</v>
      </c>
      <c r="W616">
        <v>123504238.09552599</v>
      </c>
      <c r="X616">
        <v>0</v>
      </c>
      <c r="Y616">
        <v>376034.22222200001</v>
      </c>
      <c r="AA616">
        <v>7210</v>
      </c>
      <c r="AB616" t="s">
        <v>384</v>
      </c>
      <c r="AC616" t="s">
        <v>1819</v>
      </c>
      <c r="AD616">
        <v>38097964.464441001</v>
      </c>
      <c r="AE616">
        <v>123504238.09552599</v>
      </c>
      <c r="AF616">
        <v>0</v>
      </c>
      <c r="AG616">
        <v>376034.22222200001</v>
      </c>
      <c r="AH616" s="342" t="str">
        <f t="shared" si="81"/>
        <v/>
      </c>
      <c r="AI616">
        <v>7210</v>
      </c>
      <c r="AJ616" t="s">
        <v>384</v>
      </c>
      <c r="AK616" t="s">
        <v>1819</v>
      </c>
      <c r="AL616" s="245">
        <f t="shared" si="82"/>
        <v>68576336.0359938</v>
      </c>
      <c r="AM616" s="245">
        <f t="shared" si="83"/>
        <v>222307628.5719468</v>
      </c>
      <c r="AN616" s="245">
        <f t="shared" si="84"/>
        <v>0</v>
      </c>
      <c r="AO616" s="245">
        <f t="shared" si="85"/>
        <v>676861.59999960009</v>
      </c>
      <c r="AR616">
        <v>7210</v>
      </c>
      <c r="AS616" t="s">
        <v>384</v>
      </c>
      <c r="AT616" t="s">
        <v>1819</v>
      </c>
      <c r="AU616">
        <v>249193.82443800001</v>
      </c>
      <c r="AW616">
        <v>7210</v>
      </c>
      <c r="AX616" t="s">
        <v>384</v>
      </c>
      <c r="AY616" t="s">
        <v>1819</v>
      </c>
      <c r="AZ616">
        <v>0</v>
      </c>
      <c r="BA616" s="342" t="str">
        <f t="shared" si="88"/>
        <v/>
      </c>
      <c r="BB616">
        <v>7210</v>
      </c>
      <c r="BC616" t="s">
        <v>384</v>
      </c>
      <c r="BD616" t="s">
        <v>1819</v>
      </c>
      <c r="BE616" s="243">
        <f t="shared" si="89"/>
        <v>249193.82443800001</v>
      </c>
    </row>
    <row r="617" spans="1:57">
      <c r="A617">
        <v>7210</v>
      </c>
      <c r="B617" t="s">
        <v>384</v>
      </c>
      <c r="C617" t="s">
        <v>1235</v>
      </c>
      <c r="D617">
        <v>504060447.74769998</v>
      </c>
      <c r="E617">
        <v>0</v>
      </c>
      <c r="G617">
        <v>7210</v>
      </c>
      <c r="H617" t="s">
        <v>384</v>
      </c>
      <c r="I617" t="s">
        <v>1235</v>
      </c>
      <c r="J617">
        <v>200959033.605535</v>
      </c>
      <c r="K617">
        <v>0</v>
      </c>
      <c r="L617" s="342" t="str">
        <f t="shared" si="86"/>
        <v/>
      </c>
      <c r="M617" s="243">
        <v>7210</v>
      </c>
      <c r="N617" s="243" t="s">
        <v>384</v>
      </c>
      <c r="O617" s="243" t="s">
        <v>1235</v>
      </c>
      <c r="P617" s="243">
        <f t="shared" si="87"/>
        <v>664827674.632128</v>
      </c>
      <c r="S617">
        <v>7210</v>
      </c>
      <c r="T617" t="s">
        <v>384</v>
      </c>
      <c r="U617" t="s">
        <v>1235</v>
      </c>
      <c r="V617">
        <v>127137323.405552</v>
      </c>
      <c r="W617">
        <v>326011017.42553401</v>
      </c>
      <c r="X617">
        <v>1437850</v>
      </c>
      <c r="Y617">
        <v>11767932</v>
      </c>
      <c r="AA617">
        <v>7210</v>
      </c>
      <c r="AB617" t="s">
        <v>384</v>
      </c>
      <c r="AC617" t="s">
        <v>1235</v>
      </c>
      <c r="AD617">
        <v>127137323.405552</v>
      </c>
      <c r="AE617">
        <v>326011017.42553401</v>
      </c>
      <c r="AF617">
        <v>1437850</v>
      </c>
      <c r="AG617">
        <v>11767932</v>
      </c>
      <c r="AH617" s="342" t="str">
        <f t="shared" si="81"/>
        <v/>
      </c>
      <c r="AI617">
        <v>7210</v>
      </c>
      <c r="AJ617" t="s">
        <v>384</v>
      </c>
      <c r="AK617" t="s">
        <v>1235</v>
      </c>
      <c r="AL617" s="245">
        <f t="shared" si="82"/>
        <v>228847182.12999362</v>
      </c>
      <c r="AM617" s="245">
        <f t="shared" si="83"/>
        <v>586819831.36596119</v>
      </c>
      <c r="AN617" s="245">
        <f t="shared" si="84"/>
        <v>2588130</v>
      </c>
      <c r="AO617" s="245">
        <f t="shared" si="85"/>
        <v>21182277.600000001</v>
      </c>
      <c r="AR617">
        <v>7210</v>
      </c>
      <c r="AS617" t="s">
        <v>384</v>
      </c>
      <c r="AT617" t="s">
        <v>1235</v>
      </c>
      <c r="AU617">
        <v>75765659.11665</v>
      </c>
      <c r="AW617">
        <v>7210</v>
      </c>
      <c r="AX617" t="s">
        <v>384</v>
      </c>
      <c r="AY617" t="s">
        <v>1235</v>
      </c>
      <c r="AZ617">
        <v>35896712.945551999</v>
      </c>
      <c r="BA617" s="342" t="str">
        <f t="shared" si="88"/>
        <v/>
      </c>
      <c r="BB617">
        <v>7210</v>
      </c>
      <c r="BC617" t="s">
        <v>384</v>
      </c>
      <c r="BD617" t="s">
        <v>1235</v>
      </c>
      <c r="BE617" s="243">
        <f t="shared" si="89"/>
        <v>104483029.4730916</v>
      </c>
    </row>
    <row r="618" spans="1:57">
      <c r="A618">
        <v>7220</v>
      </c>
      <c r="B618" t="s">
        <v>385</v>
      </c>
      <c r="C618" t="s">
        <v>1237</v>
      </c>
      <c r="D618">
        <v>174065804.155516</v>
      </c>
      <c r="E618">
        <v>0</v>
      </c>
      <c r="G618">
        <v>7220</v>
      </c>
      <c r="H618" t="s">
        <v>385</v>
      </c>
      <c r="I618" t="s">
        <v>1237</v>
      </c>
      <c r="J618">
        <v>67414611.481102005</v>
      </c>
      <c r="K618">
        <v>0</v>
      </c>
      <c r="L618" s="342" t="str">
        <f t="shared" si="86"/>
        <v/>
      </c>
      <c r="M618" s="243">
        <v>7220</v>
      </c>
      <c r="N618" s="243" t="s">
        <v>385</v>
      </c>
      <c r="O618" s="243" t="s">
        <v>1237</v>
      </c>
      <c r="P618" s="243">
        <f t="shared" si="87"/>
        <v>227997493.3403976</v>
      </c>
      <c r="S618">
        <v>7220</v>
      </c>
      <c r="T618" t="s">
        <v>385</v>
      </c>
      <c r="U618" t="s">
        <v>1237</v>
      </c>
      <c r="V618">
        <v>89317837.257774994</v>
      </c>
      <c r="W618">
        <v>230048933.00107801</v>
      </c>
      <c r="X618">
        <v>11247888.888888</v>
      </c>
      <c r="Y618">
        <v>18696250.666664999</v>
      </c>
      <c r="AA618">
        <v>7220</v>
      </c>
      <c r="AB618" t="s">
        <v>385</v>
      </c>
      <c r="AC618" t="s">
        <v>1237</v>
      </c>
      <c r="AD618">
        <v>89317837.257774994</v>
      </c>
      <c r="AE618">
        <v>230048933.00107801</v>
      </c>
      <c r="AF618">
        <v>11247888.888888</v>
      </c>
      <c r="AG618">
        <v>18696250.666664999</v>
      </c>
      <c r="AH618" s="342" t="str">
        <f t="shared" si="81"/>
        <v/>
      </c>
      <c r="AI618">
        <v>7220</v>
      </c>
      <c r="AJ618" t="s">
        <v>385</v>
      </c>
      <c r="AK618" t="s">
        <v>1237</v>
      </c>
      <c r="AL618" s="245">
        <f t="shared" si="82"/>
        <v>160772107.063995</v>
      </c>
      <c r="AM618" s="245">
        <f t="shared" si="83"/>
        <v>414088079.40194046</v>
      </c>
      <c r="AN618" s="245">
        <f t="shared" si="84"/>
        <v>20246199.999998398</v>
      </c>
      <c r="AO618" s="245">
        <f t="shared" si="85"/>
        <v>33653251.199997</v>
      </c>
      <c r="AR618">
        <v>7220</v>
      </c>
      <c r="AS618" t="s">
        <v>385</v>
      </c>
      <c r="AT618" t="s">
        <v>1237</v>
      </c>
      <c r="AU618">
        <v>87243263.976653993</v>
      </c>
      <c r="AW618">
        <v>7220</v>
      </c>
      <c r="AX618" t="s">
        <v>385</v>
      </c>
      <c r="AY618" t="s">
        <v>1237</v>
      </c>
      <c r="AZ618">
        <v>20440947.065552998</v>
      </c>
      <c r="BA618" s="342" t="str">
        <f t="shared" si="88"/>
        <v/>
      </c>
      <c r="BB618">
        <v>7220</v>
      </c>
      <c r="BC618" t="s">
        <v>385</v>
      </c>
      <c r="BD618" t="s">
        <v>1237</v>
      </c>
      <c r="BE618" s="243">
        <f t="shared" si="89"/>
        <v>103596021.62909639</v>
      </c>
    </row>
    <row r="619" spans="1:57">
      <c r="A619">
        <v>7220</v>
      </c>
      <c r="B619" t="s">
        <v>385</v>
      </c>
      <c r="C619" t="s">
        <v>1238</v>
      </c>
      <c r="D619">
        <v>131078455.293247</v>
      </c>
      <c r="E619">
        <v>0</v>
      </c>
      <c r="G619">
        <v>7220</v>
      </c>
      <c r="H619" t="s">
        <v>385</v>
      </c>
      <c r="I619" t="s">
        <v>1238</v>
      </c>
      <c r="J619">
        <v>34400876.626657002</v>
      </c>
      <c r="K619">
        <v>0</v>
      </c>
      <c r="L619" s="342" t="str">
        <f t="shared" si="86"/>
        <v/>
      </c>
      <c r="M619" s="243">
        <v>7220</v>
      </c>
      <c r="N619" s="243" t="s">
        <v>385</v>
      </c>
      <c r="O619" s="243" t="s">
        <v>1238</v>
      </c>
      <c r="P619" s="243">
        <f t="shared" si="87"/>
        <v>158599156.5945726</v>
      </c>
      <c r="S619">
        <v>7220</v>
      </c>
      <c r="T619" t="s">
        <v>385</v>
      </c>
      <c r="U619" t="s">
        <v>1238</v>
      </c>
      <c r="V619">
        <v>22683400.503332</v>
      </c>
      <c r="W619">
        <v>222514597.47440499</v>
      </c>
      <c r="X619">
        <v>0</v>
      </c>
      <c r="Y619">
        <v>24071039.999998</v>
      </c>
      <c r="AA619">
        <v>7220</v>
      </c>
      <c r="AB619" t="s">
        <v>385</v>
      </c>
      <c r="AC619" t="s">
        <v>1238</v>
      </c>
      <c r="AD619">
        <v>22683400.503332</v>
      </c>
      <c r="AE619">
        <v>222514597.47440499</v>
      </c>
      <c r="AF619">
        <v>0</v>
      </c>
      <c r="AG619">
        <v>24071039.999998</v>
      </c>
      <c r="AH619" s="342" t="str">
        <f t="shared" si="81"/>
        <v/>
      </c>
      <c r="AI619">
        <v>7220</v>
      </c>
      <c r="AJ619" t="s">
        <v>385</v>
      </c>
      <c r="AK619" t="s">
        <v>1238</v>
      </c>
      <c r="AL619" s="245">
        <f t="shared" si="82"/>
        <v>40830120.905997604</v>
      </c>
      <c r="AM619" s="245">
        <f t="shared" si="83"/>
        <v>400526275.45392901</v>
      </c>
      <c r="AN619" s="245">
        <f t="shared" si="84"/>
        <v>0</v>
      </c>
      <c r="AO619" s="245">
        <f t="shared" si="85"/>
        <v>43327871.999996401</v>
      </c>
      <c r="AR619">
        <v>7220</v>
      </c>
      <c r="AS619" t="s">
        <v>385</v>
      </c>
      <c r="AT619" t="s">
        <v>1238</v>
      </c>
      <c r="AU619">
        <v>41346663.846652001</v>
      </c>
      <c r="AW619">
        <v>7220</v>
      </c>
      <c r="AX619" t="s">
        <v>385</v>
      </c>
      <c r="AY619" t="s">
        <v>1238</v>
      </c>
      <c r="AZ619">
        <v>32628890.226665001</v>
      </c>
      <c r="BA619" s="342" t="str">
        <f t="shared" si="88"/>
        <v/>
      </c>
      <c r="BB619">
        <v>7220</v>
      </c>
      <c r="BC619" t="s">
        <v>385</v>
      </c>
      <c r="BD619" t="s">
        <v>1238</v>
      </c>
      <c r="BE619" s="243">
        <f t="shared" si="89"/>
        <v>67449776.027984008</v>
      </c>
    </row>
    <row r="620" spans="1:57">
      <c r="A620">
        <v>7220</v>
      </c>
      <c r="B620" t="s">
        <v>385</v>
      </c>
      <c r="C620" t="s">
        <v>1996</v>
      </c>
      <c r="D620">
        <v>25869992.315510001</v>
      </c>
      <c r="E620">
        <v>0</v>
      </c>
      <c r="G620">
        <v>7220</v>
      </c>
      <c r="H620" t="s">
        <v>385</v>
      </c>
      <c r="I620" t="s">
        <v>1996</v>
      </c>
      <c r="J620">
        <v>12740643.666663</v>
      </c>
      <c r="K620">
        <v>0</v>
      </c>
      <c r="L620" s="342" t="str">
        <f t="shared" si="86"/>
        <v/>
      </c>
      <c r="M620" s="243">
        <v>7220</v>
      </c>
      <c r="N620" s="243" t="s">
        <v>385</v>
      </c>
      <c r="O620" s="243" t="s">
        <v>1996</v>
      </c>
      <c r="P620" s="243">
        <f t="shared" si="87"/>
        <v>36062507.248840407</v>
      </c>
      <c r="S620">
        <v>7220</v>
      </c>
      <c r="T620" t="s">
        <v>385</v>
      </c>
      <c r="U620" t="s">
        <v>1996</v>
      </c>
      <c r="V620">
        <v>1723327.644444</v>
      </c>
      <c r="W620">
        <v>73561072.894421995</v>
      </c>
      <c r="X620">
        <v>111111.11111100001</v>
      </c>
      <c r="Y620">
        <v>2345422.2222219999</v>
      </c>
      <c r="AA620">
        <v>7220</v>
      </c>
      <c r="AB620" t="s">
        <v>385</v>
      </c>
      <c r="AC620" t="s">
        <v>1996</v>
      </c>
      <c r="AD620">
        <v>1723327.644444</v>
      </c>
      <c r="AE620">
        <v>73561072.894421995</v>
      </c>
      <c r="AF620">
        <v>111111.11111100001</v>
      </c>
      <c r="AG620">
        <v>2345422.2222219999</v>
      </c>
      <c r="AH620" s="342" t="str">
        <f t="shared" si="81"/>
        <v/>
      </c>
      <c r="AI620">
        <v>7220</v>
      </c>
      <c r="AJ620" t="s">
        <v>385</v>
      </c>
      <c r="AK620" t="s">
        <v>1996</v>
      </c>
      <c r="AL620" s="245">
        <f t="shared" si="82"/>
        <v>3101989.7599991998</v>
      </c>
      <c r="AM620" s="245">
        <f t="shared" si="83"/>
        <v>132409931.2099596</v>
      </c>
      <c r="AN620" s="245">
        <f t="shared" si="84"/>
        <v>199999.9999998</v>
      </c>
      <c r="AO620" s="245">
        <f t="shared" si="85"/>
        <v>4221759.9999995995</v>
      </c>
      <c r="AR620">
        <v>7220</v>
      </c>
      <c r="AS620" t="s">
        <v>385</v>
      </c>
      <c r="AT620" t="s">
        <v>1996</v>
      </c>
      <c r="AU620">
        <v>10033847.218883</v>
      </c>
      <c r="AW620">
        <v>7220</v>
      </c>
      <c r="AX620" t="s">
        <v>385</v>
      </c>
      <c r="AY620" t="s">
        <v>1996</v>
      </c>
      <c r="AZ620">
        <v>6357657.0999990003</v>
      </c>
      <c r="BA620" s="342" t="str">
        <f t="shared" si="88"/>
        <v/>
      </c>
      <c r="BB620">
        <v>7220</v>
      </c>
      <c r="BC620" t="s">
        <v>385</v>
      </c>
      <c r="BD620" t="s">
        <v>1996</v>
      </c>
      <c r="BE620" s="243">
        <f t="shared" si="89"/>
        <v>15119972.898882201</v>
      </c>
    </row>
    <row r="621" spans="1:57">
      <c r="A621">
        <v>7510</v>
      </c>
      <c r="B621" t="s">
        <v>386</v>
      </c>
      <c r="C621" t="s">
        <v>1821</v>
      </c>
      <c r="D621">
        <v>151834745.47100899</v>
      </c>
      <c r="E621">
        <v>0</v>
      </c>
      <c r="G621">
        <v>7510</v>
      </c>
      <c r="H621" t="s">
        <v>386</v>
      </c>
      <c r="I621" t="s">
        <v>1821</v>
      </c>
      <c r="J621">
        <v>72917546.661087006</v>
      </c>
      <c r="K621">
        <v>0</v>
      </c>
      <c r="L621" s="342" t="str">
        <f t="shared" si="86"/>
        <v/>
      </c>
      <c r="M621" s="243">
        <v>7510</v>
      </c>
      <c r="N621" s="243" t="s">
        <v>386</v>
      </c>
      <c r="O621" s="243" t="s">
        <v>1821</v>
      </c>
      <c r="P621" s="243">
        <f t="shared" si="87"/>
        <v>210168782.7998786</v>
      </c>
      <c r="S621">
        <v>7510</v>
      </c>
      <c r="T621" t="s">
        <v>386</v>
      </c>
      <c r="U621" t="s">
        <v>1821</v>
      </c>
      <c r="V621">
        <v>103844620.14999799</v>
      </c>
      <c r="W621">
        <v>219278528.267719</v>
      </c>
      <c r="X621">
        <v>0</v>
      </c>
      <c r="Y621">
        <v>5770233.3333329996</v>
      </c>
      <c r="AA621">
        <v>7510</v>
      </c>
      <c r="AB621" t="s">
        <v>386</v>
      </c>
      <c r="AC621" t="s">
        <v>1821</v>
      </c>
      <c r="AD621">
        <v>103844620.14999799</v>
      </c>
      <c r="AE621">
        <v>219278528.267719</v>
      </c>
      <c r="AF621">
        <v>0</v>
      </c>
      <c r="AG621">
        <v>5770233.3333329996</v>
      </c>
      <c r="AH621" s="342" t="str">
        <f t="shared" si="81"/>
        <v/>
      </c>
      <c r="AI621">
        <v>7510</v>
      </c>
      <c r="AJ621" t="s">
        <v>386</v>
      </c>
      <c r="AK621" t="s">
        <v>1821</v>
      </c>
      <c r="AL621" s="245">
        <f t="shared" si="82"/>
        <v>186920316.2699964</v>
      </c>
      <c r="AM621" s="245">
        <f t="shared" si="83"/>
        <v>394701350.88189423</v>
      </c>
      <c r="AN621" s="245">
        <f t="shared" si="84"/>
        <v>0</v>
      </c>
      <c r="AO621" s="245">
        <f t="shared" si="85"/>
        <v>10386419.9999994</v>
      </c>
      <c r="AR621">
        <v>7510</v>
      </c>
      <c r="AS621" t="s">
        <v>386</v>
      </c>
      <c r="AT621" t="s">
        <v>1821</v>
      </c>
      <c r="AU621">
        <v>14650360.277766</v>
      </c>
      <c r="AW621">
        <v>7510</v>
      </c>
      <c r="AX621" t="s">
        <v>386</v>
      </c>
      <c r="AY621" t="s">
        <v>1821</v>
      </c>
      <c r="AZ621">
        <v>3424188.4222189998</v>
      </c>
      <c r="BA621" s="342" t="str">
        <f t="shared" si="88"/>
        <v/>
      </c>
      <c r="BB621">
        <v>7510</v>
      </c>
      <c r="BC621" t="s">
        <v>386</v>
      </c>
      <c r="BD621" t="s">
        <v>1821</v>
      </c>
      <c r="BE621" s="243">
        <f t="shared" si="89"/>
        <v>17389711.0155412</v>
      </c>
    </row>
    <row r="622" spans="1:57">
      <c r="A622">
        <v>7510</v>
      </c>
      <c r="B622" t="s">
        <v>386</v>
      </c>
      <c r="C622" t="s">
        <v>1820</v>
      </c>
      <c r="D622">
        <v>146385858.86432701</v>
      </c>
      <c r="E622">
        <v>0</v>
      </c>
      <c r="G622">
        <v>7510</v>
      </c>
      <c r="H622" t="s">
        <v>386</v>
      </c>
      <c r="I622" t="s">
        <v>1820</v>
      </c>
      <c r="J622">
        <v>68948539.554422006</v>
      </c>
      <c r="K622">
        <v>0</v>
      </c>
      <c r="L622" s="342" t="str">
        <f t="shared" si="86"/>
        <v/>
      </c>
      <c r="M622" s="243">
        <v>7510</v>
      </c>
      <c r="N622" s="243" t="s">
        <v>386</v>
      </c>
      <c r="O622" s="243" t="s">
        <v>1820</v>
      </c>
      <c r="P622" s="243">
        <f t="shared" si="87"/>
        <v>201544690.50786462</v>
      </c>
      <c r="S622">
        <v>7510</v>
      </c>
      <c r="T622" t="s">
        <v>386</v>
      </c>
      <c r="U622" t="s">
        <v>1820</v>
      </c>
      <c r="V622">
        <v>110616564.038886</v>
      </c>
      <c r="W622">
        <v>295149799.08884197</v>
      </c>
      <c r="X622">
        <v>0</v>
      </c>
      <c r="Y622">
        <v>10111035</v>
      </c>
      <c r="AA622">
        <v>7510</v>
      </c>
      <c r="AB622" t="s">
        <v>386</v>
      </c>
      <c r="AC622" t="s">
        <v>1820</v>
      </c>
      <c r="AD622">
        <v>110616564.038886</v>
      </c>
      <c r="AE622">
        <v>295149799.08884197</v>
      </c>
      <c r="AF622">
        <v>0</v>
      </c>
      <c r="AG622">
        <v>10111035</v>
      </c>
      <c r="AH622" s="342" t="str">
        <f t="shared" si="81"/>
        <v/>
      </c>
      <c r="AI622">
        <v>7510</v>
      </c>
      <c r="AJ622" t="s">
        <v>386</v>
      </c>
      <c r="AK622" t="s">
        <v>1820</v>
      </c>
      <c r="AL622" s="245">
        <f t="shared" si="82"/>
        <v>199109815.2699948</v>
      </c>
      <c r="AM622" s="245">
        <f t="shared" si="83"/>
        <v>531269638.35991555</v>
      </c>
      <c r="AN622" s="245">
        <f t="shared" si="84"/>
        <v>0</v>
      </c>
      <c r="AO622" s="245">
        <f t="shared" si="85"/>
        <v>18199863</v>
      </c>
      <c r="AR622">
        <v>7510</v>
      </c>
      <c r="AS622" t="s">
        <v>386</v>
      </c>
      <c r="AT622" t="s">
        <v>1820</v>
      </c>
      <c r="AU622">
        <v>29192472.747763999</v>
      </c>
      <c r="AW622">
        <v>7510</v>
      </c>
      <c r="AX622" t="s">
        <v>386</v>
      </c>
      <c r="AY622" t="s">
        <v>1820</v>
      </c>
      <c r="AZ622">
        <v>4371111.6866650004</v>
      </c>
      <c r="BA622" s="342" t="str">
        <f t="shared" si="88"/>
        <v/>
      </c>
      <c r="BB622">
        <v>7510</v>
      </c>
      <c r="BC622" t="s">
        <v>386</v>
      </c>
      <c r="BD622" t="s">
        <v>1820</v>
      </c>
      <c r="BE622" s="243">
        <f t="shared" si="89"/>
        <v>32689362.097096</v>
      </c>
    </row>
    <row r="623" spans="1:57">
      <c r="A623">
        <v>7520</v>
      </c>
      <c r="B623" t="s">
        <v>387</v>
      </c>
      <c r="C623" t="s">
        <v>1822</v>
      </c>
      <c r="D623">
        <v>264822716.81770501</v>
      </c>
      <c r="E623">
        <v>0</v>
      </c>
      <c r="G623">
        <v>7520</v>
      </c>
      <c r="H623" t="s">
        <v>387</v>
      </c>
      <c r="I623" t="s">
        <v>1822</v>
      </c>
      <c r="J623">
        <v>42685857.104428001</v>
      </c>
      <c r="K623">
        <v>0</v>
      </c>
      <c r="L623" s="342" t="str">
        <f t="shared" si="86"/>
        <v/>
      </c>
      <c r="M623" s="243">
        <v>7520</v>
      </c>
      <c r="N623" s="243" t="s">
        <v>387</v>
      </c>
      <c r="O623" s="243" t="s">
        <v>1822</v>
      </c>
      <c r="P623" s="243">
        <f t="shared" si="87"/>
        <v>298971402.50124741</v>
      </c>
      <c r="S623">
        <v>7520</v>
      </c>
      <c r="T623" t="s">
        <v>387</v>
      </c>
      <c r="U623" t="s">
        <v>1822</v>
      </c>
      <c r="V623">
        <v>45522505.146665998</v>
      </c>
      <c r="W623">
        <v>177016597.84109199</v>
      </c>
      <c r="X623">
        <v>2898066.6666660002</v>
      </c>
      <c r="Y623">
        <v>19625333.333333001</v>
      </c>
      <c r="AA623">
        <v>7520</v>
      </c>
      <c r="AB623" t="s">
        <v>387</v>
      </c>
      <c r="AC623" t="s">
        <v>1822</v>
      </c>
      <c r="AD623">
        <v>45522505.146665998</v>
      </c>
      <c r="AE623">
        <v>177016597.84109199</v>
      </c>
      <c r="AF623">
        <v>2898066.6666660002</v>
      </c>
      <c r="AG623">
        <v>19625333.333333001</v>
      </c>
      <c r="AH623" s="342" t="str">
        <f t="shared" si="81"/>
        <v/>
      </c>
      <c r="AI623">
        <v>7520</v>
      </c>
      <c r="AJ623" t="s">
        <v>387</v>
      </c>
      <c r="AK623" t="s">
        <v>1822</v>
      </c>
      <c r="AL623" s="245">
        <f t="shared" si="82"/>
        <v>81940509.263998806</v>
      </c>
      <c r="AM623" s="245">
        <f t="shared" si="83"/>
        <v>318629876.11396563</v>
      </c>
      <c r="AN623" s="245">
        <f t="shared" si="84"/>
        <v>5216519.9999988005</v>
      </c>
      <c r="AO623" s="245">
        <f t="shared" si="85"/>
        <v>35325599.999999404</v>
      </c>
      <c r="AR623">
        <v>7520</v>
      </c>
      <c r="AS623" t="s">
        <v>387</v>
      </c>
      <c r="AT623" t="s">
        <v>1822</v>
      </c>
      <c r="AU623">
        <v>9506466.1044330001</v>
      </c>
      <c r="AW623">
        <v>7520</v>
      </c>
      <c r="AX623" t="s">
        <v>387</v>
      </c>
      <c r="AY623" t="s">
        <v>1822</v>
      </c>
      <c r="AZ623">
        <v>3694859.7788880002</v>
      </c>
      <c r="BA623" s="342" t="str">
        <f t="shared" si="88"/>
        <v/>
      </c>
      <c r="BB623">
        <v>7520</v>
      </c>
      <c r="BC623" t="s">
        <v>387</v>
      </c>
      <c r="BD623" t="s">
        <v>1822</v>
      </c>
      <c r="BE623" s="243">
        <f t="shared" si="89"/>
        <v>12462353.9275434</v>
      </c>
    </row>
    <row r="624" spans="1:57">
      <c r="A624">
        <v>7520</v>
      </c>
      <c r="B624" t="s">
        <v>387</v>
      </c>
      <c r="C624" t="s">
        <v>1997</v>
      </c>
      <c r="D624">
        <v>75322249.931060001</v>
      </c>
      <c r="E624">
        <v>0</v>
      </c>
      <c r="G624">
        <v>7520</v>
      </c>
      <c r="H624" t="s">
        <v>387</v>
      </c>
      <c r="I624" t="s">
        <v>1997</v>
      </c>
      <c r="J624">
        <v>37174865.435548</v>
      </c>
      <c r="K624">
        <v>0</v>
      </c>
      <c r="L624" s="342" t="str">
        <f t="shared" si="86"/>
        <v/>
      </c>
      <c r="M624" s="243">
        <v>7520</v>
      </c>
      <c r="N624" s="243" t="s">
        <v>387</v>
      </c>
      <c r="O624" s="243" t="s">
        <v>1997</v>
      </c>
      <c r="P624" s="243">
        <f t="shared" si="87"/>
        <v>105062142.2794984</v>
      </c>
      <c r="S624">
        <v>7520</v>
      </c>
      <c r="T624" t="s">
        <v>387</v>
      </c>
      <c r="U624" t="s">
        <v>1997</v>
      </c>
      <c r="V624">
        <v>29365431.483332001</v>
      </c>
      <c r="W624">
        <v>113857195.554424</v>
      </c>
      <c r="X624">
        <v>604826.9</v>
      </c>
      <c r="Y624">
        <v>6329129.7399979997</v>
      </c>
      <c r="AA624">
        <v>7520</v>
      </c>
      <c r="AB624" t="s">
        <v>387</v>
      </c>
      <c r="AC624" t="s">
        <v>1997</v>
      </c>
      <c r="AD624">
        <v>29365431.483332001</v>
      </c>
      <c r="AE624">
        <v>113857195.554424</v>
      </c>
      <c r="AF624">
        <v>604826.9</v>
      </c>
      <c r="AG624">
        <v>6329129.7399979997</v>
      </c>
      <c r="AH624" s="342" t="str">
        <f t="shared" si="81"/>
        <v/>
      </c>
      <c r="AI624">
        <v>7520</v>
      </c>
      <c r="AJ624" t="s">
        <v>387</v>
      </c>
      <c r="AK624" t="s">
        <v>1997</v>
      </c>
      <c r="AL624" s="245">
        <f t="shared" si="82"/>
        <v>52857776.669997603</v>
      </c>
      <c r="AM624" s="245">
        <f t="shared" si="83"/>
        <v>204942951.99796319</v>
      </c>
      <c r="AN624" s="245">
        <f t="shared" si="84"/>
        <v>1088688.42</v>
      </c>
      <c r="AO624" s="245">
        <f t="shared" si="85"/>
        <v>11392433.531996399</v>
      </c>
      <c r="AR624">
        <v>7520</v>
      </c>
      <c r="AS624" t="s">
        <v>387</v>
      </c>
      <c r="AT624" t="s">
        <v>1997</v>
      </c>
      <c r="AU624">
        <v>2585449.0133290002</v>
      </c>
      <c r="AW624">
        <v>7520</v>
      </c>
      <c r="AX624" t="s">
        <v>387</v>
      </c>
      <c r="AY624" t="s">
        <v>1997</v>
      </c>
      <c r="AZ624">
        <v>5144738.2833319996</v>
      </c>
      <c r="BA624" s="342" t="str">
        <f t="shared" si="88"/>
        <v/>
      </c>
      <c r="BB624">
        <v>7520</v>
      </c>
      <c r="BC624" t="s">
        <v>387</v>
      </c>
      <c r="BD624" t="s">
        <v>1997</v>
      </c>
      <c r="BE624" s="243">
        <f t="shared" si="89"/>
        <v>6701239.6399945999</v>
      </c>
    </row>
    <row r="625" spans="1:57">
      <c r="A625">
        <v>7520</v>
      </c>
      <c r="B625" t="s">
        <v>387</v>
      </c>
      <c r="C625" t="s">
        <v>1595</v>
      </c>
      <c r="D625">
        <v>175844493.254388</v>
      </c>
      <c r="E625">
        <v>0</v>
      </c>
      <c r="G625">
        <v>7520</v>
      </c>
      <c r="H625" t="s">
        <v>387</v>
      </c>
      <c r="I625" t="s">
        <v>1595</v>
      </c>
      <c r="J625">
        <v>77185344.616658002</v>
      </c>
      <c r="K625">
        <v>0</v>
      </c>
      <c r="L625" s="342" t="str">
        <f t="shared" si="86"/>
        <v/>
      </c>
      <c r="M625" s="243">
        <v>7520</v>
      </c>
      <c r="N625" s="243" t="s">
        <v>387</v>
      </c>
      <c r="O625" s="243" t="s">
        <v>1595</v>
      </c>
      <c r="P625" s="243">
        <f t="shared" si="87"/>
        <v>237592768.94771442</v>
      </c>
      <c r="S625">
        <v>7520</v>
      </c>
      <c r="T625" t="s">
        <v>387</v>
      </c>
      <c r="U625" t="s">
        <v>1595</v>
      </c>
      <c r="V625">
        <v>45912704.547775999</v>
      </c>
      <c r="W625">
        <v>249431672.559973</v>
      </c>
      <c r="X625">
        <v>0</v>
      </c>
      <c r="Y625">
        <v>32346975</v>
      </c>
      <c r="AA625">
        <v>7520</v>
      </c>
      <c r="AB625" t="s">
        <v>387</v>
      </c>
      <c r="AC625" t="s">
        <v>1595</v>
      </c>
      <c r="AD625">
        <v>45912704.547775999</v>
      </c>
      <c r="AE625">
        <v>249431672.559973</v>
      </c>
      <c r="AF625">
        <v>0</v>
      </c>
      <c r="AG625">
        <v>32346975</v>
      </c>
      <c r="AH625" s="342" t="str">
        <f t="shared" si="81"/>
        <v/>
      </c>
      <c r="AI625">
        <v>7520</v>
      </c>
      <c r="AJ625" t="s">
        <v>387</v>
      </c>
      <c r="AK625" t="s">
        <v>1595</v>
      </c>
      <c r="AL625" s="245">
        <f t="shared" si="82"/>
        <v>82642868.185996801</v>
      </c>
      <c r="AM625" s="245">
        <f t="shared" si="83"/>
        <v>448977010.6079514</v>
      </c>
      <c r="AN625" s="245">
        <f t="shared" si="84"/>
        <v>0</v>
      </c>
      <c r="AO625" s="245">
        <f t="shared" si="85"/>
        <v>58224555</v>
      </c>
      <c r="AR625">
        <v>7520</v>
      </c>
      <c r="AS625" t="s">
        <v>387</v>
      </c>
      <c r="AT625" t="s">
        <v>1595</v>
      </c>
      <c r="AU625">
        <v>10356181.579987001</v>
      </c>
      <c r="AW625">
        <v>7520</v>
      </c>
      <c r="AX625" t="s">
        <v>387</v>
      </c>
      <c r="AY625" t="s">
        <v>1595</v>
      </c>
      <c r="AZ625">
        <v>13480470.925551999</v>
      </c>
      <c r="BA625" s="342" t="str">
        <f t="shared" si="88"/>
        <v/>
      </c>
      <c r="BB625">
        <v>7520</v>
      </c>
      <c r="BC625" t="s">
        <v>387</v>
      </c>
      <c r="BD625" t="s">
        <v>1595</v>
      </c>
      <c r="BE625" s="243">
        <f t="shared" si="89"/>
        <v>21140558.320428602</v>
      </c>
    </row>
    <row r="626" spans="1:57">
      <c r="A626">
        <v>7520</v>
      </c>
      <c r="B626" t="s">
        <v>387</v>
      </c>
      <c r="C626" t="s">
        <v>1240</v>
      </c>
      <c r="D626">
        <v>224700276.54213601</v>
      </c>
      <c r="E626">
        <v>0</v>
      </c>
      <c r="G626">
        <v>7520</v>
      </c>
      <c r="H626" t="s">
        <v>387</v>
      </c>
      <c r="I626" t="s">
        <v>1240</v>
      </c>
      <c r="J626">
        <v>67700406.233318999</v>
      </c>
      <c r="K626">
        <v>0</v>
      </c>
      <c r="L626" s="342" t="str">
        <f t="shared" si="86"/>
        <v/>
      </c>
      <c r="M626" s="243">
        <v>7520</v>
      </c>
      <c r="N626" s="243" t="s">
        <v>387</v>
      </c>
      <c r="O626" s="243" t="s">
        <v>1240</v>
      </c>
      <c r="P626" s="243">
        <f t="shared" si="87"/>
        <v>278860601.52879119</v>
      </c>
      <c r="S626">
        <v>7520</v>
      </c>
      <c r="T626" t="s">
        <v>387</v>
      </c>
      <c r="U626" t="s">
        <v>1240</v>
      </c>
      <c r="V626">
        <v>37125631.017774999</v>
      </c>
      <c r="W626">
        <v>274041088.88997</v>
      </c>
      <c r="X626">
        <v>0</v>
      </c>
      <c r="Y626">
        <v>11079002.444443</v>
      </c>
      <c r="AA626">
        <v>7520</v>
      </c>
      <c r="AB626" t="s">
        <v>387</v>
      </c>
      <c r="AC626" t="s">
        <v>1240</v>
      </c>
      <c r="AD626">
        <v>37125631.017774999</v>
      </c>
      <c r="AE626">
        <v>274041088.88997</v>
      </c>
      <c r="AF626">
        <v>0</v>
      </c>
      <c r="AG626">
        <v>11079002.444443</v>
      </c>
      <c r="AH626" s="342" t="str">
        <f t="shared" si="81"/>
        <v/>
      </c>
      <c r="AI626">
        <v>7520</v>
      </c>
      <c r="AJ626" t="s">
        <v>387</v>
      </c>
      <c r="AK626" t="s">
        <v>1240</v>
      </c>
      <c r="AL626" s="245">
        <f t="shared" si="82"/>
        <v>66826135.831994995</v>
      </c>
      <c r="AM626" s="245">
        <f t="shared" si="83"/>
        <v>493273960.00194603</v>
      </c>
      <c r="AN626" s="245">
        <f t="shared" si="84"/>
        <v>0</v>
      </c>
      <c r="AO626" s="245">
        <f t="shared" si="85"/>
        <v>19942204.399997402</v>
      </c>
      <c r="AR626">
        <v>7520</v>
      </c>
      <c r="AS626" t="s">
        <v>387</v>
      </c>
      <c r="AT626" t="s">
        <v>1240</v>
      </c>
      <c r="AU626">
        <v>13752182.906657999</v>
      </c>
      <c r="AW626">
        <v>7520</v>
      </c>
      <c r="AX626" t="s">
        <v>387</v>
      </c>
      <c r="AY626" t="s">
        <v>1240</v>
      </c>
      <c r="AZ626">
        <v>9168077.3377759997</v>
      </c>
      <c r="BA626" s="342" t="str">
        <f t="shared" si="88"/>
        <v/>
      </c>
      <c r="BB626">
        <v>7520</v>
      </c>
      <c r="BC626" t="s">
        <v>387</v>
      </c>
      <c r="BD626" t="s">
        <v>1240</v>
      </c>
      <c r="BE626" s="243">
        <f t="shared" si="89"/>
        <v>21086644.7768788</v>
      </c>
    </row>
    <row r="627" spans="1:57">
      <c r="A627">
        <v>7530</v>
      </c>
      <c r="B627" t="s">
        <v>388</v>
      </c>
      <c r="C627" t="s">
        <v>1241</v>
      </c>
      <c r="D627">
        <v>432530164.15211099</v>
      </c>
      <c r="E627">
        <v>0</v>
      </c>
      <c r="G627">
        <v>7530</v>
      </c>
      <c r="H627" t="s">
        <v>388</v>
      </c>
      <c r="I627" t="s">
        <v>1241</v>
      </c>
      <c r="J627">
        <v>184960828.573304</v>
      </c>
      <c r="K627">
        <v>0</v>
      </c>
      <c r="L627" s="342" t="str">
        <f t="shared" si="86"/>
        <v/>
      </c>
      <c r="M627" s="243">
        <v>7530</v>
      </c>
      <c r="N627" s="243" t="s">
        <v>388</v>
      </c>
      <c r="O627" s="243" t="s">
        <v>1241</v>
      </c>
      <c r="P627" s="243">
        <f t="shared" si="87"/>
        <v>580498827.01075423</v>
      </c>
      <c r="S627">
        <v>7530</v>
      </c>
      <c r="T627" t="s">
        <v>388</v>
      </c>
      <c r="U627" t="s">
        <v>1241</v>
      </c>
      <c r="V627">
        <v>32488222.818886999</v>
      </c>
      <c r="W627">
        <v>223674563.041087</v>
      </c>
      <c r="X627">
        <v>1000000</v>
      </c>
      <c r="Y627">
        <v>35671926.688886002</v>
      </c>
      <c r="AA627">
        <v>7530</v>
      </c>
      <c r="AB627" t="s">
        <v>388</v>
      </c>
      <c r="AC627" t="s">
        <v>1241</v>
      </c>
      <c r="AD627">
        <v>32488222.818886999</v>
      </c>
      <c r="AE627">
        <v>223674563.041087</v>
      </c>
      <c r="AF627">
        <v>1000000</v>
      </c>
      <c r="AG627">
        <v>35671926.688886002</v>
      </c>
      <c r="AH627" s="342" t="str">
        <f t="shared" si="81"/>
        <v/>
      </c>
      <c r="AI627">
        <v>7530</v>
      </c>
      <c r="AJ627" t="s">
        <v>388</v>
      </c>
      <c r="AK627" t="s">
        <v>1241</v>
      </c>
      <c r="AL627" s="245">
        <f t="shared" si="82"/>
        <v>58478801.073996603</v>
      </c>
      <c r="AM627" s="245">
        <f t="shared" si="83"/>
        <v>402614213.47395658</v>
      </c>
      <c r="AN627" s="245">
        <f t="shared" si="84"/>
        <v>1800000</v>
      </c>
      <c r="AO627" s="245">
        <f t="shared" si="85"/>
        <v>64209468.039994806</v>
      </c>
      <c r="AR627">
        <v>7530</v>
      </c>
      <c r="AS627" t="s">
        <v>388</v>
      </c>
      <c r="AT627" t="s">
        <v>1241</v>
      </c>
      <c r="AU627">
        <v>2471967.4111040002</v>
      </c>
      <c r="AW627">
        <v>7530</v>
      </c>
      <c r="AX627" t="s">
        <v>388</v>
      </c>
      <c r="AY627" t="s">
        <v>1241</v>
      </c>
      <c r="AZ627">
        <v>8225097.9422190003</v>
      </c>
      <c r="BA627" s="342" t="str">
        <f t="shared" si="88"/>
        <v/>
      </c>
      <c r="BB627">
        <v>7530</v>
      </c>
      <c r="BC627" t="s">
        <v>388</v>
      </c>
      <c r="BD627" t="s">
        <v>1241</v>
      </c>
      <c r="BE627" s="243">
        <f t="shared" si="89"/>
        <v>9052045.7648792006</v>
      </c>
    </row>
    <row r="628" spans="1:57">
      <c r="A628">
        <v>7530</v>
      </c>
      <c r="B628" t="s">
        <v>388</v>
      </c>
      <c r="C628" t="s">
        <v>1596</v>
      </c>
      <c r="D628">
        <v>97329701.025497004</v>
      </c>
      <c r="E628">
        <v>0</v>
      </c>
      <c r="G628">
        <v>7530</v>
      </c>
      <c r="H628" t="s">
        <v>388</v>
      </c>
      <c r="I628" t="s">
        <v>1596</v>
      </c>
      <c r="J628">
        <v>18417144.597762998</v>
      </c>
      <c r="K628">
        <v>0</v>
      </c>
      <c r="L628" s="342" t="str">
        <f t="shared" si="86"/>
        <v/>
      </c>
      <c r="M628" s="243">
        <v>7530</v>
      </c>
      <c r="N628" s="243" t="s">
        <v>388</v>
      </c>
      <c r="O628" s="243" t="s">
        <v>1596</v>
      </c>
      <c r="P628" s="243">
        <f t="shared" si="87"/>
        <v>112063416.7037074</v>
      </c>
      <c r="S628">
        <v>7530</v>
      </c>
      <c r="T628" t="s">
        <v>388</v>
      </c>
      <c r="U628" t="s">
        <v>1596</v>
      </c>
      <c r="V628">
        <v>37671480.596665002</v>
      </c>
      <c r="W628">
        <v>169013849.032179</v>
      </c>
      <c r="X628">
        <v>600000</v>
      </c>
      <c r="Y628">
        <v>13425143.111109</v>
      </c>
      <c r="AA628">
        <v>7530</v>
      </c>
      <c r="AB628" t="s">
        <v>388</v>
      </c>
      <c r="AC628" t="s">
        <v>1596</v>
      </c>
      <c r="AD628">
        <v>37671480.596665002</v>
      </c>
      <c r="AE628">
        <v>169013849.032179</v>
      </c>
      <c r="AF628">
        <v>600000</v>
      </c>
      <c r="AG628">
        <v>13425143.111109</v>
      </c>
      <c r="AH628" s="342" t="str">
        <f t="shared" si="81"/>
        <v/>
      </c>
      <c r="AI628">
        <v>7530</v>
      </c>
      <c r="AJ628" t="s">
        <v>388</v>
      </c>
      <c r="AK628" t="s">
        <v>1596</v>
      </c>
      <c r="AL628" s="245">
        <f t="shared" si="82"/>
        <v>67808665.073997006</v>
      </c>
      <c r="AM628" s="245">
        <f t="shared" si="83"/>
        <v>304224928.25792217</v>
      </c>
      <c r="AN628" s="245">
        <f t="shared" si="84"/>
        <v>1080000</v>
      </c>
      <c r="AO628" s="245">
        <f t="shared" si="85"/>
        <v>24165257.599996202</v>
      </c>
      <c r="AR628">
        <v>7530</v>
      </c>
      <c r="AS628" t="s">
        <v>388</v>
      </c>
      <c r="AT628" t="s">
        <v>1596</v>
      </c>
      <c r="AU628">
        <v>10631721.466654001</v>
      </c>
      <c r="AW628">
        <v>7530</v>
      </c>
      <c r="AX628" t="s">
        <v>388</v>
      </c>
      <c r="AY628" t="s">
        <v>1596</v>
      </c>
      <c r="AZ628">
        <v>23229148.453329999</v>
      </c>
      <c r="BA628" s="342" t="str">
        <f t="shared" si="88"/>
        <v/>
      </c>
      <c r="BB628">
        <v>7530</v>
      </c>
      <c r="BC628" t="s">
        <v>388</v>
      </c>
      <c r="BD628" t="s">
        <v>1596</v>
      </c>
      <c r="BE628" s="243">
        <f t="shared" si="89"/>
        <v>29215040.229318</v>
      </c>
    </row>
    <row r="629" spans="1:57">
      <c r="A629">
        <v>7530</v>
      </c>
      <c r="B629" t="s">
        <v>388</v>
      </c>
      <c r="C629" t="s">
        <v>1998</v>
      </c>
      <c r="D629">
        <v>61909374.807746999</v>
      </c>
      <c r="E629">
        <v>0</v>
      </c>
      <c r="G629">
        <v>7530</v>
      </c>
      <c r="H629" t="s">
        <v>388</v>
      </c>
      <c r="I629" t="s">
        <v>1998</v>
      </c>
      <c r="J629">
        <v>19949751.011105001</v>
      </c>
      <c r="K629">
        <v>0</v>
      </c>
      <c r="L629" s="342" t="str">
        <f t="shared" si="86"/>
        <v/>
      </c>
      <c r="M629" s="243">
        <v>7530</v>
      </c>
      <c r="N629" s="243" t="s">
        <v>388</v>
      </c>
      <c r="O629" s="243" t="s">
        <v>1998</v>
      </c>
      <c r="P629" s="243">
        <f t="shared" si="87"/>
        <v>77869175.616631001</v>
      </c>
      <c r="S629">
        <v>7530</v>
      </c>
      <c r="T629" t="s">
        <v>388</v>
      </c>
      <c r="U629" t="s">
        <v>1998</v>
      </c>
      <c r="V629">
        <v>14322572.812222</v>
      </c>
      <c r="W629">
        <v>68387747.791093007</v>
      </c>
      <c r="X629">
        <v>0</v>
      </c>
      <c r="Y629">
        <v>5464201.6666660002</v>
      </c>
      <c r="AA629">
        <v>7530</v>
      </c>
      <c r="AB629" t="s">
        <v>388</v>
      </c>
      <c r="AC629" t="s">
        <v>1998</v>
      </c>
      <c r="AD629">
        <v>14322572.812222</v>
      </c>
      <c r="AE629">
        <v>68387747.791093007</v>
      </c>
      <c r="AF629">
        <v>0</v>
      </c>
      <c r="AG629">
        <v>5464201.6666660002</v>
      </c>
      <c r="AH629" s="342" t="str">
        <f t="shared" si="81"/>
        <v/>
      </c>
      <c r="AI629">
        <v>7530</v>
      </c>
      <c r="AJ629" t="s">
        <v>388</v>
      </c>
      <c r="AK629" t="s">
        <v>1998</v>
      </c>
      <c r="AL629" s="245">
        <f t="shared" si="82"/>
        <v>25780631.0619996</v>
      </c>
      <c r="AM629" s="245">
        <f t="shared" si="83"/>
        <v>123097946.02396742</v>
      </c>
      <c r="AN629" s="245">
        <f t="shared" si="84"/>
        <v>0</v>
      </c>
      <c r="AO629" s="245">
        <f t="shared" si="85"/>
        <v>9835562.9999988005</v>
      </c>
      <c r="AR629">
        <v>7530</v>
      </c>
      <c r="AS629" t="s">
        <v>388</v>
      </c>
      <c r="AT629" t="s">
        <v>1998</v>
      </c>
      <c r="AU629">
        <v>3860834.7522140001</v>
      </c>
      <c r="AW629">
        <v>7530</v>
      </c>
      <c r="AX629" t="s">
        <v>388</v>
      </c>
      <c r="AY629" t="s">
        <v>1998</v>
      </c>
      <c r="AZ629">
        <v>1433940.434443</v>
      </c>
      <c r="BA629" s="342" t="str">
        <f t="shared" si="88"/>
        <v/>
      </c>
      <c r="BB629">
        <v>7530</v>
      </c>
      <c r="BC629" t="s">
        <v>388</v>
      </c>
      <c r="BD629" t="s">
        <v>1998</v>
      </c>
      <c r="BE629" s="243">
        <f t="shared" si="89"/>
        <v>5007987.0997684002</v>
      </c>
    </row>
    <row r="630" spans="1:57">
      <c r="A630">
        <v>7600</v>
      </c>
      <c r="B630" t="s">
        <v>389</v>
      </c>
      <c r="C630" t="s">
        <v>1243</v>
      </c>
      <c r="D630">
        <v>184746882.94880599</v>
      </c>
      <c r="E630">
        <v>0</v>
      </c>
      <c r="G630">
        <v>7600</v>
      </c>
      <c r="H630" t="s">
        <v>389</v>
      </c>
      <c r="I630" t="s">
        <v>1243</v>
      </c>
      <c r="J630">
        <v>85185341.748870999</v>
      </c>
      <c r="K630">
        <v>0</v>
      </c>
      <c r="L630" s="342" t="str">
        <f t="shared" si="86"/>
        <v/>
      </c>
      <c r="M630" s="243">
        <v>7600</v>
      </c>
      <c r="N630" s="243" t="s">
        <v>389</v>
      </c>
      <c r="O630" s="243" t="s">
        <v>1243</v>
      </c>
      <c r="P630" s="243">
        <f t="shared" si="87"/>
        <v>252895156.34790277</v>
      </c>
      <c r="S630">
        <v>7600</v>
      </c>
      <c r="T630" t="s">
        <v>389</v>
      </c>
      <c r="U630" t="s">
        <v>1243</v>
      </c>
      <c r="V630">
        <v>240231750.81332999</v>
      </c>
      <c r="W630">
        <v>234687292.26662701</v>
      </c>
      <c r="X630">
        <v>3477020</v>
      </c>
      <c r="Y630">
        <v>12970421.222219</v>
      </c>
      <c r="AA630">
        <v>7600</v>
      </c>
      <c r="AB630" t="s">
        <v>389</v>
      </c>
      <c r="AC630" t="s">
        <v>1243</v>
      </c>
      <c r="AD630">
        <v>240231750.81332999</v>
      </c>
      <c r="AE630">
        <v>234687292.26662701</v>
      </c>
      <c r="AF630">
        <v>3477020</v>
      </c>
      <c r="AG630">
        <v>12970421.222219</v>
      </c>
      <c r="AH630" s="342" t="str">
        <f t="shared" si="81"/>
        <v/>
      </c>
      <c r="AI630">
        <v>7600</v>
      </c>
      <c r="AJ630" t="s">
        <v>389</v>
      </c>
      <c r="AK630" t="s">
        <v>1243</v>
      </c>
      <c r="AL630" s="245">
        <f t="shared" si="82"/>
        <v>432417151.46399403</v>
      </c>
      <c r="AM630" s="245">
        <f t="shared" si="83"/>
        <v>422437126.07992864</v>
      </c>
      <c r="AN630" s="245">
        <f t="shared" si="84"/>
        <v>6258636</v>
      </c>
      <c r="AO630" s="245">
        <f t="shared" si="85"/>
        <v>23346758.199994199</v>
      </c>
      <c r="AR630">
        <v>7600</v>
      </c>
      <c r="AS630" t="s">
        <v>389</v>
      </c>
      <c r="AT630" t="s">
        <v>1243</v>
      </c>
      <c r="AU630">
        <v>18480156.538881</v>
      </c>
      <c r="AW630">
        <v>7600</v>
      </c>
      <c r="AX630" t="s">
        <v>389</v>
      </c>
      <c r="AY630" t="s">
        <v>1243</v>
      </c>
      <c r="AZ630">
        <v>16627398.502219001</v>
      </c>
      <c r="BA630" s="342" t="str">
        <f t="shared" si="88"/>
        <v/>
      </c>
      <c r="BB630">
        <v>7600</v>
      </c>
      <c r="BC630" t="s">
        <v>389</v>
      </c>
      <c r="BD630" t="s">
        <v>1243</v>
      </c>
      <c r="BE630" s="243">
        <f t="shared" si="89"/>
        <v>31782075.340656202</v>
      </c>
    </row>
    <row r="631" spans="1:57">
      <c r="A631">
        <v>7600</v>
      </c>
      <c r="B631" t="s">
        <v>389</v>
      </c>
      <c r="C631" t="s">
        <v>1242</v>
      </c>
      <c r="D631">
        <v>128673404.285459</v>
      </c>
      <c r="E631">
        <v>0</v>
      </c>
      <c r="G631">
        <v>7600</v>
      </c>
      <c r="H631" t="s">
        <v>389</v>
      </c>
      <c r="I631" t="s">
        <v>1242</v>
      </c>
      <c r="J631">
        <v>73836427.027753994</v>
      </c>
      <c r="K631">
        <v>0</v>
      </c>
      <c r="L631" s="342" t="str">
        <f t="shared" si="86"/>
        <v/>
      </c>
      <c r="M631" s="243">
        <v>7600</v>
      </c>
      <c r="N631" s="243" t="s">
        <v>389</v>
      </c>
      <c r="O631" s="243" t="s">
        <v>1242</v>
      </c>
      <c r="P631" s="243">
        <f t="shared" si="87"/>
        <v>187742545.90766221</v>
      </c>
      <c r="S631">
        <v>7600</v>
      </c>
      <c r="T631" t="s">
        <v>389</v>
      </c>
      <c r="U631" t="s">
        <v>1242</v>
      </c>
      <c r="V631">
        <v>291863263.59554201</v>
      </c>
      <c r="W631">
        <v>290432371.791076</v>
      </c>
      <c r="X631">
        <v>1574200</v>
      </c>
      <c r="Y631">
        <v>8715371.6666650008</v>
      </c>
      <c r="AA631">
        <v>7600</v>
      </c>
      <c r="AB631" t="s">
        <v>389</v>
      </c>
      <c r="AC631" t="s">
        <v>1242</v>
      </c>
      <c r="AD631">
        <v>291863263.59554201</v>
      </c>
      <c r="AE631">
        <v>290432371.791076</v>
      </c>
      <c r="AF631">
        <v>1574200</v>
      </c>
      <c r="AG631">
        <v>8715371.6666650008</v>
      </c>
      <c r="AH631" s="342" t="str">
        <f t="shared" si="81"/>
        <v/>
      </c>
      <c r="AI631">
        <v>7600</v>
      </c>
      <c r="AJ631" t="s">
        <v>389</v>
      </c>
      <c r="AK631" t="s">
        <v>1242</v>
      </c>
      <c r="AL631" s="245">
        <f t="shared" si="82"/>
        <v>525353874.47197562</v>
      </c>
      <c r="AM631" s="245">
        <f t="shared" si="83"/>
        <v>522778269.2239368</v>
      </c>
      <c r="AN631" s="245">
        <f t="shared" si="84"/>
        <v>2833560</v>
      </c>
      <c r="AO631" s="245">
        <f t="shared" si="85"/>
        <v>15687668.999997001</v>
      </c>
      <c r="AR631">
        <v>7600</v>
      </c>
      <c r="AS631" t="s">
        <v>389</v>
      </c>
      <c r="AT631" t="s">
        <v>1242</v>
      </c>
      <c r="AU631">
        <v>14171393.384436</v>
      </c>
      <c r="AW631">
        <v>7600</v>
      </c>
      <c r="AX631" t="s">
        <v>389</v>
      </c>
      <c r="AY631" t="s">
        <v>1242</v>
      </c>
      <c r="AZ631">
        <v>4921399.4155529998</v>
      </c>
      <c r="BA631" s="342" t="str">
        <f t="shared" si="88"/>
        <v/>
      </c>
      <c r="BB631">
        <v>7600</v>
      </c>
      <c r="BC631" t="s">
        <v>389</v>
      </c>
      <c r="BD631" t="s">
        <v>1242</v>
      </c>
      <c r="BE631" s="243">
        <f t="shared" si="89"/>
        <v>18108512.916878402</v>
      </c>
    </row>
    <row r="632" spans="1:57">
      <c r="A632">
        <v>7600</v>
      </c>
      <c r="B632" t="s">
        <v>389</v>
      </c>
      <c r="C632" t="s">
        <v>1823</v>
      </c>
      <c r="D632">
        <v>26779606.138859</v>
      </c>
      <c r="E632">
        <v>0</v>
      </c>
      <c r="G632">
        <v>7600</v>
      </c>
      <c r="H632" t="s">
        <v>389</v>
      </c>
      <c r="I632" t="s">
        <v>1823</v>
      </c>
      <c r="J632">
        <v>24378843.724434</v>
      </c>
      <c r="K632">
        <v>0</v>
      </c>
      <c r="L632" s="342" t="str">
        <f t="shared" si="86"/>
        <v/>
      </c>
      <c r="M632" s="243">
        <v>7600</v>
      </c>
      <c r="N632" s="243" t="s">
        <v>389</v>
      </c>
      <c r="O632" s="243" t="s">
        <v>1823</v>
      </c>
      <c r="P632" s="243">
        <f t="shared" si="87"/>
        <v>46282681.118406199</v>
      </c>
      <c r="S632">
        <v>7600</v>
      </c>
      <c r="T632" t="s">
        <v>389</v>
      </c>
      <c r="U632" t="s">
        <v>1823</v>
      </c>
      <c r="V632">
        <v>64341702.445555001</v>
      </c>
      <c r="W632">
        <v>33123579.765533999</v>
      </c>
      <c r="X632">
        <v>0</v>
      </c>
      <c r="Y632">
        <v>6577500</v>
      </c>
      <c r="AA632">
        <v>7600</v>
      </c>
      <c r="AB632" t="s">
        <v>389</v>
      </c>
      <c r="AC632" t="s">
        <v>1823</v>
      </c>
      <c r="AD632">
        <v>64341702.445555001</v>
      </c>
      <c r="AE632">
        <v>33123579.765533999</v>
      </c>
      <c r="AF632">
        <v>0</v>
      </c>
      <c r="AG632">
        <v>6577500</v>
      </c>
      <c r="AH632" s="342" t="str">
        <f t="shared" si="81"/>
        <v/>
      </c>
      <c r="AI632">
        <v>7600</v>
      </c>
      <c r="AJ632" t="s">
        <v>389</v>
      </c>
      <c r="AK632" t="s">
        <v>1823</v>
      </c>
      <c r="AL632" s="245">
        <f t="shared" si="82"/>
        <v>115815064.401999</v>
      </c>
      <c r="AM632" s="245">
        <f t="shared" si="83"/>
        <v>59622443.577961199</v>
      </c>
      <c r="AN632" s="245">
        <f t="shared" si="84"/>
        <v>0</v>
      </c>
      <c r="AO632" s="245">
        <f t="shared" si="85"/>
        <v>11839500</v>
      </c>
      <c r="AR632">
        <v>7600</v>
      </c>
      <c r="AS632" t="s">
        <v>389</v>
      </c>
      <c r="AT632" t="s">
        <v>1823</v>
      </c>
      <c r="AU632">
        <v>2048272.9288850001</v>
      </c>
      <c r="AW632">
        <v>7600</v>
      </c>
      <c r="AX632" t="s">
        <v>389</v>
      </c>
      <c r="AY632" t="s">
        <v>1823</v>
      </c>
      <c r="AZ632">
        <v>3043393.7344419998</v>
      </c>
      <c r="BA632" s="342" t="str">
        <f t="shared" si="88"/>
        <v/>
      </c>
      <c r="BB632">
        <v>7600</v>
      </c>
      <c r="BC632" t="s">
        <v>389</v>
      </c>
      <c r="BD632" t="s">
        <v>1823</v>
      </c>
      <c r="BE632" s="243">
        <f t="shared" si="89"/>
        <v>4482987.9164386</v>
      </c>
    </row>
    <row r="633" spans="1:57">
      <c r="A633">
        <v>7650</v>
      </c>
      <c r="B633" t="s">
        <v>390</v>
      </c>
      <c r="C633" t="s">
        <v>1244</v>
      </c>
      <c r="D633">
        <v>358518068.250983</v>
      </c>
      <c r="E633">
        <v>0</v>
      </c>
      <c r="G633">
        <v>7650</v>
      </c>
      <c r="H633" t="s">
        <v>390</v>
      </c>
      <c r="I633" t="s">
        <v>1244</v>
      </c>
      <c r="J633">
        <v>144751508.62998399</v>
      </c>
      <c r="K633">
        <v>0</v>
      </c>
      <c r="L633" s="342" t="str">
        <f t="shared" si="86"/>
        <v/>
      </c>
      <c r="M633" s="243">
        <v>7650</v>
      </c>
      <c r="N633" s="243" t="s">
        <v>390</v>
      </c>
      <c r="O633" s="243" t="s">
        <v>1244</v>
      </c>
      <c r="P633" s="243">
        <f t="shared" si="87"/>
        <v>474319275.15497017</v>
      </c>
      <c r="S633">
        <v>7650</v>
      </c>
      <c r="T633" t="s">
        <v>390</v>
      </c>
      <c r="U633" t="s">
        <v>1244</v>
      </c>
      <c r="V633">
        <v>100654122.25666399</v>
      </c>
      <c r="W633">
        <v>346466119.26992702</v>
      </c>
      <c r="X633">
        <v>0</v>
      </c>
      <c r="Y633">
        <v>33966157.937776998</v>
      </c>
      <c r="AA633">
        <v>7650</v>
      </c>
      <c r="AB633" t="s">
        <v>390</v>
      </c>
      <c r="AC633" t="s">
        <v>1244</v>
      </c>
      <c r="AD633">
        <v>100654122.25666399</v>
      </c>
      <c r="AE633">
        <v>346466119.26992702</v>
      </c>
      <c r="AF633">
        <v>0</v>
      </c>
      <c r="AG633">
        <v>33966157.937776998</v>
      </c>
      <c r="AH633" s="342" t="str">
        <f t="shared" si="81"/>
        <v/>
      </c>
      <c r="AI633">
        <v>7650</v>
      </c>
      <c r="AJ633" t="s">
        <v>390</v>
      </c>
      <c r="AK633" t="s">
        <v>1244</v>
      </c>
      <c r="AL633" s="245">
        <f t="shared" si="82"/>
        <v>181177420.06199521</v>
      </c>
      <c r="AM633" s="245">
        <f t="shared" si="83"/>
        <v>623639014.68586874</v>
      </c>
      <c r="AN633" s="245">
        <f t="shared" si="84"/>
        <v>0</v>
      </c>
      <c r="AO633" s="245">
        <f t="shared" si="85"/>
        <v>61139084.287998602</v>
      </c>
      <c r="AR633">
        <v>7650</v>
      </c>
      <c r="AS633" t="s">
        <v>390</v>
      </c>
      <c r="AT633" t="s">
        <v>1244</v>
      </c>
      <c r="AU633">
        <v>4956842.0411029998</v>
      </c>
      <c r="AW633">
        <v>7650</v>
      </c>
      <c r="AX633" t="s">
        <v>390</v>
      </c>
      <c r="AY633" t="s">
        <v>1244</v>
      </c>
      <c r="AZ633">
        <v>2422574.8588859998</v>
      </c>
      <c r="BA633" s="342" t="str">
        <f t="shared" si="88"/>
        <v/>
      </c>
      <c r="BB633">
        <v>7650</v>
      </c>
      <c r="BC633" t="s">
        <v>390</v>
      </c>
      <c r="BD633" t="s">
        <v>1244</v>
      </c>
      <c r="BE633" s="243">
        <f t="shared" si="89"/>
        <v>6894901.9282117998</v>
      </c>
    </row>
    <row r="634" spans="1:57">
      <c r="A634">
        <v>7650</v>
      </c>
      <c r="B634" t="s">
        <v>390</v>
      </c>
      <c r="C634" t="s">
        <v>1245</v>
      </c>
      <c r="D634">
        <v>104120634.994379</v>
      </c>
      <c r="E634">
        <v>0</v>
      </c>
      <c r="G634">
        <v>7650</v>
      </c>
      <c r="H634" t="s">
        <v>390</v>
      </c>
      <c r="I634" t="s">
        <v>1245</v>
      </c>
      <c r="J634">
        <v>61756120.737765998</v>
      </c>
      <c r="K634">
        <v>0</v>
      </c>
      <c r="L634" s="342" t="str">
        <f t="shared" si="86"/>
        <v/>
      </c>
      <c r="M634" s="243">
        <v>7650</v>
      </c>
      <c r="N634" s="243" t="s">
        <v>390</v>
      </c>
      <c r="O634" s="243" t="s">
        <v>1245</v>
      </c>
      <c r="P634" s="243">
        <f t="shared" si="87"/>
        <v>153525531.58459181</v>
      </c>
      <c r="S634">
        <v>7650</v>
      </c>
      <c r="T634" t="s">
        <v>390</v>
      </c>
      <c r="U634" t="s">
        <v>1245</v>
      </c>
      <c r="V634">
        <v>42290729.319998004</v>
      </c>
      <c r="W634">
        <v>94366272.249965996</v>
      </c>
      <c r="X634">
        <v>0</v>
      </c>
      <c r="Y634">
        <v>8496607.7777769994</v>
      </c>
      <c r="AA634">
        <v>7650</v>
      </c>
      <c r="AB634" t="s">
        <v>390</v>
      </c>
      <c r="AC634" t="s">
        <v>1245</v>
      </c>
      <c r="AD634">
        <v>42290729.319998004</v>
      </c>
      <c r="AE634">
        <v>94366272.249965996</v>
      </c>
      <c r="AF634">
        <v>0</v>
      </c>
      <c r="AG634">
        <v>8496607.7777769994</v>
      </c>
      <c r="AH634" s="342" t="str">
        <f t="shared" si="81"/>
        <v/>
      </c>
      <c r="AI634">
        <v>7650</v>
      </c>
      <c r="AJ634" t="s">
        <v>390</v>
      </c>
      <c r="AK634" t="s">
        <v>1245</v>
      </c>
      <c r="AL634" s="245">
        <f t="shared" si="82"/>
        <v>76123312.775996417</v>
      </c>
      <c r="AM634" s="245">
        <f t="shared" si="83"/>
        <v>169859290.0499388</v>
      </c>
      <c r="AN634" s="245">
        <f t="shared" si="84"/>
        <v>0</v>
      </c>
      <c r="AO634" s="245">
        <f t="shared" si="85"/>
        <v>15293893.999998599</v>
      </c>
      <c r="AR634">
        <v>7650</v>
      </c>
      <c r="AS634" t="s">
        <v>390</v>
      </c>
      <c r="AT634" t="s">
        <v>1245</v>
      </c>
      <c r="AU634">
        <v>1027714.845551</v>
      </c>
      <c r="AW634">
        <v>7650</v>
      </c>
      <c r="AX634" t="s">
        <v>390</v>
      </c>
      <c r="AY634" t="s">
        <v>1245</v>
      </c>
      <c r="AZ634">
        <v>527693.63777699997</v>
      </c>
      <c r="BA634" s="342" t="str">
        <f t="shared" si="88"/>
        <v/>
      </c>
      <c r="BB634">
        <v>7650</v>
      </c>
      <c r="BC634" t="s">
        <v>390</v>
      </c>
      <c r="BD634" t="s">
        <v>1245</v>
      </c>
      <c r="BE634" s="243">
        <f t="shared" si="89"/>
        <v>1449869.7557726</v>
      </c>
    </row>
    <row r="635" spans="1:57">
      <c r="A635">
        <v>8000</v>
      </c>
      <c r="B635" t="s">
        <v>391</v>
      </c>
      <c r="C635" t="s">
        <v>1248</v>
      </c>
      <c r="D635">
        <v>306029321.939897</v>
      </c>
      <c r="E635">
        <v>0</v>
      </c>
      <c r="G635">
        <v>8000</v>
      </c>
      <c r="H635" t="s">
        <v>391</v>
      </c>
      <c r="I635" t="s">
        <v>1248</v>
      </c>
      <c r="J635">
        <v>139179652.21997699</v>
      </c>
      <c r="K635">
        <v>0</v>
      </c>
      <c r="L635" s="342" t="str">
        <f t="shared" si="86"/>
        <v/>
      </c>
      <c r="M635" s="243">
        <v>8000</v>
      </c>
      <c r="N635" s="243" t="s">
        <v>391</v>
      </c>
      <c r="O635" s="243" t="s">
        <v>1248</v>
      </c>
      <c r="P635" s="243">
        <f t="shared" si="87"/>
        <v>417373043.71587861</v>
      </c>
      <c r="S635">
        <v>8000</v>
      </c>
      <c r="T635" t="s">
        <v>391</v>
      </c>
      <c r="U635" t="s">
        <v>1248</v>
      </c>
      <c r="V635">
        <v>46657800.529997997</v>
      </c>
      <c r="W635">
        <v>245799209.068831</v>
      </c>
      <c r="X635">
        <v>1522135</v>
      </c>
      <c r="Y635">
        <v>19828142.799998</v>
      </c>
      <c r="AA635">
        <v>8000</v>
      </c>
      <c r="AB635" t="s">
        <v>391</v>
      </c>
      <c r="AC635" t="s">
        <v>1248</v>
      </c>
      <c r="AD635">
        <v>46657800.529997997</v>
      </c>
      <c r="AE635">
        <v>245799209.068831</v>
      </c>
      <c r="AF635">
        <v>1522135</v>
      </c>
      <c r="AG635">
        <v>19828142.799998</v>
      </c>
      <c r="AH635" s="342" t="str">
        <f t="shared" si="81"/>
        <v/>
      </c>
      <c r="AI635">
        <v>8000</v>
      </c>
      <c r="AJ635" t="s">
        <v>391</v>
      </c>
      <c r="AK635" t="s">
        <v>1248</v>
      </c>
      <c r="AL635" s="245">
        <f t="shared" si="82"/>
        <v>83984040.95399639</v>
      </c>
      <c r="AM635" s="245">
        <f t="shared" si="83"/>
        <v>442438576.32389581</v>
      </c>
      <c r="AN635" s="245">
        <f t="shared" si="84"/>
        <v>2739843</v>
      </c>
      <c r="AO635" s="245">
        <f t="shared" si="85"/>
        <v>35690657.0399964</v>
      </c>
      <c r="AR635">
        <v>8000</v>
      </c>
      <c r="AS635" t="s">
        <v>391</v>
      </c>
      <c r="AT635" t="s">
        <v>1248</v>
      </c>
      <c r="AU635">
        <v>8559250.7999910004</v>
      </c>
      <c r="AW635">
        <v>8000</v>
      </c>
      <c r="AX635" t="s">
        <v>391</v>
      </c>
      <c r="AY635" t="s">
        <v>1248</v>
      </c>
      <c r="AZ635">
        <v>5518907.7222199999</v>
      </c>
      <c r="BA635" s="342" t="str">
        <f t="shared" si="88"/>
        <v/>
      </c>
      <c r="BB635">
        <v>8000</v>
      </c>
      <c r="BC635" t="s">
        <v>391</v>
      </c>
      <c r="BD635" t="s">
        <v>1248</v>
      </c>
      <c r="BE635" s="243">
        <f t="shared" si="89"/>
        <v>12974376.977767002</v>
      </c>
    </row>
    <row r="636" spans="1:57">
      <c r="A636">
        <v>8000</v>
      </c>
      <c r="B636" t="s">
        <v>391</v>
      </c>
      <c r="C636" t="s">
        <v>1247</v>
      </c>
      <c r="D636">
        <v>297637900.92432702</v>
      </c>
      <c r="E636">
        <v>0</v>
      </c>
      <c r="G636">
        <v>8000</v>
      </c>
      <c r="H636" t="s">
        <v>391</v>
      </c>
      <c r="I636" t="s">
        <v>1247</v>
      </c>
      <c r="J636">
        <v>154066109.75552201</v>
      </c>
      <c r="K636">
        <v>0</v>
      </c>
      <c r="L636" s="342" t="str">
        <f t="shared" si="86"/>
        <v/>
      </c>
      <c r="M636" s="243">
        <v>8000</v>
      </c>
      <c r="N636" s="243" t="s">
        <v>391</v>
      </c>
      <c r="O636" s="243" t="s">
        <v>1247</v>
      </c>
      <c r="P636" s="243">
        <f t="shared" si="87"/>
        <v>420890788.72874463</v>
      </c>
      <c r="S636">
        <v>8000</v>
      </c>
      <c r="T636" t="s">
        <v>391</v>
      </c>
      <c r="U636" t="s">
        <v>1247</v>
      </c>
      <c r="V636">
        <v>91356692.913331002</v>
      </c>
      <c r="W636">
        <v>231644255.98995</v>
      </c>
      <c r="X636">
        <v>2547700</v>
      </c>
      <c r="Y636">
        <v>24810300.014442999</v>
      </c>
      <c r="AA636">
        <v>8000</v>
      </c>
      <c r="AB636" t="s">
        <v>391</v>
      </c>
      <c r="AC636" t="s">
        <v>1247</v>
      </c>
      <c r="AD636">
        <v>91356692.913331002</v>
      </c>
      <c r="AE636">
        <v>231644255.98995</v>
      </c>
      <c r="AF636">
        <v>2547700</v>
      </c>
      <c r="AG636">
        <v>24810300.014442999</v>
      </c>
      <c r="AH636" s="342" t="str">
        <f t="shared" si="81"/>
        <v/>
      </c>
      <c r="AI636">
        <v>8000</v>
      </c>
      <c r="AJ636" t="s">
        <v>391</v>
      </c>
      <c r="AK636" t="s">
        <v>1247</v>
      </c>
      <c r="AL636" s="245">
        <f t="shared" si="82"/>
        <v>164442047.24399579</v>
      </c>
      <c r="AM636" s="245">
        <f t="shared" si="83"/>
        <v>416959660.78191</v>
      </c>
      <c r="AN636" s="245">
        <f t="shared" si="84"/>
        <v>4585860</v>
      </c>
      <c r="AO636" s="245">
        <f t="shared" si="85"/>
        <v>44658540.0259974</v>
      </c>
      <c r="AR636">
        <v>8000</v>
      </c>
      <c r="AS636" t="s">
        <v>391</v>
      </c>
      <c r="AT636" t="s">
        <v>1247</v>
      </c>
      <c r="AU636">
        <v>4096948.8088810001</v>
      </c>
      <c r="AW636">
        <v>8000</v>
      </c>
      <c r="AX636" t="s">
        <v>391</v>
      </c>
      <c r="AY636" t="s">
        <v>1247</v>
      </c>
      <c r="AZ636">
        <v>3392318.8833300001</v>
      </c>
      <c r="BA636" s="342" t="str">
        <f t="shared" si="88"/>
        <v/>
      </c>
      <c r="BB636">
        <v>8000</v>
      </c>
      <c r="BC636" t="s">
        <v>391</v>
      </c>
      <c r="BD636" t="s">
        <v>1247</v>
      </c>
      <c r="BE636" s="243">
        <f t="shared" si="89"/>
        <v>6810803.9155449998</v>
      </c>
    </row>
    <row r="637" spans="1:57">
      <c r="A637">
        <v>8000</v>
      </c>
      <c r="B637" t="s">
        <v>391</v>
      </c>
      <c r="C637" t="s">
        <v>1999</v>
      </c>
      <c r="D637">
        <v>35745417.296649002</v>
      </c>
      <c r="E637">
        <v>0</v>
      </c>
      <c r="G637">
        <v>8000</v>
      </c>
      <c r="H637" t="s">
        <v>391</v>
      </c>
      <c r="I637" t="s">
        <v>1999</v>
      </c>
      <c r="J637">
        <v>29896928.434439</v>
      </c>
      <c r="K637">
        <v>0</v>
      </c>
      <c r="L637" s="342" t="str">
        <f t="shared" si="86"/>
        <v/>
      </c>
      <c r="M637" s="243">
        <v>8000</v>
      </c>
      <c r="N637" s="243" t="s">
        <v>391</v>
      </c>
      <c r="O637" s="243" t="s">
        <v>1999</v>
      </c>
      <c r="P637" s="243">
        <f t="shared" si="87"/>
        <v>59662960.044200204</v>
      </c>
      <c r="S637">
        <v>8000</v>
      </c>
      <c r="T637" t="s">
        <v>391</v>
      </c>
      <c r="U637" t="s">
        <v>1999</v>
      </c>
      <c r="V637">
        <v>24969379.294443998</v>
      </c>
      <c r="W637">
        <v>41670893.869981997</v>
      </c>
      <c r="X637">
        <v>0</v>
      </c>
      <c r="Y637">
        <v>3143888.888888</v>
      </c>
      <c r="AA637">
        <v>8000</v>
      </c>
      <c r="AB637" t="s">
        <v>391</v>
      </c>
      <c r="AC637" t="s">
        <v>1999</v>
      </c>
      <c r="AD637">
        <v>24969379.294443998</v>
      </c>
      <c r="AE637">
        <v>41670893.869981997</v>
      </c>
      <c r="AF637">
        <v>0</v>
      </c>
      <c r="AG637">
        <v>3143888.888888</v>
      </c>
      <c r="AH637" s="342" t="str">
        <f t="shared" si="81"/>
        <v/>
      </c>
      <c r="AI637">
        <v>8000</v>
      </c>
      <c r="AJ637" t="s">
        <v>391</v>
      </c>
      <c r="AK637" t="s">
        <v>1999</v>
      </c>
      <c r="AL637" s="245">
        <f t="shared" si="82"/>
        <v>44944882.7299992</v>
      </c>
      <c r="AM637" s="245">
        <f t="shared" si="83"/>
        <v>75007608.965967596</v>
      </c>
      <c r="AN637" s="245">
        <f t="shared" si="84"/>
        <v>0</v>
      </c>
      <c r="AO637" s="245">
        <f t="shared" si="85"/>
        <v>5658999.9999984</v>
      </c>
      <c r="AR637">
        <v>8000</v>
      </c>
      <c r="AS637" t="s">
        <v>391</v>
      </c>
      <c r="AT637" t="s">
        <v>1999</v>
      </c>
      <c r="AU637">
        <v>205131.89666599999</v>
      </c>
      <c r="AW637">
        <v>8000</v>
      </c>
      <c r="AX637" t="s">
        <v>391</v>
      </c>
      <c r="AY637" t="s">
        <v>1999</v>
      </c>
      <c r="AZ637">
        <v>0</v>
      </c>
      <c r="BA637" s="342" t="str">
        <f t="shared" si="88"/>
        <v/>
      </c>
      <c r="BB637">
        <v>8000</v>
      </c>
      <c r="BC637" t="s">
        <v>391</v>
      </c>
      <c r="BD637" t="s">
        <v>1999</v>
      </c>
      <c r="BE637" s="243">
        <f t="shared" si="89"/>
        <v>205131.89666599999</v>
      </c>
    </row>
    <row r="638" spans="1:57">
      <c r="A638">
        <v>8000</v>
      </c>
      <c r="B638" t="s">
        <v>391</v>
      </c>
      <c r="C638" t="s">
        <v>1252</v>
      </c>
      <c r="D638">
        <v>167073949.34551501</v>
      </c>
      <c r="E638">
        <v>0</v>
      </c>
      <c r="G638">
        <v>8000</v>
      </c>
      <c r="H638" t="s">
        <v>391</v>
      </c>
      <c r="I638" t="s">
        <v>1252</v>
      </c>
      <c r="J638">
        <v>89106486.589985996</v>
      </c>
      <c r="K638">
        <v>0</v>
      </c>
      <c r="L638" s="342" t="str">
        <f t="shared" si="86"/>
        <v/>
      </c>
      <c r="M638" s="243">
        <v>8000</v>
      </c>
      <c r="N638" s="243" t="s">
        <v>391</v>
      </c>
      <c r="O638" s="243" t="s">
        <v>1252</v>
      </c>
      <c r="P638" s="243">
        <f t="shared" si="87"/>
        <v>238359138.61750382</v>
      </c>
      <c r="S638">
        <v>8000</v>
      </c>
      <c r="T638" t="s">
        <v>391</v>
      </c>
      <c r="U638" t="s">
        <v>1252</v>
      </c>
      <c r="V638">
        <v>49320782.587775998</v>
      </c>
      <c r="W638">
        <v>171272465.13442099</v>
      </c>
      <c r="X638">
        <v>1994100</v>
      </c>
      <c r="Y638">
        <v>28448723.355551999</v>
      </c>
      <c r="AA638">
        <v>8000</v>
      </c>
      <c r="AB638" t="s">
        <v>391</v>
      </c>
      <c r="AC638" t="s">
        <v>1252</v>
      </c>
      <c r="AD638">
        <v>49320782.587775998</v>
      </c>
      <c r="AE638">
        <v>171272465.13442099</v>
      </c>
      <c r="AF638">
        <v>1994100</v>
      </c>
      <c r="AG638">
        <v>28448723.355551999</v>
      </c>
      <c r="AH638" s="342" t="str">
        <f t="shared" si="81"/>
        <v/>
      </c>
      <c r="AI638">
        <v>8000</v>
      </c>
      <c r="AJ638" t="s">
        <v>391</v>
      </c>
      <c r="AK638" t="s">
        <v>1252</v>
      </c>
      <c r="AL638" s="245">
        <f t="shared" si="82"/>
        <v>88777408.657996804</v>
      </c>
      <c r="AM638" s="245">
        <f t="shared" si="83"/>
        <v>308290437.24195778</v>
      </c>
      <c r="AN638" s="245">
        <f t="shared" si="84"/>
        <v>3589380</v>
      </c>
      <c r="AO638" s="245">
        <f t="shared" si="85"/>
        <v>51207702.039993599</v>
      </c>
      <c r="AR638">
        <v>8000</v>
      </c>
      <c r="AS638" t="s">
        <v>391</v>
      </c>
      <c r="AT638" t="s">
        <v>1252</v>
      </c>
      <c r="AU638">
        <v>110471751.218881</v>
      </c>
      <c r="AW638">
        <v>8000</v>
      </c>
      <c r="AX638" t="s">
        <v>391</v>
      </c>
      <c r="AY638" t="s">
        <v>1252</v>
      </c>
      <c r="AZ638">
        <v>111325264.625549</v>
      </c>
      <c r="BA638" s="342" t="str">
        <f t="shared" si="88"/>
        <v/>
      </c>
      <c r="BB638">
        <v>8000</v>
      </c>
      <c r="BC638" t="s">
        <v>391</v>
      </c>
      <c r="BD638" t="s">
        <v>1252</v>
      </c>
      <c r="BE638" s="243">
        <f t="shared" si="89"/>
        <v>199531962.91932023</v>
      </c>
    </row>
    <row r="639" spans="1:57">
      <c r="A639">
        <v>8010</v>
      </c>
      <c r="B639" t="s">
        <v>392</v>
      </c>
      <c r="C639" t="s">
        <v>1253</v>
      </c>
      <c r="D639">
        <v>270781050.70326799</v>
      </c>
      <c r="E639">
        <v>0</v>
      </c>
      <c r="G639">
        <v>8010</v>
      </c>
      <c r="H639" t="s">
        <v>392</v>
      </c>
      <c r="I639" t="s">
        <v>1253</v>
      </c>
      <c r="J639">
        <v>138173873.19664001</v>
      </c>
      <c r="K639">
        <v>0</v>
      </c>
      <c r="L639" s="342" t="str">
        <f t="shared" si="86"/>
        <v/>
      </c>
      <c r="M639" s="243">
        <v>8010</v>
      </c>
      <c r="N639" s="243" t="s">
        <v>392</v>
      </c>
      <c r="O639" s="243" t="s">
        <v>1253</v>
      </c>
      <c r="P639" s="243">
        <f t="shared" si="87"/>
        <v>381320149.26058</v>
      </c>
      <c r="S639">
        <v>8010</v>
      </c>
      <c r="T639" t="s">
        <v>392</v>
      </c>
      <c r="U639" t="s">
        <v>1253</v>
      </c>
      <c r="V639">
        <v>153062318.74332801</v>
      </c>
      <c r="W639">
        <v>270251532.72775</v>
      </c>
      <c r="X639">
        <v>8688891.4444440007</v>
      </c>
      <c r="Y639">
        <v>56612276.608883999</v>
      </c>
      <c r="AA639">
        <v>8010</v>
      </c>
      <c r="AB639" t="s">
        <v>392</v>
      </c>
      <c r="AC639" t="s">
        <v>1253</v>
      </c>
      <c r="AD639">
        <v>153062318.74332801</v>
      </c>
      <c r="AE639">
        <v>270251532.72775</v>
      </c>
      <c r="AF639">
        <v>8688891.4444440007</v>
      </c>
      <c r="AG639">
        <v>56612276.608883999</v>
      </c>
      <c r="AH639" s="342" t="str">
        <f t="shared" si="81"/>
        <v/>
      </c>
      <c r="AI639">
        <v>8010</v>
      </c>
      <c r="AJ639" t="s">
        <v>392</v>
      </c>
      <c r="AK639" t="s">
        <v>1253</v>
      </c>
      <c r="AL639" s="245">
        <f t="shared" si="82"/>
        <v>275512173.73799038</v>
      </c>
      <c r="AM639" s="245">
        <f t="shared" si="83"/>
        <v>486452758.90995002</v>
      </c>
      <c r="AN639" s="245">
        <f t="shared" si="84"/>
        <v>15640004.599999201</v>
      </c>
      <c r="AO639" s="245">
        <f t="shared" si="85"/>
        <v>101902097.89599121</v>
      </c>
      <c r="AR639">
        <v>8010</v>
      </c>
      <c r="AS639" t="s">
        <v>392</v>
      </c>
      <c r="AT639" t="s">
        <v>1253</v>
      </c>
      <c r="AU639">
        <v>9191450.8955489993</v>
      </c>
      <c r="AW639">
        <v>8010</v>
      </c>
      <c r="AX639" t="s">
        <v>392</v>
      </c>
      <c r="AY639" t="s">
        <v>1253</v>
      </c>
      <c r="AZ639">
        <v>8799698.3822189998</v>
      </c>
      <c r="BA639" s="342" t="str">
        <f t="shared" si="88"/>
        <v/>
      </c>
      <c r="BB639">
        <v>8010</v>
      </c>
      <c r="BC639" t="s">
        <v>392</v>
      </c>
      <c r="BD639" t="s">
        <v>1253</v>
      </c>
      <c r="BE639" s="243">
        <f t="shared" si="89"/>
        <v>16231209.601324201</v>
      </c>
    </row>
    <row r="640" spans="1:57">
      <c r="A640">
        <v>8010</v>
      </c>
      <c r="B640" t="s">
        <v>392</v>
      </c>
      <c r="C640" t="s">
        <v>1250</v>
      </c>
      <c r="D640">
        <v>230341784.35541701</v>
      </c>
      <c r="E640">
        <v>0</v>
      </c>
      <c r="G640">
        <v>8010</v>
      </c>
      <c r="H640" t="s">
        <v>392</v>
      </c>
      <c r="I640" t="s">
        <v>1250</v>
      </c>
      <c r="J640">
        <v>92065255.039964005</v>
      </c>
      <c r="K640">
        <v>0</v>
      </c>
      <c r="L640" s="342" t="str">
        <f t="shared" si="86"/>
        <v/>
      </c>
      <c r="M640" s="243">
        <v>8010</v>
      </c>
      <c r="N640" s="243" t="s">
        <v>392</v>
      </c>
      <c r="O640" s="243" t="s">
        <v>1250</v>
      </c>
      <c r="P640" s="243">
        <f t="shared" si="87"/>
        <v>303993988.38738823</v>
      </c>
      <c r="S640">
        <v>8010</v>
      </c>
      <c r="T640" t="s">
        <v>392</v>
      </c>
      <c r="U640" t="s">
        <v>1250</v>
      </c>
      <c r="V640">
        <v>132524269.366659</v>
      </c>
      <c r="W640">
        <v>348821261.88771498</v>
      </c>
      <c r="X640">
        <v>2000000</v>
      </c>
      <c r="Y640">
        <v>47699701.512218997</v>
      </c>
      <c r="AA640">
        <v>8010</v>
      </c>
      <c r="AB640" t="s">
        <v>392</v>
      </c>
      <c r="AC640" t="s">
        <v>1250</v>
      </c>
      <c r="AD640">
        <v>132524269.366659</v>
      </c>
      <c r="AE640">
        <v>348821261.88771498</v>
      </c>
      <c r="AF640">
        <v>2000000</v>
      </c>
      <c r="AG640">
        <v>47699701.512218997</v>
      </c>
      <c r="AH640" s="342" t="str">
        <f t="shared" si="81"/>
        <v/>
      </c>
      <c r="AI640">
        <v>8010</v>
      </c>
      <c r="AJ640" t="s">
        <v>392</v>
      </c>
      <c r="AK640" t="s">
        <v>1250</v>
      </c>
      <c r="AL640" s="245">
        <f t="shared" si="82"/>
        <v>238543684.85998619</v>
      </c>
      <c r="AM640" s="245">
        <f t="shared" si="83"/>
        <v>627878271.39788699</v>
      </c>
      <c r="AN640" s="245">
        <f t="shared" si="84"/>
        <v>3600000</v>
      </c>
      <c r="AO640" s="245">
        <f t="shared" si="85"/>
        <v>85859462.721994191</v>
      </c>
      <c r="AR640">
        <v>8010</v>
      </c>
      <c r="AS640" t="s">
        <v>392</v>
      </c>
      <c r="AT640" t="s">
        <v>1250</v>
      </c>
      <c r="AU640">
        <v>30766291.451095998</v>
      </c>
      <c r="AW640">
        <v>8010</v>
      </c>
      <c r="AX640" t="s">
        <v>392</v>
      </c>
      <c r="AY640" t="s">
        <v>1250</v>
      </c>
      <c r="AZ640">
        <v>8703761.4277710002</v>
      </c>
      <c r="BA640" s="342" t="str">
        <f t="shared" si="88"/>
        <v/>
      </c>
      <c r="BB640">
        <v>8010</v>
      </c>
      <c r="BC640" t="s">
        <v>392</v>
      </c>
      <c r="BD640" t="s">
        <v>1250</v>
      </c>
      <c r="BE640" s="243">
        <f t="shared" si="89"/>
        <v>37729300.5933128</v>
      </c>
    </row>
    <row r="641" spans="1:57">
      <c r="A641">
        <v>8010</v>
      </c>
      <c r="B641" t="s">
        <v>392</v>
      </c>
      <c r="C641" t="s">
        <v>1251</v>
      </c>
      <c r="D641">
        <v>365437470.78882402</v>
      </c>
      <c r="E641">
        <v>0</v>
      </c>
      <c r="G641">
        <v>8010</v>
      </c>
      <c r="H641" t="s">
        <v>392</v>
      </c>
      <c r="I641" t="s">
        <v>1251</v>
      </c>
      <c r="J641">
        <v>396235548.61886102</v>
      </c>
      <c r="K641">
        <v>0</v>
      </c>
      <c r="L641" s="342" t="str">
        <f t="shared" si="86"/>
        <v/>
      </c>
      <c r="M641" s="243">
        <v>8010</v>
      </c>
      <c r="N641" s="243" t="s">
        <v>392</v>
      </c>
      <c r="O641" s="243" t="s">
        <v>1251</v>
      </c>
      <c r="P641" s="243">
        <f t="shared" si="87"/>
        <v>682425909.68391287</v>
      </c>
      <c r="S641">
        <v>8010</v>
      </c>
      <c r="T641" t="s">
        <v>392</v>
      </c>
      <c r="U641" t="s">
        <v>1251</v>
      </c>
      <c r="V641">
        <v>94449622.664442003</v>
      </c>
      <c r="W641">
        <v>228805346.763304</v>
      </c>
      <c r="X641">
        <v>0</v>
      </c>
      <c r="Y641">
        <v>32109015.333331998</v>
      </c>
      <c r="AA641">
        <v>8010</v>
      </c>
      <c r="AB641" t="s">
        <v>392</v>
      </c>
      <c r="AC641" t="s">
        <v>1251</v>
      </c>
      <c r="AD641">
        <v>94449622.664442003</v>
      </c>
      <c r="AE641">
        <v>228805346.763304</v>
      </c>
      <c r="AF641">
        <v>0</v>
      </c>
      <c r="AG641">
        <v>32109015.333331998</v>
      </c>
      <c r="AH641" s="342" t="str">
        <f t="shared" si="81"/>
        <v/>
      </c>
      <c r="AI641">
        <v>8010</v>
      </c>
      <c r="AJ641" t="s">
        <v>392</v>
      </c>
      <c r="AK641" t="s">
        <v>1251</v>
      </c>
      <c r="AL641" s="245">
        <f t="shared" si="82"/>
        <v>170009320.79599559</v>
      </c>
      <c r="AM641" s="245">
        <f t="shared" si="83"/>
        <v>411849624.17394722</v>
      </c>
      <c r="AN641" s="245">
        <f t="shared" si="84"/>
        <v>0</v>
      </c>
      <c r="AO641" s="245">
        <f t="shared" si="85"/>
        <v>57796227.599997595</v>
      </c>
      <c r="AR641">
        <v>8010</v>
      </c>
      <c r="AS641" t="s">
        <v>392</v>
      </c>
      <c r="AT641" t="s">
        <v>1251</v>
      </c>
      <c r="AU641">
        <v>8739587.4622169994</v>
      </c>
      <c r="AW641">
        <v>8010</v>
      </c>
      <c r="AX641" t="s">
        <v>392</v>
      </c>
      <c r="AY641" t="s">
        <v>1251</v>
      </c>
      <c r="AZ641">
        <v>22790838.446660999</v>
      </c>
      <c r="BA641" s="342" t="str">
        <f t="shared" si="88"/>
        <v/>
      </c>
      <c r="BB641">
        <v>8010</v>
      </c>
      <c r="BC641" t="s">
        <v>392</v>
      </c>
      <c r="BD641" t="s">
        <v>1251</v>
      </c>
      <c r="BE641" s="243">
        <f t="shared" si="89"/>
        <v>26972258.2195458</v>
      </c>
    </row>
    <row r="642" spans="1:57">
      <c r="A642">
        <v>8010</v>
      </c>
      <c r="B642" t="s">
        <v>392</v>
      </c>
      <c r="C642" t="s">
        <v>1824</v>
      </c>
      <c r="D642">
        <v>53680219.964396</v>
      </c>
      <c r="E642">
        <v>0</v>
      </c>
      <c r="G642">
        <v>8010</v>
      </c>
      <c r="H642" t="s">
        <v>392</v>
      </c>
      <c r="I642" t="s">
        <v>1824</v>
      </c>
      <c r="J642">
        <v>65585814.872197002</v>
      </c>
      <c r="K642">
        <v>0</v>
      </c>
      <c r="L642" s="342" t="str">
        <f t="shared" si="86"/>
        <v/>
      </c>
      <c r="M642" s="243">
        <v>8010</v>
      </c>
      <c r="N642" s="243" t="s">
        <v>392</v>
      </c>
      <c r="O642" s="243" t="s">
        <v>1824</v>
      </c>
      <c r="P642" s="243">
        <f t="shared" si="87"/>
        <v>106148871.8621536</v>
      </c>
      <c r="S642">
        <v>8010</v>
      </c>
      <c r="T642" t="s">
        <v>392</v>
      </c>
      <c r="U642" t="s">
        <v>1824</v>
      </c>
      <c r="V642">
        <v>24928179.808887001</v>
      </c>
      <c r="W642">
        <v>74973625.714424998</v>
      </c>
      <c r="X642">
        <v>233333.33333299999</v>
      </c>
      <c r="Y642">
        <v>25497906.934443001</v>
      </c>
      <c r="AA642">
        <v>8010</v>
      </c>
      <c r="AB642" t="s">
        <v>392</v>
      </c>
      <c r="AC642" t="s">
        <v>1824</v>
      </c>
      <c r="AD642">
        <v>24928179.808887001</v>
      </c>
      <c r="AE642">
        <v>74973625.714424998</v>
      </c>
      <c r="AF642">
        <v>233333.33333299999</v>
      </c>
      <c r="AG642">
        <v>25497906.934443001</v>
      </c>
      <c r="AH642" s="342" t="str">
        <f t="shared" si="81"/>
        <v/>
      </c>
      <c r="AI642">
        <v>8010</v>
      </c>
      <c r="AJ642" t="s">
        <v>392</v>
      </c>
      <c r="AK642" t="s">
        <v>1824</v>
      </c>
      <c r="AL642" s="245">
        <f t="shared" si="82"/>
        <v>44870723.655996606</v>
      </c>
      <c r="AM642" s="245">
        <f t="shared" si="83"/>
        <v>134952526.285965</v>
      </c>
      <c r="AN642" s="245">
        <f t="shared" si="84"/>
        <v>419999.9999994</v>
      </c>
      <c r="AO642" s="245">
        <f t="shared" si="85"/>
        <v>45896232.481997401</v>
      </c>
      <c r="AR642">
        <v>8010</v>
      </c>
      <c r="AS642" t="s">
        <v>392</v>
      </c>
      <c r="AT642" t="s">
        <v>1824</v>
      </c>
      <c r="AU642">
        <v>1425098.2811060001</v>
      </c>
      <c r="AW642">
        <v>8010</v>
      </c>
      <c r="AX642" t="s">
        <v>392</v>
      </c>
      <c r="AY642" t="s">
        <v>1824</v>
      </c>
      <c r="AZ642">
        <v>1048581.147777</v>
      </c>
      <c r="BA642" s="342" t="str">
        <f t="shared" si="88"/>
        <v/>
      </c>
      <c r="BB642">
        <v>8010</v>
      </c>
      <c r="BC642" t="s">
        <v>392</v>
      </c>
      <c r="BD642" t="s">
        <v>1824</v>
      </c>
      <c r="BE642" s="243">
        <f t="shared" si="89"/>
        <v>2263963.1993276002</v>
      </c>
    </row>
    <row r="643" spans="1:57">
      <c r="A643">
        <v>8020</v>
      </c>
      <c r="B643" t="s">
        <v>393</v>
      </c>
      <c r="C643" t="s">
        <v>1246</v>
      </c>
      <c r="D643">
        <v>340825369.84209597</v>
      </c>
      <c r="E643">
        <v>0</v>
      </c>
      <c r="G643">
        <v>8020</v>
      </c>
      <c r="H643" t="s">
        <v>393</v>
      </c>
      <c r="I643" t="s">
        <v>1246</v>
      </c>
      <c r="J643">
        <v>97571566.454423994</v>
      </c>
      <c r="K643">
        <v>0</v>
      </c>
      <c r="L643" s="342" t="str">
        <f t="shared" si="86"/>
        <v/>
      </c>
      <c r="M643" s="243">
        <v>8020</v>
      </c>
      <c r="N643" s="243" t="s">
        <v>393</v>
      </c>
      <c r="O643" s="243" t="s">
        <v>1246</v>
      </c>
      <c r="P643" s="243">
        <f t="shared" si="87"/>
        <v>418882623.00563514</v>
      </c>
      <c r="S643">
        <v>8020</v>
      </c>
      <c r="T643" t="s">
        <v>393</v>
      </c>
      <c r="U643" t="s">
        <v>1246</v>
      </c>
      <c r="V643">
        <v>58772663.925554</v>
      </c>
      <c r="W643">
        <v>353996476.163279</v>
      </c>
      <c r="X643">
        <v>0</v>
      </c>
      <c r="Y643">
        <v>45195112.772217996</v>
      </c>
      <c r="AA643">
        <v>8020</v>
      </c>
      <c r="AB643" t="s">
        <v>393</v>
      </c>
      <c r="AC643" t="s">
        <v>1246</v>
      </c>
      <c r="AD643">
        <v>58772663.925554</v>
      </c>
      <c r="AE643">
        <v>353996476.163279</v>
      </c>
      <c r="AF643">
        <v>0</v>
      </c>
      <c r="AG643">
        <v>45195112.772217996</v>
      </c>
      <c r="AH643" s="342" t="str">
        <f t="shared" si="81"/>
        <v/>
      </c>
      <c r="AI643">
        <v>8020</v>
      </c>
      <c r="AJ643" t="s">
        <v>393</v>
      </c>
      <c r="AK643" t="s">
        <v>1246</v>
      </c>
      <c r="AL643" s="245">
        <f t="shared" si="82"/>
        <v>105790795.06599721</v>
      </c>
      <c r="AM643" s="245">
        <f t="shared" si="83"/>
        <v>637193657.09390223</v>
      </c>
      <c r="AN643" s="245">
        <f t="shared" si="84"/>
        <v>0</v>
      </c>
      <c r="AO643" s="245">
        <f t="shared" si="85"/>
        <v>81351202.989992395</v>
      </c>
      <c r="AR643">
        <v>8020</v>
      </c>
      <c r="AS643" t="s">
        <v>393</v>
      </c>
      <c r="AT643" t="s">
        <v>1246</v>
      </c>
      <c r="AU643">
        <v>43401889.243317999</v>
      </c>
      <c r="AW643">
        <v>8020</v>
      </c>
      <c r="AX643" t="s">
        <v>393</v>
      </c>
      <c r="AY643" t="s">
        <v>1246</v>
      </c>
      <c r="AZ643">
        <v>8426652.0211089998</v>
      </c>
      <c r="BA643" s="342" t="str">
        <f t="shared" si="88"/>
        <v/>
      </c>
      <c r="BB643">
        <v>8020</v>
      </c>
      <c r="BC643" t="s">
        <v>393</v>
      </c>
      <c r="BD643" t="s">
        <v>1246</v>
      </c>
      <c r="BE643" s="243">
        <f t="shared" si="89"/>
        <v>50143210.860205203</v>
      </c>
    </row>
    <row r="644" spans="1:57">
      <c r="A644">
        <v>8020</v>
      </c>
      <c r="B644" t="s">
        <v>393</v>
      </c>
      <c r="C644" t="s">
        <v>1597</v>
      </c>
      <c r="D644">
        <v>162581399.04213801</v>
      </c>
      <c r="E644">
        <v>0</v>
      </c>
      <c r="G644">
        <v>8020</v>
      </c>
      <c r="H644" t="s">
        <v>393</v>
      </c>
      <c r="I644" t="s">
        <v>1597</v>
      </c>
      <c r="J644">
        <v>65173355.496648997</v>
      </c>
      <c r="K644">
        <v>0</v>
      </c>
      <c r="L644" s="342" t="str">
        <f t="shared" si="86"/>
        <v/>
      </c>
      <c r="M644" s="243">
        <v>8020</v>
      </c>
      <c r="N644" s="243" t="s">
        <v>393</v>
      </c>
      <c r="O644" s="243" t="s">
        <v>1597</v>
      </c>
      <c r="P644" s="243">
        <f t="shared" si="87"/>
        <v>214720083.43945721</v>
      </c>
      <c r="S644">
        <v>8020</v>
      </c>
      <c r="T644" t="s">
        <v>393</v>
      </c>
      <c r="U644" t="s">
        <v>1597</v>
      </c>
      <c r="V644">
        <v>85989451.834439993</v>
      </c>
      <c r="W644">
        <v>311687237.28995198</v>
      </c>
      <c r="X644">
        <v>797580</v>
      </c>
      <c r="Y644">
        <v>42009042.777777001</v>
      </c>
      <c r="AA644">
        <v>8020</v>
      </c>
      <c r="AB644" t="s">
        <v>393</v>
      </c>
      <c r="AC644" t="s">
        <v>1597</v>
      </c>
      <c r="AD644">
        <v>85989451.834439993</v>
      </c>
      <c r="AE644">
        <v>311687237.28995198</v>
      </c>
      <c r="AF644">
        <v>797580</v>
      </c>
      <c r="AG644">
        <v>42009042.777777001</v>
      </c>
      <c r="AH644" s="342" t="str">
        <f t="shared" ref="AH644:AH656" si="90">IF(AND(M644 = S644, O644 = U644), "", "ATT")</f>
        <v/>
      </c>
      <c r="AI644">
        <v>8020</v>
      </c>
      <c r="AJ644" t="s">
        <v>393</v>
      </c>
      <c r="AK644" t="s">
        <v>1597</v>
      </c>
      <c r="AL644" s="245">
        <f t="shared" ref="AL644:AL656" si="91">V644+(AD644*0.8)</f>
        <v>154781013.301992</v>
      </c>
      <c r="AM644" s="245">
        <f t="shared" ref="AM644:AM656" si="92">W644+(AE644*0.8)</f>
        <v>561037027.12191355</v>
      </c>
      <c r="AN644" s="245">
        <f t="shared" ref="AN644:AN656" si="93">X644+(AF644*0.8)</f>
        <v>1435644</v>
      </c>
      <c r="AO644" s="245">
        <f t="shared" ref="AO644:AO656" si="94">Y644+(AG644*0.8)</f>
        <v>75616276.999998599</v>
      </c>
      <c r="AR644">
        <v>8020</v>
      </c>
      <c r="AS644" t="s">
        <v>393</v>
      </c>
      <c r="AT644" t="s">
        <v>1597</v>
      </c>
      <c r="AU644">
        <v>18418195.808878999</v>
      </c>
      <c r="AW644">
        <v>8020</v>
      </c>
      <c r="AX644" t="s">
        <v>393</v>
      </c>
      <c r="AY644" t="s">
        <v>1597</v>
      </c>
      <c r="AZ644">
        <v>3361779.6911089998</v>
      </c>
      <c r="BA644" s="342" t="str">
        <f t="shared" si="88"/>
        <v/>
      </c>
      <c r="BB644">
        <v>8020</v>
      </c>
      <c r="BC644" t="s">
        <v>393</v>
      </c>
      <c r="BD644" t="s">
        <v>1597</v>
      </c>
      <c r="BE644" s="243">
        <f t="shared" si="89"/>
        <v>21107619.5617662</v>
      </c>
    </row>
    <row r="645" spans="1:57">
      <c r="A645">
        <v>8020</v>
      </c>
      <c r="B645" t="s">
        <v>393</v>
      </c>
      <c r="C645" t="s">
        <v>1249</v>
      </c>
      <c r="D645">
        <v>212900144.75992799</v>
      </c>
      <c r="E645">
        <v>0</v>
      </c>
      <c r="G645">
        <v>8020</v>
      </c>
      <c r="H645" t="s">
        <v>393</v>
      </c>
      <c r="I645" t="s">
        <v>1249</v>
      </c>
      <c r="J645">
        <v>95030481.353313997</v>
      </c>
      <c r="K645">
        <v>0</v>
      </c>
      <c r="L645" s="342" t="str">
        <f t="shared" ref="L645:L656" si="95">IF(AND(A645 = G645, C645 = I645), "", "ATT")</f>
        <v/>
      </c>
      <c r="M645" s="243">
        <v>8020</v>
      </c>
      <c r="N645" s="243" t="s">
        <v>393</v>
      </c>
      <c r="O645" s="243" t="s">
        <v>1249</v>
      </c>
      <c r="P645" s="243">
        <f t="shared" ref="P645:P656" si="96">D645+(J645*0.8)</f>
        <v>288924529.84257919</v>
      </c>
      <c r="S645">
        <v>8020</v>
      </c>
      <c r="T645" t="s">
        <v>393</v>
      </c>
      <c r="U645" t="s">
        <v>1249</v>
      </c>
      <c r="V645">
        <v>55355308.475551002</v>
      </c>
      <c r="W645">
        <v>318344029.54218799</v>
      </c>
      <c r="X645">
        <v>3327283.3333330001</v>
      </c>
      <c r="Y645">
        <v>34601671.345554002</v>
      </c>
      <c r="AA645">
        <v>8020</v>
      </c>
      <c r="AB645" t="s">
        <v>393</v>
      </c>
      <c r="AC645" t="s">
        <v>1249</v>
      </c>
      <c r="AD645">
        <v>55355308.475551002</v>
      </c>
      <c r="AE645">
        <v>318344029.54218799</v>
      </c>
      <c r="AF645">
        <v>3327283.3333330001</v>
      </c>
      <c r="AG645">
        <v>34601671.345554002</v>
      </c>
      <c r="AH645" s="342" t="str">
        <f t="shared" si="90"/>
        <v/>
      </c>
      <c r="AI645">
        <v>8020</v>
      </c>
      <c r="AJ645" t="s">
        <v>393</v>
      </c>
      <c r="AK645" t="s">
        <v>1249</v>
      </c>
      <c r="AL645" s="245">
        <f t="shared" si="91"/>
        <v>99639555.255991817</v>
      </c>
      <c r="AM645" s="245">
        <f t="shared" si="92"/>
        <v>573019253.17593837</v>
      </c>
      <c r="AN645" s="245">
        <f t="shared" si="93"/>
        <v>5989109.9999994002</v>
      </c>
      <c r="AO645" s="245">
        <f t="shared" si="94"/>
        <v>62283008.421997204</v>
      </c>
      <c r="AR645">
        <v>8020</v>
      </c>
      <c r="AS645" t="s">
        <v>393</v>
      </c>
      <c r="AT645" t="s">
        <v>1249</v>
      </c>
      <c r="AU645">
        <v>36083828.982216001</v>
      </c>
      <c r="AW645">
        <v>8020</v>
      </c>
      <c r="AX645" t="s">
        <v>393</v>
      </c>
      <c r="AY645" t="s">
        <v>1249</v>
      </c>
      <c r="AZ645">
        <v>13051481.402217999</v>
      </c>
      <c r="BA645" s="342" t="str">
        <f t="shared" ref="BA645:BA656" si="97">IF(AND(AR645 = AW645, AT645 = AY645), "", "ATT")</f>
        <v/>
      </c>
      <c r="BB645">
        <v>8020</v>
      </c>
      <c r="BC645" t="s">
        <v>393</v>
      </c>
      <c r="BD645" t="s">
        <v>1249</v>
      </c>
      <c r="BE645" s="243">
        <f t="shared" ref="BE645:BE656" si="98">AU645+(0.8*AZ645)</f>
        <v>46525014.103990398</v>
      </c>
    </row>
    <row r="646" spans="1:57">
      <c r="A646">
        <v>8130</v>
      </c>
      <c r="B646" t="s">
        <v>394</v>
      </c>
      <c r="C646" t="s">
        <v>1598</v>
      </c>
      <c r="D646">
        <v>111498281.859888</v>
      </c>
      <c r="E646">
        <v>0</v>
      </c>
      <c r="G646">
        <v>8130</v>
      </c>
      <c r="H646" t="s">
        <v>394</v>
      </c>
      <c r="I646" t="s">
        <v>1598</v>
      </c>
      <c r="J646">
        <v>116169723.57553799</v>
      </c>
      <c r="K646">
        <v>0</v>
      </c>
      <c r="L646" s="342" t="str">
        <f t="shared" si="95"/>
        <v/>
      </c>
      <c r="M646" s="243">
        <v>8130</v>
      </c>
      <c r="N646" s="243" t="s">
        <v>394</v>
      </c>
      <c r="O646" s="243" t="s">
        <v>1598</v>
      </c>
      <c r="P646" s="243">
        <f t="shared" si="96"/>
        <v>204434060.72031841</v>
      </c>
      <c r="S646">
        <v>8130</v>
      </c>
      <c r="T646" t="s">
        <v>394</v>
      </c>
      <c r="U646" t="s">
        <v>1598</v>
      </c>
      <c r="V646">
        <v>81552650.147775993</v>
      </c>
      <c r="W646">
        <v>398356253.709939</v>
      </c>
      <c r="X646">
        <v>0</v>
      </c>
      <c r="Y646">
        <v>26466784.444444001</v>
      </c>
      <c r="AA646">
        <v>8130</v>
      </c>
      <c r="AB646" t="s">
        <v>394</v>
      </c>
      <c r="AC646" t="s">
        <v>1598</v>
      </c>
      <c r="AD646">
        <v>81552650.147775993</v>
      </c>
      <c r="AE646">
        <v>398356253.709939</v>
      </c>
      <c r="AF646">
        <v>0</v>
      </c>
      <c r="AG646">
        <v>26466784.444444001</v>
      </c>
      <c r="AH646" s="342" t="str">
        <f t="shared" si="90"/>
        <v/>
      </c>
      <c r="AI646">
        <v>8130</v>
      </c>
      <c r="AJ646" t="s">
        <v>394</v>
      </c>
      <c r="AK646" t="s">
        <v>1598</v>
      </c>
      <c r="AL646" s="245">
        <f t="shared" si="91"/>
        <v>146794770.26599678</v>
      </c>
      <c r="AM646" s="245">
        <f t="shared" si="92"/>
        <v>717041256.6778903</v>
      </c>
      <c r="AN646" s="245">
        <f t="shared" si="93"/>
        <v>0</v>
      </c>
      <c r="AO646" s="245">
        <f t="shared" si="94"/>
        <v>47640211.999999203</v>
      </c>
      <c r="AR646">
        <v>8130</v>
      </c>
      <c r="AS646" t="s">
        <v>394</v>
      </c>
      <c r="AT646" t="s">
        <v>1598</v>
      </c>
      <c r="AU646">
        <v>29008223.198881</v>
      </c>
      <c r="AW646">
        <v>8130</v>
      </c>
      <c r="AX646" t="s">
        <v>394</v>
      </c>
      <c r="AY646" t="s">
        <v>1598</v>
      </c>
      <c r="AZ646">
        <v>501216157.63221598</v>
      </c>
      <c r="BA646" s="342" t="str">
        <f t="shared" si="97"/>
        <v/>
      </c>
      <c r="BB646">
        <v>8130</v>
      </c>
      <c r="BC646" t="s">
        <v>394</v>
      </c>
      <c r="BD646" t="s">
        <v>1598</v>
      </c>
      <c r="BE646" s="243">
        <f t="shared" si="98"/>
        <v>429981149.30465376</v>
      </c>
    </row>
    <row r="647" spans="1:57">
      <c r="A647">
        <v>8130</v>
      </c>
      <c r="B647" t="s">
        <v>394</v>
      </c>
      <c r="C647" t="s">
        <v>1599</v>
      </c>
      <c r="D647">
        <v>135100903.37879899</v>
      </c>
      <c r="E647">
        <v>0</v>
      </c>
      <c r="G647">
        <v>8130</v>
      </c>
      <c r="H647" t="s">
        <v>394</v>
      </c>
      <c r="I647" t="s">
        <v>1599</v>
      </c>
      <c r="J647">
        <v>67612689.941095993</v>
      </c>
      <c r="K647">
        <v>0</v>
      </c>
      <c r="L647" s="342" t="str">
        <f t="shared" si="95"/>
        <v/>
      </c>
      <c r="M647" s="243">
        <v>8130</v>
      </c>
      <c r="N647" s="243" t="s">
        <v>394</v>
      </c>
      <c r="O647" s="243" t="s">
        <v>1599</v>
      </c>
      <c r="P647" s="243">
        <f t="shared" si="96"/>
        <v>189191055.3316758</v>
      </c>
      <c r="S647">
        <v>8130</v>
      </c>
      <c r="T647" t="s">
        <v>394</v>
      </c>
      <c r="U647" t="s">
        <v>1599</v>
      </c>
      <c r="V647">
        <v>13591571.108888</v>
      </c>
      <c r="W647">
        <v>216638861.91662201</v>
      </c>
      <c r="X647">
        <v>500000</v>
      </c>
      <c r="Y647">
        <v>14440065.555553</v>
      </c>
      <c r="AA647">
        <v>8130</v>
      </c>
      <c r="AB647" t="s">
        <v>394</v>
      </c>
      <c r="AC647" t="s">
        <v>1599</v>
      </c>
      <c r="AD647">
        <v>13591571.108888</v>
      </c>
      <c r="AE647">
        <v>216638861.91662201</v>
      </c>
      <c r="AF647">
        <v>500000</v>
      </c>
      <c r="AG647">
        <v>14440065.555553</v>
      </c>
      <c r="AH647" s="342" t="str">
        <f t="shared" si="90"/>
        <v/>
      </c>
      <c r="AI647">
        <v>8130</v>
      </c>
      <c r="AJ647" t="s">
        <v>394</v>
      </c>
      <c r="AK647" t="s">
        <v>1599</v>
      </c>
      <c r="AL647" s="245">
        <f t="shared" si="91"/>
        <v>24464827.995998401</v>
      </c>
      <c r="AM647" s="245">
        <f t="shared" si="92"/>
        <v>389949951.44991964</v>
      </c>
      <c r="AN647" s="245">
        <f t="shared" si="93"/>
        <v>900000</v>
      </c>
      <c r="AO647" s="245">
        <f t="shared" si="94"/>
        <v>25992117.999995403</v>
      </c>
      <c r="AR647">
        <v>8130</v>
      </c>
      <c r="AS647" t="s">
        <v>394</v>
      </c>
      <c r="AT647" t="s">
        <v>1599</v>
      </c>
      <c r="AU647">
        <v>12123033.832215</v>
      </c>
      <c r="AW647">
        <v>8130</v>
      </c>
      <c r="AX647" t="s">
        <v>394</v>
      </c>
      <c r="AY647" t="s">
        <v>1599</v>
      </c>
      <c r="AZ647">
        <v>1658077.4955549999</v>
      </c>
      <c r="BA647" s="342" t="str">
        <f t="shared" si="97"/>
        <v/>
      </c>
      <c r="BB647">
        <v>8130</v>
      </c>
      <c r="BC647" t="s">
        <v>394</v>
      </c>
      <c r="BD647" t="s">
        <v>1599</v>
      </c>
      <c r="BE647" s="243">
        <f t="shared" si="98"/>
        <v>13449495.828659</v>
      </c>
    </row>
    <row r="648" spans="1:57">
      <c r="A648">
        <v>8200</v>
      </c>
      <c r="B648" t="s">
        <v>395</v>
      </c>
      <c r="C648" t="s">
        <v>1254</v>
      </c>
      <c r="D648">
        <v>135007555.84877399</v>
      </c>
      <c r="E648">
        <v>0</v>
      </c>
      <c r="G648">
        <v>8200</v>
      </c>
      <c r="H648" t="s">
        <v>395</v>
      </c>
      <c r="I648" t="s">
        <v>1254</v>
      </c>
      <c r="J648">
        <v>63568808.173309997</v>
      </c>
      <c r="K648">
        <v>0</v>
      </c>
      <c r="L648" s="342" t="str">
        <f t="shared" si="95"/>
        <v/>
      </c>
      <c r="M648" s="243">
        <v>8200</v>
      </c>
      <c r="N648" s="243" t="s">
        <v>395</v>
      </c>
      <c r="O648" s="243" t="s">
        <v>1254</v>
      </c>
      <c r="P648" s="243">
        <f t="shared" si="96"/>
        <v>185862602.387422</v>
      </c>
      <c r="S648">
        <v>8200</v>
      </c>
      <c r="T648" t="s">
        <v>395</v>
      </c>
      <c r="U648" t="s">
        <v>1254</v>
      </c>
      <c r="V648">
        <v>34591554.922219999</v>
      </c>
      <c r="W648">
        <v>163953038.90439901</v>
      </c>
      <c r="X648">
        <v>0</v>
      </c>
      <c r="Y648">
        <v>8651125</v>
      </c>
      <c r="AA648">
        <v>8200</v>
      </c>
      <c r="AB648" t="s">
        <v>395</v>
      </c>
      <c r="AC648" t="s">
        <v>1254</v>
      </c>
      <c r="AD648">
        <v>34591554.922219999</v>
      </c>
      <c r="AE648">
        <v>163953038.90439901</v>
      </c>
      <c r="AF648">
        <v>0</v>
      </c>
      <c r="AG648">
        <v>8651125</v>
      </c>
      <c r="AH648" s="342" t="str">
        <f t="shared" si="90"/>
        <v/>
      </c>
      <c r="AI648">
        <v>8200</v>
      </c>
      <c r="AJ648" t="s">
        <v>395</v>
      </c>
      <c r="AK648" t="s">
        <v>1254</v>
      </c>
      <c r="AL648" s="245">
        <f t="shared" si="91"/>
        <v>62264798.859995998</v>
      </c>
      <c r="AM648" s="245">
        <f t="shared" si="92"/>
        <v>295115470.02791822</v>
      </c>
      <c r="AN648" s="245">
        <f t="shared" si="93"/>
        <v>0</v>
      </c>
      <c r="AO648" s="245">
        <f t="shared" si="94"/>
        <v>15572025</v>
      </c>
      <c r="AR648">
        <v>8200</v>
      </c>
      <c r="AS648" t="s">
        <v>395</v>
      </c>
      <c r="AT648" t="s">
        <v>1254</v>
      </c>
      <c r="AU648">
        <v>7170562.1633270001</v>
      </c>
      <c r="AW648">
        <v>8200</v>
      </c>
      <c r="AX648" t="s">
        <v>395</v>
      </c>
      <c r="AY648" t="s">
        <v>1254</v>
      </c>
      <c r="AZ648">
        <v>1270418.973333</v>
      </c>
      <c r="BA648" s="342" t="str">
        <f t="shared" si="97"/>
        <v/>
      </c>
      <c r="BB648">
        <v>8200</v>
      </c>
      <c r="BC648" t="s">
        <v>395</v>
      </c>
      <c r="BD648" t="s">
        <v>1254</v>
      </c>
      <c r="BE648" s="243">
        <f t="shared" si="98"/>
        <v>8186897.3419933999</v>
      </c>
    </row>
    <row r="649" spans="1:57">
      <c r="A649">
        <v>8200</v>
      </c>
      <c r="B649" t="s">
        <v>395</v>
      </c>
      <c r="C649" t="s">
        <v>1825</v>
      </c>
      <c r="D649">
        <v>225532652.882117</v>
      </c>
      <c r="E649">
        <v>0</v>
      </c>
      <c r="G649">
        <v>8200</v>
      </c>
      <c r="H649" t="s">
        <v>395</v>
      </c>
      <c r="I649" t="s">
        <v>1825</v>
      </c>
      <c r="J649">
        <v>231614740.89661399</v>
      </c>
      <c r="K649">
        <v>0</v>
      </c>
      <c r="L649" s="342" t="str">
        <f t="shared" si="95"/>
        <v/>
      </c>
      <c r="M649" s="243">
        <v>8200</v>
      </c>
      <c r="N649" s="243" t="s">
        <v>395</v>
      </c>
      <c r="O649" s="243" t="s">
        <v>1825</v>
      </c>
      <c r="P649" s="243">
        <f t="shared" si="96"/>
        <v>410824445.59940821</v>
      </c>
      <c r="S649">
        <v>8200</v>
      </c>
      <c r="T649" t="s">
        <v>395</v>
      </c>
      <c r="U649" t="s">
        <v>1825</v>
      </c>
      <c r="V649">
        <v>93937278.913330004</v>
      </c>
      <c r="W649">
        <v>209410220.24774101</v>
      </c>
      <c r="X649">
        <v>0</v>
      </c>
      <c r="Y649">
        <v>60748350.222220004</v>
      </c>
      <c r="AA649">
        <v>8200</v>
      </c>
      <c r="AB649" t="s">
        <v>395</v>
      </c>
      <c r="AC649" t="s">
        <v>1825</v>
      </c>
      <c r="AD649">
        <v>93937278.913330004</v>
      </c>
      <c r="AE649">
        <v>209410220.24774101</v>
      </c>
      <c r="AF649">
        <v>0</v>
      </c>
      <c r="AG649">
        <v>60748350.222220004</v>
      </c>
      <c r="AH649" s="342" t="str">
        <f t="shared" si="90"/>
        <v/>
      </c>
      <c r="AI649">
        <v>8200</v>
      </c>
      <c r="AJ649" t="s">
        <v>395</v>
      </c>
      <c r="AK649" t="s">
        <v>1825</v>
      </c>
      <c r="AL649" s="245">
        <f t="shared" si="91"/>
        <v>169087102.04399401</v>
      </c>
      <c r="AM649" s="245">
        <f t="shared" si="92"/>
        <v>376938396.44593382</v>
      </c>
      <c r="AN649" s="245">
        <f t="shared" si="93"/>
        <v>0</v>
      </c>
      <c r="AO649" s="245">
        <f t="shared" si="94"/>
        <v>109347030.39999601</v>
      </c>
      <c r="AR649">
        <v>8200</v>
      </c>
      <c r="AS649" t="s">
        <v>395</v>
      </c>
      <c r="AT649" t="s">
        <v>1825</v>
      </c>
      <c r="AU649">
        <v>18783723.082219999</v>
      </c>
      <c r="AW649">
        <v>8200</v>
      </c>
      <c r="AX649" t="s">
        <v>395</v>
      </c>
      <c r="AY649" t="s">
        <v>1825</v>
      </c>
      <c r="AZ649">
        <v>35310675.741108</v>
      </c>
      <c r="BA649" s="342" t="str">
        <f t="shared" si="97"/>
        <v/>
      </c>
      <c r="BB649">
        <v>8200</v>
      </c>
      <c r="BC649" t="s">
        <v>395</v>
      </c>
      <c r="BD649" t="s">
        <v>1825</v>
      </c>
      <c r="BE649" s="243">
        <f t="shared" si="98"/>
        <v>47032263.675106406</v>
      </c>
    </row>
    <row r="650" spans="1:57">
      <c r="A650">
        <v>8200</v>
      </c>
      <c r="B650" t="s">
        <v>395</v>
      </c>
      <c r="C650" t="s">
        <v>2000</v>
      </c>
      <c r="D650">
        <v>31954039.326637998</v>
      </c>
      <c r="E650">
        <v>0</v>
      </c>
      <c r="G650">
        <v>8200</v>
      </c>
      <c r="H650" t="s">
        <v>395</v>
      </c>
      <c r="I650" t="s">
        <v>2000</v>
      </c>
      <c r="J650">
        <v>18926633.604437001</v>
      </c>
      <c r="K650">
        <v>0</v>
      </c>
      <c r="L650" s="342" t="str">
        <f t="shared" si="95"/>
        <v/>
      </c>
      <c r="M650" s="243">
        <v>8200</v>
      </c>
      <c r="N650" s="243" t="s">
        <v>395</v>
      </c>
      <c r="O650" s="243" t="s">
        <v>2000</v>
      </c>
      <c r="P650" s="243">
        <f t="shared" si="96"/>
        <v>47095346.210187599</v>
      </c>
      <c r="S650">
        <v>8200</v>
      </c>
      <c r="T650" t="s">
        <v>395</v>
      </c>
      <c r="U650" t="s">
        <v>2000</v>
      </c>
      <c r="V650">
        <v>9875120.7288869992</v>
      </c>
      <c r="W650">
        <v>58783070.079988003</v>
      </c>
      <c r="X650">
        <v>3361066.6666660002</v>
      </c>
      <c r="Y650">
        <v>784333.33333299996</v>
      </c>
      <c r="AA650">
        <v>8200</v>
      </c>
      <c r="AB650" t="s">
        <v>395</v>
      </c>
      <c r="AC650" t="s">
        <v>2000</v>
      </c>
      <c r="AD650">
        <v>9875120.7288869992</v>
      </c>
      <c r="AE650">
        <v>58783070.079988003</v>
      </c>
      <c r="AF650">
        <v>3361066.6666660002</v>
      </c>
      <c r="AG650">
        <v>784333.33333299996</v>
      </c>
      <c r="AH650" s="342" t="str">
        <f t="shared" si="90"/>
        <v/>
      </c>
      <c r="AI650">
        <v>8200</v>
      </c>
      <c r="AJ650" t="s">
        <v>395</v>
      </c>
      <c r="AK650" t="s">
        <v>2000</v>
      </c>
      <c r="AL650" s="245">
        <f t="shared" si="91"/>
        <v>17775217.311996598</v>
      </c>
      <c r="AM650" s="245">
        <f t="shared" si="92"/>
        <v>105809526.14397842</v>
      </c>
      <c r="AN650" s="245">
        <f t="shared" si="93"/>
        <v>6049919.9999988005</v>
      </c>
      <c r="AO650" s="245">
        <f t="shared" si="94"/>
        <v>1411799.9999994</v>
      </c>
      <c r="AR650">
        <v>8200</v>
      </c>
      <c r="AS650" t="s">
        <v>395</v>
      </c>
      <c r="AT650" t="s">
        <v>2000</v>
      </c>
      <c r="AU650">
        <v>948230.34333299997</v>
      </c>
      <c r="AW650">
        <v>8200</v>
      </c>
      <c r="AX650" t="s">
        <v>395</v>
      </c>
      <c r="AY650" t="s">
        <v>2000</v>
      </c>
      <c r="AZ650">
        <v>559234.27666600002</v>
      </c>
      <c r="BA650" s="342" t="str">
        <f t="shared" si="97"/>
        <v/>
      </c>
      <c r="BB650">
        <v>8200</v>
      </c>
      <c r="BC650" t="s">
        <v>395</v>
      </c>
      <c r="BD650" t="s">
        <v>2000</v>
      </c>
      <c r="BE650" s="243">
        <f t="shared" si="98"/>
        <v>1395617.7646658001</v>
      </c>
    </row>
    <row r="651" spans="1:57">
      <c r="A651">
        <v>8200</v>
      </c>
      <c r="B651" t="s">
        <v>395</v>
      </c>
      <c r="C651" t="s">
        <v>1255</v>
      </c>
      <c r="D651">
        <v>208490383.92432001</v>
      </c>
      <c r="E651">
        <v>0</v>
      </c>
      <c r="G651">
        <v>8200</v>
      </c>
      <c r="H651" t="s">
        <v>395</v>
      </c>
      <c r="I651" t="s">
        <v>1255</v>
      </c>
      <c r="J651">
        <v>153546154.77440801</v>
      </c>
      <c r="K651">
        <v>0</v>
      </c>
      <c r="L651" s="342" t="str">
        <f t="shared" si="95"/>
        <v/>
      </c>
      <c r="M651" s="243">
        <v>8200</v>
      </c>
      <c r="N651" s="243" t="s">
        <v>395</v>
      </c>
      <c r="O651" s="243" t="s">
        <v>1255</v>
      </c>
      <c r="P651" s="243">
        <f t="shared" si="96"/>
        <v>331327307.74384642</v>
      </c>
      <c r="S651">
        <v>8200</v>
      </c>
      <c r="T651" t="s">
        <v>395</v>
      </c>
      <c r="U651" t="s">
        <v>1255</v>
      </c>
      <c r="V651">
        <v>26720502.362220999</v>
      </c>
      <c r="W651">
        <v>148328568.113289</v>
      </c>
      <c r="X651">
        <v>6307566.1111099999</v>
      </c>
      <c r="Y651">
        <v>11826165.584442999</v>
      </c>
      <c r="AA651">
        <v>8200</v>
      </c>
      <c r="AB651" t="s">
        <v>395</v>
      </c>
      <c r="AC651" t="s">
        <v>1255</v>
      </c>
      <c r="AD651">
        <v>26720502.362220999</v>
      </c>
      <c r="AE651">
        <v>148328568.113289</v>
      </c>
      <c r="AF651">
        <v>6307566.1111099999</v>
      </c>
      <c r="AG651">
        <v>11826165.584442999</v>
      </c>
      <c r="AH651" s="342" t="str">
        <f t="shared" si="90"/>
        <v/>
      </c>
      <c r="AI651">
        <v>8200</v>
      </c>
      <c r="AJ651" t="s">
        <v>395</v>
      </c>
      <c r="AK651" t="s">
        <v>1255</v>
      </c>
      <c r="AL651" s="245">
        <f t="shared" si="91"/>
        <v>48096904.251997799</v>
      </c>
      <c r="AM651" s="245">
        <f t="shared" si="92"/>
        <v>266991422.60392022</v>
      </c>
      <c r="AN651" s="245">
        <f t="shared" si="93"/>
        <v>11353618.999998</v>
      </c>
      <c r="AO651" s="245">
        <f t="shared" si="94"/>
        <v>21287098.051997401</v>
      </c>
      <c r="AR651">
        <v>8200</v>
      </c>
      <c r="AS651" t="s">
        <v>395</v>
      </c>
      <c r="AT651" t="s">
        <v>1255</v>
      </c>
      <c r="AU651">
        <v>13543493.357775999</v>
      </c>
      <c r="AW651">
        <v>8200</v>
      </c>
      <c r="AX651" t="s">
        <v>395</v>
      </c>
      <c r="AY651" t="s">
        <v>1255</v>
      </c>
      <c r="AZ651">
        <v>12194934.764442001</v>
      </c>
      <c r="BA651" s="342" t="str">
        <f t="shared" si="97"/>
        <v/>
      </c>
      <c r="BB651">
        <v>8200</v>
      </c>
      <c r="BC651" t="s">
        <v>395</v>
      </c>
      <c r="BD651" t="s">
        <v>1255</v>
      </c>
      <c r="BE651" s="243">
        <f t="shared" si="98"/>
        <v>23299441.169329599</v>
      </c>
    </row>
    <row r="652" spans="1:57">
      <c r="A652">
        <v>8300</v>
      </c>
      <c r="B652" t="s">
        <v>396</v>
      </c>
      <c r="C652" t="s">
        <v>1257</v>
      </c>
      <c r="D652">
        <v>172042545.65101299</v>
      </c>
      <c r="E652">
        <v>0</v>
      </c>
      <c r="G652">
        <v>8300</v>
      </c>
      <c r="H652" t="s">
        <v>396</v>
      </c>
      <c r="I652" t="s">
        <v>1257</v>
      </c>
      <c r="J652">
        <v>85623658.701085001</v>
      </c>
      <c r="K652">
        <v>0</v>
      </c>
      <c r="L652" s="342" t="str">
        <f t="shared" si="95"/>
        <v/>
      </c>
      <c r="M652" s="243">
        <v>8300</v>
      </c>
      <c r="N652" s="243" t="s">
        <v>396</v>
      </c>
      <c r="O652" s="243" t="s">
        <v>1257</v>
      </c>
      <c r="P652" s="243">
        <f t="shared" si="96"/>
        <v>240541472.61188099</v>
      </c>
      <c r="S652">
        <v>8300</v>
      </c>
      <c r="T652" t="s">
        <v>396</v>
      </c>
      <c r="U652" t="s">
        <v>1257</v>
      </c>
      <c r="V652">
        <v>55610595.036665998</v>
      </c>
      <c r="W652">
        <v>156702075.83331001</v>
      </c>
      <c r="X652">
        <v>750000</v>
      </c>
      <c r="Y652">
        <v>28776046.22222</v>
      </c>
      <c r="AA652">
        <v>8300</v>
      </c>
      <c r="AB652" t="s">
        <v>396</v>
      </c>
      <c r="AC652" t="s">
        <v>1257</v>
      </c>
      <c r="AD652">
        <v>55610595.036665998</v>
      </c>
      <c r="AE652">
        <v>156702075.83331001</v>
      </c>
      <c r="AF652">
        <v>750000</v>
      </c>
      <c r="AG652">
        <v>28776046.22222</v>
      </c>
      <c r="AH652" s="342" t="str">
        <f t="shared" si="90"/>
        <v/>
      </c>
      <c r="AI652">
        <v>8300</v>
      </c>
      <c r="AJ652" t="s">
        <v>396</v>
      </c>
      <c r="AK652" t="s">
        <v>1257</v>
      </c>
      <c r="AL652" s="245">
        <f t="shared" si="91"/>
        <v>100099071.06599879</v>
      </c>
      <c r="AM652" s="245">
        <f t="shared" si="92"/>
        <v>282063736.49995804</v>
      </c>
      <c r="AN652" s="245">
        <f t="shared" si="93"/>
        <v>1350000</v>
      </c>
      <c r="AO652" s="245">
        <f t="shared" si="94"/>
        <v>51796883.199996002</v>
      </c>
      <c r="AR652">
        <v>8300</v>
      </c>
      <c r="AS652" t="s">
        <v>396</v>
      </c>
      <c r="AT652" t="s">
        <v>1257</v>
      </c>
      <c r="AU652">
        <v>67267476.277752995</v>
      </c>
      <c r="AW652">
        <v>8300</v>
      </c>
      <c r="AX652" t="s">
        <v>396</v>
      </c>
      <c r="AY652" t="s">
        <v>1257</v>
      </c>
      <c r="AZ652">
        <v>47080515.607762001</v>
      </c>
      <c r="BA652" s="342" t="str">
        <f t="shared" si="97"/>
        <v/>
      </c>
      <c r="BB652">
        <v>8300</v>
      </c>
      <c r="BC652" t="s">
        <v>396</v>
      </c>
      <c r="BD652" t="s">
        <v>1257</v>
      </c>
      <c r="BE652" s="243">
        <f t="shared" si="98"/>
        <v>104931888.7639626</v>
      </c>
    </row>
    <row r="653" spans="1:57">
      <c r="A653">
        <v>8300</v>
      </c>
      <c r="B653" t="s">
        <v>396</v>
      </c>
      <c r="C653" t="s">
        <v>1826</v>
      </c>
      <c r="D653">
        <v>86282806.422129005</v>
      </c>
      <c r="E653">
        <v>0</v>
      </c>
      <c r="G653">
        <v>8300</v>
      </c>
      <c r="H653" t="s">
        <v>396</v>
      </c>
      <c r="I653" t="s">
        <v>1826</v>
      </c>
      <c r="J653">
        <v>44577994.887759998</v>
      </c>
      <c r="K653">
        <v>0</v>
      </c>
      <c r="L653" s="342" t="str">
        <f t="shared" si="95"/>
        <v/>
      </c>
      <c r="M653" s="243">
        <v>8300</v>
      </c>
      <c r="N653" s="243" t="s">
        <v>396</v>
      </c>
      <c r="O653" s="243" t="s">
        <v>1826</v>
      </c>
      <c r="P653" s="243">
        <f t="shared" si="96"/>
        <v>121945202.33233701</v>
      </c>
      <c r="S653">
        <v>8300</v>
      </c>
      <c r="T653" t="s">
        <v>396</v>
      </c>
      <c r="U653" t="s">
        <v>1826</v>
      </c>
      <c r="V653">
        <v>7811191.4066660004</v>
      </c>
      <c r="W653">
        <v>89041902.744427994</v>
      </c>
      <c r="X653">
        <v>0</v>
      </c>
      <c r="Y653">
        <v>17040930.666666001</v>
      </c>
      <c r="AA653">
        <v>8300</v>
      </c>
      <c r="AB653" t="s">
        <v>396</v>
      </c>
      <c r="AC653" t="s">
        <v>1826</v>
      </c>
      <c r="AD653">
        <v>7811191.4066660004</v>
      </c>
      <c r="AE653">
        <v>89041902.744427994</v>
      </c>
      <c r="AF653">
        <v>0</v>
      </c>
      <c r="AG653">
        <v>17040930.666666001</v>
      </c>
      <c r="AH653" s="342" t="str">
        <f t="shared" si="90"/>
        <v/>
      </c>
      <c r="AI653">
        <v>8300</v>
      </c>
      <c r="AJ653" t="s">
        <v>396</v>
      </c>
      <c r="AK653" t="s">
        <v>1826</v>
      </c>
      <c r="AL653" s="245">
        <f t="shared" si="91"/>
        <v>14060144.531998802</v>
      </c>
      <c r="AM653" s="245">
        <f t="shared" si="92"/>
        <v>160275424.93997037</v>
      </c>
      <c r="AN653" s="245">
        <f t="shared" si="93"/>
        <v>0</v>
      </c>
      <c r="AO653" s="245">
        <f t="shared" si="94"/>
        <v>30673675.199998803</v>
      </c>
      <c r="AR653">
        <v>8300</v>
      </c>
      <c r="AS653" t="s">
        <v>396</v>
      </c>
      <c r="AT653" t="s">
        <v>1826</v>
      </c>
      <c r="AU653">
        <v>41475663.909979001</v>
      </c>
      <c r="AW653">
        <v>8300</v>
      </c>
      <c r="AX653" t="s">
        <v>396</v>
      </c>
      <c r="AY653" t="s">
        <v>1826</v>
      </c>
      <c r="AZ653">
        <v>11155283.626658</v>
      </c>
      <c r="BA653" s="342" t="str">
        <f t="shared" si="97"/>
        <v/>
      </c>
      <c r="BB653">
        <v>8300</v>
      </c>
      <c r="BC653" t="s">
        <v>396</v>
      </c>
      <c r="BD653" t="s">
        <v>1826</v>
      </c>
      <c r="BE653" s="243">
        <f t="shared" si="98"/>
        <v>50399890.811305404</v>
      </c>
    </row>
    <row r="654" spans="1:57">
      <c r="A654">
        <v>8300</v>
      </c>
      <c r="B654" t="s">
        <v>396</v>
      </c>
      <c r="C654" t="s">
        <v>1256</v>
      </c>
      <c r="D654">
        <v>237553216.408784</v>
      </c>
      <c r="E654">
        <v>0</v>
      </c>
      <c r="G654">
        <v>8300</v>
      </c>
      <c r="H654" t="s">
        <v>396</v>
      </c>
      <c r="I654" t="s">
        <v>1256</v>
      </c>
      <c r="J654">
        <v>81289843.955526993</v>
      </c>
      <c r="K654">
        <v>0</v>
      </c>
      <c r="L654" s="342" t="str">
        <f t="shared" si="95"/>
        <v/>
      </c>
      <c r="M654" s="243">
        <v>8300</v>
      </c>
      <c r="N654" s="243" t="s">
        <v>396</v>
      </c>
      <c r="O654" s="243" t="s">
        <v>1256</v>
      </c>
      <c r="P654" s="243">
        <f t="shared" si="96"/>
        <v>302585091.57320559</v>
      </c>
      <c r="S654">
        <v>8300</v>
      </c>
      <c r="T654" t="s">
        <v>396</v>
      </c>
      <c r="U654" t="s">
        <v>1256</v>
      </c>
      <c r="V654">
        <v>72216983.614443004</v>
      </c>
      <c r="W654">
        <v>203021776.419967</v>
      </c>
      <c r="X654">
        <v>1586000</v>
      </c>
      <c r="Y654">
        <v>53195790.888887003</v>
      </c>
      <c r="AA654">
        <v>8300</v>
      </c>
      <c r="AB654" t="s">
        <v>396</v>
      </c>
      <c r="AC654" t="s">
        <v>1256</v>
      </c>
      <c r="AD654">
        <v>72216983.614443004</v>
      </c>
      <c r="AE654">
        <v>203021776.419967</v>
      </c>
      <c r="AF654">
        <v>1586000</v>
      </c>
      <c r="AG654">
        <v>53195790.888887003</v>
      </c>
      <c r="AH654" s="342" t="str">
        <f t="shared" si="90"/>
        <v/>
      </c>
      <c r="AI654">
        <v>8300</v>
      </c>
      <c r="AJ654" t="s">
        <v>396</v>
      </c>
      <c r="AK654" t="s">
        <v>1256</v>
      </c>
      <c r="AL654" s="245">
        <f t="shared" si="91"/>
        <v>129990570.50599742</v>
      </c>
      <c r="AM654" s="245">
        <f t="shared" si="92"/>
        <v>365439197.55594063</v>
      </c>
      <c r="AN654" s="245">
        <f t="shared" si="93"/>
        <v>2854800</v>
      </c>
      <c r="AO654" s="245">
        <f t="shared" si="94"/>
        <v>95752423.599996611</v>
      </c>
      <c r="AR654">
        <v>8300</v>
      </c>
      <c r="AS654" t="s">
        <v>396</v>
      </c>
      <c r="AT654" t="s">
        <v>1256</v>
      </c>
      <c r="AU654">
        <v>52697243.085530996</v>
      </c>
      <c r="AW654">
        <v>8300</v>
      </c>
      <c r="AX654" t="s">
        <v>396</v>
      </c>
      <c r="AY654" t="s">
        <v>1256</v>
      </c>
      <c r="AZ654">
        <v>30180962.648878001</v>
      </c>
      <c r="BA654" s="342" t="str">
        <f t="shared" si="97"/>
        <v/>
      </c>
      <c r="BB654">
        <v>8300</v>
      </c>
      <c r="BC654" t="s">
        <v>396</v>
      </c>
      <c r="BD654" t="s">
        <v>1256</v>
      </c>
      <c r="BE654" s="243">
        <f t="shared" si="98"/>
        <v>76842013.2046334</v>
      </c>
    </row>
    <row r="655" spans="1:57">
      <c r="A655">
        <v>8880</v>
      </c>
      <c r="B655" t="s">
        <v>599</v>
      </c>
      <c r="C655" t="s">
        <v>1827</v>
      </c>
      <c r="D655">
        <v>283342510.49546301</v>
      </c>
      <c r="E655">
        <v>0</v>
      </c>
      <c r="G655">
        <v>8880</v>
      </c>
      <c r="H655" t="s">
        <v>599</v>
      </c>
      <c r="I655" t="s">
        <v>1827</v>
      </c>
      <c r="J655">
        <v>78491378.562205002</v>
      </c>
      <c r="K655">
        <v>0</v>
      </c>
      <c r="L655" s="342" t="str">
        <f t="shared" si="95"/>
        <v/>
      </c>
      <c r="M655" s="243">
        <v>8880</v>
      </c>
      <c r="N655" s="243" t="s">
        <v>599</v>
      </c>
      <c r="O655" s="243" t="s">
        <v>1827</v>
      </c>
      <c r="P655" s="243">
        <f t="shared" si="96"/>
        <v>346135613.345227</v>
      </c>
      <c r="S655">
        <v>8880</v>
      </c>
      <c r="T655" t="s">
        <v>599</v>
      </c>
      <c r="U655" t="s">
        <v>1827</v>
      </c>
      <c r="V655">
        <v>16586045.823333001</v>
      </c>
      <c r="W655">
        <v>120243410.31442399</v>
      </c>
      <c r="X655">
        <v>0</v>
      </c>
      <c r="Y655">
        <v>12716826.666665999</v>
      </c>
      <c r="AA655">
        <v>8880</v>
      </c>
      <c r="AB655" t="s">
        <v>599</v>
      </c>
      <c r="AC655" t="s">
        <v>1827</v>
      </c>
      <c r="AD655">
        <v>16586045.823333001</v>
      </c>
      <c r="AE655">
        <v>120243410.31442399</v>
      </c>
      <c r="AF655">
        <v>0</v>
      </c>
      <c r="AG655">
        <v>12716826.666665999</v>
      </c>
      <c r="AH655" s="342" t="str">
        <f t="shared" si="90"/>
        <v/>
      </c>
      <c r="AI655">
        <v>8880</v>
      </c>
      <c r="AJ655" t="s">
        <v>599</v>
      </c>
      <c r="AK655" t="s">
        <v>1827</v>
      </c>
      <c r="AL655" s="245">
        <f t="shared" si="91"/>
        <v>29854882.481999405</v>
      </c>
      <c r="AM655" s="245">
        <f t="shared" si="92"/>
        <v>216438138.56596321</v>
      </c>
      <c r="AN655" s="245">
        <f t="shared" si="93"/>
        <v>0</v>
      </c>
      <c r="AO655" s="245">
        <f t="shared" si="94"/>
        <v>22890287.9999988</v>
      </c>
      <c r="AR655">
        <v>8880</v>
      </c>
      <c r="AS655" t="s">
        <v>599</v>
      </c>
      <c r="AT655" t="s">
        <v>1827</v>
      </c>
      <c r="AU655">
        <v>10615961.98442</v>
      </c>
      <c r="AW655">
        <v>8880</v>
      </c>
      <c r="AX655" t="s">
        <v>599</v>
      </c>
      <c r="AY655" t="s">
        <v>1827</v>
      </c>
      <c r="AZ655">
        <v>14123681.32333</v>
      </c>
      <c r="BA655" s="342" t="str">
        <f t="shared" si="97"/>
        <v/>
      </c>
      <c r="BB655">
        <v>8880</v>
      </c>
      <c r="BC655" t="s">
        <v>599</v>
      </c>
      <c r="BD655" t="s">
        <v>1827</v>
      </c>
      <c r="BE655" s="243">
        <f t="shared" si="98"/>
        <v>21914907.043084003</v>
      </c>
    </row>
    <row r="656" spans="1:57">
      <c r="A656">
        <v>8880</v>
      </c>
      <c r="B656" t="s">
        <v>599</v>
      </c>
      <c r="C656" t="s">
        <v>2001</v>
      </c>
      <c r="D656">
        <v>165714555.32380599</v>
      </c>
      <c r="E656">
        <v>0</v>
      </c>
      <c r="G656">
        <v>8880</v>
      </c>
      <c r="H656" t="s">
        <v>599</v>
      </c>
      <c r="I656" t="s">
        <v>2001</v>
      </c>
      <c r="J656">
        <v>29167412.242206</v>
      </c>
      <c r="K656">
        <v>0</v>
      </c>
      <c r="L656" s="342" t="str">
        <f t="shared" si="95"/>
        <v/>
      </c>
      <c r="M656" s="243">
        <v>8880</v>
      </c>
      <c r="N656" s="243" t="s">
        <v>599</v>
      </c>
      <c r="O656" s="243" t="s">
        <v>2001</v>
      </c>
      <c r="P656" s="243">
        <f t="shared" si="96"/>
        <v>189048485.11757079</v>
      </c>
      <c r="S656">
        <v>8880</v>
      </c>
      <c r="T656" t="s">
        <v>599</v>
      </c>
      <c r="U656" t="s">
        <v>2001</v>
      </c>
      <c r="V656">
        <v>18205135.559999</v>
      </c>
      <c r="W656">
        <v>69295712.624399006</v>
      </c>
      <c r="X656">
        <v>0</v>
      </c>
      <c r="Y656">
        <v>13110456.388888</v>
      </c>
      <c r="AA656">
        <v>8880</v>
      </c>
      <c r="AB656" t="s">
        <v>599</v>
      </c>
      <c r="AC656" t="s">
        <v>2001</v>
      </c>
      <c r="AD656">
        <v>18205135.559999</v>
      </c>
      <c r="AE656">
        <v>69295712.624399006</v>
      </c>
      <c r="AF656">
        <v>0</v>
      </c>
      <c r="AG656">
        <v>13110456.388888</v>
      </c>
      <c r="AH656" s="342" t="str">
        <f t="shared" si="90"/>
        <v/>
      </c>
      <c r="AI656">
        <v>8880</v>
      </c>
      <c r="AJ656" t="s">
        <v>599</v>
      </c>
      <c r="AK656" t="s">
        <v>2001</v>
      </c>
      <c r="AL656" s="245">
        <f t="shared" si="91"/>
        <v>32769244.007998202</v>
      </c>
      <c r="AM656" s="245">
        <f t="shared" si="92"/>
        <v>124732282.72391821</v>
      </c>
      <c r="AN656" s="245">
        <f t="shared" si="93"/>
        <v>0</v>
      </c>
      <c r="AO656" s="245">
        <f t="shared" si="94"/>
        <v>23598821.499998398</v>
      </c>
      <c r="AR656">
        <v>8880</v>
      </c>
      <c r="AS656" t="s">
        <v>599</v>
      </c>
      <c r="AT656" t="s">
        <v>2001</v>
      </c>
      <c r="AU656">
        <v>36330364.145499997</v>
      </c>
      <c r="AW656">
        <v>8880</v>
      </c>
      <c r="AX656" t="s">
        <v>599</v>
      </c>
      <c r="AY656" t="s">
        <v>2001</v>
      </c>
      <c r="AZ656">
        <v>22026676.742221002</v>
      </c>
      <c r="BA656" s="342" t="str">
        <f t="shared" si="97"/>
        <v/>
      </c>
      <c r="BB656">
        <v>8880</v>
      </c>
      <c r="BC656" t="s">
        <v>599</v>
      </c>
      <c r="BD656" t="s">
        <v>2001</v>
      </c>
      <c r="BE656" s="243">
        <f t="shared" si="98"/>
        <v>53951705.539276794</v>
      </c>
    </row>
  </sheetData>
  <phoneticPr fontId="13" type="noConversion"/>
  <pageMargins left="0.74803149606299213" right="0.74803149606299213" top="0.98425196850393704" bottom="0.98425196850393704" header="0.51181102362204722" footer="0.51181102362204722"/>
  <pageSetup paperSize="9" scale="10"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pageSetUpPr fitToPage="1"/>
  </sheetPr>
  <dimension ref="A1:S194"/>
  <sheetViews>
    <sheetView view="pageBreakPreview" topLeftCell="A170" zoomScaleNormal="100" zoomScaleSheetLayoutView="100" workbookViewId="0">
      <selection activeCell="I175" sqref="I175"/>
    </sheetView>
  </sheetViews>
  <sheetFormatPr defaultRowHeight="16.5"/>
  <cols>
    <col min="1" max="1" width="9.5" style="2" bestFit="1" customWidth="1"/>
    <col min="2" max="2" width="13.875" style="2" bestFit="1" customWidth="1"/>
    <col min="3" max="3" width="12.125" style="2" customWidth="1"/>
    <col min="4" max="13" width="9" style="2" customWidth="1"/>
    <col min="14" max="14" width="9.5" style="44" customWidth="1"/>
    <col min="15" max="15" width="13" style="2" bestFit="1" customWidth="1"/>
    <col min="16" max="16" width="11.125" style="9" customWidth="1"/>
    <col min="17" max="17" width="15.875" style="21" bestFit="1" customWidth="1"/>
    <col min="18" max="18" width="13.875" customWidth="1"/>
    <col min="19" max="19" width="14.25" customWidth="1"/>
  </cols>
  <sheetData>
    <row r="1" spans="1:19">
      <c r="A1" s="2">
        <v>1</v>
      </c>
      <c r="B1" s="2">
        <v>2</v>
      </c>
      <c r="C1" s="2">
        <v>3</v>
      </c>
      <c r="D1" s="2">
        <v>4</v>
      </c>
      <c r="E1" s="2">
        <v>5</v>
      </c>
      <c r="F1" s="2">
        <v>6</v>
      </c>
      <c r="G1" s="2">
        <v>7</v>
      </c>
      <c r="H1" s="2">
        <v>8</v>
      </c>
      <c r="I1" s="2">
        <v>9</v>
      </c>
      <c r="J1" s="2">
        <v>10</v>
      </c>
      <c r="K1" s="2">
        <v>11</v>
      </c>
      <c r="L1" s="2">
        <v>12</v>
      </c>
      <c r="M1" s="2">
        <v>13</v>
      </c>
      <c r="N1" s="2">
        <v>14</v>
      </c>
      <c r="O1" s="2">
        <v>15</v>
      </c>
      <c r="P1" s="185">
        <v>0</v>
      </c>
      <c r="Q1" s="120">
        <v>17</v>
      </c>
    </row>
    <row r="2" spans="1:19">
      <c r="N2" s="7">
        <v>1.003633</v>
      </c>
      <c r="Q2" s="37">
        <f>'116年參數表'!C20</f>
        <v>108950000</v>
      </c>
      <c r="R2" s="21">
        <f>Q187</f>
        <v>108970603</v>
      </c>
      <c r="S2" s="149" t="e">
        <f>#REF!</f>
        <v>#REF!</v>
      </c>
    </row>
    <row r="3" spans="1:19" ht="33">
      <c r="A3" s="10" t="s">
        <v>405</v>
      </c>
      <c r="B3" s="10" t="s">
        <v>406</v>
      </c>
      <c r="C3" s="171" t="s">
        <v>1828</v>
      </c>
      <c r="D3" s="320" t="s">
        <v>1829</v>
      </c>
      <c r="E3" s="320" t="s">
        <v>1830</v>
      </c>
      <c r="F3" s="320" t="s">
        <v>1831</v>
      </c>
      <c r="G3" s="320" t="s">
        <v>1832</v>
      </c>
      <c r="H3" s="320" t="s">
        <v>1833</v>
      </c>
      <c r="I3" s="320" t="s">
        <v>1834</v>
      </c>
      <c r="J3" s="320" t="s">
        <v>1835</v>
      </c>
      <c r="K3" s="320" t="s">
        <v>1836</v>
      </c>
      <c r="L3" s="320" t="s">
        <v>1837</v>
      </c>
      <c r="M3" s="320" t="s">
        <v>1838</v>
      </c>
      <c r="N3" s="320" t="s">
        <v>1839</v>
      </c>
      <c r="O3" s="236" t="s">
        <v>1840</v>
      </c>
      <c r="P3" s="209" t="s">
        <v>615</v>
      </c>
      <c r="Q3" s="121" t="s">
        <v>417</v>
      </c>
      <c r="R3" s="172" t="s">
        <v>598</v>
      </c>
    </row>
    <row r="4" spans="1:19">
      <c r="A4" s="75">
        <v>100</v>
      </c>
      <c r="B4" s="75" t="s">
        <v>131</v>
      </c>
      <c r="C4" s="173">
        <v>56</v>
      </c>
      <c r="D4" s="174">
        <v>60</v>
      </c>
      <c r="E4" s="174">
        <v>61</v>
      </c>
      <c r="F4" s="174">
        <v>59</v>
      </c>
      <c r="G4" s="174">
        <v>59</v>
      </c>
      <c r="H4" s="174">
        <v>57</v>
      </c>
      <c r="I4" s="174">
        <v>58</v>
      </c>
      <c r="J4" s="174">
        <v>57</v>
      </c>
      <c r="K4" s="174">
        <v>56</v>
      </c>
      <c r="L4" s="174">
        <v>55</v>
      </c>
      <c r="M4" s="174">
        <v>55</v>
      </c>
      <c r="N4" s="174"/>
      <c r="O4" s="210">
        <f t="shared" ref="O4:O67" si="0">ROUND(AVERAGE(D4:M4), 0)</f>
        <v>58</v>
      </c>
      <c r="P4" s="202">
        <f>$N$2</f>
        <v>1.003633</v>
      </c>
      <c r="Q4" s="112">
        <f>ROUND(O4*'116年參數表'!D$20*P4, 0)</f>
        <v>1154551</v>
      </c>
      <c r="R4" s="174">
        <f t="shared" ref="R4:R35" si="1">O4-C4</f>
        <v>2</v>
      </c>
    </row>
    <row r="5" spans="1:19">
      <c r="A5" s="75">
        <v>101</v>
      </c>
      <c r="B5" s="75" t="s">
        <v>132</v>
      </c>
      <c r="C5" s="173">
        <v>26</v>
      </c>
      <c r="D5" s="174">
        <v>28</v>
      </c>
      <c r="E5" s="174">
        <v>29</v>
      </c>
      <c r="F5" s="174">
        <v>28</v>
      </c>
      <c r="G5" s="174">
        <v>29</v>
      </c>
      <c r="H5" s="174">
        <v>29</v>
      </c>
      <c r="I5" s="174">
        <v>30</v>
      </c>
      <c r="J5" s="174">
        <v>30</v>
      </c>
      <c r="K5" s="174">
        <v>29</v>
      </c>
      <c r="L5" s="174">
        <v>29</v>
      </c>
      <c r="M5" s="174">
        <v>29</v>
      </c>
      <c r="N5" s="174"/>
      <c r="O5" s="210">
        <f t="shared" si="0"/>
        <v>29</v>
      </c>
      <c r="P5" s="202">
        <f t="shared" ref="P5:P66" si="2">$N$2</f>
        <v>1.003633</v>
      </c>
      <c r="Q5" s="112">
        <f>ROUND(O5*'116年參數表'!D$20*P5, 0)</f>
        <v>577276</v>
      </c>
      <c r="R5" s="174">
        <f t="shared" si="1"/>
        <v>3</v>
      </c>
    </row>
    <row r="6" spans="1:19">
      <c r="A6" s="75">
        <v>103</v>
      </c>
      <c r="B6" s="75" t="s">
        <v>133</v>
      </c>
      <c r="C6" s="173">
        <v>26</v>
      </c>
      <c r="D6" s="174">
        <v>28</v>
      </c>
      <c r="E6" s="174">
        <v>27</v>
      </c>
      <c r="F6" s="174">
        <v>27</v>
      </c>
      <c r="G6" s="174">
        <v>27</v>
      </c>
      <c r="H6" s="174">
        <v>27</v>
      </c>
      <c r="I6" s="174">
        <v>27</v>
      </c>
      <c r="J6" s="174">
        <v>28</v>
      </c>
      <c r="K6" s="174">
        <v>29</v>
      </c>
      <c r="L6" s="174">
        <v>29</v>
      </c>
      <c r="M6" s="174">
        <v>29</v>
      </c>
      <c r="N6" s="174"/>
      <c r="O6" s="210">
        <f t="shared" si="0"/>
        <v>28</v>
      </c>
      <c r="P6" s="202">
        <f t="shared" si="2"/>
        <v>1.003633</v>
      </c>
      <c r="Q6" s="112">
        <f>ROUND(O6*'116年參數表'!D$20*P6, 0)</f>
        <v>557370</v>
      </c>
      <c r="R6" s="174">
        <f t="shared" si="1"/>
        <v>2</v>
      </c>
    </row>
    <row r="7" spans="1:19">
      <c r="A7" s="75">
        <v>104</v>
      </c>
      <c r="B7" s="75" t="s">
        <v>134</v>
      </c>
      <c r="C7" s="173">
        <v>31</v>
      </c>
      <c r="D7" s="174">
        <v>32</v>
      </c>
      <c r="E7" s="174">
        <v>30</v>
      </c>
      <c r="F7" s="174">
        <v>30</v>
      </c>
      <c r="G7" s="174">
        <v>30</v>
      </c>
      <c r="H7" s="174">
        <v>30</v>
      </c>
      <c r="I7" s="174">
        <v>30</v>
      </c>
      <c r="J7" s="174">
        <v>31</v>
      </c>
      <c r="K7" s="174">
        <v>31</v>
      </c>
      <c r="L7" s="174">
        <v>30</v>
      </c>
      <c r="M7" s="174">
        <v>29</v>
      </c>
      <c r="N7" s="174"/>
      <c r="O7" s="210">
        <f t="shared" si="0"/>
        <v>30</v>
      </c>
      <c r="P7" s="202">
        <f t="shared" si="2"/>
        <v>1.003633</v>
      </c>
      <c r="Q7" s="112">
        <f>ROUND(O7*'116年參數表'!D$20*P7, 0)</f>
        <v>597182</v>
      </c>
      <c r="R7" s="174">
        <f t="shared" si="1"/>
        <v>-1</v>
      </c>
    </row>
    <row r="8" spans="1:19">
      <c r="A8" s="75">
        <v>105</v>
      </c>
      <c r="B8" s="75" t="s">
        <v>135</v>
      </c>
      <c r="C8" s="173">
        <v>36</v>
      </c>
      <c r="D8" s="174">
        <v>36</v>
      </c>
      <c r="E8" s="174">
        <v>36</v>
      </c>
      <c r="F8" s="174">
        <v>36</v>
      </c>
      <c r="G8" s="174">
        <v>36</v>
      </c>
      <c r="H8" s="174">
        <v>35</v>
      </c>
      <c r="I8" s="174">
        <v>36</v>
      </c>
      <c r="J8" s="174">
        <v>36</v>
      </c>
      <c r="K8" s="174">
        <v>36</v>
      </c>
      <c r="L8" s="174">
        <v>34</v>
      </c>
      <c r="M8" s="174">
        <v>34</v>
      </c>
      <c r="N8" s="174"/>
      <c r="O8" s="210">
        <f t="shared" si="0"/>
        <v>36</v>
      </c>
      <c r="P8" s="202">
        <f t="shared" si="2"/>
        <v>1.003633</v>
      </c>
      <c r="Q8" s="112">
        <f>ROUND(O8*'116年參數表'!D$20*P8, 0)</f>
        <v>716618</v>
      </c>
      <c r="R8" s="174">
        <f t="shared" si="1"/>
        <v>0</v>
      </c>
    </row>
    <row r="9" spans="1:19">
      <c r="A9" s="75">
        <v>106</v>
      </c>
      <c r="B9" s="75" t="s">
        <v>136</v>
      </c>
      <c r="C9" s="173">
        <v>45</v>
      </c>
      <c r="D9" s="174">
        <v>41</v>
      </c>
      <c r="E9" s="174">
        <v>42</v>
      </c>
      <c r="F9" s="174">
        <v>41</v>
      </c>
      <c r="G9" s="174">
        <v>39</v>
      </c>
      <c r="H9" s="174">
        <v>39</v>
      </c>
      <c r="I9" s="174">
        <v>41</v>
      </c>
      <c r="J9" s="174">
        <v>42</v>
      </c>
      <c r="K9" s="174">
        <v>44</v>
      </c>
      <c r="L9" s="174">
        <v>44</v>
      </c>
      <c r="M9" s="174">
        <v>44</v>
      </c>
      <c r="N9" s="174"/>
      <c r="O9" s="210">
        <f t="shared" si="0"/>
        <v>42</v>
      </c>
      <c r="P9" s="202">
        <f t="shared" si="2"/>
        <v>1.003633</v>
      </c>
      <c r="Q9" s="112">
        <f>ROUND(O9*'116年參數表'!D$20*P9, 0)</f>
        <v>836054</v>
      </c>
      <c r="R9" s="174">
        <f t="shared" si="1"/>
        <v>-3</v>
      </c>
    </row>
    <row r="10" spans="1:19">
      <c r="A10" s="75">
        <v>107</v>
      </c>
      <c r="B10" s="75" t="s">
        <v>73</v>
      </c>
      <c r="C10" s="173">
        <v>51</v>
      </c>
      <c r="D10" s="174">
        <v>54</v>
      </c>
      <c r="E10" s="174">
        <v>54</v>
      </c>
      <c r="F10" s="174">
        <v>54</v>
      </c>
      <c r="G10" s="174">
        <v>54</v>
      </c>
      <c r="H10" s="174">
        <v>53</v>
      </c>
      <c r="I10" s="174">
        <v>53</v>
      </c>
      <c r="J10" s="174">
        <v>52</v>
      </c>
      <c r="K10" s="174">
        <v>53</v>
      </c>
      <c r="L10" s="174">
        <v>53</v>
      </c>
      <c r="M10" s="174">
        <v>52</v>
      </c>
      <c r="N10" s="174"/>
      <c r="O10" s="210">
        <f t="shared" si="0"/>
        <v>53</v>
      </c>
      <c r="P10" s="202">
        <f t="shared" si="2"/>
        <v>1.003633</v>
      </c>
      <c r="Q10" s="112">
        <f>ROUND(O10*'116年參數表'!D$20*P10, 0)</f>
        <v>1055021</v>
      </c>
      <c r="R10" s="174">
        <f t="shared" si="1"/>
        <v>2</v>
      </c>
    </row>
    <row r="11" spans="1:19">
      <c r="A11" s="75">
        <v>108</v>
      </c>
      <c r="B11" s="75" t="s">
        <v>1</v>
      </c>
      <c r="C11" s="173">
        <v>71</v>
      </c>
      <c r="D11" s="174">
        <v>76</v>
      </c>
      <c r="E11" s="174">
        <v>74</v>
      </c>
      <c r="F11" s="174">
        <v>73</v>
      </c>
      <c r="G11" s="174">
        <v>74</v>
      </c>
      <c r="H11" s="174">
        <v>73</v>
      </c>
      <c r="I11" s="174">
        <v>73</v>
      </c>
      <c r="J11" s="174">
        <v>71</v>
      </c>
      <c r="K11" s="174">
        <v>71</v>
      </c>
      <c r="L11" s="174">
        <v>71</v>
      </c>
      <c r="M11" s="174">
        <v>71</v>
      </c>
      <c r="N11" s="174"/>
      <c r="O11" s="210">
        <f t="shared" si="0"/>
        <v>73</v>
      </c>
      <c r="P11" s="202">
        <f t="shared" si="2"/>
        <v>1.003633</v>
      </c>
      <c r="Q11" s="112">
        <f>ROUND(O11*'116年參數表'!D$20*P11, 0)</f>
        <v>1453142</v>
      </c>
      <c r="R11" s="174">
        <f t="shared" si="1"/>
        <v>2</v>
      </c>
    </row>
    <row r="12" spans="1:19">
      <c r="A12" s="75">
        <v>109</v>
      </c>
      <c r="B12" s="75" t="s">
        <v>2</v>
      </c>
      <c r="C12" s="173">
        <v>36</v>
      </c>
      <c r="D12" s="174">
        <v>34</v>
      </c>
      <c r="E12" s="174">
        <v>35</v>
      </c>
      <c r="F12" s="174">
        <v>33</v>
      </c>
      <c r="G12" s="174">
        <v>31</v>
      </c>
      <c r="H12" s="174">
        <v>31</v>
      </c>
      <c r="I12" s="174">
        <v>31</v>
      </c>
      <c r="J12" s="174">
        <v>31</v>
      </c>
      <c r="K12" s="174">
        <v>32</v>
      </c>
      <c r="L12" s="174">
        <v>33</v>
      </c>
      <c r="M12" s="174">
        <v>33</v>
      </c>
      <c r="N12" s="174"/>
      <c r="O12" s="210">
        <f t="shared" si="0"/>
        <v>32</v>
      </c>
      <c r="P12" s="202">
        <f t="shared" si="2"/>
        <v>1.003633</v>
      </c>
      <c r="Q12" s="112">
        <f>ROUND(O12*'116年參數表'!D$20*P12, 0)</f>
        <v>636994</v>
      </c>
      <c r="R12" s="174">
        <f t="shared" si="1"/>
        <v>-4</v>
      </c>
    </row>
    <row r="13" spans="1:19">
      <c r="A13" s="75">
        <v>110</v>
      </c>
      <c r="B13" s="75" t="s">
        <v>74</v>
      </c>
      <c r="C13" s="173">
        <v>29</v>
      </c>
      <c r="D13" s="174">
        <v>30</v>
      </c>
      <c r="E13" s="174">
        <v>31</v>
      </c>
      <c r="F13" s="174">
        <v>30</v>
      </c>
      <c r="G13" s="174">
        <v>30</v>
      </c>
      <c r="H13" s="174">
        <v>30</v>
      </c>
      <c r="I13" s="174">
        <v>30</v>
      </c>
      <c r="J13" s="174">
        <v>30</v>
      </c>
      <c r="K13" s="174">
        <v>29</v>
      </c>
      <c r="L13" s="174">
        <v>28</v>
      </c>
      <c r="M13" s="174">
        <v>28</v>
      </c>
      <c r="N13" s="174"/>
      <c r="O13" s="210">
        <f t="shared" si="0"/>
        <v>30</v>
      </c>
      <c r="P13" s="202">
        <f t="shared" si="2"/>
        <v>1.003633</v>
      </c>
      <c r="Q13" s="112">
        <f>ROUND(O13*'116年參數表'!D$20*P13, 0)</f>
        <v>597182</v>
      </c>
      <c r="R13" s="174">
        <f t="shared" si="1"/>
        <v>1</v>
      </c>
    </row>
    <row r="14" spans="1:19">
      <c r="A14" s="75">
        <v>111</v>
      </c>
      <c r="B14" s="75" t="s">
        <v>75</v>
      </c>
      <c r="C14" s="173">
        <v>40</v>
      </c>
      <c r="D14" s="174">
        <v>40</v>
      </c>
      <c r="E14" s="174">
        <v>40</v>
      </c>
      <c r="F14" s="174">
        <v>41</v>
      </c>
      <c r="G14" s="174">
        <v>41</v>
      </c>
      <c r="H14" s="174">
        <v>41</v>
      </c>
      <c r="I14" s="174">
        <v>42</v>
      </c>
      <c r="J14" s="174">
        <v>42</v>
      </c>
      <c r="K14" s="174">
        <v>41</v>
      </c>
      <c r="L14" s="174">
        <v>41</v>
      </c>
      <c r="M14" s="174">
        <v>41</v>
      </c>
      <c r="N14" s="174"/>
      <c r="O14" s="210">
        <f t="shared" si="0"/>
        <v>41</v>
      </c>
      <c r="P14" s="202">
        <f t="shared" si="2"/>
        <v>1.003633</v>
      </c>
      <c r="Q14" s="112">
        <f>ROUND(O14*'116年參數表'!D$20*P14, 0)</f>
        <v>816148</v>
      </c>
      <c r="R14" s="174">
        <f t="shared" si="1"/>
        <v>1</v>
      </c>
    </row>
    <row r="15" spans="1:19">
      <c r="A15" s="75">
        <v>112</v>
      </c>
      <c r="B15" s="75" t="s">
        <v>137</v>
      </c>
      <c r="C15" s="173">
        <v>53</v>
      </c>
      <c r="D15" s="174">
        <v>53</v>
      </c>
      <c r="E15" s="174">
        <v>56</v>
      </c>
      <c r="F15" s="174">
        <v>51</v>
      </c>
      <c r="G15" s="174">
        <v>50</v>
      </c>
      <c r="H15" s="174">
        <v>49</v>
      </c>
      <c r="I15" s="174">
        <v>51</v>
      </c>
      <c r="J15" s="174">
        <v>49</v>
      </c>
      <c r="K15" s="174">
        <v>51</v>
      </c>
      <c r="L15" s="174">
        <v>52</v>
      </c>
      <c r="M15" s="174">
        <v>52</v>
      </c>
      <c r="N15" s="174"/>
      <c r="O15" s="210">
        <f t="shared" si="0"/>
        <v>51</v>
      </c>
      <c r="P15" s="202">
        <f t="shared" si="2"/>
        <v>1.003633</v>
      </c>
      <c r="Q15" s="112">
        <f>ROUND(O15*'116年參數表'!D$20*P15, 0)</f>
        <v>1015209</v>
      </c>
      <c r="R15" s="174">
        <f t="shared" si="1"/>
        <v>-2</v>
      </c>
    </row>
    <row r="16" spans="1:19">
      <c r="A16" s="75">
        <v>113</v>
      </c>
      <c r="B16" s="75" t="s">
        <v>3</v>
      </c>
      <c r="C16" s="173">
        <v>41</v>
      </c>
      <c r="D16" s="174">
        <v>40</v>
      </c>
      <c r="E16" s="174">
        <v>41</v>
      </c>
      <c r="F16" s="174">
        <v>41</v>
      </c>
      <c r="G16" s="174">
        <v>40</v>
      </c>
      <c r="H16" s="174">
        <v>40</v>
      </c>
      <c r="I16" s="174">
        <v>40</v>
      </c>
      <c r="J16" s="174">
        <v>41</v>
      </c>
      <c r="K16" s="174">
        <v>41</v>
      </c>
      <c r="L16" s="174">
        <v>41</v>
      </c>
      <c r="M16" s="174">
        <v>40</v>
      </c>
      <c r="N16" s="174"/>
      <c r="O16" s="210">
        <f t="shared" si="0"/>
        <v>41</v>
      </c>
      <c r="P16" s="202">
        <f t="shared" si="2"/>
        <v>1.003633</v>
      </c>
      <c r="Q16" s="112">
        <f>ROUND(O16*'116年參數表'!D$20*P16, 0)</f>
        <v>816148</v>
      </c>
      <c r="R16" s="174">
        <f t="shared" si="1"/>
        <v>0</v>
      </c>
    </row>
    <row r="17" spans="1:18">
      <c r="A17" s="75">
        <v>114</v>
      </c>
      <c r="B17" s="75" t="s">
        <v>138</v>
      </c>
      <c r="C17" s="173">
        <v>30</v>
      </c>
      <c r="D17" s="174">
        <v>29</v>
      </c>
      <c r="E17" s="174">
        <v>29</v>
      </c>
      <c r="F17" s="174">
        <v>29</v>
      </c>
      <c r="G17" s="174">
        <v>28</v>
      </c>
      <c r="H17" s="174">
        <v>28</v>
      </c>
      <c r="I17" s="174">
        <v>29</v>
      </c>
      <c r="J17" s="174">
        <v>29</v>
      </c>
      <c r="K17" s="174">
        <v>29</v>
      </c>
      <c r="L17" s="174">
        <v>29</v>
      </c>
      <c r="M17" s="174">
        <v>29</v>
      </c>
      <c r="N17" s="174"/>
      <c r="O17" s="210">
        <f t="shared" si="0"/>
        <v>29</v>
      </c>
      <c r="P17" s="202">
        <f t="shared" si="2"/>
        <v>1.003633</v>
      </c>
      <c r="Q17" s="112">
        <f>ROUND(O17*'116年參數表'!D$20*P17, 0)</f>
        <v>577276</v>
      </c>
      <c r="R17" s="174">
        <f t="shared" si="1"/>
        <v>-1</v>
      </c>
    </row>
    <row r="18" spans="1:18">
      <c r="A18" s="75">
        <v>115</v>
      </c>
      <c r="B18" s="75" t="s">
        <v>139</v>
      </c>
      <c r="C18" s="173">
        <v>29</v>
      </c>
      <c r="D18" s="174">
        <v>31</v>
      </c>
      <c r="E18" s="174">
        <v>30</v>
      </c>
      <c r="F18" s="174">
        <v>29</v>
      </c>
      <c r="G18" s="174">
        <v>29</v>
      </c>
      <c r="H18" s="174">
        <v>29</v>
      </c>
      <c r="I18" s="174">
        <v>29</v>
      </c>
      <c r="J18" s="174">
        <v>29</v>
      </c>
      <c r="K18" s="174">
        <v>29</v>
      </c>
      <c r="L18" s="174">
        <v>30</v>
      </c>
      <c r="M18" s="174">
        <v>30</v>
      </c>
      <c r="N18" s="174"/>
      <c r="O18" s="210">
        <f t="shared" si="0"/>
        <v>30</v>
      </c>
      <c r="P18" s="202">
        <f t="shared" si="2"/>
        <v>1.003633</v>
      </c>
      <c r="Q18" s="112">
        <f>ROUND(O18*'116年參數表'!D$20*P18, 0)</f>
        <v>597182</v>
      </c>
      <c r="R18" s="174">
        <f t="shared" si="1"/>
        <v>1</v>
      </c>
    </row>
    <row r="19" spans="1:18">
      <c r="A19" s="75">
        <v>116</v>
      </c>
      <c r="B19" s="75" t="s">
        <v>140</v>
      </c>
      <c r="C19" s="173">
        <v>32</v>
      </c>
      <c r="D19" s="174">
        <v>31</v>
      </c>
      <c r="E19" s="174">
        <v>31</v>
      </c>
      <c r="F19" s="174">
        <v>31</v>
      </c>
      <c r="G19" s="174">
        <v>30</v>
      </c>
      <c r="H19" s="174">
        <v>29</v>
      </c>
      <c r="I19" s="174">
        <v>30</v>
      </c>
      <c r="J19" s="174">
        <v>29</v>
      </c>
      <c r="K19" s="174">
        <v>29</v>
      </c>
      <c r="L19" s="174">
        <v>29</v>
      </c>
      <c r="M19" s="174">
        <v>29</v>
      </c>
      <c r="N19" s="174"/>
      <c r="O19" s="210">
        <f t="shared" si="0"/>
        <v>30</v>
      </c>
      <c r="P19" s="202">
        <f t="shared" si="2"/>
        <v>1.003633</v>
      </c>
      <c r="Q19" s="112">
        <f>ROUND(O19*'116年參數表'!D$20*P19, 0)</f>
        <v>597182</v>
      </c>
      <c r="R19" s="174">
        <f t="shared" si="1"/>
        <v>-2</v>
      </c>
    </row>
    <row r="20" spans="1:18">
      <c r="A20" s="75">
        <v>117</v>
      </c>
      <c r="B20" s="75" t="s">
        <v>399</v>
      </c>
      <c r="C20" s="173">
        <v>34</v>
      </c>
      <c r="D20" s="174">
        <v>34</v>
      </c>
      <c r="E20" s="174">
        <v>35</v>
      </c>
      <c r="F20" s="174">
        <v>35</v>
      </c>
      <c r="G20" s="174">
        <v>35</v>
      </c>
      <c r="H20" s="174">
        <v>35</v>
      </c>
      <c r="I20" s="174">
        <v>37</v>
      </c>
      <c r="J20" s="174">
        <v>37</v>
      </c>
      <c r="K20" s="174">
        <v>37</v>
      </c>
      <c r="L20" s="174">
        <v>37</v>
      </c>
      <c r="M20" s="174">
        <v>37</v>
      </c>
      <c r="N20" s="174"/>
      <c r="O20" s="210">
        <f t="shared" si="0"/>
        <v>36</v>
      </c>
      <c r="P20" s="202">
        <f t="shared" si="2"/>
        <v>1.003633</v>
      </c>
      <c r="Q20" s="112">
        <f>ROUND(O20*'116年參數表'!D$20*P20, 0)</f>
        <v>716618</v>
      </c>
      <c r="R20" s="174">
        <f t="shared" si="1"/>
        <v>2</v>
      </c>
    </row>
    <row r="21" spans="1:18">
      <c r="A21" s="75">
        <v>118</v>
      </c>
      <c r="B21" s="75" t="s">
        <v>141</v>
      </c>
      <c r="C21" s="173">
        <v>29</v>
      </c>
      <c r="D21" s="174">
        <v>30</v>
      </c>
      <c r="E21" s="174">
        <v>30</v>
      </c>
      <c r="F21" s="174">
        <v>30</v>
      </c>
      <c r="G21" s="174">
        <v>30</v>
      </c>
      <c r="H21" s="174">
        <v>29</v>
      </c>
      <c r="I21" s="174">
        <v>30</v>
      </c>
      <c r="J21" s="174">
        <v>31</v>
      </c>
      <c r="K21" s="174">
        <v>28</v>
      </c>
      <c r="L21" s="174">
        <v>27</v>
      </c>
      <c r="M21" s="174">
        <v>28</v>
      </c>
      <c r="N21" s="174"/>
      <c r="O21" s="210">
        <f t="shared" si="0"/>
        <v>29</v>
      </c>
      <c r="P21" s="202">
        <f t="shared" si="2"/>
        <v>1.003633</v>
      </c>
      <c r="Q21" s="112">
        <f>ROUND(O21*'116年參數表'!D$20*P21, 0)</f>
        <v>577276</v>
      </c>
      <c r="R21" s="174">
        <f t="shared" si="1"/>
        <v>0</v>
      </c>
    </row>
    <row r="22" spans="1:18">
      <c r="A22" s="75">
        <v>119</v>
      </c>
      <c r="B22" s="75" t="s">
        <v>76</v>
      </c>
      <c r="C22" s="173">
        <v>24</v>
      </c>
      <c r="D22" s="174">
        <v>23</v>
      </c>
      <c r="E22" s="174">
        <v>23</v>
      </c>
      <c r="F22" s="174">
        <v>24</v>
      </c>
      <c r="G22" s="174">
        <v>24</v>
      </c>
      <c r="H22" s="174">
        <v>24</v>
      </c>
      <c r="I22" s="174">
        <v>25</v>
      </c>
      <c r="J22" s="174">
        <v>25</v>
      </c>
      <c r="K22" s="174">
        <v>25</v>
      </c>
      <c r="L22" s="174">
        <v>25</v>
      </c>
      <c r="M22" s="174">
        <v>25</v>
      </c>
      <c r="N22" s="174"/>
      <c r="O22" s="210">
        <f t="shared" si="0"/>
        <v>24</v>
      </c>
      <c r="P22" s="202">
        <f t="shared" si="2"/>
        <v>1.003633</v>
      </c>
      <c r="Q22" s="112">
        <f>ROUND(O22*'116年參數表'!D$20*P22, 0)</f>
        <v>477745</v>
      </c>
      <c r="R22" s="174">
        <f t="shared" si="1"/>
        <v>0</v>
      </c>
    </row>
    <row r="23" spans="1:18">
      <c r="A23" s="75">
        <v>120</v>
      </c>
      <c r="B23" s="75" t="s">
        <v>142</v>
      </c>
      <c r="C23" s="173">
        <v>43</v>
      </c>
      <c r="D23" s="174">
        <v>45</v>
      </c>
      <c r="E23" s="174">
        <v>44</v>
      </c>
      <c r="F23" s="174">
        <v>43</v>
      </c>
      <c r="G23" s="174">
        <v>44</v>
      </c>
      <c r="H23" s="174">
        <v>44</v>
      </c>
      <c r="I23" s="174">
        <v>45</v>
      </c>
      <c r="J23" s="174">
        <v>46</v>
      </c>
      <c r="K23" s="174">
        <v>45</v>
      </c>
      <c r="L23" s="174">
        <v>45</v>
      </c>
      <c r="M23" s="174">
        <v>44</v>
      </c>
      <c r="N23" s="174"/>
      <c r="O23" s="210">
        <f t="shared" si="0"/>
        <v>45</v>
      </c>
      <c r="P23" s="202">
        <f t="shared" si="2"/>
        <v>1.003633</v>
      </c>
      <c r="Q23" s="112">
        <f>ROUND(O23*'116年參數表'!D$20*P23, 0)</f>
        <v>895773</v>
      </c>
      <c r="R23" s="174">
        <f t="shared" si="1"/>
        <v>2</v>
      </c>
    </row>
    <row r="24" spans="1:18">
      <c r="A24" s="75">
        <v>121</v>
      </c>
      <c r="B24" s="75" t="s">
        <v>4</v>
      </c>
      <c r="C24" s="173">
        <v>27</v>
      </c>
      <c r="D24" s="174">
        <v>29</v>
      </c>
      <c r="E24" s="174">
        <v>29</v>
      </c>
      <c r="F24" s="174">
        <v>27</v>
      </c>
      <c r="G24" s="174">
        <v>26</v>
      </c>
      <c r="H24" s="174">
        <v>26</v>
      </c>
      <c r="I24" s="174">
        <v>27</v>
      </c>
      <c r="J24" s="174">
        <v>27</v>
      </c>
      <c r="K24" s="174">
        <v>28</v>
      </c>
      <c r="L24" s="174">
        <v>28</v>
      </c>
      <c r="M24" s="174">
        <v>28</v>
      </c>
      <c r="N24" s="174"/>
      <c r="O24" s="210">
        <f t="shared" si="0"/>
        <v>28</v>
      </c>
      <c r="P24" s="202">
        <f t="shared" si="2"/>
        <v>1.003633</v>
      </c>
      <c r="Q24" s="112">
        <f>ROUND(O24*'116年參數表'!D$20*P24, 0)</f>
        <v>557370</v>
      </c>
      <c r="R24" s="174">
        <f t="shared" si="1"/>
        <v>1</v>
      </c>
    </row>
    <row r="25" spans="1:18">
      <c r="A25" s="75">
        <v>122</v>
      </c>
      <c r="B25" s="75" t="s">
        <v>77</v>
      </c>
      <c r="C25" s="173">
        <v>29</v>
      </c>
      <c r="D25" s="174">
        <v>31</v>
      </c>
      <c r="E25" s="174">
        <v>31</v>
      </c>
      <c r="F25" s="174">
        <v>31</v>
      </c>
      <c r="G25" s="174">
        <v>31</v>
      </c>
      <c r="H25" s="174">
        <v>31</v>
      </c>
      <c r="I25" s="174">
        <v>30</v>
      </c>
      <c r="J25" s="174">
        <v>31</v>
      </c>
      <c r="K25" s="174">
        <v>31</v>
      </c>
      <c r="L25" s="174">
        <v>30</v>
      </c>
      <c r="M25" s="174">
        <v>29</v>
      </c>
      <c r="N25" s="174"/>
      <c r="O25" s="210">
        <f t="shared" si="0"/>
        <v>31</v>
      </c>
      <c r="P25" s="202">
        <f t="shared" si="2"/>
        <v>1.003633</v>
      </c>
      <c r="Q25" s="112">
        <f>ROUND(O25*'116年參數表'!D$20*P25, 0)</f>
        <v>617088</v>
      </c>
      <c r="R25" s="174">
        <f t="shared" si="1"/>
        <v>2</v>
      </c>
    </row>
    <row r="26" spans="1:18">
      <c r="A26" s="75">
        <v>123</v>
      </c>
      <c r="B26" s="75" t="s">
        <v>5</v>
      </c>
      <c r="C26" s="173">
        <v>31</v>
      </c>
      <c r="D26" s="174">
        <v>34</v>
      </c>
      <c r="E26" s="174">
        <v>33</v>
      </c>
      <c r="F26" s="174">
        <v>31</v>
      </c>
      <c r="G26" s="174">
        <v>32</v>
      </c>
      <c r="H26" s="174">
        <v>31</v>
      </c>
      <c r="I26" s="174">
        <v>32</v>
      </c>
      <c r="J26" s="174">
        <v>33</v>
      </c>
      <c r="K26" s="174">
        <v>33</v>
      </c>
      <c r="L26" s="174">
        <v>35</v>
      </c>
      <c r="M26" s="174">
        <v>34</v>
      </c>
      <c r="N26" s="174"/>
      <c r="O26" s="210">
        <f t="shared" si="0"/>
        <v>33</v>
      </c>
      <c r="P26" s="202">
        <f t="shared" si="2"/>
        <v>1.003633</v>
      </c>
      <c r="Q26" s="112">
        <f>ROUND(O26*'116年參數表'!D$20*P26, 0)</f>
        <v>656900</v>
      </c>
      <c r="R26" s="174">
        <f t="shared" si="1"/>
        <v>2</v>
      </c>
    </row>
    <row r="27" spans="1:18">
      <c r="A27" s="75">
        <v>124</v>
      </c>
      <c r="B27" s="75" t="s">
        <v>143</v>
      </c>
      <c r="C27" s="173">
        <v>30</v>
      </c>
      <c r="D27" s="174">
        <v>30</v>
      </c>
      <c r="E27" s="174">
        <v>30</v>
      </c>
      <c r="F27" s="174">
        <v>29</v>
      </c>
      <c r="G27" s="174">
        <v>29</v>
      </c>
      <c r="H27" s="174">
        <v>29</v>
      </c>
      <c r="I27" s="174">
        <v>30</v>
      </c>
      <c r="J27" s="174">
        <v>29</v>
      </c>
      <c r="K27" s="174">
        <v>29</v>
      </c>
      <c r="L27" s="174">
        <v>29</v>
      </c>
      <c r="M27" s="174">
        <v>29</v>
      </c>
      <c r="N27" s="174"/>
      <c r="O27" s="210">
        <f t="shared" si="0"/>
        <v>29</v>
      </c>
      <c r="P27" s="202">
        <f t="shared" si="2"/>
        <v>1.003633</v>
      </c>
      <c r="Q27" s="112">
        <f>ROUND(O27*'116年參數表'!D$20*P27, 0)</f>
        <v>577276</v>
      </c>
      <c r="R27" s="174">
        <f t="shared" si="1"/>
        <v>-1</v>
      </c>
    </row>
    <row r="28" spans="1:18">
      <c r="A28" s="75">
        <v>125</v>
      </c>
      <c r="B28" s="75" t="s">
        <v>144</v>
      </c>
      <c r="C28" s="173">
        <v>36</v>
      </c>
      <c r="D28" s="174">
        <v>35</v>
      </c>
      <c r="E28" s="174">
        <v>34</v>
      </c>
      <c r="F28" s="174">
        <v>34</v>
      </c>
      <c r="G28" s="174">
        <v>34</v>
      </c>
      <c r="H28" s="174">
        <v>32</v>
      </c>
      <c r="I28" s="174">
        <v>33</v>
      </c>
      <c r="J28" s="174">
        <v>32</v>
      </c>
      <c r="K28" s="174">
        <v>34</v>
      </c>
      <c r="L28" s="174">
        <v>35</v>
      </c>
      <c r="M28" s="174">
        <v>35</v>
      </c>
      <c r="N28" s="174"/>
      <c r="O28" s="210">
        <f t="shared" si="0"/>
        <v>34</v>
      </c>
      <c r="P28" s="202">
        <f t="shared" si="2"/>
        <v>1.003633</v>
      </c>
      <c r="Q28" s="112">
        <f>ROUND(O28*'116年參數表'!D$20*P28, 0)</f>
        <v>676806</v>
      </c>
      <c r="R28" s="174">
        <f t="shared" si="1"/>
        <v>-2</v>
      </c>
    </row>
    <row r="29" spans="1:18">
      <c r="A29" s="75">
        <v>126</v>
      </c>
      <c r="B29" s="75" t="s">
        <v>145</v>
      </c>
      <c r="C29" s="173">
        <v>48</v>
      </c>
      <c r="D29" s="174">
        <v>55</v>
      </c>
      <c r="E29" s="174">
        <v>53</v>
      </c>
      <c r="F29" s="174">
        <v>54</v>
      </c>
      <c r="G29" s="174">
        <v>54</v>
      </c>
      <c r="H29" s="174">
        <v>53</v>
      </c>
      <c r="I29" s="174">
        <v>52</v>
      </c>
      <c r="J29" s="174">
        <v>51</v>
      </c>
      <c r="K29" s="174">
        <v>52</v>
      </c>
      <c r="L29" s="174">
        <v>51</v>
      </c>
      <c r="M29" s="174">
        <v>51</v>
      </c>
      <c r="N29" s="174"/>
      <c r="O29" s="210">
        <f t="shared" si="0"/>
        <v>53</v>
      </c>
      <c r="P29" s="202">
        <f t="shared" si="2"/>
        <v>1.003633</v>
      </c>
      <c r="Q29" s="112">
        <f>ROUND(O29*'116年參數表'!D$20*P29, 0)</f>
        <v>1055021</v>
      </c>
      <c r="R29" s="174">
        <f t="shared" si="1"/>
        <v>5</v>
      </c>
    </row>
    <row r="30" spans="1:18">
      <c r="A30" s="75">
        <v>127</v>
      </c>
      <c r="B30" s="75" t="s">
        <v>146</v>
      </c>
      <c r="C30" s="173">
        <v>37</v>
      </c>
      <c r="D30" s="174">
        <v>37</v>
      </c>
      <c r="E30" s="174">
        <v>39</v>
      </c>
      <c r="F30" s="174">
        <v>38</v>
      </c>
      <c r="G30" s="174">
        <v>38</v>
      </c>
      <c r="H30" s="174">
        <v>37</v>
      </c>
      <c r="I30" s="174">
        <v>38</v>
      </c>
      <c r="J30" s="174">
        <v>37</v>
      </c>
      <c r="K30" s="174">
        <v>37</v>
      </c>
      <c r="L30" s="174">
        <v>37</v>
      </c>
      <c r="M30" s="174">
        <v>37</v>
      </c>
      <c r="N30" s="174"/>
      <c r="O30" s="210">
        <f t="shared" si="0"/>
        <v>38</v>
      </c>
      <c r="P30" s="202">
        <f t="shared" si="2"/>
        <v>1.003633</v>
      </c>
      <c r="Q30" s="112">
        <f>ROUND(O30*'116年參數表'!D$20*P30, 0)</f>
        <v>756430</v>
      </c>
      <c r="R30" s="174">
        <f t="shared" si="1"/>
        <v>1</v>
      </c>
    </row>
    <row r="31" spans="1:18">
      <c r="A31" s="75">
        <v>128</v>
      </c>
      <c r="B31" s="75" t="s">
        <v>78</v>
      </c>
      <c r="C31" s="173">
        <v>28</v>
      </c>
      <c r="D31" s="174">
        <v>30</v>
      </c>
      <c r="E31" s="174">
        <v>30</v>
      </c>
      <c r="F31" s="174">
        <v>27</v>
      </c>
      <c r="G31" s="174">
        <v>26</v>
      </c>
      <c r="H31" s="174">
        <v>26</v>
      </c>
      <c r="I31" s="174">
        <v>27</v>
      </c>
      <c r="J31" s="174">
        <v>27</v>
      </c>
      <c r="K31" s="174">
        <v>28</v>
      </c>
      <c r="L31" s="174">
        <v>28</v>
      </c>
      <c r="M31" s="174">
        <v>28</v>
      </c>
      <c r="N31" s="174"/>
      <c r="O31" s="210">
        <f t="shared" si="0"/>
        <v>28</v>
      </c>
      <c r="P31" s="202">
        <f t="shared" si="2"/>
        <v>1.003633</v>
      </c>
      <c r="Q31" s="112">
        <f>ROUND(O31*'116年參數表'!D$20*P31, 0)</f>
        <v>557370</v>
      </c>
      <c r="R31" s="174">
        <f t="shared" si="1"/>
        <v>0</v>
      </c>
    </row>
    <row r="32" spans="1:18">
      <c r="A32" s="75">
        <v>129</v>
      </c>
      <c r="B32" s="75" t="s">
        <v>79</v>
      </c>
      <c r="C32" s="173">
        <v>26</v>
      </c>
      <c r="D32" s="174">
        <v>28</v>
      </c>
      <c r="E32" s="174">
        <v>28</v>
      </c>
      <c r="F32" s="174">
        <v>28</v>
      </c>
      <c r="G32" s="174">
        <v>28</v>
      </c>
      <c r="H32" s="174">
        <v>28</v>
      </c>
      <c r="I32" s="174">
        <v>28</v>
      </c>
      <c r="J32" s="174">
        <v>28</v>
      </c>
      <c r="K32" s="174">
        <v>27</v>
      </c>
      <c r="L32" s="174">
        <v>28</v>
      </c>
      <c r="M32" s="174">
        <v>27</v>
      </c>
      <c r="N32" s="174"/>
      <c r="O32" s="210">
        <f t="shared" si="0"/>
        <v>28</v>
      </c>
      <c r="P32" s="202">
        <f t="shared" si="2"/>
        <v>1.003633</v>
      </c>
      <c r="Q32" s="112">
        <f>ROUND(O32*'116年參數表'!D$20*P32, 0)</f>
        <v>557370</v>
      </c>
      <c r="R32" s="174">
        <f t="shared" si="1"/>
        <v>2</v>
      </c>
    </row>
    <row r="33" spans="1:18">
      <c r="A33" s="75">
        <v>130</v>
      </c>
      <c r="B33" s="75" t="s">
        <v>147</v>
      </c>
      <c r="C33" s="173">
        <v>40</v>
      </c>
      <c r="D33" s="174">
        <v>44</v>
      </c>
      <c r="E33" s="174">
        <v>44</v>
      </c>
      <c r="F33" s="174">
        <v>43</v>
      </c>
      <c r="G33" s="174">
        <v>44</v>
      </c>
      <c r="H33" s="174">
        <v>42</v>
      </c>
      <c r="I33" s="174">
        <v>44</v>
      </c>
      <c r="J33" s="174">
        <v>43</v>
      </c>
      <c r="K33" s="174">
        <v>43</v>
      </c>
      <c r="L33" s="174">
        <v>43</v>
      </c>
      <c r="M33" s="174">
        <v>43</v>
      </c>
      <c r="N33" s="174"/>
      <c r="O33" s="210">
        <f t="shared" si="0"/>
        <v>43</v>
      </c>
      <c r="P33" s="202">
        <f t="shared" si="2"/>
        <v>1.003633</v>
      </c>
      <c r="Q33" s="112">
        <f>ROUND(O33*'116年參數表'!D$20*P33, 0)</f>
        <v>855960</v>
      </c>
      <c r="R33" s="174">
        <f t="shared" si="1"/>
        <v>3</v>
      </c>
    </row>
    <row r="34" spans="1:18">
      <c r="A34" s="75">
        <v>132</v>
      </c>
      <c r="B34" s="75" t="s">
        <v>6</v>
      </c>
      <c r="C34" s="173">
        <v>20</v>
      </c>
      <c r="D34" s="174">
        <v>20</v>
      </c>
      <c r="E34" s="174">
        <v>20</v>
      </c>
      <c r="F34" s="174">
        <v>20</v>
      </c>
      <c r="G34" s="174">
        <v>20</v>
      </c>
      <c r="H34" s="174">
        <v>20</v>
      </c>
      <c r="I34" s="174">
        <v>20</v>
      </c>
      <c r="J34" s="174">
        <v>19</v>
      </c>
      <c r="K34" s="174">
        <v>18</v>
      </c>
      <c r="L34" s="174">
        <v>18</v>
      </c>
      <c r="M34" s="174">
        <v>18</v>
      </c>
      <c r="N34" s="174"/>
      <c r="O34" s="210">
        <f t="shared" si="0"/>
        <v>19</v>
      </c>
      <c r="P34" s="202">
        <f t="shared" si="2"/>
        <v>1.003633</v>
      </c>
      <c r="Q34" s="112">
        <f>ROUND(O34*'116年參數表'!D$20*P34, 0)</f>
        <v>378215</v>
      </c>
      <c r="R34" s="174">
        <f t="shared" si="1"/>
        <v>-1</v>
      </c>
    </row>
    <row r="35" spans="1:18">
      <c r="A35" s="75">
        <v>133</v>
      </c>
      <c r="B35" s="75" t="s">
        <v>148</v>
      </c>
      <c r="C35" s="173">
        <v>30</v>
      </c>
      <c r="D35" s="174">
        <v>30</v>
      </c>
      <c r="E35" s="174">
        <v>30</v>
      </c>
      <c r="F35" s="174">
        <v>29</v>
      </c>
      <c r="G35" s="174">
        <v>29</v>
      </c>
      <c r="H35" s="174">
        <v>29</v>
      </c>
      <c r="I35" s="174">
        <v>30</v>
      </c>
      <c r="J35" s="174">
        <v>30</v>
      </c>
      <c r="K35" s="174">
        <v>29</v>
      </c>
      <c r="L35" s="174">
        <v>31</v>
      </c>
      <c r="M35" s="174">
        <v>30</v>
      </c>
      <c r="N35" s="174"/>
      <c r="O35" s="210">
        <f t="shared" si="0"/>
        <v>30</v>
      </c>
      <c r="P35" s="202">
        <f t="shared" si="2"/>
        <v>1.003633</v>
      </c>
      <c r="Q35" s="112">
        <f>ROUND(O35*'116年參數表'!D$20*P35, 0)</f>
        <v>597182</v>
      </c>
      <c r="R35" s="174">
        <f t="shared" si="1"/>
        <v>0</v>
      </c>
    </row>
    <row r="36" spans="1:18">
      <c r="A36" s="75">
        <v>134</v>
      </c>
      <c r="B36" s="75" t="s">
        <v>149</v>
      </c>
      <c r="C36" s="173">
        <v>28</v>
      </c>
      <c r="D36" s="174">
        <v>32</v>
      </c>
      <c r="E36" s="174">
        <v>32</v>
      </c>
      <c r="F36" s="174">
        <v>31</v>
      </c>
      <c r="G36" s="174">
        <v>29</v>
      </c>
      <c r="H36" s="174">
        <v>29</v>
      </c>
      <c r="I36" s="174">
        <v>29</v>
      </c>
      <c r="J36" s="174">
        <v>28</v>
      </c>
      <c r="K36" s="174">
        <v>28</v>
      </c>
      <c r="L36" s="174">
        <v>28</v>
      </c>
      <c r="M36" s="174">
        <v>27</v>
      </c>
      <c r="N36" s="174"/>
      <c r="O36" s="210">
        <f t="shared" si="0"/>
        <v>29</v>
      </c>
      <c r="P36" s="202">
        <f t="shared" si="2"/>
        <v>1.003633</v>
      </c>
      <c r="Q36" s="112">
        <f>ROUND(O36*'116年參數表'!D$20*P36, 0)</f>
        <v>577276</v>
      </c>
      <c r="R36" s="174">
        <f t="shared" ref="R36:R67" si="3">O36-C36</f>
        <v>1</v>
      </c>
    </row>
    <row r="37" spans="1:18">
      <c r="A37" s="75">
        <v>136</v>
      </c>
      <c r="B37" s="75" t="s">
        <v>150</v>
      </c>
      <c r="C37" s="173">
        <v>21</v>
      </c>
      <c r="D37" s="174">
        <v>25</v>
      </c>
      <c r="E37" s="174">
        <v>26</v>
      </c>
      <c r="F37" s="174">
        <v>24</v>
      </c>
      <c r="G37" s="174">
        <v>24</v>
      </c>
      <c r="H37" s="174">
        <v>23</v>
      </c>
      <c r="I37" s="174">
        <v>24</v>
      </c>
      <c r="J37" s="174">
        <v>24</v>
      </c>
      <c r="K37" s="174">
        <v>23</v>
      </c>
      <c r="L37" s="174">
        <v>22</v>
      </c>
      <c r="M37" s="174">
        <v>22</v>
      </c>
      <c r="N37" s="174"/>
      <c r="O37" s="210">
        <f t="shared" si="0"/>
        <v>24</v>
      </c>
      <c r="P37" s="202">
        <f t="shared" si="2"/>
        <v>1.003633</v>
      </c>
      <c r="Q37" s="112">
        <f>ROUND(O37*'116年參數表'!D$20*P37, 0)</f>
        <v>477745</v>
      </c>
      <c r="R37" s="174">
        <f t="shared" si="3"/>
        <v>3</v>
      </c>
    </row>
    <row r="38" spans="1:18">
      <c r="A38" s="75">
        <v>137</v>
      </c>
      <c r="B38" s="75" t="s">
        <v>151</v>
      </c>
      <c r="C38" s="173">
        <v>27</v>
      </c>
      <c r="D38" s="174">
        <v>28</v>
      </c>
      <c r="E38" s="174">
        <v>27</v>
      </c>
      <c r="F38" s="174">
        <v>26</v>
      </c>
      <c r="G38" s="174">
        <v>26</v>
      </c>
      <c r="H38" s="174">
        <v>27</v>
      </c>
      <c r="I38" s="174">
        <v>27</v>
      </c>
      <c r="J38" s="174">
        <v>28</v>
      </c>
      <c r="K38" s="174">
        <v>28</v>
      </c>
      <c r="L38" s="174">
        <v>26</v>
      </c>
      <c r="M38" s="174">
        <v>25</v>
      </c>
      <c r="N38" s="174"/>
      <c r="O38" s="210">
        <f t="shared" si="0"/>
        <v>27</v>
      </c>
      <c r="P38" s="202">
        <f t="shared" si="2"/>
        <v>1.003633</v>
      </c>
      <c r="Q38" s="112">
        <f>ROUND(O38*'116年參數表'!D$20*P38, 0)</f>
        <v>537464</v>
      </c>
      <c r="R38" s="174">
        <f t="shared" si="3"/>
        <v>0</v>
      </c>
    </row>
    <row r="39" spans="1:18">
      <c r="A39" s="75">
        <v>143</v>
      </c>
      <c r="B39" s="75" t="s">
        <v>80</v>
      </c>
      <c r="C39" s="173">
        <v>23</v>
      </c>
      <c r="D39" s="174">
        <v>24</v>
      </c>
      <c r="E39" s="174">
        <v>25</v>
      </c>
      <c r="F39" s="174">
        <v>24</v>
      </c>
      <c r="G39" s="174">
        <v>24</v>
      </c>
      <c r="H39" s="174">
        <v>24</v>
      </c>
      <c r="I39" s="174">
        <v>24</v>
      </c>
      <c r="J39" s="174">
        <v>24</v>
      </c>
      <c r="K39" s="174">
        <v>24</v>
      </c>
      <c r="L39" s="174">
        <v>24</v>
      </c>
      <c r="M39" s="174">
        <v>24</v>
      </c>
      <c r="N39" s="174"/>
      <c r="O39" s="210">
        <f t="shared" si="0"/>
        <v>24</v>
      </c>
      <c r="P39" s="202">
        <f t="shared" si="2"/>
        <v>1.003633</v>
      </c>
      <c r="Q39" s="112">
        <f>ROUND(O39*'116年參數表'!D$20*P39, 0)</f>
        <v>477745</v>
      </c>
      <c r="R39" s="174">
        <f t="shared" si="3"/>
        <v>1</v>
      </c>
    </row>
    <row r="40" spans="1:18" s="207" customFormat="1">
      <c r="A40" s="204">
        <v>145</v>
      </c>
      <c r="B40" s="204" t="s">
        <v>81</v>
      </c>
      <c r="C40" s="173">
        <v>25</v>
      </c>
      <c r="D40" s="205">
        <v>25</v>
      </c>
      <c r="E40" s="205">
        <v>25</v>
      </c>
      <c r="F40" s="205">
        <v>26</v>
      </c>
      <c r="G40" s="205">
        <v>26</v>
      </c>
      <c r="H40" s="205">
        <v>26</v>
      </c>
      <c r="I40" s="205">
        <v>25</v>
      </c>
      <c r="J40" s="205">
        <v>26</v>
      </c>
      <c r="K40" s="205">
        <v>26</v>
      </c>
      <c r="L40" s="205">
        <v>25</v>
      </c>
      <c r="M40" s="205">
        <v>25</v>
      </c>
      <c r="N40" s="205"/>
      <c r="O40" s="210">
        <f t="shared" si="0"/>
        <v>26</v>
      </c>
      <c r="P40" s="206">
        <f t="shared" si="2"/>
        <v>1.003633</v>
      </c>
      <c r="Q40" s="112">
        <f>ROUND(O40*'116年參數表'!D$20*P40, 0)</f>
        <v>517557</v>
      </c>
      <c r="R40" s="174">
        <f t="shared" si="3"/>
        <v>1</v>
      </c>
    </row>
    <row r="41" spans="1:18">
      <c r="A41" s="75">
        <v>147</v>
      </c>
      <c r="B41" s="75" t="s">
        <v>152</v>
      </c>
      <c r="C41" s="173">
        <v>30</v>
      </c>
      <c r="D41" s="174">
        <v>32</v>
      </c>
      <c r="E41" s="174">
        <v>32</v>
      </c>
      <c r="F41" s="174">
        <v>31</v>
      </c>
      <c r="G41" s="174">
        <v>32</v>
      </c>
      <c r="H41" s="174">
        <v>29</v>
      </c>
      <c r="I41" s="174">
        <v>30</v>
      </c>
      <c r="J41" s="174">
        <v>30</v>
      </c>
      <c r="K41" s="174">
        <v>30</v>
      </c>
      <c r="L41" s="174">
        <v>30</v>
      </c>
      <c r="M41" s="174">
        <v>30</v>
      </c>
      <c r="N41" s="174"/>
      <c r="O41" s="210">
        <f t="shared" si="0"/>
        <v>31</v>
      </c>
      <c r="P41" s="202">
        <f t="shared" si="2"/>
        <v>1.003633</v>
      </c>
      <c r="Q41" s="112">
        <f>ROUND(O41*'116年參數表'!D$20*P41, 0)</f>
        <v>617088</v>
      </c>
      <c r="R41" s="174">
        <f t="shared" si="3"/>
        <v>1</v>
      </c>
    </row>
    <row r="42" spans="1:18">
      <c r="A42" s="75">
        <v>148</v>
      </c>
      <c r="B42" s="75" t="s">
        <v>82</v>
      </c>
      <c r="C42" s="173">
        <v>23</v>
      </c>
      <c r="D42" s="174">
        <v>23</v>
      </c>
      <c r="E42" s="174">
        <v>24</v>
      </c>
      <c r="F42" s="174">
        <v>23</v>
      </c>
      <c r="G42" s="174">
        <v>23</v>
      </c>
      <c r="H42" s="174">
        <v>23</v>
      </c>
      <c r="I42" s="174">
        <v>24</v>
      </c>
      <c r="J42" s="174">
        <v>24</v>
      </c>
      <c r="K42" s="174">
        <v>24</v>
      </c>
      <c r="L42" s="174">
        <v>24</v>
      </c>
      <c r="M42" s="174">
        <v>24</v>
      </c>
      <c r="N42" s="174"/>
      <c r="O42" s="210">
        <f t="shared" si="0"/>
        <v>24</v>
      </c>
      <c r="P42" s="202">
        <f t="shared" si="2"/>
        <v>1.003633</v>
      </c>
      <c r="Q42" s="112">
        <f>ROUND(O42*'116年參數表'!D$20*P42, 0)</f>
        <v>477745</v>
      </c>
      <c r="R42" s="174">
        <f t="shared" si="3"/>
        <v>1</v>
      </c>
    </row>
    <row r="43" spans="1:18">
      <c r="A43" s="75">
        <v>149</v>
      </c>
      <c r="B43" s="75" t="s">
        <v>153</v>
      </c>
      <c r="C43" s="173">
        <v>33</v>
      </c>
      <c r="D43" s="174">
        <v>36</v>
      </c>
      <c r="E43" s="174">
        <v>36</v>
      </c>
      <c r="F43" s="174">
        <v>37</v>
      </c>
      <c r="G43" s="174">
        <v>36</v>
      </c>
      <c r="H43" s="174">
        <v>35</v>
      </c>
      <c r="I43" s="174">
        <v>36</v>
      </c>
      <c r="J43" s="174">
        <v>36</v>
      </c>
      <c r="K43" s="174">
        <v>34</v>
      </c>
      <c r="L43" s="174">
        <v>34</v>
      </c>
      <c r="M43" s="174">
        <v>34</v>
      </c>
      <c r="N43" s="174"/>
      <c r="O43" s="210">
        <f t="shared" si="0"/>
        <v>35</v>
      </c>
      <c r="P43" s="202">
        <f t="shared" si="2"/>
        <v>1.003633</v>
      </c>
      <c r="Q43" s="112">
        <f>ROUND(O43*'116年參數表'!D$20*P43, 0)</f>
        <v>696712</v>
      </c>
      <c r="R43" s="174">
        <f t="shared" si="3"/>
        <v>2</v>
      </c>
    </row>
    <row r="44" spans="1:18">
      <c r="A44" s="75">
        <v>151</v>
      </c>
      <c r="B44" s="75" t="s">
        <v>154</v>
      </c>
      <c r="C44" s="173">
        <v>31</v>
      </c>
      <c r="D44" s="174">
        <v>33</v>
      </c>
      <c r="E44" s="174">
        <v>32</v>
      </c>
      <c r="F44" s="174">
        <v>31</v>
      </c>
      <c r="G44" s="174">
        <v>31</v>
      </c>
      <c r="H44" s="174">
        <v>31</v>
      </c>
      <c r="I44" s="174">
        <v>32</v>
      </c>
      <c r="J44" s="174">
        <v>31</v>
      </c>
      <c r="K44" s="174">
        <v>30</v>
      </c>
      <c r="L44" s="174">
        <v>30</v>
      </c>
      <c r="M44" s="174">
        <v>30</v>
      </c>
      <c r="N44" s="174"/>
      <c r="O44" s="210">
        <f t="shared" si="0"/>
        <v>31</v>
      </c>
      <c r="P44" s="202">
        <f t="shared" si="2"/>
        <v>1.003633</v>
      </c>
      <c r="Q44" s="112">
        <f>ROUND(O44*'116年參數表'!D$20*P44, 0)</f>
        <v>617088</v>
      </c>
      <c r="R44" s="174">
        <f t="shared" si="3"/>
        <v>0</v>
      </c>
    </row>
    <row r="45" spans="1:18">
      <c r="A45" s="75">
        <v>152</v>
      </c>
      <c r="B45" s="75" t="s">
        <v>155</v>
      </c>
      <c r="C45" s="173">
        <v>31</v>
      </c>
      <c r="D45" s="174">
        <v>31</v>
      </c>
      <c r="E45" s="174">
        <v>32</v>
      </c>
      <c r="F45" s="174">
        <v>30</v>
      </c>
      <c r="G45" s="174">
        <v>30</v>
      </c>
      <c r="H45" s="174">
        <v>29</v>
      </c>
      <c r="I45" s="174">
        <v>29</v>
      </c>
      <c r="J45" s="174">
        <v>28</v>
      </c>
      <c r="K45" s="174">
        <v>29</v>
      </c>
      <c r="L45" s="174">
        <v>29</v>
      </c>
      <c r="M45" s="174">
        <v>29</v>
      </c>
      <c r="N45" s="174"/>
      <c r="O45" s="210">
        <f t="shared" si="0"/>
        <v>30</v>
      </c>
      <c r="P45" s="202">
        <f t="shared" si="2"/>
        <v>1.003633</v>
      </c>
      <c r="Q45" s="112">
        <f>ROUND(O45*'116年參數表'!D$20*P45, 0)</f>
        <v>597182</v>
      </c>
      <c r="R45" s="174">
        <f t="shared" si="3"/>
        <v>-1</v>
      </c>
    </row>
    <row r="46" spans="1:18">
      <c r="A46" s="75">
        <v>153</v>
      </c>
      <c r="B46" s="75" t="s">
        <v>156</v>
      </c>
      <c r="C46" s="173">
        <v>28</v>
      </c>
      <c r="D46" s="174">
        <v>28</v>
      </c>
      <c r="E46" s="174">
        <v>29</v>
      </c>
      <c r="F46" s="174">
        <v>29</v>
      </c>
      <c r="G46" s="174">
        <v>29</v>
      </c>
      <c r="H46" s="174">
        <v>29</v>
      </c>
      <c r="I46" s="174">
        <v>30</v>
      </c>
      <c r="J46" s="174">
        <v>29</v>
      </c>
      <c r="K46" s="174">
        <v>29</v>
      </c>
      <c r="L46" s="174">
        <v>29</v>
      </c>
      <c r="M46" s="174">
        <v>29</v>
      </c>
      <c r="N46" s="174"/>
      <c r="O46" s="210">
        <f t="shared" si="0"/>
        <v>29</v>
      </c>
      <c r="P46" s="202">
        <f t="shared" si="2"/>
        <v>1.003633</v>
      </c>
      <c r="Q46" s="112">
        <f>ROUND(O46*'116年參數表'!D$20*P46, 0)</f>
        <v>577276</v>
      </c>
      <c r="R46" s="174">
        <f t="shared" si="3"/>
        <v>1</v>
      </c>
    </row>
    <row r="47" spans="1:18">
      <c r="A47" s="75">
        <v>154</v>
      </c>
      <c r="B47" s="75" t="s">
        <v>8</v>
      </c>
      <c r="C47" s="173">
        <v>17</v>
      </c>
      <c r="D47" s="174">
        <v>18</v>
      </c>
      <c r="E47" s="174">
        <v>17</v>
      </c>
      <c r="F47" s="174">
        <v>17</v>
      </c>
      <c r="G47" s="174">
        <v>17</v>
      </c>
      <c r="H47" s="174">
        <v>16</v>
      </c>
      <c r="I47" s="174">
        <v>17</v>
      </c>
      <c r="J47" s="174">
        <v>17</v>
      </c>
      <c r="K47" s="174">
        <v>17</v>
      </c>
      <c r="L47" s="174">
        <v>17</v>
      </c>
      <c r="M47" s="174">
        <v>17</v>
      </c>
      <c r="N47" s="174"/>
      <c r="O47" s="210">
        <f t="shared" si="0"/>
        <v>17</v>
      </c>
      <c r="P47" s="202">
        <f t="shared" si="2"/>
        <v>1.003633</v>
      </c>
      <c r="Q47" s="112">
        <f>ROUND(O47*'116年參數表'!D$20*P47, 0)</f>
        <v>338403</v>
      </c>
      <c r="R47" s="174">
        <f t="shared" si="3"/>
        <v>0</v>
      </c>
    </row>
    <row r="48" spans="1:18">
      <c r="A48" s="75">
        <v>156</v>
      </c>
      <c r="B48" s="75" t="s">
        <v>157</v>
      </c>
      <c r="C48" s="173">
        <v>29</v>
      </c>
      <c r="D48" s="174">
        <v>30</v>
      </c>
      <c r="E48" s="174">
        <v>31</v>
      </c>
      <c r="F48" s="174">
        <v>31</v>
      </c>
      <c r="G48" s="174">
        <v>31</v>
      </c>
      <c r="H48" s="174">
        <v>31</v>
      </c>
      <c r="I48" s="174">
        <v>32</v>
      </c>
      <c r="J48" s="174">
        <v>32</v>
      </c>
      <c r="K48" s="174">
        <v>32</v>
      </c>
      <c r="L48" s="174">
        <v>32</v>
      </c>
      <c r="M48" s="174">
        <v>32</v>
      </c>
      <c r="N48" s="174"/>
      <c r="O48" s="210">
        <f t="shared" si="0"/>
        <v>31</v>
      </c>
      <c r="P48" s="202">
        <f t="shared" si="2"/>
        <v>1.003633</v>
      </c>
      <c r="Q48" s="112">
        <f>ROUND(O48*'116年參數表'!D$20*P48, 0)</f>
        <v>617088</v>
      </c>
      <c r="R48" s="174">
        <f t="shared" si="3"/>
        <v>2</v>
      </c>
    </row>
    <row r="49" spans="1:18">
      <c r="A49" s="75">
        <v>157</v>
      </c>
      <c r="B49" s="75" t="s">
        <v>158</v>
      </c>
      <c r="C49" s="173">
        <v>28</v>
      </c>
      <c r="D49" s="174">
        <v>31</v>
      </c>
      <c r="E49" s="174">
        <v>30</v>
      </c>
      <c r="F49" s="174">
        <v>29</v>
      </c>
      <c r="G49" s="174">
        <v>29</v>
      </c>
      <c r="H49" s="174">
        <v>29</v>
      </c>
      <c r="I49" s="174">
        <v>30</v>
      </c>
      <c r="J49" s="174">
        <v>30</v>
      </c>
      <c r="K49" s="174">
        <v>30</v>
      </c>
      <c r="L49" s="174">
        <v>30</v>
      </c>
      <c r="M49" s="174">
        <v>30</v>
      </c>
      <c r="N49" s="174"/>
      <c r="O49" s="210">
        <f t="shared" si="0"/>
        <v>30</v>
      </c>
      <c r="P49" s="202">
        <f t="shared" si="2"/>
        <v>1.003633</v>
      </c>
      <c r="Q49" s="112">
        <f>ROUND(O49*'116年參數表'!D$20*P49, 0)</f>
        <v>597182</v>
      </c>
      <c r="R49" s="174">
        <f t="shared" si="3"/>
        <v>2</v>
      </c>
    </row>
    <row r="50" spans="1:18">
      <c r="A50" s="75">
        <v>158</v>
      </c>
      <c r="B50" s="75" t="s">
        <v>159</v>
      </c>
      <c r="C50" s="173">
        <v>32</v>
      </c>
      <c r="D50" s="174">
        <v>31</v>
      </c>
      <c r="E50" s="174">
        <v>31</v>
      </c>
      <c r="F50" s="174">
        <v>30</v>
      </c>
      <c r="G50" s="174">
        <v>30</v>
      </c>
      <c r="H50" s="174">
        <v>29</v>
      </c>
      <c r="I50" s="174">
        <v>31</v>
      </c>
      <c r="J50" s="174">
        <v>30</v>
      </c>
      <c r="K50" s="174">
        <v>30</v>
      </c>
      <c r="L50" s="174">
        <v>31</v>
      </c>
      <c r="M50" s="174">
        <v>30</v>
      </c>
      <c r="N50" s="174"/>
      <c r="O50" s="210">
        <f t="shared" si="0"/>
        <v>30</v>
      </c>
      <c r="P50" s="202">
        <f t="shared" si="2"/>
        <v>1.003633</v>
      </c>
      <c r="Q50" s="112">
        <f>ROUND(O50*'116年參數表'!D$20*P50, 0)</f>
        <v>597182</v>
      </c>
      <c r="R50" s="174">
        <f t="shared" si="3"/>
        <v>-2</v>
      </c>
    </row>
    <row r="51" spans="1:18">
      <c r="A51" s="75">
        <v>159</v>
      </c>
      <c r="B51" s="75" t="s">
        <v>83</v>
      </c>
      <c r="C51" s="173">
        <v>37</v>
      </c>
      <c r="D51" s="174">
        <v>37</v>
      </c>
      <c r="E51" s="174">
        <v>38</v>
      </c>
      <c r="F51" s="174">
        <v>38</v>
      </c>
      <c r="G51" s="174">
        <v>38</v>
      </c>
      <c r="H51" s="174">
        <v>37</v>
      </c>
      <c r="I51" s="174">
        <v>37</v>
      </c>
      <c r="J51" s="174">
        <v>37</v>
      </c>
      <c r="K51" s="174">
        <v>38</v>
      </c>
      <c r="L51" s="174">
        <v>39</v>
      </c>
      <c r="M51" s="174">
        <v>38</v>
      </c>
      <c r="N51" s="174"/>
      <c r="O51" s="210">
        <f t="shared" si="0"/>
        <v>38</v>
      </c>
      <c r="P51" s="202">
        <f t="shared" si="2"/>
        <v>1.003633</v>
      </c>
      <c r="Q51" s="112">
        <f>ROUND(O51*'116年參數表'!D$20*P51, 0)</f>
        <v>756430</v>
      </c>
      <c r="R51" s="174">
        <f t="shared" si="3"/>
        <v>1</v>
      </c>
    </row>
    <row r="52" spans="1:18">
      <c r="A52" s="75">
        <v>160</v>
      </c>
      <c r="B52" s="75" t="s">
        <v>9</v>
      </c>
      <c r="C52" s="173">
        <v>30</v>
      </c>
      <c r="D52" s="174">
        <v>30</v>
      </c>
      <c r="E52" s="174">
        <v>32</v>
      </c>
      <c r="F52" s="174">
        <v>31</v>
      </c>
      <c r="G52" s="174">
        <v>29</v>
      </c>
      <c r="H52" s="174">
        <v>29</v>
      </c>
      <c r="I52" s="174">
        <v>29</v>
      </c>
      <c r="J52" s="174">
        <v>28</v>
      </c>
      <c r="K52" s="174">
        <v>29</v>
      </c>
      <c r="L52" s="174">
        <v>29</v>
      </c>
      <c r="M52" s="174">
        <v>28</v>
      </c>
      <c r="N52" s="174"/>
      <c r="O52" s="210">
        <f t="shared" si="0"/>
        <v>29</v>
      </c>
      <c r="P52" s="202">
        <f t="shared" si="2"/>
        <v>1.003633</v>
      </c>
      <c r="Q52" s="112">
        <f>ROUND(O52*'116年參數表'!D$20*P52, 0)</f>
        <v>577276</v>
      </c>
      <c r="R52" s="174">
        <f t="shared" si="3"/>
        <v>-1</v>
      </c>
    </row>
    <row r="53" spans="1:18">
      <c r="A53" s="75">
        <v>161</v>
      </c>
      <c r="B53" s="75" t="s">
        <v>160</v>
      </c>
      <c r="C53" s="173">
        <v>24</v>
      </c>
      <c r="D53" s="174">
        <v>25</v>
      </c>
      <c r="E53" s="174">
        <v>26</v>
      </c>
      <c r="F53" s="174">
        <v>26</v>
      </c>
      <c r="G53" s="174">
        <v>25</v>
      </c>
      <c r="H53" s="174">
        <v>25</v>
      </c>
      <c r="I53" s="174">
        <v>25</v>
      </c>
      <c r="J53" s="174">
        <v>25</v>
      </c>
      <c r="K53" s="174">
        <v>24</v>
      </c>
      <c r="L53" s="174">
        <v>24</v>
      </c>
      <c r="M53" s="174">
        <v>24</v>
      </c>
      <c r="N53" s="174"/>
      <c r="O53" s="210">
        <f t="shared" si="0"/>
        <v>25</v>
      </c>
      <c r="P53" s="202">
        <f t="shared" si="2"/>
        <v>1.003633</v>
      </c>
      <c r="Q53" s="112">
        <f>ROUND(O53*'116年參數表'!D$20*P53, 0)</f>
        <v>497651</v>
      </c>
      <c r="R53" s="174">
        <f t="shared" si="3"/>
        <v>1</v>
      </c>
    </row>
    <row r="54" spans="1:18">
      <c r="A54" s="75">
        <v>162</v>
      </c>
      <c r="B54" s="75" t="s">
        <v>10</v>
      </c>
      <c r="C54" s="173">
        <v>37</v>
      </c>
      <c r="D54" s="174">
        <v>37</v>
      </c>
      <c r="E54" s="174">
        <v>37</v>
      </c>
      <c r="F54" s="174">
        <v>37</v>
      </c>
      <c r="G54" s="174">
        <v>37</v>
      </c>
      <c r="H54" s="174">
        <v>37</v>
      </c>
      <c r="I54" s="174">
        <v>36</v>
      </c>
      <c r="J54" s="174">
        <v>36</v>
      </c>
      <c r="K54" s="174">
        <v>36</v>
      </c>
      <c r="L54" s="174">
        <v>36</v>
      </c>
      <c r="M54" s="174">
        <v>36</v>
      </c>
      <c r="N54" s="174"/>
      <c r="O54" s="210">
        <f t="shared" si="0"/>
        <v>37</v>
      </c>
      <c r="P54" s="202">
        <f t="shared" si="2"/>
        <v>1.003633</v>
      </c>
      <c r="Q54" s="112">
        <f>ROUND(O54*'116年參數表'!D$20*P54, 0)</f>
        <v>736524</v>
      </c>
      <c r="R54" s="174">
        <f t="shared" si="3"/>
        <v>0</v>
      </c>
    </row>
    <row r="55" spans="1:18">
      <c r="A55" s="75">
        <v>163</v>
      </c>
      <c r="B55" s="75" t="s">
        <v>12</v>
      </c>
      <c r="C55" s="173">
        <v>32</v>
      </c>
      <c r="D55" s="174">
        <v>32</v>
      </c>
      <c r="E55" s="174">
        <v>32</v>
      </c>
      <c r="F55" s="174">
        <v>31</v>
      </c>
      <c r="G55" s="174">
        <v>31</v>
      </c>
      <c r="H55" s="174">
        <v>31</v>
      </c>
      <c r="I55" s="174">
        <v>32</v>
      </c>
      <c r="J55" s="174">
        <v>31</v>
      </c>
      <c r="K55" s="174">
        <v>31</v>
      </c>
      <c r="L55" s="174">
        <v>30</v>
      </c>
      <c r="M55" s="174">
        <v>30</v>
      </c>
      <c r="N55" s="174"/>
      <c r="O55" s="210">
        <f t="shared" si="0"/>
        <v>31</v>
      </c>
      <c r="P55" s="202">
        <f t="shared" si="2"/>
        <v>1.003633</v>
      </c>
      <c r="Q55" s="112">
        <f>ROUND(O55*'116年參數表'!D$20*P55, 0)</f>
        <v>617088</v>
      </c>
      <c r="R55" s="174">
        <f t="shared" si="3"/>
        <v>-1</v>
      </c>
    </row>
    <row r="56" spans="1:18">
      <c r="A56" s="75">
        <v>164</v>
      </c>
      <c r="B56" s="75" t="s">
        <v>161</v>
      </c>
      <c r="C56" s="173">
        <v>27</v>
      </c>
      <c r="D56" s="174">
        <v>31</v>
      </c>
      <c r="E56" s="174">
        <v>30</v>
      </c>
      <c r="F56" s="174">
        <v>30</v>
      </c>
      <c r="G56" s="174">
        <v>30</v>
      </c>
      <c r="H56" s="174">
        <v>30</v>
      </c>
      <c r="I56" s="174">
        <v>31</v>
      </c>
      <c r="J56" s="174">
        <v>31</v>
      </c>
      <c r="K56" s="174">
        <v>30</v>
      </c>
      <c r="L56" s="174">
        <v>30</v>
      </c>
      <c r="M56" s="174">
        <v>30</v>
      </c>
      <c r="N56" s="174"/>
      <c r="O56" s="210">
        <f t="shared" si="0"/>
        <v>30</v>
      </c>
      <c r="P56" s="202">
        <f t="shared" si="2"/>
        <v>1.003633</v>
      </c>
      <c r="Q56" s="112">
        <f>ROUND(O56*'116年參數表'!D$20*P56, 0)</f>
        <v>597182</v>
      </c>
      <c r="R56" s="174">
        <f t="shared" si="3"/>
        <v>3</v>
      </c>
    </row>
    <row r="57" spans="1:18">
      <c r="A57" s="75">
        <v>165</v>
      </c>
      <c r="B57" s="75" t="s">
        <v>13</v>
      </c>
      <c r="C57" s="173">
        <v>32</v>
      </c>
      <c r="D57" s="174">
        <v>34</v>
      </c>
      <c r="E57" s="174">
        <v>34</v>
      </c>
      <c r="F57" s="174">
        <v>34</v>
      </c>
      <c r="G57" s="174">
        <v>34</v>
      </c>
      <c r="H57" s="174">
        <v>34</v>
      </c>
      <c r="I57" s="174">
        <v>35</v>
      </c>
      <c r="J57" s="174">
        <v>34</v>
      </c>
      <c r="K57" s="174">
        <v>32</v>
      </c>
      <c r="L57" s="174">
        <v>32</v>
      </c>
      <c r="M57" s="174">
        <v>33</v>
      </c>
      <c r="N57" s="174"/>
      <c r="O57" s="210">
        <f t="shared" si="0"/>
        <v>34</v>
      </c>
      <c r="P57" s="202">
        <f t="shared" si="2"/>
        <v>1.003633</v>
      </c>
      <c r="Q57" s="112">
        <f>ROUND(O57*'116年參數表'!D$20*P57, 0)</f>
        <v>676806</v>
      </c>
      <c r="R57" s="174">
        <f t="shared" si="3"/>
        <v>2</v>
      </c>
    </row>
    <row r="58" spans="1:18">
      <c r="A58" s="75">
        <v>166</v>
      </c>
      <c r="B58" s="75" t="s">
        <v>84</v>
      </c>
      <c r="C58" s="173">
        <v>31</v>
      </c>
      <c r="D58" s="174">
        <v>33</v>
      </c>
      <c r="E58" s="174">
        <v>33</v>
      </c>
      <c r="F58" s="174">
        <v>32</v>
      </c>
      <c r="G58" s="174">
        <v>32</v>
      </c>
      <c r="H58" s="174">
        <v>31</v>
      </c>
      <c r="I58" s="174">
        <v>31</v>
      </c>
      <c r="J58" s="174">
        <v>32</v>
      </c>
      <c r="K58" s="174">
        <v>32</v>
      </c>
      <c r="L58" s="174">
        <v>33</v>
      </c>
      <c r="M58" s="174">
        <v>33</v>
      </c>
      <c r="N58" s="174"/>
      <c r="O58" s="210">
        <f t="shared" si="0"/>
        <v>32</v>
      </c>
      <c r="P58" s="202">
        <f t="shared" si="2"/>
        <v>1.003633</v>
      </c>
      <c r="Q58" s="112">
        <f>ROUND(O58*'116年參數表'!D$20*P58, 0)</f>
        <v>636994</v>
      </c>
      <c r="R58" s="174">
        <f t="shared" si="3"/>
        <v>1</v>
      </c>
    </row>
    <row r="59" spans="1:18">
      <c r="A59" s="75">
        <v>167</v>
      </c>
      <c r="B59" s="75" t="s">
        <v>162</v>
      </c>
      <c r="C59" s="173">
        <v>33</v>
      </c>
      <c r="D59" s="174">
        <v>35</v>
      </c>
      <c r="E59" s="174">
        <v>35</v>
      </c>
      <c r="F59" s="174">
        <v>35</v>
      </c>
      <c r="G59" s="174">
        <v>34</v>
      </c>
      <c r="H59" s="174">
        <v>34</v>
      </c>
      <c r="I59" s="174">
        <v>35</v>
      </c>
      <c r="J59" s="174">
        <v>35</v>
      </c>
      <c r="K59" s="174">
        <v>35</v>
      </c>
      <c r="L59" s="174">
        <v>36</v>
      </c>
      <c r="M59" s="174">
        <v>36</v>
      </c>
      <c r="N59" s="174"/>
      <c r="O59" s="210">
        <f t="shared" si="0"/>
        <v>35</v>
      </c>
      <c r="P59" s="202">
        <f t="shared" si="2"/>
        <v>1.003633</v>
      </c>
      <c r="Q59" s="112">
        <f>ROUND(O59*'116年參數表'!D$20*P59, 0)</f>
        <v>696712</v>
      </c>
      <c r="R59" s="174">
        <f t="shared" si="3"/>
        <v>2</v>
      </c>
    </row>
    <row r="60" spans="1:18">
      <c r="A60" s="75">
        <v>168</v>
      </c>
      <c r="B60" s="75" t="s">
        <v>163</v>
      </c>
      <c r="C60" s="173">
        <v>36</v>
      </c>
      <c r="D60" s="174">
        <v>35</v>
      </c>
      <c r="E60" s="174">
        <v>34</v>
      </c>
      <c r="F60" s="174">
        <v>34</v>
      </c>
      <c r="G60" s="174">
        <v>34</v>
      </c>
      <c r="H60" s="174">
        <v>34</v>
      </c>
      <c r="I60" s="174">
        <v>35</v>
      </c>
      <c r="J60" s="174">
        <v>35</v>
      </c>
      <c r="K60" s="174">
        <v>35</v>
      </c>
      <c r="L60" s="174">
        <v>34</v>
      </c>
      <c r="M60" s="174">
        <v>34</v>
      </c>
      <c r="N60" s="174"/>
      <c r="O60" s="210">
        <f t="shared" si="0"/>
        <v>34</v>
      </c>
      <c r="P60" s="202">
        <f t="shared" si="2"/>
        <v>1.003633</v>
      </c>
      <c r="Q60" s="112">
        <f>ROUND(O60*'116年參數表'!D$20*P60, 0)</f>
        <v>676806</v>
      </c>
      <c r="R60" s="174">
        <f t="shared" si="3"/>
        <v>-2</v>
      </c>
    </row>
    <row r="61" spans="1:18">
      <c r="A61" s="75">
        <v>169</v>
      </c>
      <c r="B61" s="75" t="s">
        <v>85</v>
      </c>
      <c r="C61" s="173">
        <v>29</v>
      </c>
      <c r="D61" s="174">
        <v>31</v>
      </c>
      <c r="E61" s="174">
        <v>30</v>
      </c>
      <c r="F61" s="174">
        <v>29</v>
      </c>
      <c r="G61" s="174">
        <v>29</v>
      </c>
      <c r="H61" s="174">
        <v>28</v>
      </c>
      <c r="I61" s="174">
        <v>29</v>
      </c>
      <c r="J61" s="174">
        <v>28</v>
      </c>
      <c r="K61" s="174">
        <v>28</v>
      </c>
      <c r="L61" s="174">
        <v>28</v>
      </c>
      <c r="M61" s="174">
        <v>28</v>
      </c>
      <c r="N61" s="174"/>
      <c r="O61" s="210">
        <f t="shared" si="0"/>
        <v>29</v>
      </c>
      <c r="P61" s="202">
        <f t="shared" si="2"/>
        <v>1.003633</v>
      </c>
      <c r="Q61" s="112">
        <f>ROUND(O61*'116年參數表'!D$20*P61, 0)</f>
        <v>577276</v>
      </c>
      <c r="R61" s="174">
        <f t="shared" si="3"/>
        <v>0</v>
      </c>
    </row>
    <row r="62" spans="1:18">
      <c r="A62" s="75">
        <v>170</v>
      </c>
      <c r="B62" s="75" t="s">
        <v>164</v>
      </c>
      <c r="C62" s="173">
        <v>28</v>
      </c>
      <c r="D62" s="174">
        <v>28</v>
      </c>
      <c r="E62" s="174">
        <v>28</v>
      </c>
      <c r="F62" s="174">
        <v>28</v>
      </c>
      <c r="G62" s="174">
        <v>28</v>
      </c>
      <c r="H62" s="174">
        <v>27</v>
      </c>
      <c r="I62" s="174">
        <v>28</v>
      </c>
      <c r="J62" s="174">
        <v>26</v>
      </c>
      <c r="K62" s="174">
        <v>26</v>
      </c>
      <c r="L62" s="174">
        <v>26</v>
      </c>
      <c r="M62" s="174">
        <v>26</v>
      </c>
      <c r="N62" s="174"/>
      <c r="O62" s="210">
        <f t="shared" si="0"/>
        <v>27</v>
      </c>
      <c r="P62" s="202">
        <f t="shared" si="2"/>
        <v>1.003633</v>
      </c>
      <c r="Q62" s="112">
        <f>ROUND(O62*'116年參數表'!D$20*P62, 0)</f>
        <v>537464</v>
      </c>
      <c r="R62" s="174">
        <f t="shared" si="3"/>
        <v>-1</v>
      </c>
    </row>
    <row r="63" spans="1:18">
      <c r="A63" s="75">
        <v>171</v>
      </c>
      <c r="B63" s="75" t="s">
        <v>86</v>
      </c>
      <c r="C63" s="173">
        <v>25</v>
      </c>
      <c r="D63" s="174">
        <v>26</v>
      </c>
      <c r="E63" s="174">
        <v>25</v>
      </c>
      <c r="F63" s="174">
        <v>25</v>
      </c>
      <c r="G63" s="174">
        <v>25</v>
      </c>
      <c r="H63" s="174">
        <v>25</v>
      </c>
      <c r="I63" s="174">
        <v>26</v>
      </c>
      <c r="J63" s="174">
        <v>26</v>
      </c>
      <c r="K63" s="174">
        <v>26</v>
      </c>
      <c r="L63" s="174">
        <v>26</v>
      </c>
      <c r="M63" s="174">
        <v>25</v>
      </c>
      <c r="N63" s="174"/>
      <c r="O63" s="210">
        <f t="shared" si="0"/>
        <v>26</v>
      </c>
      <c r="P63" s="202">
        <f t="shared" si="2"/>
        <v>1.003633</v>
      </c>
      <c r="Q63" s="112">
        <f>ROUND(O63*'116年參數表'!D$20*P63, 0)</f>
        <v>517557</v>
      </c>
      <c r="R63" s="174">
        <f t="shared" si="3"/>
        <v>1</v>
      </c>
    </row>
    <row r="64" spans="1:18">
      <c r="A64" s="75">
        <v>172</v>
      </c>
      <c r="B64" s="75" t="s">
        <v>14</v>
      </c>
      <c r="C64" s="173">
        <v>24</v>
      </c>
      <c r="D64" s="174">
        <v>23</v>
      </c>
      <c r="E64" s="174">
        <v>24</v>
      </c>
      <c r="F64" s="174">
        <v>24</v>
      </c>
      <c r="G64" s="174">
        <v>24</v>
      </c>
      <c r="H64" s="174">
        <v>24</v>
      </c>
      <c r="I64" s="174">
        <v>24</v>
      </c>
      <c r="J64" s="174">
        <v>23</v>
      </c>
      <c r="K64" s="174">
        <v>23</v>
      </c>
      <c r="L64" s="174">
        <v>23</v>
      </c>
      <c r="M64" s="174">
        <v>23</v>
      </c>
      <c r="N64" s="174"/>
      <c r="O64" s="210">
        <f t="shared" si="0"/>
        <v>24</v>
      </c>
      <c r="P64" s="202">
        <f t="shared" si="2"/>
        <v>1.003633</v>
      </c>
      <c r="Q64" s="112">
        <f>ROUND(O64*'116年參數表'!D$20*P64, 0)</f>
        <v>477745</v>
      </c>
      <c r="R64" s="174">
        <f t="shared" si="3"/>
        <v>0</v>
      </c>
    </row>
    <row r="65" spans="1:18">
      <c r="A65" s="75">
        <v>173</v>
      </c>
      <c r="B65" s="75" t="s">
        <v>15</v>
      </c>
      <c r="C65" s="173">
        <v>28</v>
      </c>
      <c r="D65" s="174">
        <v>29</v>
      </c>
      <c r="E65" s="174">
        <v>31</v>
      </c>
      <c r="F65" s="174">
        <v>30</v>
      </c>
      <c r="G65" s="174">
        <v>30</v>
      </c>
      <c r="H65" s="174">
        <v>29</v>
      </c>
      <c r="I65" s="174">
        <v>29</v>
      </c>
      <c r="J65" s="174">
        <v>27</v>
      </c>
      <c r="K65" s="174">
        <v>28</v>
      </c>
      <c r="L65" s="174">
        <v>28</v>
      </c>
      <c r="M65" s="174">
        <v>28</v>
      </c>
      <c r="N65" s="174"/>
      <c r="O65" s="210">
        <f t="shared" si="0"/>
        <v>29</v>
      </c>
      <c r="P65" s="202">
        <f t="shared" si="2"/>
        <v>1.003633</v>
      </c>
      <c r="Q65" s="112">
        <f>ROUND(O65*'116年參數表'!D$20*P65, 0)</f>
        <v>577276</v>
      </c>
      <c r="R65" s="174">
        <f t="shared" si="3"/>
        <v>1</v>
      </c>
    </row>
    <row r="66" spans="1:18">
      <c r="A66" s="75">
        <v>174</v>
      </c>
      <c r="B66" s="75" t="s">
        <v>16</v>
      </c>
      <c r="C66" s="173">
        <v>37</v>
      </c>
      <c r="D66" s="174">
        <v>38</v>
      </c>
      <c r="E66" s="174">
        <v>36</v>
      </c>
      <c r="F66" s="174">
        <v>36</v>
      </c>
      <c r="G66" s="174">
        <v>37</v>
      </c>
      <c r="H66" s="174">
        <v>37</v>
      </c>
      <c r="I66" s="174">
        <v>36</v>
      </c>
      <c r="J66" s="174">
        <v>36</v>
      </c>
      <c r="K66" s="174">
        <v>36</v>
      </c>
      <c r="L66" s="174">
        <v>36</v>
      </c>
      <c r="M66" s="174">
        <v>36</v>
      </c>
      <c r="N66" s="174"/>
      <c r="O66" s="210">
        <f t="shared" si="0"/>
        <v>36</v>
      </c>
      <c r="P66" s="202">
        <f t="shared" si="2"/>
        <v>1.003633</v>
      </c>
      <c r="Q66" s="112">
        <f>ROUND(O66*'116年參數表'!D$20*P66, 0)</f>
        <v>716618</v>
      </c>
      <c r="R66" s="174">
        <f t="shared" si="3"/>
        <v>-1</v>
      </c>
    </row>
    <row r="67" spans="1:18">
      <c r="A67" s="75">
        <v>175</v>
      </c>
      <c r="B67" s="75" t="s">
        <v>165</v>
      </c>
      <c r="C67" s="173">
        <v>32</v>
      </c>
      <c r="D67" s="174">
        <v>32</v>
      </c>
      <c r="E67" s="174">
        <v>32</v>
      </c>
      <c r="F67" s="174">
        <v>32</v>
      </c>
      <c r="G67" s="174">
        <v>32</v>
      </c>
      <c r="H67" s="174">
        <v>32</v>
      </c>
      <c r="I67" s="174">
        <v>32</v>
      </c>
      <c r="J67" s="174">
        <v>32</v>
      </c>
      <c r="K67" s="174">
        <v>31</v>
      </c>
      <c r="L67" s="174">
        <v>30</v>
      </c>
      <c r="M67" s="174">
        <v>30</v>
      </c>
      <c r="N67" s="174"/>
      <c r="O67" s="210">
        <f t="shared" si="0"/>
        <v>32</v>
      </c>
      <c r="P67" s="202">
        <f t="shared" ref="P67:P131" si="4">$N$2</f>
        <v>1.003633</v>
      </c>
      <c r="Q67" s="112">
        <f>ROUND(O67*'116年參數表'!D$20*P67, 0)</f>
        <v>636994</v>
      </c>
      <c r="R67" s="174">
        <f t="shared" si="3"/>
        <v>0</v>
      </c>
    </row>
    <row r="68" spans="1:18">
      <c r="A68" s="75">
        <v>176</v>
      </c>
      <c r="B68" s="75" t="s">
        <v>166</v>
      </c>
      <c r="C68" s="173">
        <v>25</v>
      </c>
      <c r="D68" s="174">
        <v>27</v>
      </c>
      <c r="E68" s="174">
        <v>28</v>
      </c>
      <c r="F68" s="174">
        <v>27</v>
      </c>
      <c r="G68" s="174">
        <v>27</v>
      </c>
      <c r="H68" s="174">
        <v>27</v>
      </c>
      <c r="I68" s="174">
        <v>28</v>
      </c>
      <c r="J68" s="174">
        <v>28</v>
      </c>
      <c r="K68" s="174">
        <v>27</v>
      </c>
      <c r="L68" s="174">
        <v>28</v>
      </c>
      <c r="M68" s="174">
        <v>28</v>
      </c>
      <c r="N68" s="174"/>
      <c r="O68" s="210">
        <f t="shared" ref="O68:O131" si="5">ROUND(AVERAGE(D68:M68), 0)</f>
        <v>28</v>
      </c>
      <c r="P68" s="202">
        <f t="shared" si="4"/>
        <v>1.003633</v>
      </c>
      <c r="Q68" s="112">
        <f>ROUND(O68*'116年參數表'!D$20*P68, 0)</f>
        <v>557370</v>
      </c>
      <c r="R68" s="174">
        <f t="shared" ref="R68:R98" si="6">O68-C68</f>
        <v>3</v>
      </c>
    </row>
    <row r="69" spans="1:18">
      <c r="A69" s="75">
        <v>177</v>
      </c>
      <c r="B69" s="75" t="s">
        <v>647</v>
      </c>
      <c r="C69" s="173">
        <v>19</v>
      </c>
      <c r="D69" s="174">
        <v>18</v>
      </c>
      <c r="E69" s="174">
        <v>18</v>
      </c>
      <c r="F69" s="174">
        <v>18</v>
      </c>
      <c r="G69" s="174">
        <v>18</v>
      </c>
      <c r="H69" s="174">
        <v>17</v>
      </c>
      <c r="I69" s="174">
        <v>17</v>
      </c>
      <c r="J69" s="174">
        <v>17</v>
      </c>
      <c r="K69" s="174">
        <v>17</v>
      </c>
      <c r="L69" s="174">
        <v>17</v>
      </c>
      <c r="M69" s="174">
        <v>17</v>
      </c>
      <c r="N69" s="237"/>
      <c r="O69" s="210">
        <f t="shared" si="5"/>
        <v>17</v>
      </c>
      <c r="P69" s="202">
        <f t="shared" si="4"/>
        <v>1.003633</v>
      </c>
      <c r="Q69" s="112">
        <f>ROUND(O69*'116年參數表'!D$20*P69, 0)</f>
        <v>338403</v>
      </c>
      <c r="R69" s="174">
        <f t="shared" si="6"/>
        <v>-2</v>
      </c>
    </row>
    <row r="70" spans="1:18">
      <c r="A70" s="75">
        <v>178</v>
      </c>
      <c r="B70" s="75" t="s">
        <v>17</v>
      </c>
      <c r="C70" s="173">
        <v>29</v>
      </c>
      <c r="D70" s="174">
        <v>28</v>
      </c>
      <c r="E70" s="174">
        <v>28</v>
      </c>
      <c r="F70" s="174">
        <v>28</v>
      </c>
      <c r="G70" s="174">
        <v>28</v>
      </c>
      <c r="H70" s="174">
        <v>27</v>
      </c>
      <c r="I70" s="174">
        <v>28</v>
      </c>
      <c r="J70" s="174">
        <v>29</v>
      </c>
      <c r="K70" s="174">
        <v>29</v>
      </c>
      <c r="L70" s="174">
        <v>29</v>
      </c>
      <c r="M70" s="174">
        <v>29</v>
      </c>
      <c r="N70" s="174"/>
      <c r="O70" s="210">
        <f t="shared" si="5"/>
        <v>28</v>
      </c>
      <c r="P70" s="202">
        <f t="shared" si="4"/>
        <v>1.003633</v>
      </c>
      <c r="Q70" s="112">
        <f>ROUND(O70*'116年參數表'!D$20*P70, 0)</f>
        <v>557370</v>
      </c>
      <c r="R70" s="174">
        <f t="shared" si="6"/>
        <v>-1</v>
      </c>
    </row>
    <row r="71" spans="1:18">
      <c r="A71" s="75">
        <v>179</v>
      </c>
      <c r="B71" s="75" t="s">
        <v>167</v>
      </c>
      <c r="C71" s="173">
        <v>33</v>
      </c>
      <c r="D71" s="174">
        <v>36</v>
      </c>
      <c r="E71" s="174">
        <v>36</v>
      </c>
      <c r="F71" s="174">
        <v>35</v>
      </c>
      <c r="G71" s="174">
        <v>35</v>
      </c>
      <c r="H71" s="174">
        <v>34</v>
      </c>
      <c r="I71" s="174">
        <v>35</v>
      </c>
      <c r="J71" s="174">
        <v>34</v>
      </c>
      <c r="K71" s="174">
        <v>35</v>
      </c>
      <c r="L71" s="174">
        <v>35</v>
      </c>
      <c r="M71" s="174">
        <v>35</v>
      </c>
      <c r="N71" s="174"/>
      <c r="O71" s="210">
        <f t="shared" si="5"/>
        <v>35</v>
      </c>
      <c r="P71" s="202">
        <f t="shared" si="4"/>
        <v>1.003633</v>
      </c>
      <c r="Q71" s="112">
        <f>ROUND(O71*'116年參數表'!D$20*P71, 0)</f>
        <v>696712</v>
      </c>
      <c r="R71" s="174">
        <f t="shared" si="6"/>
        <v>2</v>
      </c>
    </row>
    <row r="72" spans="1:18">
      <c r="A72" s="75">
        <v>180</v>
      </c>
      <c r="B72" s="75" t="s">
        <v>168</v>
      </c>
      <c r="C72" s="173">
        <v>29</v>
      </c>
      <c r="D72" s="174">
        <v>30</v>
      </c>
      <c r="E72" s="174">
        <v>29</v>
      </c>
      <c r="F72" s="174">
        <v>30</v>
      </c>
      <c r="G72" s="174">
        <v>30</v>
      </c>
      <c r="H72" s="174">
        <v>30</v>
      </c>
      <c r="I72" s="174">
        <v>31</v>
      </c>
      <c r="J72" s="174">
        <v>31</v>
      </c>
      <c r="K72" s="174">
        <v>29</v>
      </c>
      <c r="L72" s="174">
        <v>29</v>
      </c>
      <c r="M72" s="174">
        <v>29</v>
      </c>
      <c r="N72" s="174"/>
      <c r="O72" s="210">
        <f t="shared" si="5"/>
        <v>30</v>
      </c>
      <c r="P72" s="202">
        <f t="shared" si="4"/>
        <v>1.003633</v>
      </c>
      <c r="Q72" s="112">
        <f>ROUND(O72*'116年參數表'!D$20*P72, 0)</f>
        <v>597182</v>
      </c>
      <c r="R72" s="174">
        <f t="shared" si="6"/>
        <v>1</v>
      </c>
    </row>
    <row r="73" spans="1:18">
      <c r="A73" s="75">
        <v>182</v>
      </c>
      <c r="B73" s="75" t="s">
        <v>169</v>
      </c>
      <c r="C73" s="173">
        <v>24</v>
      </c>
      <c r="D73" s="174">
        <v>23</v>
      </c>
      <c r="E73" s="174">
        <v>23</v>
      </c>
      <c r="F73" s="174">
        <v>23</v>
      </c>
      <c r="G73" s="174">
        <v>22</v>
      </c>
      <c r="H73" s="174">
        <v>22</v>
      </c>
      <c r="I73" s="174">
        <v>23</v>
      </c>
      <c r="J73" s="174">
        <v>23</v>
      </c>
      <c r="K73" s="174">
        <v>22</v>
      </c>
      <c r="L73" s="174">
        <v>22</v>
      </c>
      <c r="M73" s="174">
        <v>21</v>
      </c>
      <c r="N73" s="174"/>
      <c r="O73" s="210">
        <f t="shared" si="5"/>
        <v>22</v>
      </c>
      <c r="P73" s="202">
        <f t="shared" si="4"/>
        <v>1.003633</v>
      </c>
      <c r="Q73" s="112">
        <f>ROUND(O73*'116年參數表'!D$20*P73, 0)</f>
        <v>437933</v>
      </c>
      <c r="R73" s="174">
        <f t="shared" si="6"/>
        <v>-2</v>
      </c>
    </row>
    <row r="74" spans="1:18">
      <c r="A74" s="75">
        <v>183</v>
      </c>
      <c r="B74" s="75" t="s">
        <v>18</v>
      </c>
      <c r="C74" s="173">
        <v>24</v>
      </c>
      <c r="D74" s="174">
        <v>24</v>
      </c>
      <c r="E74" s="174">
        <v>24</v>
      </c>
      <c r="F74" s="174">
        <v>23</v>
      </c>
      <c r="G74" s="174">
        <v>23</v>
      </c>
      <c r="H74" s="174">
        <v>23</v>
      </c>
      <c r="I74" s="174">
        <v>24</v>
      </c>
      <c r="J74" s="174">
        <v>24</v>
      </c>
      <c r="K74" s="174">
        <v>24</v>
      </c>
      <c r="L74" s="174">
        <v>24</v>
      </c>
      <c r="M74" s="174">
        <v>24</v>
      </c>
      <c r="N74" s="174"/>
      <c r="O74" s="210">
        <f t="shared" si="5"/>
        <v>24</v>
      </c>
      <c r="P74" s="202">
        <f t="shared" si="4"/>
        <v>1.003633</v>
      </c>
      <c r="Q74" s="112">
        <f>ROUND(O74*'116年參數表'!D$20*P74, 0)</f>
        <v>477745</v>
      </c>
      <c r="R74" s="174">
        <f t="shared" si="6"/>
        <v>0</v>
      </c>
    </row>
    <row r="75" spans="1:18">
      <c r="A75" s="75">
        <v>184</v>
      </c>
      <c r="B75" s="75" t="s">
        <v>19</v>
      </c>
      <c r="C75" s="173">
        <v>24</v>
      </c>
      <c r="D75" s="174">
        <v>22</v>
      </c>
      <c r="E75" s="174">
        <v>22</v>
      </c>
      <c r="F75" s="174">
        <v>22</v>
      </c>
      <c r="G75" s="174">
        <v>22</v>
      </c>
      <c r="H75" s="174">
        <v>21</v>
      </c>
      <c r="I75" s="174">
        <v>23</v>
      </c>
      <c r="J75" s="174">
        <v>23</v>
      </c>
      <c r="K75" s="174">
        <v>23</v>
      </c>
      <c r="L75" s="174">
        <v>23</v>
      </c>
      <c r="M75" s="174">
        <v>22</v>
      </c>
      <c r="N75" s="174"/>
      <c r="O75" s="210">
        <f t="shared" si="5"/>
        <v>22</v>
      </c>
      <c r="P75" s="202">
        <f t="shared" si="4"/>
        <v>1.003633</v>
      </c>
      <c r="Q75" s="112">
        <f>ROUND(O75*'116年參數表'!D$20*P75, 0)</f>
        <v>437933</v>
      </c>
      <c r="R75" s="174">
        <f t="shared" si="6"/>
        <v>-2</v>
      </c>
    </row>
    <row r="76" spans="1:18">
      <c r="A76" s="75">
        <v>185</v>
      </c>
      <c r="B76" s="75" t="s">
        <v>170</v>
      </c>
      <c r="C76" s="173">
        <v>30</v>
      </c>
      <c r="D76" s="174">
        <v>29</v>
      </c>
      <c r="E76" s="174">
        <v>29</v>
      </c>
      <c r="F76" s="174">
        <v>29</v>
      </c>
      <c r="G76" s="174">
        <v>29</v>
      </c>
      <c r="H76" s="174">
        <v>29</v>
      </c>
      <c r="I76" s="174">
        <v>30</v>
      </c>
      <c r="J76" s="174">
        <v>30</v>
      </c>
      <c r="K76" s="174">
        <v>30</v>
      </c>
      <c r="L76" s="174">
        <v>30</v>
      </c>
      <c r="M76" s="174">
        <v>30</v>
      </c>
      <c r="N76" s="174"/>
      <c r="O76" s="210">
        <f t="shared" si="5"/>
        <v>30</v>
      </c>
      <c r="P76" s="202">
        <f t="shared" si="4"/>
        <v>1.003633</v>
      </c>
      <c r="Q76" s="112">
        <f>ROUND(O76*'116年參數表'!D$20*P76, 0)</f>
        <v>597182</v>
      </c>
      <c r="R76" s="174">
        <f t="shared" si="6"/>
        <v>0</v>
      </c>
    </row>
    <row r="77" spans="1:18">
      <c r="A77" s="75">
        <v>186</v>
      </c>
      <c r="B77" s="75" t="s">
        <v>87</v>
      </c>
      <c r="C77" s="173">
        <v>31</v>
      </c>
      <c r="D77" s="174">
        <v>30</v>
      </c>
      <c r="E77" s="174">
        <v>30</v>
      </c>
      <c r="F77" s="174">
        <v>29</v>
      </c>
      <c r="G77" s="174">
        <v>28</v>
      </c>
      <c r="H77" s="174">
        <v>28</v>
      </c>
      <c r="I77" s="174">
        <v>28</v>
      </c>
      <c r="J77" s="174">
        <v>28</v>
      </c>
      <c r="K77" s="174">
        <v>28</v>
      </c>
      <c r="L77" s="174">
        <v>28</v>
      </c>
      <c r="M77" s="174">
        <v>28</v>
      </c>
      <c r="N77" s="174"/>
      <c r="O77" s="347">
        <f>ROUND(AVERAGE(D77:M77), 0)+4</f>
        <v>33</v>
      </c>
      <c r="P77" s="202">
        <f t="shared" si="4"/>
        <v>1.003633</v>
      </c>
      <c r="Q77" s="112">
        <f>ROUND(O77*'116年參數表'!D$20*P77, 0)</f>
        <v>656900</v>
      </c>
      <c r="R77" s="174">
        <f t="shared" si="6"/>
        <v>2</v>
      </c>
    </row>
    <row r="78" spans="1:18">
      <c r="A78" s="75">
        <v>187</v>
      </c>
      <c r="B78" s="75" t="s">
        <v>171</v>
      </c>
      <c r="C78" s="173">
        <v>25</v>
      </c>
      <c r="D78" s="174">
        <v>28</v>
      </c>
      <c r="E78" s="174">
        <v>28</v>
      </c>
      <c r="F78" s="174">
        <v>26</v>
      </c>
      <c r="G78" s="174">
        <v>26</v>
      </c>
      <c r="H78" s="174">
        <v>26</v>
      </c>
      <c r="I78" s="174">
        <v>26</v>
      </c>
      <c r="J78" s="174">
        <v>26</v>
      </c>
      <c r="K78" s="174">
        <v>26</v>
      </c>
      <c r="L78" s="174">
        <v>27</v>
      </c>
      <c r="M78" s="174">
        <v>27</v>
      </c>
      <c r="N78" s="174"/>
      <c r="O78" s="210">
        <f t="shared" si="5"/>
        <v>27</v>
      </c>
      <c r="P78" s="202">
        <f t="shared" si="4"/>
        <v>1.003633</v>
      </c>
      <c r="Q78" s="112">
        <f>ROUND(O78*'116年參數表'!D$20*P78, 0)</f>
        <v>537464</v>
      </c>
      <c r="R78" s="174">
        <f t="shared" si="6"/>
        <v>2</v>
      </c>
    </row>
    <row r="79" spans="1:18">
      <c r="A79" s="75">
        <v>189</v>
      </c>
      <c r="B79" s="75" t="s">
        <v>172</v>
      </c>
      <c r="C79" s="173">
        <v>31</v>
      </c>
      <c r="D79" s="174">
        <v>32</v>
      </c>
      <c r="E79" s="174">
        <v>32</v>
      </c>
      <c r="F79" s="174">
        <v>32</v>
      </c>
      <c r="G79" s="174">
        <v>32</v>
      </c>
      <c r="H79" s="174">
        <v>32</v>
      </c>
      <c r="I79" s="174">
        <v>33</v>
      </c>
      <c r="J79" s="174">
        <v>33</v>
      </c>
      <c r="K79" s="174">
        <v>33</v>
      </c>
      <c r="L79" s="174">
        <v>33</v>
      </c>
      <c r="M79" s="174">
        <v>33</v>
      </c>
      <c r="N79" s="174"/>
      <c r="O79" s="210">
        <f t="shared" si="5"/>
        <v>33</v>
      </c>
      <c r="P79" s="202">
        <f t="shared" si="4"/>
        <v>1.003633</v>
      </c>
      <c r="Q79" s="112">
        <f>ROUND(O79*'116年參數表'!D$20*P79, 0)</f>
        <v>656900</v>
      </c>
      <c r="R79" s="174">
        <f t="shared" si="6"/>
        <v>2</v>
      </c>
    </row>
    <row r="80" spans="1:18">
      <c r="A80" s="75">
        <v>190</v>
      </c>
      <c r="B80" s="75" t="s">
        <v>173</v>
      </c>
      <c r="C80" s="173">
        <v>28</v>
      </c>
      <c r="D80" s="174">
        <v>30</v>
      </c>
      <c r="E80" s="174">
        <v>29</v>
      </c>
      <c r="F80" s="174">
        <v>29</v>
      </c>
      <c r="G80" s="174">
        <v>29</v>
      </c>
      <c r="H80" s="174">
        <v>28</v>
      </c>
      <c r="I80" s="174">
        <v>29</v>
      </c>
      <c r="J80" s="174">
        <v>29</v>
      </c>
      <c r="K80" s="174">
        <v>28</v>
      </c>
      <c r="L80" s="174">
        <v>28</v>
      </c>
      <c r="M80" s="174">
        <v>28</v>
      </c>
      <c r="N80" s="174"/>
      <c r="O80" s="210">
        <f t="shared" si="5"/>
        <v>29</v>
      </c>
      <c r="P80" s="202">
        <f t="shared" si="4"/>
        <v>1.003633</v>
      </c>
      <c r="Q80" s="112">
        <f>ROUND(O80*'116年參數表'!D$20*P80, 0)</f>
        <v>577276</v>
      </c>
      <c r="R80" s="174">
        <f t="shared" si="6"/>
        <v>1</v>
      </c>
    </row>
    <row r="81" spans="1:18">
      <c r="A81" s="75">
        <v>191</v>
      </c>
      <c r="B81" s="75" t="s">
        <v>20</v>
      </c>
      <c r="C81" s="173">
        <v>30</v>
      </c>
      <c r="D81" s="174">
        <v>31</v>
      </c>
      <c r="E81" s="174">
        <v>31</v>
      </c>
      <c r="F81" s="174">
        <v>31</v>
      </c>
      <c r="G81" s="174">
        <v>31</v>
      </c>
      <c r="H81" s="174">
        <v>31</v>
      </c>
      <c r="I81" s="174">
        <v>31</v>
      </c>
      <c r="J81" s="174">
        <v>31</v>
      </c>
      <c r="K81" s="174">
        <v>30</v>
      </c>
      <c r="L81" s="174">
        <v>30</v>
      </c>
      <c r="M81" s="174">
        <v>30</v>
      </c>
      <c r="N81" s="174"/>
      <c r="O81" s="210">
        <f t="shared" si="5"/>
        <v>31</v>
      </c>
      <c r="P81" s="202">
        <f t="shared" si="4"/>
        <v>1.003633</v>
      </c>
      <c r="Q81" s="112">
        <f>ROUND(O81*'116年參數表'!D$20*P81, 0)</f>
        <v>617088</v>
      </c>
      <c r="R81" s="174">
        <f t="shared" si="6"/>
        <v>1</v>
      </c>
    </row>
    <row r="82" spans="1:18">
      <c r="A82" s="75">
        <v>192</v>
      </c>
      <c r="B82" s="75" t="s">
        <v>174</v>
      </c>
      <c r="C82" s="173">
        <v>34</v>
      </c>
      <c r="D82" s="174">
        <v>34</v>
      </c>
      <c r="E82" s="174">
        <v>34</v>
      </c>
      <c r="F82" s="174">
        <v>33</v>
      </c>
      <c r="G82" s="174">
        <v>34</v>
      </c>
      <c r="H82" s="174">
        <v>34</v>
      </c>
      <c r="I82" s="174">
        <v>35</v>
      </c>
      <c r="J82" s="174">
        <v>35</v>
      </c>
      <c r="K82" s="174">
        <v>34</v>
      </c>
      <c r="L82" s="174">
        <v>33</v>
      </c>
      <c r="M82" s="174">
        <v>33</v>
      </c>
      <c r="N82" s="174"/>
      <c r="O82" s="210">
        <f t="shared" si="5"/>
        <v>34</v>
      </c>
      <c r="P82" s="202">
        <f t="shared" si="4"/>
        <v>1.003633</v>
      </c>
      <c r="Q82" s="112">
        <f>ROUND(O82*'116年參數表'!D$20*P82, 0)</f>
        <v>676806</v>
      </c>
      <c r="R82" s="174">
        <f t="shared" si="6"/>
        <v>0</v>
      </c>
    </row>
    <row r="83" spans="1:18">
      <c r="A83" s="75">
        <v>193</v>
      </c>
      <c r="B83" s="75" t="s">
        <v>21</v>
      </c>
      <c r="C83" s="173">
        <v>32</v>
      </c>
      <c r="D83" s="174">
        <v>30</v>
      </c>
      <c r="E83" s="174">
        <v>30</v>
      </c>
      <c r="F83" s="174">
        <v>31</v>
      </c>
      <c r="G83" s="174">
        <v>33</v>
      </c>
      <c r="H83" s="174">
        <v>32</v>
      </c>
      <c r="I83" s="174">
        <v>32</v>
      </c>
      <c r="J83" s="174">
        <v>32</v>
      </c>
      <c r="K83" s="174">
        <v>31</v>
      </c>
      <c r="L83" s="174">
        <v>31</v>
      </c>
      <c r="M83" s="174">
        <v>31</v>
      </c>
      <c r="N83" s="174"/>
      <c r="O83" s="210">
        <f t="shared" si="5"/>
        <v>31</v>
      </c>
      <c r="P83" s="202">
        <f t="shared" si="4"/>
        <v>1.003633</v>
      </c>
      <c r="Q83" s="112">
        <f>ROUND(O83*'116年參數表'!D$20*P83, 0)</f>
        <v>617088</v>
      </c>
      <c r="R83" s="174">
        <f t="shared" si="6"/>
        <v>-1</v>
      </c>
    </row>
    <row r="84" spans="1:18">
      <c r="A84" s="75">
        <v>194</v>
      </c>
      <c r="B84" s="75" t="s">
        <v>175</v>
      </c>
      <c r="C84" s="173">
        <v>25</v>
      </c>
      <c r="D84" s="174">
        <v>25</v>
      </c>
      <c r="E84" s="174">
        <v>25</v>
      </c>
      <c r="F84" s="174">
        <v>25</v>
      </c>
      <c r="G84" s="174">
        <v>25</v>
      </c>
      <c r="H84" s="174">
        <v>25</v>
      </c>
      <c r="I84" s="174">
        <v>25</v>
      </c>
      <c r="J84" s="174">
        <v>25</v>
      </c>
      <c r="K84" s="174">
        <v>24</v>
      </c>
      <c r="L84" s="174">
        <v>24</v>
      </c>
      <c r="M84" s="174">
        <v>24</v>
      </c>
      <c r="N84" s="174"/>
      <c r="O84" s="210">
        <f t="shared" si="5"/>
        <v>25</v>
      </c>
      <c r="P84" s="202">
        <f t="shared" si="4"/>
        <v>1.003633</v>
      </c>
      <c r="Q84" s="112">
        <f>ROUND(O84*'116年參數表'!D$20*P84, 0)</f>
        <v>497651</v>
      </c>
      <c r="R84" s="174">
        <f t="shared" si="6"/>
        <v>0</v>
      </c>
    </row>
    <row r="85" spans="1:18">
      <c r="A85" s="75">
        <v>195</v>
      </c>
      <c r="B85" s="75" t="s">
        <v>22</v>
      </c>
      <c r="C85" s="173">
        <v>24</v>
      </c>
      <c r="D85" s="174">
        <v>24</v>
      </c>
      <c r="E85" s="174">
        <v>24</v>
      </c>
      <c r="F85" s="174">
        <v>24</v>
      </c>
      <c r="G85" s="174">
        <v>23</v>
      </c>
      <c r="H85" s="174">
        <v>23</v>
      </c>
      <c r="I85" s="174">
        <v>24</v>
      </c>
      <c r="J85" s="237">
        <v>23</v>
      </c>
      <c r="K85" s="237">
        <v>23</v>
      </c>
      <c r="L85" s="237">
        <v>23</v>
      </c>
      <c r="M85" s="237">
        <v>23</v>
      </c>
      <c r="N85" s="237"/>
      <c r="O85" s="210">
        <f t="shared" si="5"/>
        <v>23</v>
      </c>
      <c r="P85" s="202">
        <f t="shared" si="4"/>
        <v>1.003633</v>
      </c>
      <c r="Q85" s="112">
        <f>ROUND(O85*'116年參數表'!D$20*P85, 0)</f>
        <v>457839</v>
      </c>
      <c r="R85" s="174">
        <f t="shared" si="6"/>
        <v>-1</v>
      </c>
    </row>
    <row r="86" spans="1:18">
      <c r="A86" s="75">
        <v>196</v>
      </c>
      <c r="B86" s="75" t="s">
        <v>88</v>
      </c>
      <c r="C86" s="173">
        <v>24</v>
      </c>
      <c r="D86" s="174">
        <v>23</v>
      </c>
      <c r="E86" s="174">
        <v>24</v>
      </c>
      <c r="F86" s="174">
        <v>23</v>
      </c>
      <c r="G86" s="174">
        <v>24</v>
      </c>
      <c r="H86" s="174">
        <v>23</v>
      </c>
      <c r="I86" s="174">
        <v>24</v>
      </c>
      <c r="J86" s="174">
        <v>23</v>
      </c>
      <c r="K86" s="174">
        <v>23</v>
      </c>
      <c r="L86" s="174">
        <v>24</v>
      </c>
      <c r="M86" s="174">
        <v>25</v>
      </c>
      <c r="N86" s="174"/>
      <c r="O86" s="210">
        <f t="shared" si="5"/>
        <v>24</v>
      </c>
      <c r="P86" s="202">
        <f t="shared" si="4"/>
        <v>1.003633</v>
      </c>
      <c r="Q86" s="112">
        <f>ROUND(O86*'116年參數表'!D$20*P86, 0)</f>
        <v>477745</v>
      </c>
      <c r="R86" s="174">
        <f t="shared" si="6"/>
        <v>0</v>
      </c>
    </row>
    <row r="87" spans="1:18">
      <c r="A87" s="75">
        <v>197</v>
      </c>
      <c r="B87" s="75" t="s">
        <v>23</v>
      </c>
      <c r="C87" s="173">
        <v>21</v>
      </c>
      <c r="D87" s="174">
        <v>22</v>
      </c>
      <c r="E87" s="174">
        <v>22</v>
      </c>
      <c r="F87" s="174">
        <v>22</v>
      </c>
      <c r="G87" s="174">
        <v>22</v>
      </c>
      <c r="H87" s="174">
        <v>21</v>
      </c>
      <c r="I87" s="174">
        <v>21</v>
      </c>
      <c r="J87" s="174">
        <v>22</v>
      </c>
      <c r="K87" s="174">
        <v>21</v>
      </c>
      <c r="L87" s="174">
        <v>23</v>
      </c>
      <c r="M87" s="174">
        <v>23</v>
      </c>
      <c r="N87" s="174"/>
      <c r="O87" s="210">
        <f t="shared" si="5"/>
        <v>22</v>
      </c>
      <c r="P87" s="202">
        <f t="shared" si="4"/>
        <v>1.003633</v>
      </c>
      <c r="Q87" s="112">
        <f>ROUND(O87*'116年參數表'!D$20*P87, 0)</f>
        <v>437933</v>
      </c>
      <c r="R87" s="174">
        <f t="shared" si="6"/>
        <v>1</v>
      </c>
    </row>
    <row r="88" spans="1:18">
      <c r="A88" s="75">
        <v>199</v>
      </c>
      <c r="B88" s="75" t="s">
        <v>24</v>
      </c>
      <c r="C88" s="173">
        <v>24</v>
      </c>
      <c r="D88" s="174">
        <v>28</v>
      </c>
      <c r="E88" s="174">
        <v>28</v>
      </c>
      <c r="F88" s="174">
        <v>28</v>
      </c>
      <c r="G88" s="174">
        <v>27</v>
      </c>
      <c r="H88" s="174">
        <v>27</v>
      </c>
      <c r="I88" s="174">
        <v>26</v>
      </c>
      <c r="J88" s="174">
        <v>26</v>
      </c>
      <c r="K88" s="174">
        <v>26</v>
      </c>
      <c r="L88" s="174">
        <v>26</v>
      </c>
      <c r="M88" s="174">
        <v>26</v>
      </c>
      <c r="N88" s="174"/>
      <c r="O88" s="210">
        <f t="shared" si="5"/>
        <v>27</v>
      </c>
      <c r="P88" s="202">
        <f t="shared" si="4"/>
        <v>1.003633</v>
      </c>
      <c r="Q88" s="112">
        <f>ROUND(O88*'116年參數表'!D$20*P88, 0)</f>
        <v>537464</v>
      </c>
      <c r="R88" s="174">
        <f t="shared" si="6"/>
        <v>3</v>
      </c>
    </row>
    <row r="89" spans="1:18">
      <c r="A89" s="75">
        <v>200</v>
      </c>
      <c r="B89" s="75" t="s">
        <v>89</v>
      </c>
      <c r="C89" s="173">
        <v>24</v>
      </c>
      <c r="D89" s="174">
        <v>25</v>
      </c>
      <c r="E89" s="174">
        <v>25</v>
      </c>
      <c r="F89" s="174">
        <v>24</v>
      </c>
      <c r="G89" s="174">
        <v>24</v>
      </c>
      <c r="H89" s="174">
        <v>24</v>
      </c>
      <c r="I89" s="174">
        <v>25</v>
      </c>
      <c r="J89" s="174">
        <v>24</v>
      </c>
      <c r="K89" s="174">
        <v>24</v>
      </c>
      <c r="L89" s="174">
        <v>24</v>
      </c>
      <c r="M89" s="174">
        <v>24</v>
      </c>
      <c r="N89" s="174"/>
      <c r="O89" s="210">
        <f t="shared" si="5"/>
        <v>24</v>
      </c>
      <c r="P89" s="202">
        <f t="shared" si="4"/>
        <v>1.003633</v>
      </c>
      <c r="Q89" s="112">
        <f>ROUND(O89*'116年參數表'!D$20*P89, 0)</f>
        <v>477745</v>
      </c>
      <c r="R89" s="174">
        <f t="shared" si="6"/>
        <v>0</v>
      </c>
    </row>
    <row r="90" spans="1:18">
      <c r="A90" s="75">
        <v>201</v>
      </c>
      <c r="B90" s="75" t="s">
        <v>90</v>
      </c>
      <c r="C90" s="173">
        <v>26</v>
      </c>
      <c r="D90" s="174">
        <v>25</v>
      </c>
      <c r="E90" s="174">
        <v>25</v>
      </c>
      <c r="F90" s="174">
        <v>25</v>
      </c>
      <c r="G90" s="174">
        <v>25</v>
      </c>
      <c r="H90" s="174">
        <v>24</v>
      </c>
      <c r="I90" s="174">
        <v>25</v>
      </c>
      <c r="J90" s="174">
        <v>25</v>
      </c>
      <c r="K90" s="174">
        <v>25</v>
      </c>
      <c r="L90" s="174">
        <v>25</v>
      </c>
      <c r="M90" s="174">
        <v>27</v>
      </c>
      <c r="N90" s="174"/>
      <c r="O90" s="210">
        <f t="shared" si="5"/>
        <v>25</v>
      </c>
      <c r="P90" s="202">
        <f t="shared" si="4"/>
        <v>1.003633</v>
      </c>
      <c r="Q90" s="112">
        <f>ROUND(O90*'116年參數表'!D$20*P90, 0)</f>
        <v>497651</v>
      </c>
      <c r="R90" s="174">
        <f t="shared" si="6"/>
        <v>-1</v>
      </c>
    </row>
    <row r="91" spans="1:18">
      <c r="A91" s="75">
        <v>211</v>
      </c>
      <c r="B91" s="75" t="s">
        <v>25</v>
      </c>
      <c r="C91" s="173">
        <v>28</v>
      </c>
      <c r="D91" s="174">
        <v>28</v>
      </c>
      <c r="E91" s="174">
        <v>28</v>
      </c>
      <c r="F91" s="174">
        <v>28</v>
      </c>
      <c r="G91" s="174">
        <v>28</v>
      </c>
      <c r="H91" s="174">
        <v>28</v>
      </c>
      <c r="I91" s="174">
        <v>28</v>
      </c>
      <c r="J91" s="174">
        <v>27</v>
      </c>
      <c r="K91" s="174">
        <v>27</v>
      </c>
      <c r="L91" s="174">
        <v>27</v>
      </c>
      <c r="M91" s="174">
        <v>27</v>
      </c>
      <c r="N91" s="174"/>
      <c r="O91" s="210">
        <f t="shared" si="5"/>
        <v>28</v>
      </c>
      <c r="P91" s="202">
        <f t="shared" si="4"/>
        <v>1.003633</v>
      </c>
      <c r="Q91" s="112">
        <f>ROUND(O91*'116年參數表'!D$20*P91, 0)</f>
        <v>557370</v>
      </c>
      <c r="R91" s="174">
        <f t="shared" si="6"/>
        <v>0</v>
      </c>
    </row>
    <row r="92" spans="1:18">
      <c r="A92" s="75">
        <v>220</v>
      </c>
      <c r="B92" s="75" t="s">
        <v>26</v>
      </c>
      <c r="C92" s="173">
        <v>25</v>
      </c>
      <c r="D92" s="174">
        <v>27</v>
      </c>
      <c r="E92" s="174">
        <v>25</v>
      </c>
      <c r="F92" s="174">
        <v>24</v>
      </c>
      <c r="G92" s="174">
        <v>24</v>
      </c>
      <c r="H92" s="174">
        <v>23</v>
      </c>
      <c r="I92" s="174">
        <v>26</v>
      </c>
      <c r="J92" s="174">
        <v>25</v>
      </c>
      <c r="K92" s="174">
        <v>27</v>
      </c>
      <c r="L92" s="174">
        <v>27</v>
      </c>
      <c r="M92" s="174">
        <v>27</v>
      </c>
      <c r="N92" s="174"/>
      <c r="O92" s="210">
        <f t="shared" si="5"/>
        <v>26</v>
      </c>
      <c r="P92" s="202">
        <f t="shared" si="4"/>
        <v>1.003633</v>
      </c>
      <c r="Q92" s="112">
        <f>ROUND(O92*'116年參數表'!D$20*P92, 0)</f>
        <v>517557</v>
      </c>
      <c r="R92" s="174">
        <f t="shared" si="6"/>
        <v>1</v>
      </c>
    </row>
    <row r="93" spans="1:18">
      <c r="A93" s="75">
        <v>221</v>
      </c>
      <c r="B93" s="75" t="s">
        <v>27</v>
      </c>
      <c r="C93" s="173">
        <v>23</v>
      </c>
      <c r="D93" s="174">
        <v>23</v>
      </c>
      <c r="E93" s="174">
        <v>24</v>
      </c>
      <c r="F93" s="174">
        <v>23</v>
      </c>
      <c r="G93" s="174">
        <v>23</v>
      </c>
      <c r="H93" s="174">
        <v>23</v>
      </c>
      <c r="I93" s="174">
        <v>23</v>
      </c>
      <c r="J93" s="174">
        <v>24</v>
      </c>
      <c r="K93" s="174">
        <v>25</v>
      </c>
      <c r="L93" s="174">
        <v>25</v>
      </c>
      <c r="M93" s="174">
        <v>25</v>
      </c>
      <c r="N93" s="174"/>
      <c r="O93" s="210">
        <f t="shared" si="5"/>
        <v>24</v>
      </c>
      <c r="P93" s="202">
        <f t="shared" si="4"/>
        <v>1.003633</v>
      </c>
      <c r="Q93" s="112">
        <f>ROUND(O93*'116年參數表'!D$20*P93, 0)</f>
        <v>477745</v>
      </c>
      <c r="R93" s="174">
        <f t="shared" si="6"/>
        <v>1</v>
      </c>
    </row>
    <row r="94" spans="1:18" s="97" customFormat="1">
      <c r="A94" s="96">
        <v>240</v>
      </c>
      <c r="B94" s="96" t="s">
        <v>177</v>
      </c>
      <c r="C94" s="173">
        <v>35</v>
      </c>
      <c r="D94" s="208">
        <v>39</v>
      </c>
      <c r="E94" s="208">
        <v>40</v>
      </c>
      <c r="F94" s="208">
        <v>39</v>
      </c>
      <c r="G94" s="208">
        <v>38</v>
      </c>
      <c r="H94" s="208">
        <v>37</v>
      </c>
      <c r="I94" s="208">
        <v>36</v>
      </c>
      <c r="J94" s="208">
        <v>37</v>
      </c>
      <c r="K94" s="208">
        <v>36</v>
      </c>
      <c r="L94" s="208">
        <v>35</v>
      </c>
      <c r="M94" s="208">
        <v>35</v>
      </c>
      <c r="N94" s="208"/>
      <c r="O94" s="210">
        <f t="shared" si="5"/>
        <v>37</v>
      </c>
      <c r="P94" s="203">
        <v>0.95</v>
      </c>
      <c r="Q94" s="112">
        <f>ROUND(O94*'116年參數表'!D$20*P94, 0)</f>
        <v>697165</v>
      </c>
      <c r="R94" s="174">
        <f t="shared" si="6"/>
        <v>2</v>
      </c>
    </row>
    <row r="95" spans="1:18" s="97" customFormat="1">
      <c r="A95" s="96">
        <v>241</v>
      </c>
      <c r="B95" s="96" t="s">
        <v>91</v>
      </c>
      <c r="C95" s="173">
        <v>36</v>
      </c>
      <c r="D95" s="208">
        <v>38</v>
      </c>
      <c r="E95" s="208">
        <v>38</v>
      </c>
      <c r="F95" s="208">
        <v>38</v>
      </c>
      <c r="G95" s="208">
        <v>38</v>
      </c>
      <c r="H95" s="208">
        <v>37</v>
      </c>
      <c r="I95" s="208">
        <v>36</v>
      </c>
      <c r="J95" s="208">
        <v>36</v>
      </c>
      <c r="K95" s="208">
        <v>36</v>
      </c>
      <c r="L95" s="208">
        <v>36</v>
      </c>
      <c r="M95" s="208">
        <v>36</v>
      </c>
      <c r="N95" s="208"/>
      <c r="O95" s="210">
        <f t="shared" si="5"/>
        <v>37</v>
      </c>
      <c r="P95" s="203">
        <v>0.95</v>
      </c>
      <c r="Q95" s="112">
        <f>ROUND(O95*'116年參數表'!D$20*P95, 0)</f>
        <v>697165</v>
      </c>
      <c r="R95" s="174">
        <f t="shared" si="6"/>
        <v>1</v>
      </c>
    </row>
    <row r="96" spans="1:18">
      <c r="A96" s="75">
        <v>242</v>
      </c>
      <c r="B96" s="75" t="s">
        <v>28</v>
      </c>
      <c r="C96" s="173">
        <v>28</v>
      </c>
      <c r="D96" s="174">
        <v>29</v>
      </c>
      <c r="E96" s="174">
        <v>30</v>
      </c>
      <c r="F96" s="174">
        <v>29</v>
      </c>
      <c r="G96" s="174">
        <v>29</v>
      </c>
      <c r="H96" s="174">
        <v>29</v>
      </c>
      <c r="I96" s="174">
        <v>30</v>
      </c>
      <c r="J96" s="174">
        <v>30</v>
      </c>
      <c r="K96" s="174">
        <v>30</v>
      </c>
      <c r="L96" s="174">
        <v>31</v>
      </c>
      <c r="M96" s="174">
        <v>31</v>
      </c>
      <c r="N96" s="174"/>
      <c r="O96" s="210">
        <f t="shared" si="5"/>
        <v>30</v>
      </c>
      <c r="P96" s="202">
        <f t="shared" si="4"/>
        <v>1.003633</v>
      </c>
      <c r="Q96" s="112">
        <f>ROUND(O96*'116年參數表'!D$20*P96, 0)</f>
        <v>597182</v>
      </c>
      <c r="R96" s="174">
        <f t="shared" si="6"/>
        <v>2</v>
      </c>
    </row>
    <row r="97" spans="1:18">
      <c r="A97" s="75">
        <v>243</v>
      </c>
      <c r="B97" s="75" t="s">
        <v>92</v>
      </c>
      <c r="C97" s="173">
        <v>25</v>
      </c>
      <c r="D97" s="174">
        <v>24</v>
      </c>
      <c r="E97" s="174">
        <v>24</v>
      </c>
      <c r="F97" s="174">
        <v>23</v>
      </c>
      <c r="G97" s="174">
        <v>24</v>
      </c>
      <c r="H97" s="174">
        <v>24</v>
      </c>
      <c r="I97" s="174">
        <v>25</v>
      </c>
      <c r="J97" s="174">
        <v>25</v>
      </c>
      <c r="K97" s="174">
        <v>26</v>
      </c>
      <c r="L97" s="174">
        <v>26</v>
      </c>
      <c r="M97" s="174">
        <v>26</v>
      </c>
      <c r="N97" s="174"/>
      <c r="O97" s="210">
        <f t="shared" si="5"/>
        <v>25</v>
      </c>
      <c r="P97" s="202">
        <f t="shared" si="4"/>
        <v>1.003633</v>
      </c>
      <c r="Q97" s="112">
        <f>ROUND(O97*'116年參數表'!D$20*P97, 0)</f>
        <v>497651</v>
      </c>
      <c r="R97" s="174">
        <f t="shared" si="6"/>
        <v>0</v>
      </c>
    </row>
    <row r="98" spans="1:18">
      <c r="A98" s="75">
        <v>244</v>
      </c>
      <c r="B98" s="75" t="s">
        <v>29</v>
      </c>
      <c r="C98" s="173">
        <v>31</v>
      </c>
      <c r="D98" s="174">
        <v>31</v>
      </c>
      <c r="E98" s="174">
        <v>31</v>
      </c>
      <c r="F98" s="174">
        <v>30</v>
      </c>
      <c r="G98" s="174">
        <v>30</v>
      </c>
      <c r="H98" s="174">
        <v>30</v>
      </c>
      <c r="I98" s="174">
        <v>31</v>
      </c>
      <c r="J98" s="174">
        <v>31</v>
      </c>
      <c r="K98" s="174">
        <v>31</v>
      </c>
      <c r="L98" s="174">
        <v>31</v>
      </c>
      <c r="M98" s="174">
        <v>31</v>
      </c>
      <c r="N98" s="174"/>
      <c r="O98" s="210">
        <f t="shared" si="5"/>
        <v>31</v>
      </c>
      <c r="P98" s="202">
        <f t="shared" si="4"/>
        <v>1.003633</v>
      </c>
      <c r="Q98" s="112">
        <f>ROUND(O98*'116年參數表'!D$20*P98, 0)</f>
        <v>617088</v>
      </c>
      <c r="R98" s="174">
        <f t="shared" si="6"/>
        <v>0</v>
      </c>
    </row>
    <row r="99" spans="1:18">
      <c r="A99" s="75">
        <v>245</v>
      </c>
      <c r="B99" s="75" t="s">
        <v>93</v>
      </c>
      <c r="C99" s="173">
        <v>29</v>
      </c>
      <c r="D99" s="174">
        <v>29</v>
      </c>
      <c r="E99" s="174">
        <v>28</v>
      </c>
      <c r="F99" s="174">
        <v>28</v>
      </c>
      <c r="G99" s="174">
        <v>28</v>
      </c>
      <c r="H99" s="174">
        <v>28</v>
      </c>
      <c r="I99" s="174">
        <v>29</v>
      </c>
      <c r="J99" s="174">
        <v>28</v>
      </c>
      <c r="K99" s="174">
        <v>28</v>
      </c>
      <c r="L99" s="174">
        <v>28</v>
      </c>
      <c r="M99" s="174">
        <v>28</v>
      </c>
      <c r="N99" s="174"/>
      <c r="O99" s="210">
        <f t="shared" si="5"/>
        <v>28</v>
      </c>
      <c r="P99" s="202">
        <f t="shared" si="4"/>
        <v>1.003633</v>
      </c>
      <c r="Q99" s="112">
        <f>ROUND(O99*'116年參數表'!D$20*P99, 0)</f>
        <v>557370</v>
      </c>
      <c r="R99" s="174">
        <f t="shared" ref="R99:R108" si="7">O99-C99</f>
        <v>-1</v>
      </c>
    </row>
    <row r="100" spans="1:18">
      <c r="A100" s="75">
        <v>246</v>
      </c>
      <c r="B100" s="75" t="s">
        <v>178</v>
      </c>
      <c r="C100" s="173">
        <v>25</v>
      </c>
      <c r="D100" s="174">
        <v>26</v>
      </c>
      <c r="E100" s="174">
        <v>26</v>
      </c>
      <c r="F100" s="174">
        <v>27</v>
      </c>
      <c r="G100" s="174">
        <v>27</v>
      </c>
      <c r="H100" s="174">
        <v>26</v>
      </c>
      <c r="I100" s="174">
        <v>26</v>
      </c>
      <c r="J100" s="174">
        <v>26</v>
      </c>
      <c r="K100" s="174">
        <v>26</v>
      </c>
      <c r="L100" s="174">
        <v>26</v>
      </c>
      <c r="M100" s="174">
        <v>26</v>
      </c>
      <c r="N100" s="174"/>
      <c r="O100" s="210">
        <f t="shared" si="5"/>
        <v>26</v>
      </c>
      <c r="P100" s="202">
        <f t="shared" si="4"/>
        <v>1.003633</v>
      </c>
      <c r="Q100" s="112">
        <f>ROUND(O100*'116年參數表'!D$20*P100, 0)</f>
        <v>517557</v>
      </c>
      <c r="R100" s="174">
        <f t="shared" si="7"/>
        <v>1</v>
      </c>
    </row>
    <row r="101" spans="1:18">
      <c r="A101" s="75">
        <v>247</v>
      </c>
      <c r="B101" s="75" t="s">
        <v>179</v>
      </c>
      <c r="C101" s="173">
        <v>26</v>
      </c>
      <c r="D101" s="174">
        <v>27</v>
      </c>
      <c r="E101" s="174">
        <v>26</v>
      </c>
      <c r="F101" s="174">
        <v>23</v>
      </c>
      <c r="G101" s="174">
        <v>24</v>
      </c>
      <c r="H101" s="174">
        <v>24</v>
      </c>
      <c r="I101" s="174">
        <v>26</v>
      </c>
      <c r="J101" s="174">
        <v>26</v>
      </c>
      <c r="K101" s="174">
        <v>27</v>
      </c>
      <c r="L101" s="174">
        <v>27</v>
      </c>
      <c r="M101" s="174">
        <v>27</v>
      </c>
      <c r="N101" s="174"/>
      <c r="O101" s="210">
        <f t="shared" si="5"/>
        <v>26</v>
      </c>
      <c r="P101" s="202">
        <f t="shared" si="4"/>
        <v>1.003633</v>
      </c>
      <c r="Q101" s="112">
        <f>ROUND(O101*'116年參數表'!D$20*P101, 0)</f>
        <v>517557</v>
      </c>
      <c r="R101" s="174">
        <f t="shared" si="7"/>
        <v>0</v>
      </c>
    </row>
    <row r="102" spans="1:18">
      <c r="A102" s="75">
        <v>248</v>
      </c>
      <c r="B102" s="75" t="s">
        <v>94</v>
      </c>
      <c r="C102" s="173">
        <v>33</v>
      </c>
      <c r="D102" s="174">
        <v>35</v>
      </c>
      <c r="E102" s="174">
        <v>36</v>
      </c>
      <c r="F102" s="174">
        <v>36</v>
      </c>
      <c r="G102" s="174">
        <v>36</v>
      </c>
      <c r="H102" s="174">
        <v>36</v>
      </c>
      <c r="I102" s="174">
        <v>36</v>
      </c>
      <c r="J102" s="174">
        <v>35</v>
      </c>
      <c r="K102" s="174">
        <v>35</v>
      </c>
      <c r="L102" s="174">
        <v>35</v>
      </c>
      <c r="M102" s="174">
        <v>35</v>
      </c>
      <c r="N102" s="174"/>
      <c r="O102" s="210">
        <f t="shared" si="5"/>
        <v>36</v>
      </c>
      <c r="P102" s="202">
        <f t="shared" si="4"/>
        <v>1.003633</v>
      </c>
      <c r="Q102" s="112">
        <f>ROUND(O102*'116年參數表'!D$20*P102, 0)</f>
        <v>716618</v>
      </c>
      <c r="R102" s="174">
        <f t="shared" si="7"/>
        <v>3</v>
      </c>
    </row>
    <row r="103" spans="1:18">
      <c r="A103" s="75">
        <v>249</v>
      </c>
      <c r="B103" s="75" t="s">
        <v>30</v>
      </c>
      <c r="C103" s="173">
        <v>22</v>
      </c>
      <c r="D103" s="174">
        <v>25</v>
      </c>
      <c r="E103" s="174">
        <v>24</v>
      </c>
      <c r="F103" s="174">
        <v>24</v>
      </c>
      <c r="G103" s="174">
        <v>24</v>
      </c>
      <c r="H103" s="174">
        <v>24</v>
      </c>
      <c r="I103" s="174">
        <v>23</v>
      </c>
      <c r="J103" s="174">
        <v>23</v>
      </c>
      <c r="K103" s="174">
        <v>23</v>
      </c>
      <c r="L103" s="174">
        <v>23</v>
      </c>
      <c r="M103" s="174">
        <v>23</v>
      </c>
      <c r="N103" s="174"/>
      <c r="O103" s="210">
        <f t="shared" si="5"/>
        <v>24</v>
      </c>
      <c r="P103" s="202">
        <f t="shared" si="4"/>
        <v>1.003633</v>
      </c>
      <c r="Q103" s="112">
        <f>ROUND(O103*'116年參數表'!D$20*P103, 0)</f>
        <v>477745</v>
      </c>
      <c r="R103" s="174">
        <f t="shared" si="7"/>
        <v>2</v>
      </c>
    </row>
    <row r="104" spans="1:18">
      <c r="A104" s="75">
        <v>250</v>
      </c>
      <c r="B104" s="75" t="s">
        <v>180</v>
      </c>
      <c r="C104" s="173">
        <v>21</v>
      </c>
      <c r="D104" s="174">
        <v>21</v>
      </c>
      <c r="E104" s="174">
        <v>22</v>
      </c>
      <c r="F104" s="174">
        <v>22</v>
      </c>
      <c r="G104" s="174">
        <v>22</v>
      </c>
      <c r="H104" s="174">
        <v>22</v>
      </c>
      <c r="I104" s="174">
        <v>23</v>
      </c>
      <c r="J104" s="174">
        <v>23</v>
      </c>
      <c r="K104" s="174">
        <v>21</v>
      </c>
      <c r="L104" s="174">
        <v>21</v>
      </c>
      <c r="M104" s="174">
        <v>21</v>
      </c>
      <c r="N104" s="174"/>
      <c r="O104" s="210">
        <f t="shared" si="5"/>
        <v>22</v>
      </c>
      <c r="P104" s="202">
        <f t="shared" si="4"/>
        <v>1.003633</v>
      </c>
      <c r="Q104" s="112">
        <f>ROUND(O104*'116年參數表'!D$20*P104, 0)</f>
        <v>437933</v>
      </c>
      <c r="R104" s="174">
        <f t="shared" si="7"/>
        <v>1</v>
      </c>
    </row>
    <row r="105" spans="1:18">
      <c r="A105" s="75">
        <v>251</v>
      </c>
      <c r="B105" s="75" t="s">
        <v>181</v>
      </c>
      <c r="C105" s="173">
        <v>25</v>
      </c>
      <c r="D105" s="174">
        <v>28</v>
      </c>
      <c r="E105" s="174">
        <v>28</v>
      </c>
      <c r="F105" s="174">
        <v>28</v>
      </c>
      <c r="G105" s="174">
        <v>28</v>
      </c>
      <c r="H105" s="174">
        <v>28</v>
      </c>
      <c r="I105" s="174">
        <v>28</v>
      </c>
      <c r="J105" s="174">
        <v>26</v>
      </c>
      <c r="K105" s="174">
        <v>26</v>
      </c>
      <c r="L105" s="174">
        <v>26</v>
      </c>
      <c r="M105" s="174">
        <v>26</v>
      </c>
      <c r="N105" s="174"/>
      <c r="O105" s="210">
        <f t="shared" si="5"/>
        <v>27</v>
      </c>
      <c r="P105" s="202">
        <f t="shared" si="4"/>
        <v>1.003633</v>
      </c>
      <c r="Q105" s="112">
        <f>ROUND(O105*'116年參數表'!D$20*P105, 0)</f>
        <v>537464</v>
      </c>
      <c r="R105" s="174">
        <f t="shared" si="7"/>
        <v>2</v>
      </c>
    </row>
    <row r="106" spans="1:18">
      <c r="A106" s="75">
        <v>252</v>
      </c>
      <c r="B106" s="75" t="s">
        <v>95</v>
      </c>
      <c r="C106" s="173">
        <v>34</v>
      </c>
      <c r="D106" s="174">
        <v>38</v>
      </c>
      <c r="E106" s="174">
        <v>38</v>
      </c>
      <c r="F106" s="174">
        <v>38</v>
      </c>
      <c r="G106" s="174">
        <v>38</v>
      </c>
      <c r="H106" s="174">
        <v>38</v>
      </c>
      <c r="I106" s="174">
        <v>39</v>
      </c>
      <c r="J106" s="174">
        <v>39</v>
      </c>
      <c r="K106" s="174">
        <v>39</v>
      </c>
      <c r="L106" s="174">
        <v>39</v>
      </c>
      <c r="M106" s="174">
        <v>39</v>
      </c>
      <c r="N106" s="174"/>
      <c r="O106" s="210">
        <f t="shared" si="5"/>
        <v>39</v>
      </c>
      <c r="P106" s="202">
        <f t="shared" si="4"/>
        <v>1.003633</v>
      </c>
      <c r="Q106" s="112">
        <f>ROUND(O106*'116年參數表'!D$20*P106, 0)</f>
        <v>776336</v>
      </c>
      <c r="R106" s="174">
        <f t="shared" si="7"/>
        <v>5</v>
      </c>
    </row>
    <row r="107" spans="1:18">
      <c r="A107" s="75">
        <v>260</v>
      </c>
      <c r="B107" s="75" t="s">
        <v>96</v>
      </c>
      <c r="C107" s="173">
        <v>30</v>
      </c>
      <c r="D107" s="174">
        <v>31</v>
      </c>
      <c r="E107" s="174">
        <v>32</v>
      </c>
      <c r="F107" s="174">
        <v>31</v>
      </c>
      <c r="G107" s="174">
        <v>30</v>
      </c>
      <c r="H107" s="174">
        <v>30</v>
      </c>
      <c r="I107" s="174">
        <v>31</v>
      </c>
      <c r="J107" s="174">
        <v>31</v>
      </c>
      <c r="K107" s="174">
        <v>31</v>
      </c>
      <c r="L107" s="174">
        <v>31</v>
      </c>
      <c r="M107" s="174">
        <v>31</v>
      </c>
      <c r="N107" s="174"/>
      <c r="O107" s="210">
        <f t="shared" si="5"/>
        <v>31</v>
      </c>
      <c r="P107" s="202">
        <f t="shared" si="4"/>
        <v>1.003633</v>
      </c>
      <c r="Q107" s="112">
        <f>ROUND(O107*'116年參數表'!D$20*P107, 0)</f>
        <v>617088</v>
      </c>
      <c r="R107" s="174">
        <f t="shared" si="7"/>
        <v>1</v>
      </c>
    </row>
    <row r="108" spans="1:18">
      <c r="A108" s="75">
        <v>262</v>
      </c>
      <c r="B108" s="75" t="s">
        <v>97</v>
      </c>
      <c r="C108" s="173">
        <v>28</v>
      </c>
      <c r="D108" s="174">
        <v>28</v>
      </c>
      <c r="E108" s="174">
        <v>27</v>
      </c>
      <c r="F108" s="174">
        <v>27</v>
      </c>
      <c r="G108" s="174">
        <v>26</v>
      </c>
      <c r="H108" s="174">
        <v>26</v>
      </c>
      <c r="I108" s="174">
        <v>26</v>
      </c>
      <c r="J108" s="174">
        <v>26</v>
      </c>
      <c r="K108" s="174">
        <v>26</v>
      </c>
      <c r="L108" s="174">
        <v>26</v>
      </c>
      <c r="M108" s="174">
        <v>26</v>
      </c>
      <c r="N108" s="174"/>
      <c r="O108" s="210">
        <f t="shared" si="5"/>
        <v>26</v>
      </c>
      <c r="P108" s="202">
        <f t="shared" si="4"/>
        <v>1.003633</v>
      </c>
      <c r="Q108" s="112">
        <f>ROUND(O108*'116年參數表'!D$20*P108, 0)</f>
        <v>517557</v>
      </c>
      <c r="R108" s="174">
        <f t="shared" si="7"/>
        <v>-2</v>
      </c>
    </row>
    <row r="109" spans="1:18">
      <c r="A109" s="75">
        <v>268</v>
      </c>
      <c r="B109" s="75" t="s">
        <v>1469</v>
      </c>
      <c r="C109" s="173">
        <v>14</v>
      </c>
      <c r="D109" s="174">
        <v>16</v>
      </c>
      <c r="E109" s="174">
        <v>16</v>
      </c>
      <c r="F109" s="174">
        <v>17</v>
      </c>
      <c r="G109" s="174">
        <v>17</v>
      </c>
      <c r="H109" s="174">
        <v>17</v>
      </c>
      <c r="I109" s="174">
        <v>17</v>
      </c>
      <c r="J109" s="174">
        <v>17</v>
      </c>
      <c r="K109" s="174">
        <v>17</v>
      </c>
      <c r="L109" s="174">
        <v>17</v>
      </c>
      <c r="M109" s="174">
        <v>17</v>
      </c>
      <c r="N109" s="174"/>
      <c r="O109" s="210">
        <f t="shared" si="5"/>
        <v>17</v>
      </c>
      <c r="P109" s="202">
        <f t="shared" si="4"/>
        <v>1.003633</v>
      </c>
      <c r="Q109" s="112">
        <f>ROUND(O109*'116年參數表'!D$20*P109, 0)</f>
        <v>338403</v>
      </c>
      <c r="R109" s="174"/>
    </row>
    <row r="110" spans="1:18" s="97" customFormat="1">
      <c r="A110" s="96">
        <v>300</v>
      </c>
      <c r="B110" s="96" t="s">
        <v>98</v>
      </c>
      <c r="C110" s="173">
        <v>28</v>
      </c>
      <c r="D110" s="208">
        <v>33</v>
      </c>
      <c r="E110" s="208">
        <v>34</v>
      </c>
      <c r="F110" s="208">
        <v>33</v>
      </c>
      <c r="G110" s="208">
        <v>33</v>
      </c>
      <c r="H110" s="208">
        <v>33</v>
      </c>
      <c r="I110" s="208">
        <v>32</v>
      </c>
      <c r="J110" s="208">
        <v>32</v>
      </c>
      <c r="K110" s="208">
        <v>32</v>
      </c>
      <c r="L110" s="208">
        <v>32</v>
      </c>
      <c r="M110" s="208">
        <v>32</v>
      </c>
      <c r="N110" s="208"/>
      <c r="O110" s="210">
        <f t="shared" si="5"/>
        <v>33</v>
      </c>
      <c r="P110" s="203">
        <v>0.95</v>
      </c>
      <c r="Q110" s="112">
        <f>ROUND(O110*'116年參數表'!D$20*P110, 0)</f>
        <v>621796</v>
      </c>
      <c r="R110" s="174">
        <f t="shared" ref="R110:R141" si="8">O110-C110</f>
        <v>5</v>
      </c>
    </row>
    <row r="111" spans="1:18">
      <c r="A111" s="75">
        <v>301</v>
      </c>
      <c r="B111" s="75" t="s">
        <v>99</v>
      </c>
      <c r="C111" s="173">
        <v>22</v>
      </c>
      <c r="D111" s="174">
        <v>24</v>
      </c>
      <c r="E111" s="174">
        <v>22</v>
      </c>
      <c r="F111" s="174">
        <v>21</v>
      </c>
      <c r="G111" s="174">
        <v>21</v>
      </c>
      <c r="H111" s="174">
        <v>21</v>
      </c>
      <c r="I111" s="174">
        <v>23</v>
      </c>
      <c r="J111" s="174">
        <v>23</v>
      </c>
      <c r="K111" s="174">
        <v>23</v>
      </c>
      <c r="L111" s="174">
        <v>23</v>
      </c>
      <c r="M111" s="174">
        <v>23</v>
      </c>
      <c r="N111" s="174"/>
      <c r="O111" s="210">
        <f t="shared" si="5"/>
        <v>22</v>
      </c>
      <c r="P111" s="202">
        <f t="shared" si="4"/>
        <v>1.003633</v>
      </c>
      <c r="Q111" s="112">
        <f>ROUND(O111*'116年參數表'!D$20*P111, 0)</f>
        <v>437933</v>
      </c>
      <c r="R111" s="174">
        <f t="shared" si="8"/>
        <v>0</v>
      </c>
    </row>
    <row r="112" spans="1:18">
      <c r="A112" s="75">
        <v>302</v>
      </c>
      <c r="B112" s="75" t="s">
        <v>31</v>
      </c>
      <c r="C112" s="173">
        <v>26</v>
      </c>
      <c r="D112" s="174">
        <v>27</v>
      </c>
      <c r="E112" s="174">
        <v>27</v>
      </c>
      <c r="F112" s="174">
        <v>26</v>
      </c>
      <c r="G112" s="174">
        <v>26</v>
      </c>
      <c r="H112" s="174">
        <v>26</v>
      </c>
      <c r="I112" s="174">
        <v>27</v>
      </c>
      <c r="J112" s="174">
        <v>28</v>
      </c>
      <c r="K112" s="174">
        <v>30</v>
      </c>
      <c r="L112" s="174">
        <v>30</v>
      </c>
      <c r="M112" s="174">
        <v>30</v>
      </c>
      <c r="N112" s="174"/>
      <c r="O112" s="210">
        <f t="shared" si="5"/>
        <v>28</v>
      </c>
      <c r="P112" s="202">
        <f t="shared" si="4"/>
        <v>1.003633</v>
      </c>
      <c r="Q112" s="112">
        <f>ROUND(O112*'116年參數表'!D$20*P112, 0)</f>
        <v>557370</v>
      </c>
      <c r="R112" s="174">
        <f t="shared" si="8"/>
        <v>2</v>
      </c>
    </row>
    <row r="113" spans="1:18">
      <c r="A113" s="75">
        <v>310</v>
      </c>
      <c r="B113" s="75" t="s">
        <v>32</v>
      </c>
      <c r="C113" s="173">
        <v>24</v>
      </c>
      <c r="D113" s="174">
        <v>22</v>
      </c>
      <c r="E113" s="174">
        <v>23</v>
      </c>
      <c r="F113" s="174">
        <v>22</v>
      </c>
      <c r="G113" s="174">
        <v>23</v>
      </c>
      <c r="H113" s="174">
        <v>23</v>
      </c>
      <c r="I113" s="174">
        <v>23</v>
      </c>
      <c r="J113" s="174">
        <v>23</v>
      </c>
      <c r="K113" s="174">
        <v>24</v>
      </c>
      <c r="L113" s="174">
        <v>24</v>
      </c>
      <c r="M113" s="174">
        <v>24</v>
      </c>
      <c r="N113" s="174"/>
      <c r="O113" s="210">
        <f t="shared" si="5"/>
        <v>23</v>
      </c>
      <c r="P113" s="202">
        <f t="shared" si="4"/>
        <v>1.003633</v>
      </c>
      <c r="Q113" s="112">
        <f>ROUND(O113*'116年參數表'!D$20*P113, 0)</f>
        <v>457839</v>
      </c>
      <c r="R113" s="174">
        <f t="shared" si="8"/>
        <v>-1</v>
      </c>
    </row>
    <row r="114" spans="1:18">
      <c r="A114" s="75">
        <v>313</v>
      </c>
      <c r="B114" s="75" t="s">
        <v>182</v>
      </c>
      <c r="C114" s="173">
        <v>19</v>
      </c>
      <c r="D114" s="174">
        <v>22</v>
      </c>
      <c r="E114" s="174">
        <v>21</v>
      </c>
      <c r="F114" s="174">
        <v>21</v>
      </c>
      <c r="G114" s="174">
        <v>21</v>
      </c>
      <c r="H114" s="174">
        <v>21</v>
      </c>
      <c r="I114" s="174">
        <v>22</v>
      </c>
      <c r="J114" s="174">
        <v>22</v>
      </c>
      <c r="K114" s="174">
        <v>22</v>
      </c>
      <c r="L114" s="174">
        <v>22</v>
      </c>
      <c r="M114" s="174">
        <v>22</v>
      </c>
      <c r="N114" s="174"/>
      <c r="O114" s="210">
        <f t="shared" si="5"/>
        <v>22</v>
      </c>
      <c r="P114" s="202">
        <f t="shared" si="4"/>
        <v>1.003633</v>
      </c>
      <c r="Q114" s="112">
        <f>ROUND(O114*'116年參數表'!D$20*P114, 0)</f>
        <v>437933</v>
      </c>
      <c r="R114" s="174">
        <f t="shared" si="8"/>
        <v>3</v>
      </c>
    </row>
    <row r="115" spans="1:18">
      <c r="A115" s="75">
        <v>320</v>
      </c>
      <c r="B115" s="75" t="s">
        <v>183</v>
      </c>
      <c r="C115" s="173">
        <v>24</v>
      </c>
      <c r="D115" s="174">
        <v>25</v>
      </c>
      <c r="E115" s="174">
        <v>25</v>
      </c>
      <c r="F115" s="174">
        <v>25</v>
      </c>
      <c r="G115" s="174">
        <v>25</v>
      </c>
      <c r="H115" s="174">
        <v>25</v>
      </c>
      <c r="I115" s="174">
        <v>25</v>
      </c>
      <c r="J115" s="174">
        <v>24</v>
      </c>
      <c r="K115" s="174">
        <v>24</v>
      </c>
      <c r="L115" s="174">
        <v>24</v>
      </c>
      <c r="M115" s="174">
        <v>24</v>
      </c>
      <c r="N115" s="174"/>
      <c r="O115" s="210">
        <f t="shared" si="5"/>
        <v>25</v>
      </c>
      <c r="P115" s="202">
        <f t="shared" si="4"/>
        <v>1.003633</v>
      </c>
      <c r="Q115" s="112">
        <f>ROUND(O115*'116年參數表'!D$20*P115, 0)</f>
        <v>497651</v>
      </c>
      <c r="R115" s="174">
        <f t="shared" si="8"/>
        <v>1</v>
      </c>
    </row>
    <row r="116" spans="1:18">
      <c r="A116" s="75">
        <v>321</v>
      </c>
      <c r="B116" s="75" t="s">
        <v>184</v>
      </c>
      <c r="C116" s="173">
        <v>27</v>
      </c>
      <c r="D116" s="174">
        <v>29</v>
      </c>
      <c r="E116" s="174">
        <v>29</v>
      </c>
      <c r="F116" s="174">
        <v>29</v>
      </c>
      <c r="G116" s="174">
        <v>28</v>
      </c>
      <c r="H116" s="174">
        <v>28</v>
      </c>
      <c r="I116" s="174">
        <v>28</v>
      </c>
      <c r="J116" s="174">
        <v>28</v>
      </c>
      <c r="K116" s="174">
        <v>28</v>
      </c>
      <c r="L116" s="174">
        <v>27</v>
      </c>
      <c r="M116" s="174">
        <v>28</v>
      </c>
      <c r="N116" s="174"/>
      <c r="O116" s="210">
        <f t="shared" si="5"/>
        <v>28</v>
      </c>
      <c r="P116" s="202">
        <f t="shared" si="4"/>
        <v>1.003633</v>
      </c>
      <c r="Q116" s="112">
        <f>ROUND(O116*'116年參數表'!D$20*P116, 0)</f>
        <v>557370</v>
      </c>
      <c r="R116" s="174">
        <f t="shared" si="8"/>
        <v>1</v>
      </c>
    </row>
    <row r="117" spans="1:18">
      <c r="A117" s="75">
        <v>322</v>
      </c>
      <c r="B117" s="75" t="s">
        <v>34</v>
      </c>
      <c r="C117" s="173">
        <v>25</v>
      </c>
      <c r="D117" s="174">
        <v>24</v>
      </c>
      <c r="E117" s="174">
        <v>23</v>
      </c>
      <c r="F117" s="174">
        <v>23</v>
      </c>
      <c r="G117" s="174">
        <v>23</v>
      </c>
      <c r="H117" s="174">
        <v>23</v>
      </c>
      <c r="I117" s="174">
        <v>23</v>
      </c>
      <c r="J117" s="174">
        <v>23</v>
      </c>
      <c r="K117" s="174">
        <v>24</v>
      </c>
      <c r="L117" s="174">
        <v>24</v>
      </c>
      <c r="M117" s="174">
        <v>24</v>
      </c>
      <c r="N117" s="174"/>
      <c r="O117" s="210">
        <f t="shared" si="5"/>
        <v>23</v>
      </c>
      <c r="P117" s="202">
        <f t="shared" si="4"/>
        <v>1.003633</v>
      </c>
      <c r="Q117" s="112">
        <f>ROUND(O117*'116年參數表'!D$20*P117, 0)</f>
        <v>457839</v>
      </c>
      <c r="R117" s="174">
        <f t="shared" si="8"/>
        <v>-2</v>
      </c>
    </row>
    <row r="118" spans="1:18">
      <c r="A118" s="75">
        <v>323</v>
      </c>
      <c r="B118" s="75" t="s">
        <v>185</v>
      </c>
      <c r="C118" s="173">
        <v>27</v>
      </c>
      <c r="D118" s="174">
        <v>29</v>
      </c>
      <c r="E118" s="174">
        <v>30</v>
      </c>
      <c r="F118" s="174">
        <v>29</v>
      </c>
      <c r="G118" s="174">
        <v>29</v>
      </c>
      <c r="H118" s="174">
        <v>29</v>
      </c>
      <c r="I118" s="174">
        <v>29</v>
      </c>
      <c r="J118" s="174">
        <v>28</v>
      </c>
      <c r="K118" s="174">
        <v>28</v>
      </c>
      <c r="L118" s="174">
        <v>27</v>
      </c>
      <c r="M118" s="174">
        <v>27</v>
      </c>
      <c r="N118" s="174"/>
      <c r="O118" s="210">
        <f t="shared" si="5"/>
        <v>29</v>
      </c>
      <c r="P118" s="202">
        <f t="shared" si="4"/>
        <v>1.003633</v>
      </c>
      <c r="Q118" s="112">
        <f>ROUND(O118*'116年參數表'!D$20*P118, 0)</f>
        <v>577276</v>
      </c>
      <c r="R118" s="174">
        <f t="shared" si="8"/>
        <v>2</v>
      </c>
    </row>
    <row r="119" spans="1:18">
      <c r="A119" s="75">
        <v>351</v>
      </c>
      <c r="B119" s="75" t="s">
        <v>100</v>
      </c>
      <c r="C119" s="173">
        <v>19</v>
      </c>
      <c r="D119" s="174">
        <v>22</v>
      </c>
      <c r="E119" s="174">
        <v>22</v>
      </c>
      <c r="F119" s="174">
        <v>22</v>
      </c>
      <c r="G119" s="174">
        <v>22</v>
      </c>
      <c r="H119" s="174">
        <v>22</v>
      </c>
      <c r="I119" s="174">
        <v>22</v>
      </c>
      <c r="J119" s="174">
        <v>21</v>
      </c>
      <c r="K119" s="174">
        <v>21</v>
      </c>
      <c r="L119" s="174">
        <v>21</v>
      </c>
      <c r="M119" s="174">
        <v>21</v>
      </c>
      <c r="N119" s="174"/>
      <c r="O119" s="210">
        <f t="shared" si="5"/>
        <v>22</v>
      </c>
      <c r="P119" s="202">
        <f t="shared" si="4"/>
        <v>1.003633</v>
      </c>
      <c r="Q119" s="112">
        <f>ROUND(O119*'116年參數表'!D$20*P119, 0)</f>
        <v>437933</v>
      </c>
      <c r="R119" s="174">
        <f t="shared" si="8"/>
        <v>3</v>
      </c>
    </row>
    <row r="120" spans="1:18" s="97" customFormat="1">
      <c r="A120" s="96">
        <v>400</v>
      </c>
      <c r="B120" s="96" t="s">
        <v>35</v>
      </c>
      <c r="C120" s="173">
        <v>42</v>
      </c>
      <c r="D120" s="208">
        <v>42</v>
      </c>
      <c r="E120" s="208">
        <v>42</v>
      </c>
      <c r="F120" s="208">
        <v>41</v>
      </c>
      <c r="G120" s="208">
        <v>42</v>
      </c>
      <c r="H120" s="208">
        <v>42</v>
      </c>
      <c r="I120" s="208">
        <v>43</v>
      </c>
      <c r="J120" s="208">
        <v>42</v>
      </c>
      <c r="K120" s="208">
        <v>41</v>
      </c>
      <c r="L120" s="208">
        <v>41</v>
      </c>
      <c r="M120" s="208">
        <v>40</v>
      </c>
      <c r="N120" s="208"/>
      <c r="O120" s="210">
        <f t="shared" si="5"/>
        <v>42</v>
      </c>
      <c r="P120" s="203">
        <v>0.95</v>
      </c>
      <c r="Q120" s="112">
        <f>ROUND(O120*'116年參數表'!D$20*P120, 0)</f>
        <v>791377</v>
      </c>
      <c r="R120" s="174">
        <f t="shared" si="8"/>
        <v>0</v>
      </c>
    </row>
    <row r="121" spans="1:18">
      <c r="A121" s="75">
        <v>401</v>
      </c>
      <c r="B121" s="75" t="s">
        <v>36</v>
      </c>
      <c r="C121" s="173">
        <v>27</v>
      </c>
      <c r="D121" s="174">
        <v>28</v>
      </c>
      <c r="E121" s="174">
        <v>28</v>
      </c>
      <c r="F121" s="174">
        <v>28</v>
      </c>
      <c r="G121" s="174">
        <v>28</v>
      </c>
      <c r="H121" s="174">
        <v>28</v>
      </c>
      <c r="I121" s="174">
        <v>29</v>
      </c>
      <c r="J121" s="174">
        <v>29</v>
      </c>
      <c r="K121" s="174">
        <v>29</v>
      </c>
      <c r="L121" s="174">
        <v>29</v>
      </c>
      <c r="M121" s="174">
        <v>29</v>
      </c>
      <c r="N121" s="174"/>
      <c r="O121" s="210">
        <f t="shared" si="5"/>
        <v>29</v>
      </c>
      <c r="P121" s="202">
        <f t="shared" si="4"/>
        <v>1.003633</v>
      </c>
      <c r="Q121" s="112">
        <f>ROUND(O121*'116年參數表'!D$20*P121, 0)</f>
        <v>577276</v>
      </c>
      <c r="R121" s="174">
        <f t="shared" si="8"/>
        <v>2</v>
      </c>
    </row>
    <row r="122" spans="1:18">
      <c r="A122" s="75">
        <v>402</v>
      </c>
      <c r="B122" s="75" t="s">
        <v>37</v>
      </c>
      <c r="C122" s="173">
        <v>31</v>
      </c>
      <c r="D122" s="174">
        <v>31</v>
      </c>
      <c r="E122" s="174">
        <v>33</v>
      </c>
      <c r="F122" s="174">
        <v>30</v>
      </c>
      <c r="G122" s="174">
        <v>30</v>
      </c>
      <c r="H122" s="174">
        <v>32</v>
      </c>
      <c r="I122" s="174">
        <v>33</v>
      </c>
      <c r="J122" s="174">
        <v>32</v>
      </c>
      <c r="K122" s="174">
        <v>33</v>
      </c>
      <c r="L122" s="174">
        <v>34</v>
      </c>
      <c r="M122" s="174">
        <v>34</v>
      </c>
      <c r="N122" s="174"/>
      <c r="O122" s="210">
        <f t="shared" si="5"/>
        <v>32</v>
      </c>
      <c r="P122" s="202">
        <f t="shared" si="4"/>
        <v>1.003633</v>
      </c>
      <c r="Q122" s="112">
        <f>ROUND(O122*'116年參數表'!D$20*P122, 0)</f>
        <v>636994</v>
      </c>
      <c r="R122" s="174">
        <f t="shared" si="8"/>
        <v>1</v>
      </c>
    </row>
    <row r="123" spans="1:18">
      <c r="A123" s="75">
        <v>403</v>
      </c>
      <c r="B123" s="75" t="s">
        <v>186</v>
      </c>
      <c r="C123" s="173">
        <v>29</v>
      </c>
      <c r="D123" s="174">
        <v>31</v>
      </c>
      <c r="E123" s="174">
        <v>31</v>
      </c>
      <c r="F123" s="174">
        <v>30</v>
      </c>
      <c r="G123" s="174">
        <v>30</v>
      </c>
      <c r="H123" s="174">
        <v>30</v>
      </c>
      <c r="I123" s="174">
        <v>30</v>
      </c>
      <c r="J123" s="174">
        <v>30</v>
      </c>
      <c r="K123" s="174">
        <v>31</v>
      </c>
      <c r="L123" s="174">
        <v>31</v>
      </c>
      <c r="M123" s="174">
        <v>31</v>
      </c>
      <c r="N123" s="174"/>
      <c r="O123" s="210">
        <f t="shared" si="5"/>
        <v>31</v>
      </c>
      <c r="P123" s="202">
        <f t="shared" si="4"/>
        <v>1.003633</v>
      </c>
      <c r="Q123" s="112">
        <f>ROUND(O123*'116年參數表'!D$20*P123, 0)</f>
        <v>617088</v>
      </c>
      <c r="R123" s="174">
        <f t="shared" si="8"/>
        <v>2</v>
      </c>
    </row>
    <row r="124" spans="1:18" s="97" customFormat="1">
      <c r="A124" s="96">
        <v>420</v>
      </c>
      <c r="B124" s="96" t="s">
        <v>38</v>
      </c>
      <c r="C124" s="173">
        <v>45</v>
      </c>
      <c r="D124" s="208">
        <v>49</v>
      </c>
      <c r="E124" s="208">
        <v>48</v>
      </c>
      <c r="F124" s="208">
        <v>46</v>
      </c>
      <c r="G124" s="208">
        <v>46</v>
      </c>
      <c r="H124" s="208">
        <v>45</v>
      </c>
      <c r="I124" s="208">
        <v>46</v>
      </c>
      <c r="J124" s="208">
        <v>44</v>
      </c>
      <c r="K124" s="208">
        <v>41</v>
      </c>
      <c r="L124" s="208">
        <v>43</v>
      </c>
      <c r="M124" s="208">
        <v>44</v>
      </c>
      <c r="N124" s="208"/>
      <c r="O124" s="210">
        <f t="shared" si="5"/>
        <v>45</v>
      </c>
      <c r="P124" s="203">
        <v>0.95</v>
      </c>
      <c r="Q124" s="112">
        <f>ROUND(O124*'116年參數表'!D$20*P124, 0)</f>
        <v>847904</v>
      </c>
      <c r="R124" s="174">
        <f t="shared" si="8"/>
        <v>0</v>
      </c>
    </row>
    <row r="125" spans="1:18">
      <c r="A125" s="75">
        <v>422</v>
      </c>
      <c r="B125" s="75" t="s">
        <v>101</v>
      </c>
      <c r="C125" s="173">
        <v>28</v>
      </c>
      <c r="D125" s="174">
        <v>29</v>
      </c>
      <c r="E125" s="174">
        <v>29</v>
      </c>
      <c r="F125" s="174">
        <v>28</v>
      </c>
      <c r="G125" s="174">
        <v>28</v>
      </c>
      <c r="H125" s="174">
        <v>28</v>
      </c>
      <c r="I125" s="174">
        <v>30</v>
      </c>
      <c r="J125" s="174">
        <v>30</v>
      </c>
      <c r="K125" s="174">
        <v>29</v>
      </c>
      <c r="L125" s="174">
        <v>29</v>
      </c>
      <c r="M125" s="174">
        <v>29</v>
      </c>
      <c r="N125" s="174"/>
      <c r="O125" s="210">
        <f t="shared" si="5"/>
        <v>29</v>
      </c>
      <c r="P125" s="202">
        <f t="shared" si="4"/>
        <v>1.003633</v>
      </c>
      <c r="Q125" s="112">
        <f>ROUND(O125*'116年參數表'!D$20*P125, 0)</f>
        <v>577276</v>
      </c>
      <c r="R125" s="174">
        <f t="shared" si="8"/>
        <v>1</v>
      </c>
    </row>
    <row r="126" spans="1:18">
      <c r="A126" s="75">
        <v>423</v>
      </c>
      <c r="B126" s="75" t="s">
        <v>187</v>
      </c>
      <c r="C126" s="173">
        <v>27</v>
      </c>
      <c r="D126" s="174">
        <v>30</v>
      </c>
      <c r="E126" s="174">
        <v>30</v>
      </c>
      <c r="F126" s="174">
        <v>30</v>
      </c>
      <c r="G126" s="174">
        <v>29</v>
      </c>
      <c r="H126" s="174">
        <v>29</v>
      </c>
      <c r="I126" s="174">
        <v>29</v>
      </c>
      <c r="J126" s="174">
        <v>29</v>
      </c>
      <c r="K126" s="174">
        <v>29</v>
      </c>
      <c r="L126" s="174">
        <v>29</v>
      </c>
      <c r="M126" s="174">
        <v>29</v>
      </c>
      <c r="N126" s="174"/>
      <c r="O126" s="210">
        <f t="shared" si="5"/>
        <v>29</v>
      </c>
      <c r="P126" s="202">
        <f t="shared" si="4"/>
        <v>1.003633</v>
      </c>
      <c r="Q126" s="112">
        <f>ROUND(O126*'116年參數表'!D$20*P126, 0)</f>
        <v>577276</v>
      </c>
      <c r="R126" s="174">
        <f t="shared" si="8"/>
        <v>2</v>
      </c>
    </row>
    <row r="127" spans="1:18">
      <c r="A127" s="75">
        <v>424</v>
      </c>
      <c r="B127" s="75" t="s">
        <v>188</v>
      </c>
      <c r="C127" s="173">
        <v>38</v>
      </c>
      <c r="D127" s="174">
        <v>38</v>
      </c>
      <c r="E127" s="174">
        <v>38</v>
      </c>
      <c r="F127" s="174">
        <v>38</v>
      </c>
      <c r="G127" s="174">
        <v>38</v>
      </c>
      <c r="H127" s="174">
        <v>38</v>
      </c>
      <c r="I127" s="174">
        <v>38</v>
      </c>
      <c r="J127" s="174">
        <v>37</v>
      </c>
      <c r="K127" s="174">
        <v>38</v>
      </c>
      <c r="L127" s="174">
        <v>38</v>
      </c>
      <c r="M127" s="174">
        <v>38</v>
      </c>
      <c r="N127" s="174"/>
      <c r="O127" s="210">
        <f t="shared" si="5"/>
        <v>38</v>
      </c>
      <c r="P127" s="202">
        <f t="shared" si="4"/>
        <v>1.003633</v>
      </c>
      <c r="Q127" s="112">
        <f>ROUND(O127*'116年參數表'!D$20*P127, 0)</f>
        <v>756430</v>
      </c>
      <c r="R127" s="174">
        <f t="shared" si="8"/>
        <v>0</v>
      </c>
    </row>
    <row r="128" spans="1:18">
      <c r="A128" s="75">
        <v>425</v>
      </c>
      <c r="B128" s="75" t="s">
        <v>39</v>
      </c>
      <c r="C128" s="173">
        <v>32</v>
      </c>
      <c r="D128" s="174">
        <v>33</v>
      </c>
      <c r="E128" s="174">
        <v>33</v>
      </c>
      <c r="F128" s="174">
        <v>33</v>
      </c>
      <c r="G128" s="174">
        <v>33</v>
      </c>
      <c r="H128" s="174">
        <v>32</v>
      </c>
      <c r="I128" s="174">
        <v>31</v>
      </c>
      <c r="J128" s="174">
        <v>31</v>
      </c>
      <c r="K128" s="174">
        <v>31</v>
      </c>
      <c r="L128" s="174">
        <v>32</v>
      </c>
      <c r="M128" s="174">
        <v>32</v>
      </c>
      <c r="N128" s="174"/>
      <c r="O128" s="210">
        <f t="shared" si="5"/>
        <v>32</v>
      </c>
      <c r="P128" s="202">
        <f t="shared" si="4"/>
        <v>1.003633</v>
      </c>
      <c r="Q128" s="112">
        <f>ROUND(O128*'116年參數表'!D$20*P128, 0)</f>
        <v>636994</v>
      </c>
      <c r="R128" s="174">
        <f t="shared" si="8"/>
        <v>0</v>
      </c>
    </row>
    <row r="129" spans="1:18">
      <c r="A129" s="75">
        <v>426</v>
      </c>
      <c r="B129" s="75" t="s">
        <v>189</v>
      </c>
      <c r="C129" s="173">
        <v>29</v>
      </c>
      <c r="D129" s="174">
        <v>31</v>
      </c>
      <c r="E129" s="174">
        <v>30</v>
      </c>
      <c r="F129" s="174">
        <v>30</v>
      </c>
      <c r="G129" s="174">
        <v>29</v>
      </c>
      <c r="H129" s="174">
        <v>29</v>
      </c>
      <c r="I129" s="174">
        <v>30</v>
      </c>
      <c r="J129" s="174">
        <v>31</v>
      </c>
      <c r="K129" s="174">
        <v>31</v>
      </c>
      <c r="L129" s="174">
        <v>30</v>
      </c>
      <c r="M129" s="174">
        <v>30</v>
      </c>
      <c r="N129" s="174"/>
      <c r="O129" s="210">
        <f t="shared" si="5"/>
        <v>30</v>
      </c>
      <c r="P129" s="202">
        <f t="shared" si="4"/>
        <v>1.003633</v>
      </c>
      <c r="Q129" s="112">
        <f>ROUND(O129*'116年參數表'!D$20*P129, 0)</f>
        <v>597182</v>
      </c>
      <c r="R129" s="174">
        <f t="shared" si="8"/>
        <v>1</v>
      </c>
    </row>
    <row r="130" spans="1:18">
      <c r="A130" s="75">
        <v>427</v>
      </c>
      <c r="B130" s="75" t="s">
        <v>190</v>
      </c>
      <c r="C130" s="173">
        <v>28</v>
      </c>
      <c r="D130" s="174">
        <v>31</v>
      </c>
      <c r="E130" s="174">
        <v>31</v>
      </c>
      <c r="F130" s="174">
        <v>30</v>
      </c>
      <c r="G130" s="174">
        <v>30</v>
      </c>
      <c r="H130" s="174">
        <v>30</v>
      </c>
      <c r="I130" s="174">
        <v>31</v>
      </c>
      <c r="J130" s="174">
        <v>28</v>
      </c>
      <c r="K130" s="174">
        <v>28</v>
      </c>
      <c r="L130" s="174">
        <v>28</v>
      </c>
      <c r="M130" s="174">
        <v>28</v>
      </c>
      <c r="N130" s="174"/>
      <c r="O130" s="210">
        <f t="shared" si="5"/>
        <v>30</v>
      </c>
      <c r="P130" s="202">
        <f t="shared" si="4"/>
        <v>1.003633</v>
      </c>
      <c r="Q130" s="112">
        <f>ROUND(O130*'116年參數表'!D$20*P130, 0)</f>
        <v>597182</v>
      </c>
      <c r="R130" s="174">
        <f t="shared" si="8"/>
        <v>2</v>
      </c>
    </row>
    <row r="131" spans="1:18">
      <c r="A131" s="75">
        <v>429</v>
      </c>
      <c r="B131" s="75" t="s">
        <v>191</v>
      </c>
      <c r="C131" s="173">
        <v>22</v>
      </c>
      <c r="D131" s="174">
        <v>25</v>
      </c>
      <c r="E131" s="174">
        <v>25</v>
      </c>
      <c r="F131" s="174">
        <v>25</v>
      </c>
      <c r="G131" s="174">
        <v>25</v>
      </c>
      <c r="H131" s="174">
        <v>25</v>
      </c>
      <c r="I131" s="174">
        <v>24</v>
      </c>
      <c r="J131" s="174">
        <v>24</v>
      </c>
      <c r="K131" s="174">
        <v>24</v>
      </c>
      <c r="L131" s="174">
        <v>24</v>
      </c>
      <c r="M131" s="174">
        <v>24</v>
      </c>
      <c r="N131" s="174"/>
      <c r="O131" s="210">
        <f t="shared" si="5"/>
        <v>25</v>
      </c>
      <c r="P131" s="202">
        <f t="shared" si="4"/>
        <v>1.003633</v>
      </c>
      <c r="Q131" s="112">
        <f>ROUND(O131*'116年參數表'!D$20*P131, 0)</f>
        <v>497651</v>
      </c>
      <c r="R131" s="174">
        <f t="shared" si="8"/>
        <v>3</v>
      </c>
    </row>
    <row r="132" spans="1:18">
      <c r="A132" s="75">
        <v>430</v>
      </c>
      <c r="B132" s="75" t="s">
        <v>40</v>
      </c>
      <c r="C132" s="173">
        <v>28</v>
      </c>
      <c r="D132" s="174">
        <v>30</v>
      </c>
      <c r="E132" s="174">
        <v>30</v>
      </c>
      <c r="F132" s="174">
        <v>30</v>
      </c>
      <c r="G132" s="174">
        <v>30</v>
      </c>
      <c r="H132" s="174">
        <v>28</v>
      </c>
      <c r="I132" s="174">
        <v>29</v>
      </c>
      <c r="J132" s="174">
        <v>28</v>
      </c>
      <c r="K132" s="174">
        <v>28</v>
      </c>
      <c r="L132" s="174">
        <v>28</v>
      </c>
      <c r="M132" s="174">
        <v>28</v>
      </c>
      <c r="N132" s="174"/>
      <c r="O132" s="210">
        <f t="shared" ref="O132:O186" si="9">ROUND(AVERAGE(D132:M132), 0)</f>
        <v>29</v>
      </c>
      <c r="P132" s="202">
        <f t="shared" ref="P132:P186" si="10">$N$2</f>
        <v>1.003633</v>
      </c>
      <c r="Q132" s="112">
        <f>ROUND(O132*'116年參數表'!D$20*P132, 0)</f>
        <v>577276</v>
      </c>
      <c r="R132" s="174">
        <f t="shared" si="8"/>
        <v>1</v>
      </c>
    </row>
    <row r="133" spans="1:18">
      <c r="A133" s="75">
        <v>431</v>
      </c>
      <c r="B133" s="75" t="s">
        <v>102</v>
      </c>
      <c r="C133" s="173">
        <v>26</v>
      </c>
      <c r="D133" s="174">
        <v>27</v>
      </c>
      <c r="E133" s="174">
        <v>28</v>
      </c>
      <c r="F133" s="174">
        <v>28</v>
      </c>
      <c r="G133" s="174">
        <v>28</v>
      </c>
      <c r="H133" s="174">
        <v>28</v>
      </c>
      <c r="I133" s="174">
        <v>28</v>
      </c>
      <c r="J133" s="174">
        <v>27</v>
      </c>
      <c r="K133" s="174">
        <v>27</v>
      </c>
      <c r="L133" s="174">
        <v>26</v>
      </c>
      <c r="M133" s="174">
        <v>27</v>
      </c>
      <c r="N133" s="174"/>
      <c r="O133" s="210">
        <f t="shared" si="9"/>
        <v>27</v>
      </c>
      <c r="P133" s="202">
        <f t="shared" si="10"/>
        <v>1.003633</v>
      </c>
      <c r="Q133" s="112">
        <f>ROUND(O133*'116年參數表'!D$20*P133, 0)</f>
        <v>537464</v>
      </c>
      <c r="R133" s="174">
        <f t="shared" si="8"/>
        <v>1</v>
      </c>
    </row>
    <row r="134" spans="1:18">
      <c r="A134" s="75">
        <v>451</v>
      </c>
      <c r="B134" s="75" t="s">
        <v>103</v>
      </c>
      <c r="C134" s="173">
        <v>25</v>
      </c>
      <c r="D134" s="174">
        <v>27</v>
      </c>
      <c r="E134" s="174">
        <v>27</v>
      </c>
      <c r="F134" s="174">
        <v>27</v>
      </c>
      <c r="G134" s="174">
        <v>27</v>
      </c>
      <c r="H134" s="174">
        <v>27</v>
      </c>
      <c r="I134" s="174">
        <v>27</v>
      </c>
      <c r="J134" s="174">
        <v>27</v>
      </c>
      <c r="K134" s="174">
        <v>27</v>
      </c>
      <c r="L134" s="174">
        <v>27</v>
      </c>
      <c r="M134" s="174">
        <v>26</v>
      </c>
      <c r="N134" s="174"/>
      <c r="O134" s="210">
        <f t="shared" si="9"/>
        <v>27</v>
      </c>
      <c r="P134" s="202">
        <f t="shared" si="10"/>
        <v>1.003633</v>
      </c>
      <c r="Q134" s="112">
        <f>ROUND(O134*'116年參數表'!D$20*P134, 0)</f>
        <v>537464</v>
      </c>
      <c r="R134" s="174">
        <f t="shared" si="8"/>
        <v>2</v>
      </c>
    </row>
    <row r="135" spans="1:18">
      <c r="A135" s="75">
        <v>500</v>
      </c>
      <c r="B135" s="75" t="s">
        <v>41</v>
      </c>
      <c r="C135" s="173">
        <v>26</v>
      </c>
      <c r="D135" s="174">
        <v>28</v>
      </c>
      <c r="E135" s="174">
        <v>28</v>
      </c>
      <c r="F135" s="174">
        <v>28</v>
      </c>
      <c r="G135" s="174">
        <v>28</v>
      </c>
      <c r="H135" s="174">
        <v>28</v>
      </c>
      <c r="I135" s="174">
        <v>28</v>
      </c>
      <c r="J135" s="174">
        <v>27</v>
      </c>
      <c r="K135" s="174">
        <v>27</v>
      </c>
      <c r="L135" s="174">
        <v>27</v>
      </c>
      <c r="M135" s="174">
        <v>27</v>
      </c>
      <c r="N135" s="174"/>
      <c r="O135" s="210">
        <f t="shared" si="9"/>
        <v>28</v>
      </c>
      <c r="P135" s="202">
        <f t="shared" si="10"/>
        <v>1.003633</v>
      </c>
      <c r="Q135" s="112">
        <f>ROUND(O135*'116年參數表'!D$20*P135, 0)</f>
        <v>557370</v>
      </c>
      <c r="R135" s="174">
        <f t="shared" si="8"/>
        <v>2</v>
      </c>
    </row>
    <row r="136" spans="1:18">
      <c r="A136" s="75">
        <v>501</v>
      </c>
      <c r="B136" s="75" t="s">
        <v>192</v>
      </c>
      <c r="C136" s="173">
        <v>26</v>
      </c>
      <c r="D136" s="174">
        <v>26</v>
      </c>
      <c r="E136" s="174">
        <v>25</v>
      </c>
      <c r="F136" s="174">
        <v>25</v>
      </c>
      <c r="G136" s="174">
        <v>25</v>
      </c>
      <c r="H136" s="174">
        <v>25</v>
      </c>
      <c r="I136" s="174">
        <v>26</v>
      </c>
      <c r="J136" s="174">
        <v>26</v>
      </c>
      <c r="K136" s="174">
        <v>26</v>
      </c>
      <c r="L136" s="174">
        <v>25</v>
      </c>
      <c r="M136" s="174">
        <v>25</v>
      </c>
      <c r="N136" s="174"/>
      <c r="O136" s="210">
        <f t="shared" si="9"/>
        <v>25</v>
      </c>
      <c r="P136" s="202">
        <f t="shared" si="10"/>
        <v>1.003633</v>
      </c>
      <c r="Q136" s="112">
        <f>ROUND(O136*'116年參數表'!D$20*P136, 0)</f>
        <v>497651</v>
      </c>
      <c r="R136" s="174">
        <f t="shared" si="8"/>
        <v>-1</v>
      </c>
    </row>
    <row r="137" spans="1:18">
      <c r="A137" s="75">
        <v>520</v>
      </c>
      <c r="B137" s="75" t="s">
        <v>193</v>
      </c>
      <c r="C137" s="173">
        <v>32</v>
      </c>
      <c r="D137" s="174">
        <v>33</v>
      </c>
      <c r="E137" s="174">
        <v>34</v>
      </c>
      <c r="F137" s="174">
        <v>31</v>
      </c>
      <c r="G137" s="174">
        <v>31</v>
      </c>
      <c r="H137" s="174">
        <v>30</v>
      </c>
      <c r="I137" s="174">
        <v>31</v>
      </c>
      <c r="J137" s="174">
        <v>29</v>
      </c>
      <c r="K137" s="174">
        <v>31</v>
      </c>
      <c r="L137" s="174">
        <v>31</v>
      </c>
      <c r="M137" s="174">
        <v>31</v>
      </c>
      <c r="N137" s="174"/>
      <c r="O137" s="210">
        <f t="shared" si="9"/>
        <v>31</v>
      </c>
      <c r="P137" s="202">
        <f t="shared" si="10"/>
        <v>1.003633</v>
      </c>
      <c r="Q137" s="112">
        <f>ROUND(O137*'116年參數表'!D$20*P137, 0)</f>
        <v>617088</v>
      </c>
      <c r="R137" s="174">
        <f t="shared" si="8"/>
        <v>-1</v>
      </c>
    </row>
    <row r="138" spans="1:18">
      <c r="A138" s="75">
        <v>521</v>
      </c>
      <c r="B138" s="75" t="s">
        <v>194</v>
      </c>
      <c r="C138" s="173">
        <v>34</v>
      </c>
      <c r="D138" s="174">
        <v>34</v>
      </c>
      <c r="E138" s="174">
        <v>37</v>
      </c>
      <c r="F138" s="174">
        <v>37</v>
      </c>
      <c r="G138" s="174">
        <v>35</v>
      </c>
      <c r="H138" s="174">
        <v>34</v>
      </c>
      <c r="I138" s="174">
        <v>34</v>
      </c>
      <c r="J138" s="174">
        <v>33</v>
      </c>
      <c r="K138" s="174">
        <v>33</v>
      </c>
      <c r="L138" s="174">
        <v>33</v>
      </c>
      <c r="M138" s="174">
        <v>34</v>
      </c>
      <c r="N138" s="174"/>
      <c r="O138" s="210">
        <f t="shared" si="9"/>
        <v>34</v>
      </c>
      <c r="P138" s="202">
        <f t="shared" si="10"/>
        <v>1.003633</v>
      </c>
      <c r="Q138" s="112">
        <f>ROUND(O138*'116年參數表'!D$20*P138, 0)</f>
        <v>676806</v>
      </c>
      <c r="R138" s="174">
        <f t="shared" si="8"/>
        <v>0</v>
      </c>
    </row>
    <row r="139" spans="1:18">
      <c r="A139" s="75">
        <v>522</v>
      </c>
      <c r="B139" s="75" t="s">
        <v>42</v>
      </c>
      <c r="C139" s="173">
        <v>39</v>
      </c>
      <c r="D139" s="174">
        <v>41</v>
      </c>
      <c r="E139" s="174">
        <v>42</v>
      </c>
      <c r="F139" s="174">
        <v>41</v>
      </c>
      <c r="G139" s="174">
        <v>41</v>
      </c>
      <c r="H139" s="174">
        <v>41</v>
      </c>
      <c r="I139" s="174">
        <v>40</v>
      </c>
      <c r="J139" s="174">
        <v>40</v>
      </c>
      <c r="K139" s="174">
        <v>41</v>
      </c>
      <c r="L139" s="174">
        <v>40</v>
      </c>
      <c r="M139" s="174">
        <v>40</v>
      </c>
      <c r="N139" s="174"/>
      <c r="O139" s="210">
        <f t="shared" si="9"/>
        <v>41</v>
      </c>
      <c r="P139" s="202">
        <f t="shared" si="10"/>
        <v>1.003633</v>
      </c>
      <c r="Q139" s="112">
        <f>ROUND(O139*'116年參數表'!D$20*P139, 0)</f>
        <v>816148</v>
      </c>
      <c r="R139" s="174">
        <f t="shared" si="8"/>
        <v>2</v>
      </c>
    </row>
    <row r="140" spans="1:18">
      <c r="A140" s="75">
        <v>523</v>
      </c>
      <c r="B140" s="75" t="s">
        <v>104</v>
      </c>
      <c r="C140" s="173">
        <v>24</v>
      </c>
      <c r="D140" s="174">
        <v>25</v>
      </c>
      <c r="E140" s="174">
        <v>26</v>
      </c>
      <c r="F140" s="174">
        <v>24</v>
      </c>
      <c r="G140" s="174">
        <v>24</v>
      </c>
      <c r="H140" s="174">
        <v>24</v>
      </c>
      <c r="I140" s="174">
        <v>23</v>
      </c>
      <c r="J140" s="174">
        <v>23</v>
      </c>
      <c r="K140" s="174">
        <v>23</v>
      </c>
      <c r="L140" s="174">
        <v>24</v>
      </c>
      <c r="M140" s="174">
        <v>24</v>
      </c>
      <c r="N140" s="174"/>
      <c r="O140" s="210">
        <f t="shared" si="9"/>
        <v>24</v>
      </c>
      <c r="P140" s="202">
        <f t="shared" si="10"/>
        <v>1.003633</v>
      </c>
      <c r="Q140" s="112">
        <f>ROUND(O140*'116年參數表'!D$20*P140, 0)</f>
        <v>477745</v>
      </c>
      <c r="R140" s="174">
        <f t="shared" si="8"/>
        <v>0</v>
      </c>
    </row>
    <row r="141" spans="1:18">
      <c r="A141" s="75">
        <v>524</v>
      </c>
      <c r="B141" s="75" t="s">
        <v>43</v>
      </c>
      <c r="C141" s="173">
        <v>23</v>
      </c>
      <c r="D141" s="174">
        <v>24</v>
      </c>
      <c r="E141" s="174">
        <v>24</v>
      </c>
      <c r="F141" s="174">
        <v>24</v>
      </c>
      <c r="G141" s="174">
        <v>24</v>
      </c>
      <c r="H141" s="174">
        <v>25</v>
      </c>
      <c r="I141" s="174">
        <v>26</v>
      </c>
      <c r="J141" s="174">
        <v>26</v>
      </c>
      <c r="K141" s="174">
        <v>25</v>
      </c>
      <c r="L141" s="174">
        <v>25</v>
      </c>
      <c r="M141" s="174">
        <v>25</v>
      </c>
      <c r="N141" s="174"/>
      <c r="O141" s="210">
        <f t="shared" si="9"/>
        <v>25</v>
      </c>
      <c r="P141" s="202">
        <f t="shared" si="10"/>
        <v>1.003633</v>
      </c>
      <c r="Q141" s="112">
        <f>ROUND(O141*'116年參數表'!D$20*P141, 0)</f>
        <v>497651</v>
      </c>
      <c r="R141" s="174">
        <f t="shared" si="8"/>
        <v>2</v>
      </c>
    </row>
    <row r="142" spans="1:18">
      <c r="A142" s="75">
        <v>540</v>
      </c>
      <c r="B142" s="75" t="s">
        <v>44</v>
      </c>
      <c r="C142" s="173">
        <v>24</v>
      </c>
      <c r="D142" s="174">
        <v>25</v>
      </c>
      <c r="E142" s="174">
        <v>25</v>
      </c>
      <c r="F142" s="174">
        <v>25</v>
      </c>
      <c r="G142" s="174">
        <v>25</v>
      </c>
      <c r="H142" s="174">
        <v>25</v>
      </c>
      <c r="I142" s="174">
        <v>25</v>
      </c>
      <c r="J142" s="174">
        <v>24</v>
      </c>
      <c r="K142" s="174">
        <v>24</v>
      </c>
      <c r="L142" s="174">
        <v>24</v>
      </c>
      <c r="M142" s="174">
        <v>24</v>
      </c>
      <c r="N142" s="174"/>
      <c r="O142" s="210">
        <f t="shared" si="9"/>
        <v>25</v>
      </c>
      <c r="P142" s="202">
        <f t="shared" si="10"/>
        <v>1.003633</v>
      </c>
      <c r="Q142" s="112">
        <f>ROUND(O142*'116年參數表'!D$20*P142, 0)</f>
        <v>497651</v>
      </c>
      <c r="R142" s="174">
        <f t="shared" ref="R142:R173" si="11">O142-C142</f>
        <v>1</v>
      </c>
    </row>
    <row r="143" spans="1:18">
      <c r="A143" s="75">
        <v>541</v>
      </c>
      <c r="B143" s="75" t="s">
        <v>105</v>
      </c>
      <c r="C143" s="173">
        <v>27</v>
      </c>
      <c r="D143" s="174">
        <v>29</v>
      </c>
      <c r="E143" s="174">
        <v>30</v>
      </c>
      <c r="F143" s="174">
        <v>30</v>
      </c>
      <c r="G143" s="174">
        <v>30</v>
      </c>
      <c r="H143" s="174">
        <v>30</v>
      </c>
      <c r="I143" s="174">
        <v>30</v>
      </c>
      <c r="J143" s="174">
        <v>30</v>
      </c>
      <c r="K143" s="174">
        <v>30</v>
      </c>
      <c r="L143" s="174">
        <v>30</v>
      </c>
      <c r="M143" s="174">
        <v>29</v>
      </c>
      <c r="N143" s="174"/>
      <c r="O143" s="210">
        <f t="shared" si="9"/>
        <v>30</v>
      </c>
      <c r="P143" s="202">
        <f t="shared" si="10"/>
        <v>1.003633</v>
      </c>
      <c r="Q143" s="112">
        <f>ROUND(O143*'116年參數表'!D$20*P143, 0)</f>
        <v>597182</v>
      </c>
      <c r="R143" s="174">
        <f t="shared" si="11"/>
        <v>3</v>
      </c>
    </row>
    <row r="144" spans="1:18">
      <c r="A144" s="75">
        <v>542</v>
      </c>
      <c r="B144" s="75" t="s">
        <v>45</v>
      </c>
      <c r="C144" s="173">
        <v>22</v>
      </c>
      <c r="D144" s="174">
        <v>24</v>
      </c>
      <c r="E144" s="174">
        <v>25</v>
      </c>
      <c r="F144" s="174">
        <v>23</v>
      </c>
      <c r="G144" s="174">
        <v>23</v>
      </c>
      <c r="H144" s="174">
        <v>23</v>
      </c>
      <c r="I144" s="174">
        <v>23</v>
      </c>
      <c r="J144" s="174">
        <v>23</v>
      </c>
      <c r="K144" s="174">
        <v>22</v>
      </c>
      <c r="L144" s="174">
        <v>22</v>
      </c>
      <c r="M144" s="174">
        <v>22</v>
      </c>
      <c r="N144" s="174"/>
      <c r="O144" s="210">
        <f t="shared" si="9"/>
        <v>23</v>
      </c>
      <c r="P144" s="202">
        <f t="shared" si="10"/>
        <v>1.003633</v>
      </c>
      <c r="Q144" s="112">
        <f>ROUND(O144*'116年參數表'!D$20*P144, 0)</f>
        <v>457839</v>
      </c>
      <c r="R144" s="174">
        <f t="shared" si="11"/>
        <v>1</v>
      </c>
    </row>
    <row r="145" spans="1:18" s="97" customFormat="1">
      <c r="A145" s="96">
        <v>600</v>
      </c>
      <c r="B145" s="96" t="s">
        <v>46</v>
      </c>
      <c r="C145" s="173">
        <v>32</v>
      </c>
      <c r="D145" s="208">
        <v>35</v>
      </c>
      <c r="E145" s="208">
        <v>35</v>
      </c>
      <c r="F145" s="208">
        <v>35</v>
      </c>
      <c r="G145" s="208">
        <v>35</v>
      </c>
      <c r="H145" s="208">
        <v>35</v>
      </c>
      <c r="I145" s="208">
        <v>35</v>
      </c>
      <c r="J145" s="208">
        <v>34</v>
      </c>
      <c r="K145" s="208">
        <v>34</v>
      </c>
      <c r="L145" s="208">
        <v>34</v>
      </c>
      <c r="M145" s="208">
        <v>34</v>
      </c>
      <c r="N145" s="208"/>
      <c r="O145" s="210">
        <f t="shared" si="9"/>
        <v>35</v>
      </c>
      <c r="P145" s="203">
        <v>0.95</v>
      </c>
      <c r="Q145" s="112">
        <f>ROUND(O145*'116年參數表'!D$20*P145, 0)</f>
        <v>659481</v>
      </c>
      <c r="R145" s="174">
        <f t="shared" si="11"/>
        <v>3</v>
      </c>
    </row>
    <row r="146" spans="1:18">
      <c r="A146" s="75">
        <v>601</v>
      </c>
      <c r="B146" s="75" t="s">
        <v>195</v>
      </c>
      <c r="C146" s="173">
        <v>32</v>
      </c>
      <c r="D146" s="174">
        <v>32</v>
      </c>
      <c r="E146" s="174">
        <v>32</v>
      </c>
      <c r="F146" s="174">
        <v>31</v>
      </c>
      <c r="G146" s="174">
        <v>31</v>
      </c>
      <c r="H146" s="174">
        <v>31</v>
      </c>
      <c r="I146" s="174">
        <v>31</v>
      </c>
      <c r="J146" s="174">
        <v>31</v>
      </c>
      <c r="K146" s="174">
        <v>31</v>
      </c>
      <c r="L146" s="174">
        <v>31</v>
      </c>
      <c r="M146" s="174">
        <v>31</v>
      </c>
      <c r="N146" s="174"/>
      <c r="O146" s="210">
        <f t="shared" si="9"/>
        <v>31</v>
      </c>
      <c r="P146" s="202">
        <f t="shared" si="10"/>
        <v>1.003633</v>
      </c>
      <c r="Q146" s="112">
        <f>ROUND(O146*'116年參數表'!D$20*P146, 0)</f>
        <v>617088</v>
      </c>
      <c r="R146" s="174">
        <f t="shared" si="11"/>
        <v>-1</v>
      </c>
    </row>
    <row r="147" spans="1:18">
      <c r="A147" s="75">
        <v>602</v>
      </c>
      <c r="B147" s="75" t="s">
        <v>47</v>
      </c>
      <c r="C147" s="173">
        <v>24</v>
      </c>
      <c r="D147" s="174">
        <v>25</v>
      </c>
      <c r="E147" s="174">
        <v>25</v>
      </c>
      <c r="F147" s="174">
        <v>25</v>
      </c>
      <c r="G147" s="174">
        <v>25</v>
      </c>
      <c r="H147" s="174">
        <v>25</v>
      </c>
      <c r="I147" s="174">
        <v>26</v>
      </c>
      <c r="J147" s="174">
        <v>25</v>
      </c>
      <c r="K147" s="174">
        <v>25</v>
      </c>
      <c r="L147" s="174">
        <v>25</v>
      </c>
      <c r="M147" s="174">
        <v>25</v>
      </c>
      <c r="N147" s="174"/>
      <c r="O147" s="210">
        <f t="shared" si="9"/>
        <v>25</v>
      </c>
      <c r="P147" s="202">
        <f t="shared" si="10"/>
        <v>1.003633</v>
      </c>
      <c r="Q147" s="112">
        <f>ROUND(O147*'116年參數表'!D$20*P147, 0)</f>
        <v>497651</v>
      </c>
      <c r="R147" s="174">
        <f t="shared" si="11"/>
        <v>1</v>
      </c>
    </row>
    <row r="148" spans="1:18">
      <c r="A148" s="75">
        <v>620</v>
      </c>
      <c r="B148" s="75" t="s">
        <v>106</v>
      </c>
      <c r="C148" s="173">
        <v>31</v>
      </c>
      <c r="D148" s="174">
        <v>33</v>
      </c>
      <c r="E148" s="174">
        <v>32</v>
      </c>
      <c r="F148" s="174">
        <v>31</v>
      </c>
      <c r="G148" s="174">
        <v>32</v>
      </c>
      <c r="H148" s="174">
        <v>31</v>
      </c>
      <c r="I148" s="174">
        <v>32</v>
      </c>
      <c r="J148" s="174">
        <v>32</v>
      </c>
      <c r="K148" s="174">
        <v>32</v>
      </c>
      <c r="L148" s="174">
        <v>32</v>
      </c>
      <c r="M148" s="174">
        <v>33</v>
      </c>
      <c r="N148" s="174"/>
      <c r="O148" s="210">
        <f t="shared" si="9"/>
        <v>32</v>
      </c>
      <c r="P148" s="202">
        <f t="shared" si="10"/>
        <v>1.003633</v>
      </c>
      <c r="Q148" s="112">
        <f>ROUND(O148*'116年參數表'!D$20*P148, 0)</f>
        <v>636994</v>
      </c>
      <c r="R148" s="174">
        <f t="shared" si="11"/>
        <v>1</v>
      </c>
    </row>
    <row r="149" spans="1:18">
      <c r="A149" s="75">
        <v>621</v>
      </c>
      <c r="B149" s="75" t="s">
        <v>49</v>
      </c>
      <c r="C149" s="173">
        <v>30</v>
      </c>
      <c r="D149" s="174">
        <v>31</v>
      </c>
      <c r="E149" s="174">
        <v>32</v>
      </c>
      <c r="F149" s="174">
        <v>32</v>
      </c>
      <c r="G149" s="174">
        <v>32</v>
      </c>
      <c r="H149" s="174">
        <v>31</v>
      </c>
      <c r="I149" s="174">
        <v>32</v>
      </c>
      <c r="J149" s="174">
        <v>31</v>
      </c>
      <c r="K149" s="174">
        <v>31</v>
      </c>
      <c r="L149" s="174">
        <v>31</v>
      </c>
      <c r="M149" s="174">
        <v>31</v>
      </c>
      <c r="N149" s="174"/>
      <c r="O149" s="210">
        <f t="shared" si="9"/>
        <v>31</v>
      </c>
      <c r="P149" s="202">
        <f t="shared" si="10"/>
        <v>1.003633</v>
      </c>
      <c r="Q149" s="112">
        <f>ROUND(O149*'116年參數表'!D$20*P149, 0)</f>
        <v>617088</v>
      </c>
      <c r="R149" s="174">
        <f t="shared" si="11"/>
        <v>1</v>
      </c>
    </row>
    <row r="150" spans="1:18">
      <c r="A150" s="75">
        <v>622</v>
      </c>
      <c r="B150" s="75" t="s">
        <v>107</v>
      </c>
      <c r="C150" s="173">
        <v>29</v>
      </c>
      <c r="D150" s="174">
        <v>29</v>
      </c>
      <c r="E150" s="174">
        <v>29</v>
      </c>
      <c r="F150" s="174">
        <v>29</v>
      </c>
      <c r="G150" s="174">
        <v>29</v>
      </c>
      <c r="H150" s="174">
        <v>29</v>
      </c>
      <c r="I150" s="174">
        <v>29</v>
      </c>
      <c r="J150" s="174">
        <v>29</v>
      </c>
      <c r="K150" s="174">
        <v>29</v>
      </c>
      <c r="L150" s="174">
        <v>29</v>
      </c>
      <c r="M150" s="174">
        <v>29</v>
      </c>
      <c r="N150" s="174"/>
      <c r="O150" s="210">
        <f t="shared" si="9"/>
        <v>29</v>
      </c>
      <c r="P150" s="202">
        <f t="shared" si="10"/>
        <v>1.003633</v>
      </c>
      <c r="Q150" s="112">
        <f>ROUND(O150*'116年參數表'!D$20*P150, 0)</f>
        <v>577276</v>
      </c>
      <c r="R150" s="174">
        <f t="shared" si="11"/>
        <v>0</v>
      </c>
    </row>
    <row r="151" spans="1:18" s="97" customFormat="1" ht="15.6" customHeight="1">
      <c r="A151" s="96">
        <v>640</v>
      </c>
      <c r="B151" s="96" t="s">
        <v>50</v>
      </c>
      <c r="C151" s="173">
        <v>40</v>
      </c>
      <c r="D151" s="208">
        <v>46</v>
      </c>
      <c r="E151" s="208">
        <v>47</v>
      </c>
      <c r="F151" s="208">
        <v>46</v>
      </c>
      <c r="G151" s="208">
        <v>46</v>
      </c>
      <c r="H151" s="208">
        <v>47</v>
      </c>
      <c r="I151" s="208">
        <v>47</v>
      </c>
      <c r="J151" s="208">
        <v>47</v>
      </c>
      <c r="K151" s="208">
        <v>46</v>
      </c>
      <c r="L151" s="208">
        <v>47</v>
      </c>
      <c r="M151" s="208">
        <v>47</v>
      </c>
      <c r="N151" s="208"/>
      <c r="O151" s="210">
        <f t="shared" si="9"/>
        <v>47</v>
      </c>
      <c r="P151" s="203">
        <v>0.95</v>
      </c>
      <c r="Q151" s="112">
        <f>ROUND(O151*'116年參數表'!D$20*P151, 0)</f>
        <v>885588</v>
      </c>
      <c r="R151" s="174">
        <f t="shared" si="11"/>
        <v>7</v>
      </c>
    </row>
    <row r="152" spans="1:18">
      <c r="A152" s="75">
        <v>642</v>
      </c>
      <c r="B152" s="75" t="s">
        <v>196</v>
      </c>
      <c r="C152" s="173">
        <v>29</v>
      </c>
      <c r="D152" s="174">
        <v>30</v>
      </c>
      <c r="E152" s="174">
        <v>29</v>
      </c>
      <c r="F152" s="174">
        <v>29</v>
      </c>
      <c r="G152" s="174">
        <v>29</v>
      </c>
      <c r="H152" s="174">
        <v>29</v>
      </c>
      <c r="I152" s="174">
        <v>29</v>
      </c>
      <c r="J152" s="174">
        <v>30</v>
      </c>
      <c r="K152" s="174">
        <v>30</v>
      </c>
      <c r="L152" s="174">
        <v>29</v>
      </c>
      <c r="M152" s="174">
        <v>29</v>
      </c>
      <c r="N152" s="174"/>
      <c r="O152" s="210">
        <f t="shared" si="9"/>
        <v>29</v>
      </c>
      <c r="P152" s="202">
        <f t="shared" si="10"/>
        <v>1.003633</v>
      </c>
      <c r="Q152" s="112">
        <f>ROUND(O152*'116年參數表'!D$20*P152, 0)</f>
        <v>577276</v>
      </c>
      <c r="R152" s="174">
        <f t="shared" si="11"/>
        <v>0</v>
      </c>
    </row>
    <row r="153" spans="1:18">
      <c r="A153" s="75">
        <v>643</v>
      </c>
      <c r="B153" s="75" t="s">
        <v>197</v>
      </c>
      <c r="C153" s="173">
        <v>27</v>
      </c>
      <c r="D153" s="174">
        <v>29</v>
      </c>
      <c r="E153" s="174">
        <v>27</v>
      </c>
      <c r="F153" s="174">
        <v>26</v>
      </c>
      <c r="G153" s="174">
        <v>26</v>
      </c>
      <c r="H153" s="174">
        <v>26</v>
      </c>
      <c r="I153" s="174">
        <v>25</v>
      </c>
      <c r="J153" s="174">
        <v>25</v>
      </c>
      <c r="K153" s="174">
        <v>25</v>
      </c>
      <c r="L153" s="174">
        <v>27</v>
      </c>
      <c r="M153" s="174">
        <v>27</v>
      </c>
      <c r="N153" s="174"/>
      <c r="O153" s="210">
        <f t="shared" si="9"/>
        <v>26</v>
      </c>
      <c r="P153" s="202">
        <f t="shared" si="10"/>
        <v>1.003633</v>
      </c>
      <c r="Q153" s="112">
        <f>ROUND(O153*'116年參數表'!D$20*P153, 0)</f>
        <v>517557</v>
      </c>
      <c r="R153" s="174">
        <f t="shared" si="11"/>
        <v>-1</v>
      </c>
    </row>
    <row r="154" spans="1:18">
      <c r="A154" s="75">
        <v>644</v>
      </c>
      <c r="B154" s="75" t="s">
        <v>51</v>
      </c>
      <c r="C154" s="173">
        <v>30</v>
      </c>
      <c r="D154" s="174">
        <v>30</v>
      </c>
      <c r="E154" s="174">
        <v>29</v>
      </c>
      <c r="F154" s="174">
        <v>28</v>
      </c>
      <c r="G154" s="174">
        <v>28</v>
      </c>
      <c r="H154" s="174">
        <v>28</v>
      </c>
      <c r="I154" s="174">
        <v>29</v>
      </c>
      <c r="J154" s="174">
        <v>29</v>
      </c>
      <c r="K154" s="174">
        <v>29</v>
      </c>
      <c r="L154" s="174">
        <v>29</v>
      </c>
      <c r="M154" s="174">
        <v>29</v>
      </c>
      <c r="N154" s="174"/>
      <c r="O154" s="210">
        <f t="shared" si="9"/>
        <v>29</v>
      </c>
      <c r="P154" s="202">
        <f t="shared" si="10"/>
        <v>1.003633</v>
      </c>
      <c r="Q154" s="112">
        <f>ROUND(O154*'116年參數表'!D$20*P154, 0)</f>
        <v>577276</v>
      </c>
      <c r="R154" s="174">
        <f t="shared" si="11"/>
        <v>-1</v>
      </c>
    </row>
    <row r="155" spans="1:18">
      <c r="A155" s="75">
        <v>645</v>
      </c>
      <c r="B155" s="75" t="s">
        <v>198</v>
      </c>
      <c r="C155" s="173">
        <v>33</v>
      </c>
      <c r="D155" s="174">
        <v>35</v>
      </c>
      <c r="E155" s="174">
        <v>35</v>
      </c>
      <c r="F155" s="174">
        <v>34</v>
      </c>
      <c r="G155" s="174">
        <v>34</v>
      </c>
      <c r="H155" s="174">
        <v>34</v>
      </c>
      <c r="I155" s="174">
        <v>34</v>
      </c>
      <c r="J155" s="174">
        <v>32</v>
      </c>
      <c r="K155" s="174">
        <v>32</v>
      </c>
      <c r="L155" s="174">
        <v>32</v>
      </c>
      <c r="M155" s="174">
        <v>32</v>
      </c>
      <c r="N155" s="174"/>
      <c r="O155" s="210">
        <f t="shared" si="9"/>
        <v>33</v>
      </c>
      <c r="P155" s="202">
        <f t="shared" si="10"/>
        <v>1.003633</v>
      </c>
      <c r="Q155" s="112">
        <f>ROUND(O155*'116年參數表'!D$20*P155, 0)</f>
        <v>656900</v>
      </c>
      <c r="R155" s="174">
        <f t="shared" si="11"/>
        <v>0</v>
      </c>
    </row>
    <row r="156" spans="1:18">
      <c r="A156" s="75">
        <v>646</v>
      </c>
      <c r="B156" s="75" t="s">
        <v>199</v>
      </c>
      <c r="C156" s="173">
        <v>26</v>
      </c>
      <c r="D156" s="174">
        <v>26</v>
      </c>
      <c r="E156" s="174">
        <v>26</v>
      </c>
      <c r="F156" s="174">
        <v>25</v>
      </c>
      <c r="G156" s="174">
        <v>25</v>
      </c>
      <c r="H156" s="174">
        <v>24</v>
      </c>
      <c r="I156" s="174">
        <v>24</v>
      </c>
      <c r="J156" s="174">
        <v>23</v>
      </c>
      <c r="K156" s="174">
        <v>24</v>
      </c>
      <c r="L156" s="174">
        <v>24</v>
      </c>
      <c r="M156" s="174">
        <v>24</v>
      </c>
      <c r="N156" s="174"/>
      <c r="O156" s="210">
        <f t="shared" si="9"/>
        <v>25</v>
      </c>
      <c r="P156" s="202">
        <f t="shared" si="10"/>
        <v>1.003633</v>
      </c>
      <c r="Q156" s="112">
        <f>ROUND(O156*'116年參數表'!D$20*P156, 0)</f>
        <v>497651</v>
      </c>
      <c r="R156" s="174">
        <f t="shared" si="11"/>
        <v>-1</v>
      </c>
    </row>
    <row r="157" spans="1:18">
      <c r="A157" s="75">
        <v>647</v>
      </c>
      <c r="B157" s="75" t="s">
        <v>108</v>
      </c>
      <c r="C157" s="173">
        <v>26</v>
      </c>
      <c r="D157" s="174">
        <v>28</v>
      </c>
      <c r="E157" s="174">
        <v>28</v>
      </c>
      <c r="F157" s="174">
        <v>28</v>
      </c>
      <c r="G157" s="174">
        <v>28</v>
      </c>
      <c r="H157" s="174">
        <v>28</v>
      </c>
      <c r="I157" s="174">
        <v>29</v>
      </c>
      <c r="J157" s="174">
        <v>29</v>
      </c>
      <c r="K157" s="174">
        <v>29</v>
      </c>
      <c r="L157" s="174">
        <v>29</v>
      </c>
      <c r="M157" s="174">
        <v>29</v>
      </c>
      <c r="N157" s="174"/>
      <c r="O157" s="210">
        <f t="shared" si="9"/>
        <v>29</v>
      </c>
      <c r="P157" s="202">
        <f t="shared" si="10"/>
        <v>1.003633</v>
      </c>
      <c r="Q157" s="112">
        <f>ROUND(O157*'116年參數表'!D$20*P157, 0)</f>
        <v>577276</v>
      </c>
      <c r="R157" s="174">
        <f t="shared" si="11"/>
        <v>3</v>
      </c>
    </row>
    <row r="158" spans="1:18">
      <c r="A158" s="75">
        <v>648</v>
      </c>
      <c r="B158" s="75" t="s">
        <v>200</v>
      </c>
      <c r="C158" s="173">
        <v>27</v>
      </c>
      <c r="D158" s="174">
        <v>26</v>
      </c>
      <c r="E158" s="174">
        <v>26</v>
      </c>
      <c r="F158" s="174">
        <v>26</v>
      </c>
      <c r="G158" s="174">
        <v>27</v>
      </c>
      <c r="H158" s="174">
        <v>27</v>
      </c>
      <c r="I158" s="174">
        <v>27</v>
      </c>
      <c r="J158" s="174">
        <v>27</v>
      </c>
      <c r="K158" s="174">
        <v>27</v>
      </c>
      <c r="L158" s="174">
        <v>26</v>
      </c>
      <c r="M158" s="174">
        <v>26</v>
      </c>
      <c r="N158" s="174"/>
      <c r="O158" s="210">
        <f t="shared" si="9"/>
        <v>27</v>
      </c>
      <c r="P158" s="202">
        <f t="shared" si="10"/>
        <v>1.003633</v>
      </c>
      <c r="Q158" s="112">
        <f>ROUND(O158*'116年參數表'!D$20*P158, 0)</f>
        <v>537464</v>
      </c>
      <c r="R158" s="174">
        <f t="shared" si="11"/>
        <v>0</v>
      </c>
    </row>
    <row r="159" spans="1:18">
      <c r="A159" s="75">
        <v>681</v>
      </c>
      <c r="B159" s="75" t="s">
        <v>52</v>
      </c>
      <c r="C159" s="173">
        <v>27</v>
      </c>
      <c r="D159" s="174">
        <v>29</v>
      </c>
      <c r="E159" s="174">
        <v>28</v>
      </c>
      <c r="F159" s="174">
        <v>27</v>
      </c>
      <c r="G159" s="174">
        <v>27</v>
      </c>
      <c r="H159" s="174">
        <v>28</v>
      </c>
      <c r="I159" s="174">
        <v>28</v>
      </c>
      <c r="J159" s="174">
        <v>28</v>
      </c>
      <c r="K159" s="174">
        <v>28</v>
      </c>
      <c r="L159" s="174">
        <v>28</v>
      </c>
      <c r="M159" s="174">
        <v>28</v>
      </c>
      <c r="N159" s="174"/>
      <c r="O159" s="210">
        <f t="shared" si="9"/>
        <v>28</v>
      </c>
      <c r="P159" s="202">
        <f t="shared" si="10"/>
        <v>1.003633</v>
      </c>
      <c r="Q159" s="112">
        <f>ROUND(O159*'116年參數表'!D$20*P159, 0)</f>
        <v>557370</v>
      </c>
      <c r="R159" s="174">
        <f t="shared" si="11"/>
        <v>1</v>
      </c>
    </row>
    <row r="160" spans="1:18" s="97" customFormat="1">
      <c r="A160" s="96">
        <v>700</v>
      </c>
      <c r="B160" s="96" t="s">
        <v>201</v>
      </c>
      <c r="C160" s="173">
        <v>42</v>
      </c>
      <c r="D160" s="208">
        <v>42</v>
      </c>
      <c r="E160" s="208">
        <v>43</v>
      </c>
      <c r="F160" s="208">
        <v>43</v>
      </c>
      <c r="G160" s="208">
        <v>43</v>
      </c>
      <c r="H160" s="208">
        <v>42</v>
      </c>
      <c r="I160" s="208">
        <v>43</v>
      </c>
      <c r="J160" s="208">
        <v>46</v>
      </c>
      <c r="K160" s="208">
        <v>47</v>
      </c>
      <c r="L160" s="208">
        <v>47</v>
      </c>
      <c r="M160" s="208">
        <v>46</v>
      </c>
      <c r="N160" s="208"/>
      <c r="O160" s="210">
        <f t="shared" si="9"/>
        <v>44</v>
      </c>
      <c r="P160" s="203">
        <v>0.95</v>
      </c>
      <c r="Q160" s="112">
        <f>ROUND(O160*'116年參數表'!D$20*P160, 0)</f>
        <v>829061</v>
      </c>
      <c r="R160" s="174">
        <f t="shared" si="11"/>
        <v>2</v>
      </c>
    </row>
    <row r="161" spans="1:18">
      <c r="A161" s="75">
        <v>701</v>
      </c>
      <c r="B161" s="75" t="s">
        <v>202</v>
      </c>
      <c r="C161" s="173">
        <v>25</v>
      </c>
      <c r="D161" s="174">
        <v>24</v>
      </c>
      <c r="E161" s="174">
        <v>26</v>
      </c>
      <c r="F161" s="174">
        <v>25</v>
      </c>
      <c r="G161" s="174">
        <v>24</v>
      </c>
      <c r="H161" s="174">
        <v>24</v>
      </c>
      <c r="I161" s="174">
        <v>24</v>
      </c>
      <c r="J161" s="174">
        <v>23</v>
      </c>
      <c r="K161" s="174">
        <v>25</v>
      </c>
      <c r="L161" s="174">
        <v>24</v>
      </c>
      <c r="M161" s="174">
        <v>24</v>
      </c>
      <c r="N161" s="174"/>
      <c r="O161" s="210">
        <f t="shared" si="9"/>
        <v>24</v>
      </c>
      <c r="P161" s="202">
        <f t="shared" si="10"/>
        <v>1.003633</v>
      </c>
      <c r="Q161" s="112">
        <f>ROUND(O161*'116年參數表'!D$20*P161, 0)</f>
        <v>477745</v>
      </c>
      <c r="R161" s="174">
        <f t="shared" si="11"/>
        <v>-1</v>
      </c>
    </row>
    <row r="162" spans="1:18">
      <c r="A162" s="75">
        <v>702</v>
      </c>
      <c r="B162" s="75" t="s">
        <v>203</v>
      </c>
      <c r="C162" s="173">
        <v>28</v>
      </c>
      <c r="D162" s="174">
        <v>27</v>
      </c>
      <c r="E162" s="174">
        <v>26</v>
      </c>
      <c r="F162" s="174">
        <v>26</v>
      </c>
      <c r="G162" s="174">
        <v>27</v>
      </c>
      <c r="H162" s="174">
        <v>27</v>
      </c>
      <c r="I162" s="174">
        <v>29</v>
      </c>
      <c r="J162" s="174">
        <v>30</v>
      </c>
      <c r="K162" s="174">
        <v>30</v>
      </c>
      <c r="L162" s="174">
        <v>29</v>
      </c>
      <c r="M162" s="174">
        <v>29</v>
      </c>
      <c r="N162" s="174"/>
      <c r="O162" s="210">
        <f t="shared" si="9"/>
        <v>28</v>
      </c>
      <c r="P162" s="202">
        <f t="shared" si="10"/>
        <v>1.003633</v>
      </c>
      <c r="Q162" s="112">
        <f>ROUND(O162*'116年參數表'!D$20*P162, 0)</f>
        <v>557370</v>
      </c>
      <c r="R162" s="174">
        <f t="shared" si="11"/>
        <v>0</v>
      </c>
    </row>
    <row r="163" spans="1:18">
      <c r="A163" s="75">
        <v>703</v>
      </c>
      <c r="B163" s="75" t="s">
        <v>53</v>
      </c>
      <c r="C163" s="173">
        <v>27</v>
      </c>
      <c r="D163" s="174">
        <v>27</v>
      </c>
      <c r="E163" s="174">
        <v>28</v>
      </c>
      <c r="F163" s="174">
        <v>28</v>
      </c>
      <c r="G163" s="174">
        <v>28</v>
      </c>
      <c r="H163" s="174">
        <v>28</v>
      </c>
      <c r="I163" s="174">
        <v>28</v>
      </c>
      <c r="J163" s="174">
        <v>28</v>
      </c>
      <c r="K163" s="174">
        <v>27</v>
      </c>
      <c r="L163" s="174">
        <v>27</v>
      </c>
      <c r="M163" s="174">
        <v>27</v>
      </c>
      <c r="N163" s="174"/>
      <c r="O163" s="210">
        <f t="shared" si="9"/>
        <v>28</v>
      </c>
      <c r="P163" s="202">
        <f t="shared" si="10"/>
        <v>1.003633</v>
      </c>
      <c r="Q163" s="112">
        <f>ROUND(O163*'116年參數表'!D$20*P163, 0)</f>
        <v>557370</v>
      </c>
      <c r="R163" s="174">
        <f t="shared" si="11"/>
        <v>1</v>
      </c>
    </row>
    <row r="164" spans="1:18">
      <c r="A164" s="75">
        <v>704</v>
      </c>
      <c r="B164" s="75" t="s">
        <v>54</v>
      </c>
      <c r="C164" s="173">
        <v>26</v>
      </c>
      <c r="D164" s="174">
        <v>26</v>
      </c>
      <c r="E164" s="174">
        <v>26</v>
      </c>
      <c r="F164" s="174">
        <v>26</v>
      </c>
      <c r="G164" s="174">
        <v>26</v>
      </c>
      <c r="H164" s="174">
        <v>26</v>
      </c>
      <c r="I164" s="174">
        <v>27</v>
      </c>
      <c r="J164" s="174">
        <v>27</v>
      </c>
      <c r="K164" s="174">
        <v>27</v>
      </c>
      <c r="L164" s="174">
        <v>27</v>
      </c>
      <c r="M164" s="174">
        <v>27</v>
      </c>
      <c r="N164" s="174"/>
      <c r="O164" s="210">
        <f t="shared" si="9"/>
        <v>27</v>
      </c>
      <c r="P164" s="202">
        <f t="shared" si="10"/>
        <v>1.003633</v>
      </c>
      <c r="Q164" s="112">
        <f>ROUND(O164*'116年參數表'!D$20*P164, 0)</f>
        <v>537464</v>
      </c>
      <c r="R164" s="174">
        <f t="shared" si="11"/>
        <v>1</v>
      </c>
    </row>
    <row r="165" spans="1:18">
      <c r="A165" s="75">
        <v>705</v>
      </c>
      <c r="B165" s="75" t="s">
        <v>109</v>
      </c>
      <c r="C165" s="173">
        <v>23</v>
      </c>
      <c r="D165" s="174">
        <v>24</v>
      </c>
      <c r="E165" s="174">
        <v>23</v>
      </c>
      <c r="F165" s="174">
        <v>22</v>
      </c>
      <c r="G165" s="174">
        <v>22</v>
      </c>
      <c r="H165" s="174">
        <v>22</v>
      </c>
      <c r="I165" s="174">
        <v>23</v>
      </c>
      <c r="J165" s="174">
        <v>22</v>
      </c>
      <c r="K165" s="174">
        <v>22</v>
      </c>
      <c r="L165" s="174">
        <v>22</v>
      </c>
      <c r="M165" s="174">
        <v>22</v>
      </c>
      <c r="N165" s="174"/>
      <c r="O165" s="210">
        <f t="shared" si="9"/>
        <v>22</v>
      </c>
      <c r="P165" s="202">
        <f t="shared" si="10"/>
        <v>1.003633</v>
      </c>
      <c r="Q165" s="112">
        <f>ROUND(O165*'116年參數表'!D$20*P165, 0)</f>
        <v>437933</v>
      </c>
      <c r="R165" s="174">
        <f t="shared" si="11"/>
        <v>-1</v>
      </c>
    </row>
    <row r="166" spans="1:18">
      <c r="A166" s="75">
        <v>706</v>
      </c>
      <c r="B166" s="75" t="s">
        <v>55</v>
      </c>
      <c r="C166" s="173">
        <v>32</v>
      </c>
      <c r="D166" s="174">
        <v>33</v>
      </c>
      <c r="E166" s="174">
        <v>33</v>
      </c>
      <c r="F166" s="174">
        <v>31</v>
      </c>
      <c r="G166" s="174">
        <v>31</v>
      </c>
      <c r="H166" s="174">
        <v>31</v>
      </c>
      <c r="I166" s="174">
        <v>31</v>
      </c>
      <c r="J166" s="174">
        <v>31</v>
      </c>
      <c r="K166" s="174">
        <v>33</v>
      </c>
      <c r="L166" s="174">
        <v>34</v>
      </c>
      <c r="M166" s="174">
        <v>34</v>
      </c>
      <c r="N166" s="174"/>
      <c r="O166" s="210">
        <f t="shared" si="9"/>
        <v>32</v>
      </c>
      <c r="P166" s="202">
        <f t="shared" si="10"/>
        <v>1.003633</v>
      </c>
      <c r="Q166" s="112">
        <f>ROUND(O166*'116年參數表'!D$20*P166, 0)</f>
        <v>636994</v>
      </c>
      <c r="R166" s="174">
        <f t="shared" si="11"/>
        <v>0</v>
      </c>
    </row>
    <row r="167" spans="1:18">
      <c r="A167" s="75">
        <v>707</v>
      </c>
      <c r="B167" s="75" t="s">
        <v>110</v>
      </c>
      <c r="C167" s="173">
        <v>21</v>
      </c>
      <c r="D167" s="174">
        <v>22</v>
      </c>
      <c r="E167" s="174">
        <v>22</v>
      </c>
      <c r="F167" s="174">
        <v>22</v>
      </c>
      <c r="G167" s="174">
        <v>22</v>
      </c>
      <c r="H167" s="174">
        <v>22</v>
      </c>
      <c r="I167" s="174">
        <v>22</v>
      </c>
      <c r="J167" s="174">
        <v>22</v>
      </c>
      <c r="K167" s="174">
        <v>22</v>
      </c>
      <c r="L167" s="174">
        <v>22</v>
      </c>
      <c r="M167" s="174">
        <v>22</v>
      </c>
      <c r="N167" s="174"/>
      <c r="O167" s="210">
        <f t="shared" si="9"/>
        <v>22</v>
      </c>
      <c r="P167" s="202">
        <f t="shared" si="10"/>
        <v>1.003633</v>
      </c>
      <c r="Q167" s="112">
        <f>ROUND(O167*'116年參數表'!D$20*P167, 0)</f>
        <v>437933</v>
      </c>
      <c r="R167" s="174">
        <f t="shared" si="11"/>
        <v>1</v>
      </c>
    </row>
    <row r="168" spans="1:18" s="97" customFormat="1">
      <c r="A168" s="96">
        <v>708</v>
      </c>
      <c r="B168" s="96" t="s">
        <v>56</v>
      </c>
      <c r="C168" s="173">
        <v>31</v>
      </c>
      <c r="D168" s="208">
        <v>32</v>
      </c>
      <c r="E168" s="208">
        <v>31</v>
      </c>
      <c r="F168" s="208">
        <v>30</v>
      </c>
      <c r="G168" s="208">
        <v>31</v>
      </c>
      <c r="H168" s="208">
        <v>30</v>
      </c>
      <c r="I168" s="208">
        <v>32</v>
      </c>
      <c r="J168" s="208">
        <v>32</v>
      </c>
      <c r="K168" s="208">
        <v>31</v>
      </c>
      <c r="L168" s="208">
        <v>30</v>
      </c>
      <c r="M168" s="208">
        <v>29</v>
      </c>
      <c r="N168" s="208"/>
      <c r="O168" s="210">
        <f t="shared" si="9"/>
        <v>31</v>
      </c>
      <c r="P168" s="203">
        <v>0.95</v>
      </c>
      <c r="Q168" s="112">
        <f>ROUND(O168*'116年參數表'!D$20*P168, 0)</f>
        <v>584111</v>
      </c>
      <c r="R168" s="174">
        <f t="shared" si="11"/>
        <v>0</v>
      </c>
    </row>
    <row r="169" spans="1:18">
      <c r="A169" s="75">
        <v>709</v>
      </c>
      <c r="B169" s="75" t="s">
        <v>204</v>
      </c>
      <c r="C169" s="173">
        <v>26</v>
      </c>
      <c r="D169" s="174">
        <v>29</v>
      </c>
      <c r="E169" s="174">
        <v>29</v>
      </c>
      <c r="F169" s="174">
        <v>28</v>
      </c>
      <c r="G169" s="174">
        <v>28</v>
      </c>
      <c r="H169" s="174">
        <v>28</v>
      </c>
      <c r="I169" s="174">
        <v>28</v>
      </c>
      <c r="J169" s="174">
        <v>28</v>
      </c>
      <c r="K169" s="174">
        <v>29</v>
      </c>
      <c r="L169" s="174">
        <v>29</v>
      </c>
      <c r="M169" s="174">
        <v>29</v>
      </c>
      <c r="N169" s="174"/>
      <c r="O169" s="210">
        <f t="shared" si="9"/>
        <v>29</v>
      </c>
      <c r="P169" s="202">
        <f t="shared" si="10"/>
        <v>1.003633</v>
      </c>
      <c r="Q169" s="112">
        <f>ROUND(O169*'116年參數表'!D$20*P169, 0)</f>
        <v>577276</v>
      </c>
      <c r="R169" s="174">
        <f t="shared" si="11"/>
        <v>3</v>
      </c>
    </row>
    <row r="170" spans="1:18">
      <c r="A170" s="75">
        <v>710</v>
      </c>
      <c r="B170" s="75" t="s">
        <v>111</v>
      </c>
      <c r="C170" s="173">
        <v>32</v>
      </c>
      <c r="D170" s="174">
        <v>31</v>
      </c>
      <c r="E170" s="174">
        <v>31</v>
      </c>
      <c r="F170" s="174">
        <v>31</v>
      </c>
      <c r="G170" s="174">
        <v>32</v>
      </c>
      <c r="H170" s="174">
        <v>32</v>
      </c>
      <c r="I170" s="174">
        <v>32</v>
      </c>
      <c r="J170" s="174">
        <v>32</v>
      </c>
      <c r="K170" s="174">
        <v>32</v>
      </c>
      <c r="L170" s="174">
        <v>32</v>
      </c>
      <c r="M170" s="174">
        <v>32</v>
      </c>
      <c r="N170" s="174"/>
      <c r="O170" s="210">
        <f t="shared" si="9"/>
        <v>32</v>
      </c>
      <c r="P170" s="202">
        <f t="shared" si="10"/>
        <v>1.003633</v>
      </c>
      <c r="Q170" s="112">
        <f>ROUND(O170*'116年參數表'!D$20*P170, 0)</f>
        <v>636994</v>
      </c>
      <c r="R170" s="174">
        <f t="shared" si="11"/>
        <v>0</v>
      </c>
    </row>
    <row r="171" spans="1:18">
      <c r="A171" s="75">
        <v>711</v>
      </c>
      <c r="B171" s="75" t="s">
        <v>205</v>
      </c>
      <c r="C171" s="173">
        <v>29</v>
      </c>
      <c r="D171" s="174">
        <v>27</v>
      </c>
      <c r="E171" s="174">
        <v>28</v>
      </c>
      <c r="F171" s="174">
        <v>27</v>
      </c>
      <c r="G171" s="174">
        <v>26</v>
      </c>
      <c r="H171" s="174">
        <v>26</v>
      </c>
      <c r="I171" s="174">
        <v>29</v>
      </c>
      <c r="J171" s="174">
        <v>29</v>
      </c>
      <c r="K171" s="174">
        <v>29</v>
      </c>
      <c r="L171" s="174">
        <v>30</v>
      </c>
      <c r="M171" s="174">
        <v>29</v>
      </c>
      <c r="N171" s="174"/>
      <c r="O171" s="210">
        <f t="shared" si="9"/>
        <v>28</v>
      </c>
      <c r="P171" s="202">
        <f t="shared" si="10"/>
        <v>1.003633</v>
      </c>
      <c r="Q171" s="112">
        <f>ROUND(O171*'116年參數表'!D$20*P171, 0)</f>
        <v>557370</v>
      </c>
      <c r="R171" s="174">
        <f t="shared" si="11"/>
        <v>-1</v>
      </c>
    </row>
    <row r="172" spans="1:18">
      <c r="A172" s="75">
        <v>712</v>
      </c>
      <c r="B172" s="75" t="s">
        <v>206</v>
      </c>
      <c r="C172" s="173">
        <v>21</v>
      </c>
      <c r="D172" s="174">
        <v>20</v>
      </c>
      <c r="E172" s="174">
        <v>20</v>
      </c>
      <c r="F172" s="174">
        <v>20</v>
      </c>
      <c r="G172" s="174">
        <v>20</v>
      </c>
      <c r="H172" s="174">
        <v>20</v>
      </c>
      <c r="I172" s="174">
        <v>21</v>
      </c>
      <c r="J172" s="174">
        <v>20</v>
      </c>
      <c r="K172" s="174">
        <v>20</v>
      </c>
      <c r="L172" s="174">
        <v>20</v>
      </c>
      <c r="M172" s="174">
        <v>21</v>
      </c>
      <c r="N172" s="174"/>
      <c r="O172" s="210">
        <f t="shared" si="9"/>
        <v>20</v>
      </c>
      <c r="P172" s="202">
        <f t="shared" si="10"/>
        <v>1.003633</v>
      </c>
      <c r="Q172" s="112">
        <f>ROUND(O172*'116年參數表'!D$20*P172, 0)</f>
        <v>398121</v>
      </c>
      <c r="R172" s="174">
        <f t="shared" si="11"/>
        <v>-1</v>
      </c>
    </row>
    <row r="173" spans="1:18">
      <c r="A173" s="75">
        <v>719</v>
      </c>
      <c r="B173" s="75" t="s">
        <v>59</v>
      </c>
      <c r="C173" s="173">
        <v>33</v>
      </c>
      <c r="D173" s="174">
        <v>35</v>
      </c>
      <c r="E173" s="174">
        <v>35</v>
      </c>
      <c r="F173" s="174">
        <v>35</v>
      </c>
      <c r="G173" s="174">
        <v>35</v>
      </c>
      <c r="H173" s="174">
        <v>35</v>
      </c>
      <c r="I173" s="174">
        <v>36</v>
      </c>
      <c r="J173" s="174">
        <v>36</v>
      </c>
      <c r="K173" s="174">
        <v>36</v>
      </c>
      <c r="L173" s="174">
        <v>35</v>
      </c>
      <c r="M173" s="174">
        <v>34</v>
      </c>
      <c r="N173" s="174"/>
      <c r="O173" s="210">
        <f t="shared" si="9"/>
        <v>35</v>
      </c>
      <c r="P173" s="202">
        <f t="shared" si="10"/>
        <v>1.003633</v>
      </c>
      <c r="Q173" s="112">
        <f>ROUND(O173*'116年參數表'!D$20*P173, 0)</f>
        <v>696712</v>
      </c>
      <c r="R173" s="174">
        <f t="shared" si="11"/>
        <v>2</v>
      </c>
    </row>
    <row r="174" spans="1:18">
      <c r="A174" s="75">
        <v>720</v>
      </c>
      <c r="B174" s="75" t="s">
        <v>112</v>
      </c>
      <c r="C174" s="173">
        <v>23</v>
      </c>
      <c r="D174" s="174">
        <v>26</v>
      </c>
      <c r="E174" s="174">
        <v>26</v>
      </c>
      <c r="F174" s="174">
        <v>27</v>
      </c>
      <c r="G174" s="174">
        <v>26</v>
      </c>
      <c r="H174" s="174">
        <v>26</v>
      </c>
      <c r="I174" s="174">
        <v>27</v>
      </c>
      <c r="J174" s="174">
        <v>28</v>
      </c>
      <c r="K174" s="174">
        <v>28</v>
      </c>
      <c r="L174" s="174">
        <v>28</v>
      </c>
      <c r="M174" s="174">
        <v>28</v>
      </c>
      <c r="N174" s="174"/>
      <c r="O174" s="210">
        <f t="shared" si="9"/>
        <v>27</v>
      </c>
      <c r="P174" s="202">
        <f t="shared" si="10"/>
        <v>1.003633</v>
      </c>
      <c r="Q174" s="112">
        <f>ROUND(O174*'116年參數表'!D$20*P174, 0)</f>
        <v>537464</v>
      </c>
      <c r="R174" s="174">
        <f t="shared" ref="R174:R186" si="12">O174-C174</f>
        <v>4</v>
      </c>
    </row>
    <row r="175" spans="1:18">
      <c r="A175" s="75">
        <v>721</v>
      </c>
      <c r="B175" s="75" t="s">
        <v>60</v>
      </c>
      <c r="C175" s="173">
        <v>23</v>
      </c>
      <c r="D175" s="174">
        <v>28</v>
      </c>
      <c r="E175" s="174">
        <v>28</v>
      </c>
      <c r="F175" s="174">
        <v>28</v>
      </c>
      <c r="G175" s="174">
        <v>28</v>
      </c>
      <c r="H175" s="174">
        <v>28</v>
      </c>
      <c r="I175" s="174">
        <v>29</v>
      </c>
      <c r="J175" s="174">
        <v>28</v>
      </c>
      <c r="K175" s="174">
        <v>28</v>
      </c>
      <c r="L175" s="174">
        <v>28</v>
      </c>
      <c r="M175" s="174">
        <v>28</v>
      </c>
      <c r="N175" s="174"/>
      <c r="O175" s="210">
        <f t="shared" si="9"/>
        <v>28</v>
      </c>
      <c r="P175" s="202">
        <f t="shared" si="10"/>
        <v>1.003633</v>
      </c>
      <c r="Q175" s="112">
        <f>ROUND(O175*'116年參數表'!D$20*P175, 0)</f>
        <v>557370</v>
      </c>
      <c r="R175" s="174">
        <f t="shared" si="12"/>
        <v>5</v>
      </c>
    </row>
    <row r="176" spans="1:18">
      <c r="A176" s="75">
        <v>722</v>
      </c>
      <c r="B176" s="75" t="s">
        <v>61</v>
      </c>
      <c r="C176" s="173">
        <v>24</v>
      </c>
      <c r="D176" s="174">
        <v>26</v>
      </c>
      <c r="E176" s="174">
        <v>26</v>
      </c>
      <c r="F176" s="174">
        <v>26</v>
      </c>
      <c r="G176" s="174">
        <v>26</v>
      </c>
      <c r="H176" s="174">
        <v>26</v>
      </c>
      <c r="I176" s="174">
        <v>26</v>
      </c>
      <c r="J176" s="174">
        <v>26</v>
      </c>
      <c r="K176" s="174">
        <v>26</v>
      </c>
      <c r="L176" s="174">
        <v>26</v>
      </c>
      <c r="M176" s="174">
        <v>26</v>
      </c>
      <c r="N176" s="174"/>
      <c r="O176" s="210">
        <f t="shared" si="9"/>
        <v>26</v>
      </c>
      <c r="P176" s="202">
        <f t="shared" si="10"/>
        <v>1.003633</v>
      </c>
      <c r="Q176" s="112">
        <f>ROUND(O176*'116年參數表'!D$20*P176, 0)</f>
        <v>517557</v>
      </c>
      <c r="R176" s="174">
        <f t="shared" si="12"/>
        <v>2</v>
      </c>
    </row>
    <row r="177" spans="1:18">
      <c r="A177" s="75">
        <v>751</v>
      </c>
      <c r="B177" s="75" t="s">
        <v>62</v>
      </c>
      <c r="C177" s="173">
        <v>24</v>
      </c>
      <c r="D177" s="174">
        <v>24</v>
      </c>
      <c r="E177" s="174">
        <v>23</v>
      </c>
      <c r="F177" s="174">
        <v>23</v>
      </c>
      <c r="G177" s="174">
        <v>22</v>
      </c>
      <c r="H177" s="174">
        <v>21</v>
      </c>
      <c r="I177" s="174">
        <v>24</v>
      </c>
      <c r="J177" s="174">
        <v>24</v>
      </c>
      <c r="K177" s="174">
        <v>24</v>
      </c>
      <c r="L177" s="174">
        <v>23</v>
      </c>
      <c r="M177" s="174">
        <v>24</v>
      </c>
      <c r="N177" s="174"/>
      <c r="O177" s="210">
        <f t="shared" si="9"/>
        <v>23</v>
      </c>
      <c r="P177" s="202">
        <f t="shared" si="10"/>
        <v>1.003633</v>
      </c>
      <c r="Q177" s="112">
        <f>ROUND(O177*'116年參數表'!D$20*P177, 0)</f>
        <v>457839</v>
      </c>
      <c r="R177" s="174">
        <f t="shared" si="12"/>
        <v>-1</v>
      </c>
    </row>
    <row r="178" spans="1:18">
      <c r="A178" s="75">
        <v>752</v>
      </c>
      <c r="B178" s="75" t="s">
        <v>63</v>
      </c>
      <c r="C178" s="173">
        <v>25</v>
      </c>
      <c r="D178" s="174">
        <v>28</v>
      </c>
      <c r="E178" s="174">
        <v>28</v>
      </c>
      <c r="F178" s="174">
        <v>28</v>
      </c>
      <c r="G178" s="174">
        <v>28</v>
      </c>
      <c r="H178" s="174">
        <v>28</v>
      </c>
      <c r="I178" s="174">
        <v>28</v>
      </c>
      <c r="J178" s="174">
        <v>27</v>
      </c>
      <c r="K178" s="174">
        <v>27</v>
      </c>
      <c r="L178" s="174">
        <v>27</v>
      </c>
      <c r="M178" s="174">
        <v>27</v>
      </c>
      <c r="N178" s="174"/>
      <c r="O178" s="210">
        <f t="shared" si="9"/>
        <v>28</v>
      </c>
      <c r="P178" s="202">
        <f t="shared" si="10"/>
        <v>1.003633</v>
      </c>
      <c r="Q178" s="112">
        <f>ROUND(O178*'116年參數表'!D$20*P178, 0)</f>
        <v>557370</v>
      </c>
      <c r="R178" s="174">
        <f t="shared" si="12"/>
        <v>3</v>
      </c>
    </row>
    <row r="179" spans="1:18">
      <c r="A179" s="75">
        <v>753</v>
      </c>
      <c r="B179" s="75" t="s">
        <v>207</v>
      </c>
      <c r="C179" s="173">
        <v>26</v>
      </c>
      <c r="D179" s="174">
        <v>25</v>
      </c>
      <c r="E179" s="174">
        <v>25</v>
      </c>
      <c r="F179" s="174">
        <v>25</v>
      </c>
      <c r="G179" s="174">
        <v>22</v>
      </c>
      <c r="H179" s="174">
        <v>24</v>
      </c>
      <c r="I179" s="174">
        <v>25</v>
      </c>
      <c r="J179" s="174">
        <v>25</v>
      </c>
      <c r="K179" s="174">
        <v>25</v>
      </c>
      <c r="L179" s="174">
        <v>25</v>
      </c>
      <c r="M179" s="174">
        <v>25</v>
      </c>
      <c r="N179" s="174"/>
      <c r="O179" s="210">
        <f t="shared" si="9"/>
        <v>25</v>
      </c>
      <c r="P179" s="202">
        <f t="shared" si="10"/>
        <v>1.003633</v>
      </c>
      <c r="Q179" s="112">
        <f>ROUND(O179*'116年參數表'!D$20*P179, 0)</f>
        <v>497651</v>
      </c>
      <c r="R179" s="174">
        <f t="shared" si="12"/>
        <v>-1</v>
      </c>
    </row>
    <row r="180" spans="1:18" s="93" customFormat="1">
      <c r="A180" s="435">
        <v>760</v>
      </c>
      <c r="B180" s="435" t="s">
        <v>64</v>
      </c>
      <c r="C180" s="237">
        <v>27</v>
      </c>
      <c r="D180" s="237">
        <v>28</v>
      </c>
      <c r="E180" s="237">
        <v>28</v>
      </c>
      <c r="F180" s="237">
        <v>28</v>
      </c>
      <c r="G180" s="237">
        <v>28</v>
      </c>
      <c r="H180" s="237">
        <v>28</v>
      </c>
      <c r="I180" s="237">
        <v>29</v>
      </c>
      <c r="J180" s="237">
        <v>28</v>
      </c>
      <c r="K180" s="237">
        <v>29</v>
      </c>
      <c r="L180" s="237">
        <v>29</v>
      </c>
      <c r="M180" s="237">
        <v>29</v>
      </c>
      <c r="N180" s="237"/>
      <c r="O180" s="436">
        <f t="shared" si="9"/>
        <v>28</v>
      </c>
      <c r="P180" s="437">
        <f t="shared" si="10"/>
        <v>1.003633</v>
      </c>
      <c r="Q180" s="438">
        <f>ROUND(O180*'116年參數表'!D$20*P180, 0)</f>
        <v>557370</v>
      </c>
      <c r="R180" s="237">
        <f t="shared" si="12"/>
        <v>1</v>
      </c>
    </row>
    <row r="181" spans="1:18">
      <c r="A181" s="75">
        <v>800</v>
      </c>
      <c r="B181" s="75" t="s">
        <v>66</v>
      </c>
      <c r="C181" s="173">
        <v>30</v>
      </c>
      <c r="D181" s="174">
        <v>27</v>
      </c>
      <c r="E181" s="174">
        <v>27</v>
      </c>
      <c r="F181" s="174">
        <v>27</v>
      </c>
      <c r="G181" s="174">
        <v>27</v>
      </c>
      <c r="H181" s="174">
        <v>27</v>
      </c>
      <c r="I181" s="174">
        <v>28</v>
      </c>
      <c r="J181" s="174">
        <v>28</v>
      </c>
      <c r="K181" s="174">
        <v>28</v>
      </c>
      <c r="L181" s="174">
        <v>28</v>
      </c>
      <c r="M181" s="174">
        <v>28</v>
      </c>
      <c r="N181" s="174"/>
      <c r="O181" s="210">
        <f t="shared" si="9"/>
        <v>28</v>
      </c>
      <c r="P181" s="202">
        <f t="shared" si="10"/>
        <v>1.003633</v>
      </c>
      <c r="Q181" s="112">
        <f>ROUND(O181*'116年參數表'!D$20*P181, 0)</f>
        <v>557370</v>
      </c>
      <c r="R181" s="174">
        <f t="shared" si="12"/>
        <v>-2</v>
      </c>
    </row>
    <row r="182" spans="1:18">
      <c r="A182" s="75">
        <v>801</v>
      </c>
      <c r="B182" s="75" t="s">
        <v>67</v>
      </c>
      <c r="C182" s="173">
        <v>32</v>
      </c>
      <c r="D182" s="174">
        <v>32</v>
      </c>
      <c r="E182" s="174">
        <v>32</v>
      </c>
      <c r="F182" s="174">
        <v>32</v>
      </c>
      <c r="G182" s="174">
        <v>31</v>
      </c>
      <c r="H182" s="174">
        <v>31</v>
      </c>
      <c r="I182" s="174">
        <v>29</v>
      </c>
      <c r="J182" s="174">
        <v>29</v>
      </c>
      <c r="K182" s="174">
        <v>29</v>
      </c>
      <c r="L182" s="174">
        <v>30</v>
      </c>
      <c r="M182" s="174">
        <v>30</v>
      </c>
      <c r="N182" s="174"/>
      <c r="O182" s="210">
        <f t="shared" si="9"/>
        <v>31</v>
      </c>
      <c r="P182" s="202">
        <f t="shared" si="10"/>
        <v>1.003633</v>
      </c>
      <c r="Q182" s="112">
        <f>ROUND(O182*'116年參數表'!D$20*P182, 0)</f>
        <v>617088</v>
      </c>
      <c r="R182" s="174">
        <f t="shared" si="12"/>
        <v>-1</v>
      </c>
    </row>
    <row r="183" spans="1:18" s="93" customFormat="1">
      <c r="A183" s="435">
        <v>802</v>
      </c>
      <c r="B183" s="435" t="s">
        <v>68</v>
      </c>
      <c r="C183" s="237">
        <v>28</v>
      </c>
      <c r="D183" s="237">
        <v>28</v>
      </c>
      <c r="E183" s="237">
        <v>28</v>
      </c>
      <c r="F183" s="237">
        <v>28</v>
      </c>
      <c r="G183" s="237">
        <v>28</v>
      </c>
      <c r="H183" s="237">
        <v>28</v>
      </c>
      <c r="I183" s="237">
        <v>28</v>
      </c>
      <c r="J183" s="237">
        <v>28</v>
      </c>
      <c r="K183" s="237">
        <v>27</v>
      </c>
      <c r="L183" s="237">
        <v>27</v>
      </c>
      <c r="M183" s="237">
        <v>27</v>
      </c>
      <c r="N183" s="237"/>
      <c r="O183" s="436">
        <f t="shared" si="9"/>
        <v>28</v>
      </c>
      <c r="P183" s="437">
        <f t="shared" si="10"/>
        <v>1.003633</v>
      </c>
      <c r="Q183" s="438">
        <f>ROUND(O183*'116年參數表'!D$20*P183, 0)</f>
        <v>557370</v>
      </c>
      <c r="R183" s="237">
        <f t="shared" si="12"/>
        <v>0</v>
      </c>
    </row>
    <row r="184" spans="1:18">
      <c r="A184" s="75">
        <v>820</v>
      </c>
      <c r="B184" s="75" t="s">
        <v>70</v>
      </c>
      <c r="C184" s="173">
        <v>27</v>
      </c>
      <c r="D184" s="174">
        <v>27</v>
      </c>
      <c r="E184" s="174">
        <v>28</v>
      </c>
      <c r="F184" s="174">
        <v>28</v>
      </c>
      <c r="G184" s="174">
        <v>27</v>
      </c>
      <c r="H184" s="174">
        <v>27</v>
      </c>
      <c r="I184" s="174">
        <v>28</v>
      </c>
      <c r="J184" s="174">
        <v>28</v>
      </c>
      <c r="K184" s="174">
        <v>27</v>
      </c>
      <c r="L184" s="174">
        <v>27</v>
      </c>
      <c r="M184" s="174">
        <v>27</v>
      </c>
      <c r="N184" s="174"/>
      <c r="O184" s="210">
        <f t="shared" si="9"/>
        <v>27</v>
      </c>
      <c r="P184" s="202">
        <f t="shared" si="10"/>
        <v>1.003633</v>
      </c>
      <c r="Q184" s="112">
        <f>ROUND(O184*'116年參數表'!D$20*P184, 0)</f>
        <v>537464</v>
      </c>
      <c r="R184" s="174">
        <f t="shared" si="12"/>
        <v>0</v>
      </c>
    </row>
    <row r="185" spans="1:18">
      <c r="A185" s="75">
        <v>830</v>
      </c>
      <c r="B185" s="75" t="s">
        <v>71</v>
      </c>
      <c r="C185" s="173">
        <v>28</v>
      </c>
      <c r="D185" s="174">
        <v>28</v>
      </c>
      <c r="E185" s="174">
        <v>28</v>
      </c>
      <c r="F185" s="174">
        <v>27</v>
      </c>
      <c r="G185" s="174">
        <v>27</v>
      </c>
      <c r="H185" s="174">
        <v>27</v>
      </c>
      <c r="I185" s="174">
        <v>27</v>
      </c>
      <c r="J185" s="174">
        <v>26</v>
      </c>
      <c r="K185" s="174">
        <v>26</v>
      </c>
      <c r="L185" s="174">
        <v>26</v>
      </c>
      <c r="M185" s="174">
        <v>26</v>
      </c>
      <c r="N185" s="174"/>
      <c r="O185" s="210">
        <f t="shared" si="9"/>
        <v>27</v>
      </c>
      <c r="P185" s="202">
        <f t="shared" si="10"/>
        <v>1.003633</v>
      </c>
      <c r="Q185" s="112">
        <f>ROUND(O185*'116年參數表'!D$20*P185, 0)</f>
        <v>537464</v>
      </c>
      <c r="R185" s="174">
        <f t="shared" si="12"/>
        <v>-1</v>
      </c>
    </row>
    <row r="186" spans="1:18">
      <c r="A186" s="75">
        <v>888</v>
      </c>
      <c r="B186" s="75" t="s">
        <v>209</v>
      </c>
      <c r="C186" s="173">
        <v>22</v>
      </c>
      <c r="D186" s="174">
        <v>22</v>
      </c>
      <c r="E186" s="174">
        <v>22</v>
      </c>
      <c r="F186" s="174">
        <v>22</v>
      </c>
      <c r="G186" s="174">
        <v>21</v>
      </c>
      <c r="H186" s="174">
        <v>21</v>
      </c>
      <c r="I186" s="174">
        <v>22</v>
      </c>
      <c r="J186" s="174">
        <v>22</v>
      </c>
      <c r="K186" s="174">
        <v>22</v>
      </c>
      <c r="L186" s="174">
        <v>22</v>
      </c>
      <c r="M186" s="174">
        <v>22</v>
      </c>
      <c r="N186" s="174"/>
      <c r="O186" s="210">
        <f t="shared" si="9"/>
        <v>22</v>
      </c>
      <c r="P186" s="202">
        <f t="shared" si="10"/>
        <v>1.003633</v>
      </c>
      <c r="Q186" s="112">
        <f>ROUND(O186*'116年參數表'!D$20*P186, 0)</f>
        <v>437933</v>
      </c>
      <c r="R186" s="174">
        <f t="shared" si="12"/>
        <v>0</v>
      </c>
    </row>
    <row r="187" spans="1:18">
      <c r="C187" s="44">
        <f>SUM(C4:C186)</f>
        <v>5359</v>
      </c>
      <c r="O187" s="44">
        <f>SUM(O4:O186)</f>
        <v>5493</v>
      </c>
      <c r="P187" s="7"/>
      <c r="Q187" s="122">
        <f>SUM(Q4:Q186)</f>
        <v>108970603</v>
      </c>
      <c r="R187" s="214">
        <f>SUM(R4:R186)</f>
        <v>131</v>
      </c>
    </row>
    <row r="190" spans="1:18">
      <c r="A190" s="2">
        <v>760</v>
      </c>
      <c r="B190" s="2" t="s">
        <v>64</v>
      </c>
      <c r="C190" s="2">
        <v>27</v>
      </c>
      <c r="D190" s="2">
        <v>28</v>
      </c>
      <c r="E190" s="2">
        <v>28</v>
      </c>
      <c r="F190" s="2">
        <v>28</v>
      </c>
      <c r="G190" s="2">
        <v>28</v>
      </c>
      <c r="H190" s="2">
        <v>28</v>
      </c>
      <c r="I190" s="2">
        <v>29</v>
      </c>
      <c r="J190" s="2">
        <v>28</v>
      </c>
      <c r="K190" s="2">
        <v>29</v>
      </c>
      <c r="L190" s="2">
        <v>29</v>
      </c>
      <c r="M190" s="2">
        <v>29</v>
      </c>
      <c r="O190" s="2">
        <v>28</v>
      </c>
      <c r="P190" s="9">
        <v>1.003633</v>
      </c>
      <c r="Q190" s="21" t="e">
        <v>#REF!</v>
      </c>
      <c r="R190">
        <v>1</v>
      </c>
    </row>
    <row r="191" spans="1:18">
      <c r="A191" s="2">
        <v>765</v>
      </c>
      <c r="B191" s="2" t="s">
        <v>65</v>
      </c>
      <c r="C191" s="2">
        <v>23</v>
      </c>
      <c r="D191" s="2">
        <v>24</v>
      </c>
      <c r="E191" s="2">
        <v>25</v>
      </c>
      <c r="F191" s="2">
        <v>25</v>
      </c>
      <c r="G191" s="2">
        <v>25</v>
      </c>
      <c r="H191" s="2">
        <v>25</v>
      </c>
      <c r="I191" s="2">
        <v>25</v>
      </c>
      <c r="J191" s="2">
        <v>25</v>
      </c>
      <c r="K191" s="2">
        <v>25</v>
      </c>
      <c r="L191" s="2">
        <v>25</v>
      </c>
      <c r="M191" s="2">
        <v>25</v>
      </c>
      <c r="O191" s="2">
        <v>25</v>
      </c>
      <c r="P191" s="9">
        <v>1.003633</v>
      </c>
      <c r="Q191" s="21" t="e">
        <v>#REF!</v>
      </c>
      <c r="R191">
        <v>2</v>
      </c>
    </row>
    <row r="193" spans="1:18">
      <c r="A193" s="2">
        <v>802</v>
      </c>
      <c r="B193" s="2" t="s">
        <v>68</v>
      </c>
      <c r="C193" s="2">
        <v>28</v>
      </c>
      <c r="D193" s="2">
        <v>28</v>
      </c>
      <c r="E193" s="2">
        <v>28</v>
      </c>
      <c r="F193" s="2">
        <v>28</v>
      </c>
      <c r="G193" s="2">
        <v>28</v>
      </c>
      <c r="H193" s="2">
        <v>28</v>
      </c>
      <c r="I193" s="2">
        <v>28</v>
      </c>
      <c r="J193" s="2">
        <v>28</v>
      </c>
      <c r="K193" s="2">
        <v>27</v>
      </c>
      <c r="L193" s="2">
        <v>27</v>
      </c>
      <c r="M193" s="2">
        <v>27</v>
      </c>
      <c r="O193" s="2">
        <v>28</v>
      </c>
      <c r="P193" s="9">
        <v>1.003633</v>
      </c>
      <c r="Q193" s="21" t="e">
        <v>#REF!</v>
      </c>
      <c r="R193">
        <v>0</v>
      </c>
    </row>
    <row r="194" spans="1:18">
      <c r="A194" s="2">
        <v>813</v>
      </c>
      <c r="B194" s="2" t="s">
        <v>69</v>
      </c>
      <c r="C194" s="2">
        <v>24</v>
      </c>
      <c r="D194" s="2">
        <v>23</v>
      </c>
      <c r="E194" s="2">
        <v>23</v>
      </c>
      <c r="F194" s="2">
        <v>23</v>
      </c>
      <c r="G194" s="2">
        <v>23</v>
      </c>
      <c r="H194" s="2">
        <v>24</v>
      </c>
      <c r="I194" s="2">
        <v>24</v>
      </c>
      <c r="J194" s="2">
        <v>23</v>
      </c>
      <c r="K194" s="2">
        <v>23</v>
      </c>
      <c r="L194" s="2">
        <v>22</v>
      </c>
      <c r="M194" s="2">
        <v>22</v>
      </c>
      <c r="O194" s="2">
        <v>23</v>
      </c>
      <c r="P194" s="9">
        <v>1.003633</v>
      </c>
      <c r="Q194" s="21" t="e">
        <v>#REF!</v>
      </c>
      <c r="R194">
        <v>-1</v>
      </c>
    </row>
  </sheetData>
  <phoneticPr fontId="13" type="noConversion"/>
  <pageMargins left="0.74803149606299213" right="0.74803149606299213" top="0.98425196850393704" bottom="0.98425196850393704" header="0.51181102362204722" footer="0.51181102362204722"/>
  <pageSetup paperSize="9" scale="45" fitToHeight="0" orientation="portrait" r:id="rId1"/>
  <headerFooter alignWithMargins="0"/>
  <ignoredErrors>
    <ignoredError sqref="O4 O5:O76 O78:O180 O181:O183 O184:O186" formulaRange="1"/>
  </ignoredErrors>
</worksheet>
</file>

<file path=xl/worksheets/sheet23.xml><?xml version="1.0" encoding="utf-8"?>
<worksheet xmlns="http://schemas.openxmlformats.org/spreadsheetml/2006/main" xmlns:r="http://schemas.openxmlformats.org/officeDocument/2006/relationships">
  <dimension ref="A1:AF190"/>
  <sheetViews>
    <sheetView workbookViewId="0">
      <pane ySplit="7" topLeftCell="A8" activePane="bottomLeft" state="frozen"/>
      <selection pane="bottomLeft" activeCell="A8" sqref="A8"/>
    </sheetView>
  </sheetViews>
  <sheetFormatPr defaultRowHeight="16.5"/>
  <cols>
    <col min="1" max="1" width="6" customWidth="1"/>
    <col min="2" max="2" width="8" customWidth="1"/>
    <col min="3" max="3" width="8" customWidth="1"/>
    <col min="4" max="4" width="14" customWidth="1"/>
    <col min="5" max="5" width="14" customWidth="1"/>
    <col min="6" max="6" width="14" customWidth="1"/>
    <col min="7" max="7" width="9" customWidth="1"/>
    <col min="8" max="8" width="9" customWidth="1"/>
    <col min="9" max="9" width="14" customWidth="1"/>
    <col min="10" max="10" width="12" customWidth="1"/>
    <col min="11" max="11" width="14" customWidth="1"/>
    <col min="12" max="12" width="10" customWidth="1"/>
    <col min="13" max="13" width="14" customWidth="1"/>
    <col min="14" max="14" width="14" customWidth="1"/>
    <col min="15" max="15" width="14" customWidth="1"/>
    <col min="16" max="16" width="10" customWidth="1"/>
    <col min="17" max="17" width="10" customWidth="1"/>
    <col min="18" max="18" width="9" customWidth="1"/>
    <col min="19" max="19" width="14" customWidth="1"/>
    <col min="20" max="20" width="14" customWidth="1"/>
    <col min="21" max="21" width="14" customWidth="1"/>
    <col min="22" max="22" width="10" customWidth="1"/>
    <col min="23" max="23" width="10" customWidth="1"/>
    <col min="24" max="24" width="3" customWidth="1"/>
    <col min="25" max="25" width="9" customWidth="1"/>
    <col min="26" max="26" width="7" customWidth="1"/>
    <col min="27" max="27" width="11" customWidth="1"/>
    <col min="28" max="28" width="11" customWidth="1"/>
    <col min="29" max="29" width="11" customWidth="1"/>
    <col min="30" max="30" width="11" customWidth="1"/>
    <col min="31" max="31" width="11" customWidth="1"/>
    <col min="32" max="32" width="11" customWidth="1"/>
  </cols>
  <sheetData>
    <row r="1" ht="36" customHeight="1">
      <c r="A1" s="609" t="inlineStr">
        <is>
          <t xml:space="preserve">116年成長目標 替代方案模擬（逐行連動 116目標底稿ver1；黃底藍字為可調參數；S4／S3 定義見 116目標底稿SUMMARY 伍）</t>
        </is>
      </c>
      <c r="Y1" s="611" t="inlineStr">
        <is>
          <t xml:space="preserve">分類</t>
        </is>
      </c>
      <c r="Z1" s="611" t="inlineStr">
        <is>
          <t xml:space="preserve">家數</t>
        </is>
      </c>
      <c r="AA1" s="611" t="inlineStr">
        <is>
          <t xml:space="preserve">現行 合計vs實績</t>
        </is>
      </c>
      <c r="AB1" s="611" t="inlineStr">
        <is>
          <t xml:space="preserve">S4 合計vs實績</t>
        </is>
      </c>
      <c r="AC1" s="611" t="inlineStr">
        <is>
          <t xml:space="preserve">S3 合計vs實績</t>
        </is>
      </c>
      <c r="AD1" s="611" t="inlineStr">
        <is>
          <t xml:space="preserve">現行 目標&lt;實績家數</t>
        </is>
      </c>
      <c r="AE1" s="611" t="inlineStr">
        <is>
          <t xml:space="preserve">S4 目標&lt;實績家數</t>
        </is>
      </c>
      <c r="AF1" s="611" t="inlineStr">
        <is>
          <t xml:space="preserve">S3 目標&lt;實績家數</t>
        </is>
      </c>
    </row>
    <row r="2">
      <c r="B2" s="615" t="inlineStr">
        <is>
          <t xml:space="preserve">S4 參數</t>
        </is>
      </c>
      <c r="C2" s="613" t="inlineStr">
        <is>
          <t xml:space="preserve">βhi 超額保留比(≥門檻1)</t>
        </is>
      </c>
      <c r="D2" s="621">
        <v>0.5</v>
      </c>
      <c r="E2" s="613" t="inlineStr">
        <is>
          <t xml:space="preserve">βlo 缺口回補比(&lt;門檻3)</t>
        </is>
      </c>
      <c r="F2" s="621">
        <v>0.5</v>
      </c>
      <c r="G2" s="613" t="inlineStr">
        <is>
          <t xml:space="preserve">門檻1</t>
        </is>
      </c>
      <c r="H2" s="635">
        <f>'116目標底稿SUMMARY'!$E$3</f>
        <v>1.2</v>
      </c>
      <c r="I2" s="613" t="inlineStr">
        <is>
          <t xml:space="preserve">門檻2</t>
        </is>
      </c>
      <c r="J2" s="635">
        <f>'116目標底稿SUMMARY'!$E$4</f>
        <v>1</v>
      </c>
      <c r="K2" s="613" t="inlineStr">
        <is>
          <t xml:space="preserve">門檻3</t>
        </is>
      </c>
      <c r="L2" s="635">
        <f>'116目標底稿SUMMARY'!$E$5</f>
        <v>0.8</v>
      </c>
      <c r="M2" s="613" t="inlineStr">
        <is>
          <t xml:space="preserve">TYPE_1係數(目標參數2)</t>
        </is>
      </c>
      <c r="N2" s="635">
        <f>'116目標底稿SUMMARY'!$G$3</f>
        <v>1.01</v>
      </c>
      <c r="O2" s="613" t="inlineStr">
        <is>
          <t xml:space="preserve">TYPE_2係數</t>
        </is>
      </c>
      <c r="P2" s="635">
        <f>'116目標底稿SUMMARY'!$F$4</f>
        <v>1.01</v>
      </c>
      <c r="Q2" s="613" t="inlineStr">
        <is>
          <t xml:space="preserve">TYPE_3係數</t>
        </is>
      </c>
      <c r="R2" s="635">
        <f>'116目標底稿SUMMARY'!$F$5</f>
        <v>1.03</v>
      </c>
      <c r="Y2" s="613" t="inlineStr">
        <is>
          <t xml:space="preserve">TYPE_1</t>
        </is>
      </c>
      <c r="Z2" s="616">
        <f>COUNTIF($H$8:$H$190,$Y2)</f>
        <v>47</v>
      </c>
      <c r="AA2" s="618">
        <f>SUMIF($H$8:$H$190,$Y2,$K$8:$K$190)/SUMIF($H$8:$H$190,$Y2,$E$8:$E$190)-1</f>
        <v>-0.0852065847127299</v>
      </c>
      <c r="AB2" s="618">
        <f>SUMIF($H$8:$H$190,$Y2,$O$8:$O$190)/SUMIF($H$8:$H$190,$Y2,$E$8:$E$190)-1</f>
        <v>-0.0195993138480615</v>
      </c>
      <c r="AC2" s="618">
        <f>SUMIF($H$8:$H$190,$Y2,$U$8:$U$190)/SUMIF($H$8:$H$190,$Y2,$E$8:$E$190)-1</f>
        <v>-0.042855314104164</v>
      </c>
      <c r="AD2" s="616">
        <f>SUMPRODUCT(($H$8:$H$190=$Y2)*($K$8:$K$190&lt;$E$8:$E$190))</f>
        <v>32</v>
      </c>
      <c r="AE2" s="616">
        <f>SUMPRODUCT(($H$8:$H$190=$Y2)*($O$8:$O$190&lt;$E$8:$E$190))</f>
        <v>23</v>
      </c>
      <c r="AF2" s="616">
        <f>SUMPRODUCT(($H$8:$H$190=$Y2)*($U$8:$U$190&lt;$E$8:$E$190))</f>
        <v>38</v>
      </c>
    </row>
    <row r="3">
      <c r="B3" s="615" t="inlineStr">
        <is>
          <t xml:space="preserve">S3 參數</t>
        </is>
      </c>
      <c r="C3" s="613" t="inlineStr">
        <is>
          <t xml:space="preserve">g0 達成率100%之成長率</t>
        </is>
      </c>
      <c r="D3" s="622">
        <v>0.026</v>
      </c>
      <c r="E3" s="613" t="inlineStr">
        <is>
          <t xml:space="preserve">k 斜率(達成率每+100%，成長率−k)</t>
        </is>
      </c>
      <c r="F3" s="621">
        <v>0.25</v>
      </c>
      <c r="G3" s="613" t="inlineStr">
        <is>
          <t xml:space="preserve">成長率下限</t>
        </is>
      </c>
      <c r="H3" s="622">
        <v>-0.2</v>
      </c>
      <c r="I3" s="613" t="inlineStr">
        <is>
          <t xml:space="preserve">成長率上限</t>
        </is>
      </c>
      <c r="J3" s="622">
        <v>0.15</v>
      </c>
      <c r="K3" s="613" t="inlineStr">
        <is>
          <t xml:space="preserve">地板(116目標≥115目標×)</t>
        </is>
      </c>
      <c r="L3" s="621">
        <v>0.85</v>
      </c>
      <c r="Y3" s="613" t="inlineStr">
        <is>
          <t xml:space="preserve">TYPE_2</t>
        </is>
      </c>
      <c r="Z3" s="616">
        <f>COUNTIF($H$8:$H$190,$Y3)</f>
        <v>52</v>
      </c>
      <c r="AA3" s="618">
        <f>SUMIF($H$8:$H$190,$Y3,$K$8:$K$190)/SUMIF($H$8:$H$190,$Y3,$E$8:$E$190)-1</f>
        <v>0.0434667317303763</v>
      </c>
      <c r="AB3" s="618">
        <f>SUMIF($H$8:$H$190,$Y3,$O$8:$O$190)/SUMIF($H$8:$H$190,$Y3,$E$8:$E$190)-1</f>
        <v>0.0482876856928929</v>
      </c>
      <c r="AC3" s="618">
        <f>SUMIF($H$8:$H$190,$Y3,$U$8:$U$190)/SUMIF($H$8:$H$190,$Y3,$E$8:$E$190)-1</f>
        <v>0.0336804231874428</v>
      </c>
      <c r="AD3" s="616">
        <f>SUMPRODUCT(($H$8:$H$190=$Y3)*($K$8:$K$190&lt;$E$8:$E$190))</f>
        <v>0</v>
      </c>
      <c r="AE3" s="616">
        <f>SUMPRODUCT(($H$8:$H$190=$Y3)*($O$8:$O$190&lt;$E$8:$E$190))</f>
        <v>0</v>
      </c>
      <c r="AF3" s="616">
        <f>SUMPRODUCT(($H$8:$H$190=$Y3)*($U$8:$U$190&lt;$E$8:$E$190))</f>
        <v>0</v>
      </c>
    </row>
    <row r="4">
      <c r="B4" s="615" t="inlineStr">
        <is>
          <t xml:space="preserve">校準</t>
        </is>
      </c>
      <c r="C4" s="613" t="inlineStr">
        <is>
          <t xml:space="preserve">現行成長目標合計</t>
        </is>
      </c>
      <c r="D4" s="631">
        <f>SUM(I8:I190)</f>
        <v>12564200000</v>
      </c>
      <c r="E4" s="613" t="inlineStr">
        <is>
          <t xml:space="preserve">S4 未校準合計</t>
        </is>
      </c>
      <c r="F4" s="631">
        <f>SUM(M8:M190)</f>
        <v>12504510000</v>
      </c>
      <c r="G4" s="613" t="inlineStr">
        <is>
          <t xml:space="preserve">S4 校準係數</t>
        </is>
      </c>
      <c r="H4" s="619">
        <f>IF(F4=0,1,D4/F4)</f>
        <v>1.00477347772924</v>
      </c>
      <c r="I4" s="613" t="inlineStr">
        <is>
          <t xml:space="preserve">S3 未校準合計</t>
        </is>
      </c>
      <c r="J4" s="631">
        <f>SUM(S8:S190)</f>
        <v>12565140000</v>
      </c>
      <c r="K4" s="613" t="inlineStr">
        <is>
          <t xml:space="preserve">S3 校準係數</t>
        </is>
      </c>
      <c r="L4" s="619">
        <f>IF(J4=0,1,D4/J4)</f>
        <v>0.99992518985065</v>
      </c>
      <c r="M4" s="624" t="inlineStr">
        <is>
          <t xml:space="preserve">說明：校準使 S4／S3 成長目標合計 ＝ 現行合計（125.64 億），綜合指標池與各分行綜合指標數不變，可直接與現行比較。</t>
        </is>
      </c>
      <c r="Y4" s="613" t="inlineStr">
        <is>
          <t xml:space="preserve">TYPE_3</t>
        </is>
      </c>
      <c r="Z4" s="616">
        <f>COUNTIF($H$8:$H$190,$Y4)</f>
        <v>53</v>
      </c>
      <c r="AA4" s="618">
        <f>SUMIF($H$8:$H$190,$Y4,$K$8:$K$190)/SUMIF($H$8:$H$190,$Y4,$E$8:$E$190)-1</f>
        <v>0.0707440009765312</v>
      </c>
      <c r="AB4" s="618">
        <f>SUMIF($H$8:$H$190,$Y4,$O$8:$O$190)/SUMIF($H$8:$H$190,$Y4,$E$8:$E$190)-1</f>
        <v>0.0756606167416565</v>
      </c>
      <c r="AC4" s="618">
        <f>SUMIF($H$8:$H$190,$Y4,$U$8:$U$190)/SUMIF($H$8:$H$190,$Y4,$E$8:$E$190)-1</f>
        <v>0.090103393641481</v>
      </c>
      <c r="AD4" s="616">
        <f>SUMPRODUCT(($H$8:$H$190=$Y4)*($K$8:$K$190&lt;$E$8:$E$190))</f>
        <v>0</v>
      </c>
      <c r="AE4" s="616">
        <f>SUMPRODUCT(($H$8:$H$190=$Y4)*($O$8:$O$190&lt;$E$8:$E$190))</f>
        <v>0</v>
      </c>
      <c r="AF4" s="616">
        <f>SUMPRODUCT(($H$8:$H$190=$Y4)*($U$8:$U$190&lt;$E$8:$E$190))</f>
        <v>0</v>
      </c>
    </row>
    <row r="5">
      <c r="D5" s="615" t="inlineStr">
        <is>
          <t xml:space="preserve">全行合計</t>
        </is>
      </c>
      <c r="E5" s="631">
        <f>SUM(E8:E190)</f>
        <v>12485599369</v>
      </c>
      <c r="F5" s="631">
        <f>SUM(F8:F190)</f>
        <v>11785380000</v>
      </c>
      <c r="I5" s="631">
        <f>SUM(I8:I190)</f>
        <v>12564200000</v>
      </c>
      <c r="J5" s="631">
        <f>SUM(J8:J190)</f>
        <v>435170000</v>
      </c>
      <c r="K5" s="631">
        <f>SUM(K8:K190)</f>
        <v>12999370000</v>
      </c>
      <c r="L5" s="633">
        <f>K5/E5-1</f>
        <v>0.0411490562700274</v>
      </c>
      <c r="M5" s="631">
        <f>SUM(M8:M190)</f>
        <v>12504510000</v>
      </c>
      <c r="N5" s="631">
        <f>SUM(N8:N190)</f>
        <v>12564210000</v>
      </c>
      <c r="O5" s="631">
        <f>SUM(O8:O190)</f>
        <v>12999380000</v>
      </c>
      <c r="P5" s="633">
        <f>O5/E5-1</f>
        <v>0.0411498571927309</v>
      </c>
      <c r="Q5" s="633">
        <f>O5/F5-1</f>
        <v>0.103008982315377</v>
      </c>
      <c r="S5" s="631">
        <f>SUM(S8:S190)</f>
        <v>12565140000</v>
      </c>
      <c r="T5" s="631">
        <f>SUM(T8:T190)</f>
        <v>12564290000</v>
      </c>
      <c r="U5" s="631">
        <f>SUM(U8:U190)</f>
        <v>12999460000</v>
      </c>
      <c r="V5" s="633">
        <f>U5/E5-1</f>
        <v>0.041156264574358</v>
      </c>
      <c r="W5" s="633">
        <f>U5/F5-1</f>
        <v>0.103015770386699</v>
      </c>
      <c r="Y5" s="613" t="inlineStr">
        <is>
          <t xml:space="preserve">TYPE_4</t>
        </is>
      </c>
      <c r="Z5" s="616">
        <f>COUNTIF($H$8:$H$190,$Y5)</f>
        <v>31</v>
      </c>
      <c r="AA5" s="618">
        <f>SUMIF($H$8:$H$190,$Y5,$K$8:$K$190)/SUMIF($H$8:$H$190,$Y5,$E$8:$E$190)-1</f>
        <v>0.387513393237213</v>
      </c>
      <c r="AB5" s="618">
        <f>SUMIF($H$8:$H$190,$Y5,$O$8:$O$190)/SUMIF($H$8:$H$190,$Y5,$E$8:$E$190)-1</f>
        <v>0.145508067595893</v>
      </c>
      <c r="AC5" s="618">
        <f>SUMIF($H$8:$H$190,$Y5,$U$8:$U$190)/SUMIF($H$8:$H$190,$Y5,$E$8:$E$190)-1</f>
        <v>0.234794165062218</v>
      </c>
      <c r="AD5" s="616">
        <f>SUMPRODUCT(($H$8:$H$190=$Y5)*($K$8:$K$190&lt;$E$8:$E$190))</f>
        <v>0</v>
      </c>
      <c r="AE5" s="616">
        <f>SUMPRODUCT(($H$8:$H$190=$Y5)*($O$8:$O$190&lt;$E$8:$E$190))</f>
        <v>0</v>
      </c>
      <c r="AF5" s="616">
        <f>SUMPRODUCT(($H$8:$H$190=$Y5)*($U$8:$U$190&lt;$E$8:$E$190))</f>
        <v>0</v>
      </c>
    </row>
    <row r="6">
      <c r="D6" s="615" t="inlineStr">
        <is>
          <t xml:space="preserve">目標&lt;115實績 家數</t>
        </is>
      </c>
      <c r="K6" s="631">
        <f>SUMPRODUCT((K8:K190&lt;E8:E190)*1)</f>
        <v>32</v>
      </c>
      <c r="O6" s="631">
        <f>SUMPRODUCT((O8:O190&lt;E8:E190)*1)</f>
        <v>23</v>
      </c>
      <c r="U6" s="631">
        <f>SUMPRODUCT((U8:U190&lt;E8:E190)*1)</f>
        <v>38</v>
      </c>
      <c r="Y6" s="615" t="inlineStr">
        <is>
          <t xml:space="preserve">全行</t>
        </is>
      </c>
      <c r="Z6" s="631">
        <f>SUM(Z2:Z5)</f>
        <v>183</v>
      </c>
      <c r="AA6" s="633">
        <f>K5/E5-1</f>
        <v>0.0411490562700274</v>
      </c>
      <c r="AB6" s="633">
        <f>O5/E5-1</f>
        <v>0.0411498571927309</v>
      </c>
      <c r="AC6" s="633">
        <f>U5/E5-1</f>
        <v>0.041156264574358</v>
      </c>
      <c r="AD6" s="631">
        <f>SUM(AD2:AD5)</f>
        <v>32</v>
      </c>
      <c r="AE6" s="631">
        <f>SUM(AE2:AE5)</f>
        <v>23</v>
      </c>
      <c r="AF6" s="631">
        <f>SUM(AF2:AF5)</f>
        <v>38</v>
      </c>
    </row>
    <row r="7" ht="54" customHeight="1">
      <c r="A7" s="611" t="inlineStr">
        <is>
          <t xml:space="preserve">序號</t>
        </is>
      </c>
      <c r="B7" s="611" t="inlineStr">
        <is>
          <t xml:space="preserve">通路別</t>
        </is>
      </c>
      <c r="C7" s="611" t="inlineStr">
        <is>
          <t xml:space="preserve">單位代號</t>
        </is>
      </c>
      <c r="D7" s="611" t="inlineStr">
        <is>
          <t xml:space="preserve">單位名稱</t>
        </is>
      </c>
      <c r="E7" s="611" t="inlineStr">
        <is>
          <t xml:space="preserve">115年1-9月年化業績(A)</t>
        </is>
      </c>
      <c r="F7" s="611" t="inlineStr">
        <is>
          <t xml:space="preserve">115年年中調整後目標(C)</t>
        </is>
      </c>
      <c r="G7" s="611" t="inlineStr">
        <is>
          <t xml:space="preserve">115年化達成率(D)</t>
        </is>
      </c>
      <c r="H7" s="611" t="inlineStr">
        <is>
          <t xml:space="preserve">現行分類</t>
        </is>
      </c>
      <c r="I7" s="611" t="inlineStr">
        <is>
          <t xml:space="preserve">現行116成長目標(K)</t>
        </is>
      </c>
      <c r="J7" s="611" t="inlineStr">
        <is>
          <t xml:space="preserve">116綜合指標目標(S)</t>
        </is>
      </c>
      <c r="K7" s="611" t="inlineStr">
        <is>
          <t xml:space="preserve">現行116目標合計(T)</t>
        </is>
      </c>
      <c r="L7" s="611" t="inlineStr">
        <is>
          <t xml:space="preserve">現行 vs 115實績</t>
        </is>
      </c>
      <c r="M7" s="611" t="inlineStr">
        <is>
          <t xml:space="preserve">S4 成長目標(未校準)</t>
        </is>
      </c>
      <c r="N7" s="611" t="inlineStr">
        <is>
          <t xml:space="preserve">S4 成長目標(校準後)</t>
        </is>
      </c>
      <c r="O7" s="611" t="inlineStr">
        <is>
          <t xml:space="preserve">S4 116目標合計</t>
        </is>
      </c>
      <c r="P7" s="611" t="inlineStr">
        <is>
          <t xml:space="preserve">S4 vs 115實績</t>
        </is>
      </c>
      <c r="Q7" s="611" t="inlineStr">
        <is>
          <t xml:space="preserve">S4 vs 115目標</t>
        </is>
      </c>
      <c r="R7" s="611" t="inlineStr">
        <is>
          <t xml:space="preserve">S3 成長率g(J)</t>
        </is>
      </c>
      <c r="S7" s="611" t="inlineStr">
        <is>
          <t xml:space="preserve">S3 成長目標(未校準)</t>
        </is>
      </c>
      <c r="T7" s="611" t="inlineStr">
        <is>
          <t xml:space="preserve">S3 成長目標(校準後)</t>
        </is>
      </c>
      <c r="U7" s="611" t="inlineStr">
        <is>
          <t xml:space="preserve">S3 116目標合計</t>
        </is>
      </c>
      <c r="V7" s="611" t="inlineStr">
        <is>
          <t xml:space="preserve">S3 vs 115實績</t>
        </is>
      </c>
      <c r="W7" s="611" t="inlineStr">
        <is>
          <t xml:space="preserve">S3 vs 115目標</t>
        </is>
      </c>
    </row>
    <row r="8">
      <c r="A8" s="634">
        <f>'116目標底稿ver1'!B8</f>
        <v>1</v>
      </c>
      <c r="B8" s="636" t="str">
        <f>'116目標底稿ver1'!C8</f>
        <v>北一區</v>
      </c>
      <c r="C8" s="634">
        <f>'116目標底稿ver1'!D8</f>
        <v>100</v>
      </c>
      <c r="D8" s="636" t="str">
        <f>'116目標底稿ver1'!E8</f>
        <v>營業部</v>
      </c>
      <c r="E8" s="634">
        <f>'116目標底稿ver1'!G8</f>
        <v>151815331</v>
      </c>
      <c r="F8" s="634">
        <f>'116目標底稿ver1'!I8</f>
        <v>103860000</v>
      </c>
      <c r="G8" s="635">
        <f>'116目標底稿ver1'!J8</f>
        <v>1.46</v>
      </c>
      <c r="H8" s="636" t="str">
        <f>'116目標底稿ver1'!A8</f>
        <v>TYPE_1</v>
      </c>
      <c r="I8" s="634">
        <f>'116目標底稿ver1'!Q8</f>
        <v>125880000</v>
      </c>
      <c r="J8" s="634">
        <f>'116目標底稿ver1'!Y8</f>
        <v>4150000</v>
      </c>
      <c r="K8" s="634">
        <f>'116目標底稿ver1'!Z8</f>
        <v>130030000</v>
      </c>
      <c r="L8" s="618">
        <f>IF(E8=0,0,K8/E8-1)</f>
        <v>-0.143498886815324</v>
      </c>
      <c r="M8" s="616">
        <f>ROUND(IF(G8&gt;=$H$2,($H$2*F8+$D$2*(E8-$H$2*F8))*$N$2,IF(G8&gt;=$J$2,E8*$P$2,IF(G8&gt;=$L$2,E8*$R$2,(E8+$F$2*($L$2*F8-E8))*$R$2))),-4)</f>
        <v>139610000</v>
      </c>
      <c r="N8" s="616">
        <f>ROUND(M8*$H$4,-4)</f>
        <v>140280000</v>
      </c>
      <c r="O8" s="616">
        <f>N8+J8</f>
        <v>144430000</v>
      </c>
      <c r="P8" s="618">
        <f>IF(E8=0,0,O8/E8-1)</f>
        <v>-0.0486468062965262</v>
      </c>
      <c r="Q8" s="618">
        <f>IF(F8=0,0,O8/F8-1)</f>
        <v>0.390621991141922</v>
      </c>
      <c r="R8" s="618">
        <f>MAX($H$3,MIN($J$3,$D$3-$F$3*(G8-1)))</f>
        <v>-0.089</v>
      </c>
      <c r="S8" s="616">
        <f>ROUND(MAX(E8*(1+R8),F8*$L$3),-4)</f>
        <v>138300000</v>
      </c>
      <c r="T8" s="616">
        <f>ROUND(S8*$L$4,-4)</f>
        <v>138290000</v>
      </c>
      <c r="U8" s="616">
        <f>T8+J8</f>
        <v>142440000</v>
      </c>
      <c r="V8" s="618">
        <f>IF(E8=0,0,U8/E8-1)</f>
        <v>-0.0617548368682211</v>
      </c>
      <c r="W8" s="618">
        <f>IF(F8=0,0,U8/F8-1)</f>
        <v>0.371461582900058</v>
      </c>
    </row>
    <row r="9">
      <c r="A9" s="634">
        <f>'116目標底稿ver1'!B9</f>
        <v>2</v>
      </c>
      <c r="B9" s="636" t="str">
        <f>'116目標底稿ver1'!C9</f>
        <v>北一區</v>
      </c>
      <c r="C9" s="634">
        <f>'116目標底稿ver1'!D9</f>
        <v>101</v>
      </c>
      <c r="D9" s="636" t="str">
        <f>'116目標底稿ver1'!E9</f>
        <v>儲蓄分行</v>
      </c>
      <c r="E9" s="634">
        <f>'116目標底稿ver1'!G9</f>
        <v>24773020</v>
      </c>
      <c r="F9" s="634">
        <f>'116目標底稿ver1'!I9</f>
        <v>36030000</v>
      </c>
      <c r="G9" s="635">
        <f>'116目標底稿ver1'!J9</f>
        <v>0.69</v>
      </c>
      <c r="H9" s="636" t="str">
        <f>'116目標底稿ver1'!A9</f>
        <v>TYPE_4</v>
      </c>
      <c r="I9" s="634">
        <f>'116目標底稿ver1'!Q9</f>
        <v>34590000</v>
      </c>
      <c r="J9" s="634">
        <f>'116目標底稿ver1'!Y9</f>
        <v>1690000</v>
      </c>
      <c r="K9" s="634">
        <f>'116目標底稿ver1'!Z9</f>
        <v>36280000</v>
      </c>
      <c r="L9" s="618">
        <f>IF(E9=0,0,K9/E9-1)</f>
        <v>0.464496456225361</v>
      </c>
      <c r="M9" s="616">
        <f>ROUND(IF(G9&gt;=$H$2,($H$2*F9+$D$2*(E9-$H$2*F9))*$N$2,IF(G9&gt;=$J$2,E9*$P$2,IF(G9&gt;=$L$2,E9*$R$2,(E9+$F$2*($L$2*F9-E9))*$R$2))),-4)</f>
        <v>27600000</v>
      </c>
      <c r="N9" s="616">
        <f>ROUND(M9*$H$4,-4)</f>
        <v>27730000</v>
      </c>
      <c r="O9" s="616">
        <f>N9+J9</f>
        <v>29420000</v>
      </c>
      <c r="P9" s="618">
        <f>IF(E9=0,0,O9/E9-1)</f>
        <v>0.187582297192672</v>
      </c>
      <c r="Q9" s="618">
        <f>IF(F9=0,0,O9/F9-1)</f>
        <v>-0.1834582292534</v>
      </c>
      <c r="R9" s="618">
        <f>MAX($H$3,MIN($J$3,$D$3-$F$3*(G9-1)))</f>
        <v>0.1035</v>
      </c>
      <c r="S9" s="616">
        <f>ROUND(MAX(E9*(1+R9),F9*$L$3),-4)</f>
        <v>30630000</v>
      </c>
      <c r="T9" s="616">
        <f>ROUND(S9*$L$4,-4)</f>
        <v>30630000</v>
      </c>
      <c r="U9" s="616">
        <f>T9+J9</f>
        <v>32320000</v>
      </c>
      <c r="V9" s="618">
        <f>IF(E9=0,0,U9/E9-1)</f>
        <v>0.304645134101535</v>
      </c>
      <c r="W9" s="618">
        <f>IF(F9=0,0,U9/F9-1)</f>
        <v>-0.102969747432695</v>
      </c>
    </row>
    <row r="10">
      <c r="A10" s="634">
        <f>'116目標底稿ver1'!B10</f>
        <v>3</v>
      </c>
      <c r="B10" s="636" t="str">
        <f>'116目標底稿ver1'!C10</f>
        <v>北一區</v>
      </c>
      <c r="C10" s="634">
        <f>'116目標底稿ver1'!D10</f>
        <v>103</v>
      </c>
      <c r="D10" s="636" t="str">
        <f>'116目標底稿ver1'!E10</f>
        <v>城內分行</v>
      </c>
      <c r="E10" s="634">
        <f>'116目標底稿ver1'!G10</f>
        <v>43030534</v>
      </c>
      <c r="F10" s="634">
        <f>'116目標底稿ver1'!I10</f>
        <v>44220000</v>
      </c>
      <c r="G10" s="635">
        <f>'116目標底稿ver1'!J10</f>
        <v>0.97</v>
      </c>
      <c r="H10" s="636" t="str">
        <f>'116目標底稿ver1'!A10</f>
        <v>TYPE_3</v>
      </c>
      <c r="I10" s="634">
        <f>'116目標底稿ver1'!Q10</f>
        <v>44320000</v>
      </c>
      <c r="J10" s="634">
        <f>'116目標底稿ver1'!Y10</f>
        <v>1700000</v>
      </c>
      <c r="K10" s="634">
        <f>'116目標底稿ver1'!Z10</f>
        <v>46020000</v>
      </c>
      <c r="L10" s="618">
        <f>IF(E10=0,0,K10/E10-1)</f>
        <v>0.0694731327294242</v>
      </c>
      <c r="M10" s="616">
        <f>ROUND(IF(G10&gt;=$H$2,($H$2*F10+$D$2*(E10-$H$2*F10))*$N$2,IF(G10&gt;=$J$2,E10*$P$2,IF(G10&gt;=$L$2,E10*$R$2,(E10+$F$2*($L$2*F10-E10))*$R$2))),-4)</f>
        <v>44320000</v>
      </c>
      <c r="N10" s="616">
        <f>ROUND(M10*$H$4,-4)</f>
        <v>44530000</v>
      </c>
      <c r="O10" s="616">
        <f>N10+J10</f>
        <v>46230000</v>
      </c>
      <c r="P10" s="618">
        <f>IF(E10=0,0,O10/E10-1)</f>
        <v>0.0743533882242782</v>
      </c>
      <c r="Q10" s="618">
        <f>IF(F10=0,0,O10/F10-1)</f>
        <v>0.0454545454545454</v>
      </c>
      <c r="R10" s="618">
        <f>MAX($H$3,MIN($J$3,$D$3-$F$3*(G10-1)))</f>
        <v>0.0335</v>
      </c>
      <c r="S10" s="616">
        <f>ROUND(MAX(E10*(1+R10),F10*$L$3),-4)</f>
        <v>44470000</v>
      </c>
      <c r="T10" s="616">
        <f>ROUND(S10*$L$4,-4)</f>
        <v>44470000</v>
      </c>
      <c r="U10" s="616">
        <f>T10+J10</f>
        <v>46170000</v>
      </c>
      <c r="V10" s="618">
        <f>IF(E10=0,0,U10/E10-1)</f>
        <v>0.0729590295114628</v>
      </c>
      <c r="W10" s="618">
        <f>IF(F10=0,0,U10/F10-1)</f>
        <v>0.0440976933514248</v>
      </c>
    </row>
    <row r="11">
      <c r="A11" s="634">
        <f>'116目標底稿ver1'!B11</f>
        <v>4</v>
      </c>
      <c r="B11" s="636" t="str">
        <f>'116目標底稿ver1'!C11</f>
        <v>北一區</v>
      </c>
      <c r="C11" s="634">
        <f>'116目標底稿ver1'!D11</f>
        <v>104</v>
      </c>
      <c r="D11" s="636" t="str">
        <f>'116目標底稿ver1'!E11</f>
        <v>大稻埕分行</v>
      </c>
      <c r="E11" s="634">
        <f>'116目標底稿ver1'!G11</f>
        <v>100530724</v>
      </c>
      <c r="F11" s="634">
        <f>'116目標底稿ver1'!I11</f>
        <v>75640000</v>
      </c>
      <c r="G11" s="635">
        <f>'116目標底稿ver1'!J11</f>
        <v>1.33</v>
      </c>
      <c r="H11" s="636" t="str">
        <f>'116目標底稿ver1'!A11</f>
        <v>TYPE_1</v>
      </c>
      <c r="I11" s="634">
        <f>'116目標底稿ver1'!Q11</f>
        <v>91680000</v>
      </c>
      <c r="J11" s="634">
        <f>'116目標底稿ver1'!Y11</f>
        <v>2820000</v>
      </c>
      <c r="K11" s="634">
        <f>'116目標底稿ver1'!Z11</f>
        <v>94500000</v>
      </c>
      <c r="L11" s="618">
        <f>IF(E11=0,0,K11/E11-1)</f>
        <v>-0.0599888646977217</v>
      </c>
      <c r="M11" s="616">
        <f>ROUND(IF(G11&gt;=$H$2,($H$2*F11+$D$2*(E11-$H$2*F11))*$N$2,IF(G11&gt;=$J$2,E11*$P$2,IF(G11&gt;=$L$2,E11*$R$2,(E11+$F$2*($L$2*F11-E11))*$R$2))),-4)</f>
        <v>96610000</v>
      </c>
      <c r="N11" s="616">
        <f>ROUND(M11*$H$4,-4)</f>
        <v>97070000</v>
      </c>
      <c r="O11" s="616">
        <f>N11+J11</f>
        <v>99890000</v>
      </c>
      <c r="P11" s="618">
        <f>IF(E11=0,0,O11/E11-1)</f>
        <v>-0.00637341475825837</v>
      </c>
      <c r="Q11" s="618">
        <f>IF(F11=0,0,O11/F11-1)</f>
        <v>0.320597567424643</v>
      </c>
      <c r="R11" s="618">
        <f>MAX($H$3,MIN($J$3,$D$3-$F$3*(G11-1)))</f>
        <v>-0.0565</v>
      </c>
      <c r="S11" s="616">
        <f>ROUND(MAX(E11*(1+R11),F11*$L$3),-4)</f>
        <v>94850000</v>
      </c>
      <c r="T11" s="616">
        <f>ROUND(S11*$L$4,-4)</f>
        <v>94840000</v>
      </c>
      <c r="U11" s="616">
        <f>T11+J11</f>
        <v>97660000</v>
      </c>
      <c r="V11" s="618">
        <f>IF(E11=0,0,U11/E11-1)</f>
        <v>-0.028555688109836</v>
      </c>
      <c r="W11" s="618">
        <f>IF(F11=0,0,U11/F11-1)</f>
        <v>0.29111581173982</v>
      </c>
    </row>
    <row r="12">
      <c r="A12" s="634">
        <f>'116目標底稿ver1'!B12</f>
        <v>5</v>
      </c>
      <c r="B12" s="636" t="str">
        <f>'116目標底稿ver1'!C12</f>
        <v>北一區</v>
      </c>
      <c r="C12" s="634">
        <f>'116目標底稿ver1'!D12</f>
        <v>105</v>
      </c>
      <c r="D12" s="636" t="str">
        <f>'116目標底稿ver1'!E12</f>
        <v>建成分行</v>
      </c>
      <c r="E12" s="634">
        <f>'116目標底稿ver1'!G12</f>
        <v>29760269</v>
      </c>
      <c r="F12" s="634">
        <f>'116目標底稿ver1'!I12</f>
        <v>57000000</v>
      </c>
      <c r="G12" s="635">
        <f>'116目標底稿ver1'!J12</f>
        <v>0.52</v>
      </c>
      <c r="H12" s="636" t="str">
        <f>'116目標底稿ver1'!A12</f>
        <v>TYPE_4</v>
      </c>
      <c r="I12" s="634">
        <f>'116目標底稿ver1'!Q12</f>
        <v>54720000</v>
      </c>
      <c r="J12" s="634">
        <f>'116目標底稿ver1'!Y12</f>
        <v>2350000</v>
      </c>
      <c r="K12" s="634">
        <f>'116目標底稿ver1'!Z12</f>
        <v>57070000</v>
      </c>
      <c r="L12" s="618">
        <f>IF(E12=0,0,K12/E12-1)</f>
        <v>0.917657397518819</v>
      </c>
      <c r="M12" s="616">
        <f>ROUND(IF(G12&gt;=$H$2,($H$2*F12+$D$2*(E12-$H$2*F12))*$N$2,IF(G12&gt;=$J$2,E12*$P$2,IF(G12&gt;=$L$2,E12*$R$2,(E12+$F$2*($L$2*F12-E12))*$R$2))),-4)</f>
        <v>38810000</v>
      </c>
      <c r="N12" s="616">
        <f>ROUND(M12*$H$4,-4)</f>
        <v>39000000</v>
      </c>
      <c r="O12" s="616">
        <f>N12+J12</f>
        <v>41350000</v>
      </c>
      <c r="P12" s="618">
        <f>IF(E12=0,0,O12/E12-1)</f>
        <v>0.389436365645754</v>
      </c>
      <c r="Q12" s="618">
        <f>IF(F12=0,0,O12/F12-1)</f>
        <v>-0.274561403508772</v>
      </c>
      <c r="R12" s="618">
        <f>MAX($H$3,MIN($J$3,$D$3-$F$3*(G12-1)))</f>
        <v>0.146</v>
      </c>
      <c r="S12" s="616">
        <f>ROUND(MAX(E12*(1+R12),F12*$L$3),-4)</f>
        <v>48450000</v>
      </c>
      <c r="T12" s="616">
        <f>ROUND(S12*$L$4,-4)</f>
        <v>48450000</v>
      </c>
      <c r="U12" s="616">
        <f>T12+J12</f>
        <v>50800000</v>
      </c>
      <c r="V12" s="618">
        <f>IF(E12=0,0,U12/E12-1)</f>
        <v>0.706973818012196</v>
      </c>
      <c r="W12" s="618">
        <f>IF(F12=0,0,U12/F12-1)</f>
        <v>-0.108771929824561</v>
      </c>
    </row>
    <row r="13">
      <c r="A13" s="634">
        <f>'116目標底稿ver1'!B13</f>
        <v>6</v>
      </c>
      <c r="B13" s="636" t="str">
        <f>'116目標底稿ver1'!C13</f>
        <v>北一區</v>
      </c>
      <c r="C13" s="634">
        <f>'116目標底稿ver1'!D13</f>
        <v>106</v>
      </c>
      <c r="D13" s="636" t="str">
        <f>'116目標底稿ver1'!E13</f>
        <v>中山分行</v>
      </c>
      <c r="E13" s="634">
        <f>'116目標底稿ver1'!G13</f>
        <v>91410089</v>
      </c>
      <c r="F13" s="634">
        <f>'116目標底稿ver1'!I13</f>
        <v>99340000</v>
      </c>
      <c r="G13" s="635">
        <f>'116目標底稿ver1'!J13</f>
        <v>0.92</v>
      </c>
      <c r="H13" s="636" t="str">
        <f>'116目標底稿ver1'!A13</f>
        <v>TYPE_3</v>
      </c>
      <c r="I13" s="634">
        <f>'116目標底稿ver1'!Q13</f>
        <v>94150000</v>
      </c>
      <c r="J13" s="634">
        <f>'116目標底稿ver1'!Y13</f>
        <v>3540000</v>
      </c>
      <c r="K13" s="634">
        <f>'116目標底稿ver1'!Z13</f>
        <v>97690000</v>
      </c>
      <c r="L13" s="618">
        <f>IF(E13=0,0,K13/E13-1)</f>
        <v>0.0687004144586272</v>
      </c>
      <c r="M13" s="616">
        <f>ROUND(IF(G13&gt;=$H$2,($H$2*F13+$D$2*(E13-$H$2*F13))*$N$2,IF(G13&gt;=$J$2,E13*$P$2,IF(G13&gt;=$L$2,E13*$R$2,(E13+$F$2*($L$2*F13-E13))*$R$2))),-4)</f>
        <v>94150000</v>
      </c>
      <c r="N13" s="616">
        <f>ROUND(M13*$H$4,-4)</f>
        <v>94600000</v>
      </c>
      <c r="O13" s="616">
        <f>N13+J13</f>
        <v>98140000</v>
      </c>
      <c r="P13" s="618">
        <f>IF(E13=0,0,O13/E13-1)</f>
        <v>0.0736232846245233</v>
      </c>
      <c r="Q13" s="618">
        <f>IF(F13=0,0,O13/F13-1)</f>
        <v>-0.012079726192873</v>
      </c>
      <c r="R13" s="618">
        <f>MAX($H$3,MIN($J$3,$D$3-$F$3*(G13-1)))</f>
        <v>0.046</v>
      </c>
      <c r="S13" s="616">
        <f>ROUND(MAX(E13*(1+R13),F13*$L$3),-4)</f>
        <v>95610000</v>
      </c>
      <c r="T13" s="616">
        <f>ROUND(S13*$L$4,-4)</f>
        <v>95600000</v>
      </c>
      <c r="U13" s="616">
        <f>T13+J13</f>
        <v>99140000</v>
      </c>
      <c r="V13" s="618">
        <f>IF(E13=0,0,U13/E13-1)</f>
        <v>0.0845629961042922</v>
      </c>
      <c r="W13" s="618">
        <f>IF(F13=0,0,U13/F13-1)</f>
        <v>-0.00201328769881215</v>
      </c>
    </row>
    <row r="14">
      <c r="A14" s="634">
        <f>'116目標底稿ver1'!B14</f>
        <v>7</v>
      </c>
      <c r="B14" s="636" t="str">
        <f>'116目標底稿ver1'!C14</f>
        <v>北一區</v>
      </c>
      <c r="C14" s="634">
        <f>'116目標底稿ver1'!D14</f>
        <v>107</v>
      </c>
      <c r="D14" s="636" t="str">
        <f>'116目標底稿ver1'!E14</f>
        <v>圓山分行</v>
      </c>
      <c r="E14" s="634">
        <f>'116目標底稿ver1'!G14</f>
        <v>142594489</v>
      </c>
      <c r="F14" s="634">
        <f>'116目標底稿ver1'!I14</f>
        <v>118090000</v>
      </c>
      <c r="G14" s="635">
        <f>'116目標底稿ver1'!J14</f>
        <v>1.21</v>
      </c>
      <c r="H14" s="636" t="str">
        <f>'116目標底稿ver1'!A14</f>
        <v>TYPE_1</v>
      </c>
      <c r="I14" s="634">
        <f>'116目標底稿ver1'!Q14</f>
        <v>143130000</v>
      </c>
      <c r="J14" s="634">
        <f>'116目標底稿ver1'!Y14</f>
        <v>4600000</v>
      </c>
      <c r="K14" s="634">
        <f>'116目標底稿ver1'!Z14</f>
        <v>147730000</v>
      </c>
      <c r="L14" s="618">
        <f>IF(E14=0,0,K14/E14-1)</f>
        <v>0.0360147929700145</v>
      </c>
      <c r="M14" s="616">
        <f>ROUND(IF(G14&gt;=$H$2,($H$2*F14+$D$2*(E14-$H$2*F14))*$N$2,IF(G14&gt;=$J$2,E14*$P$2,IF(G14&gt;=$L$2,E14*$R$2,(E14+$F$2*($L$2*F14-E14))*$R$2))),-4)</f>
        <v>143570000</v>
      </c>
      <c r="N14" s="616">
        <f>ROUND(M14*$H$4,-4)</f>
        <v>144260000</v>
      </c>
      <c r="O14" s="616">
        <f>N14+J14</f>
        <v>148860000</v>
      </c>
      <c r="P14" s="618">
        <f>IF(E14=0,0,O14/E14-1)</f>
        <v>0.0439393629020264</v>
      </c>
      <c r="Q14" s="618">
        <f>IF(F14=0,0,O14/F14-1)</f>
        <v>0.260563976627996</v>
      </c>
      <c r="R14" s="618">
        <f>MAX($H$3,MIN($J$3,$D$3-$F$3*(G14-1)))</f>
        <v>-0.0265</v>
      </c>
      <c r="S14" s="616">
        <f>ROUND(MAX(E14*(1+R14),F14*$L$3),-4)</f>
        <v>138820000</v>
      </c>
      <c r="T14" s="616">
        <f>ROUND(S14*$L$4,-4)</f>
        <v>138810000</v>
      </c>
      <c r="U14" s="616">
        <f>T14+J14</f>
        <v>143410000</v>
      </c>
      <c r="V14" s="618">
        <f>IF(E14=0,0,U14/E14-1)</f>
        <v>0.00571909199099552</v>
      </c>
      <c r="W14" s="618">
        <f>IF(F14=0,0,U14/F14-1)</f>
        <v>0.214412736048776</v>
      </c>
    </row>
    <row r="15">
      <c r="A15" s="634">
        <f>'116目標底稿ver1'!B15</f>
        <v>8</v>
      </c>
      <c r="B15" s="636" t="str">
        <f>'116目標底稿ver1'!C15</f>
        <v>北一區</v>
      </c>
      <c r="C15" s="634">
        <f>'116目標底稿ver1'!D15</f>
        <v>108</v>
      </c>
      <c r="D15" s="636" t="str">
        <f>'116目標底稿ver1'!E15</f>
        <v>城東分行</v>
      </c>
      <c r="E15" s="634">
        <f>'116目標底稿ver1'!G15</f>
        <v>181181359</v>
      </c>
      <c r="F15" s="634">
        <f>'116目標底稿ver1'!I15</f>
        <v>129150000</v>
      </c>
      <c r="G15" s="635">
        <f>'116目標底稿ver1'!J15</f>
        <v>1.4</v>
      </c>
      <c r="H15" s="636" t="str">
        <f>'116目標底稿ver1'!A15</f>
        <v>TYPE_1</v>
      </c>
      <c r="I15" s="634">
        <f>'116目標底稿ver1'!Q15</f>
        <v>156530000</v>
      </c>
      <c r="J15" s="634">
        <f>'116目標底稿ver1'!Y15</f>
        <v>4370000</v>
      </c>
      <c r="K15" s="634">
        <f>'116目標底稿ver1'!Z15</f>
        <v>160900000</v>
      </c>
      <c r="L15" s="618">
        <f>IF(E15=0,0,K15/E15-1)</f>
        <v>-0.111939545612968</v>
      </c>
      <c r="M15" s="616">
        <f>ROUND(IF(G15&gt;=$H$2,($H$2*F15+$D$2*(E15-$H$2*F15))*$N$2,IF(G15&gt;=$J$2,E15*$P$2,IF(G15&gt;=$L$2,E15*$R$2,(E15+$F$2*($L$2*F15-E15))*$R$2))),-4)</f>
        <v>169760000</v>
      </c>
      <c r="N15" s="616">
        <f>ROUND(M15*$H$4,-4)</f>
        <v>170570000</v>
      </c>
      <c r="O15" s="616">
        <f>N15+J15</f>
        <v>174940000</v>
      </c>
      <c r="P15" s="618">
        <f>IF(E15=0,0,O15/E15-1)</f>
        <v>-0.0344481299535898</v>
      </c>
      <c r="Q15" s="618">
        <f>IF(F15=0,0,O15/F15-1)</f>
        <v>0.354548974061169</v>
      </c>
      <c r="R15" s="618">
        <f>MAX($H$3,MIN($J$3,$D$3-$F$3*(G15-1)))</f>
        <v>-0.074</v>
      </c>
      <c r="S15" s="616">
        <f>ROUND(MAX(E15*(1+R15),F15*$L$3),-4)</f>
        <v>167770000</v>
      </c>
      <c r="T15" s="616">
        <f>ROUND(S15*$L$4,-4)</f>
        <v>167760000</v>
      </c>
      <c r="U15" s="616">
        <f>T15+J15</f>
        <v>172130000</v>
      </c>
      <c r="V15" s="618">
        <f>IF(E15=0,0,U15/E15-1)</f>
        <v>-0.0499574517486647</v>
      </c>
      <c r="W15" s="618">
        <f>IF(F15=0,0,U15/F15-1)</f>
        <v>0.332791327913279</v>
      </c>
    </row>
    <row r="16">
      <c r="A16" s="634">
        <f>'116目標底稿ver1'!B16</f>
        <v>9</v>
      </c>
      <c r="B16" s="636" t="str">
        <f>'116目標底稿ver1'!C16</f>
        <v>北一區</v>
      </c>
      <c r="C16" s="634">
        <f>'116目標底稿ver1'!D16</f>
        <v>109</v>
      </c>
      <c r="D16" s="636" t="str">
        <f>'116目標底稿ver1'!E16</f>
        <v>西門分行</v>
      </c>
      <c r="E16" s="634">
        <f>'116目標底稿ver1'!G16</f>
        <v>29449723</v>
      </c>
      <c r="F16" s="634">
        <f>'116目標底稿ver1'!I16</f>
        <v>37980000</v>
      </c>
      <c r="G16" s="635">
        <f>'116目標底稿ver1'!J16</f>
        <v>0.78</v>
      </c>
      <c r="H16" s="636" t="str">
        <f>'116目標底稿ver1'!A16</f>
        <v>TYPE_4</v>
      </c>
      <c r="I16" s="634">
        <f>'116目標底稿ver1'!Q16</f>
        <v>36460000</v>
      </c>
      <c r="J16" s="634">
        <f>'116目標底稿ver1'!Y16</f>
        <v>1710000</v>
      </c>
      <c r="K16" s="634">
        <f>'116目標底稿ver1'!Z16</f>
        <v>38170000</v>
      </c>
      <c r="L16" s="618">
        <f>IF(E16=0,0,K16/E16-1)</f>
        <v>0.296107267290765</v>
      </c>
      <c r="M16" s="616">
        <f>ROUND(IF(G16&gt;=$H$2,($H$2*F16+$D$2*(E16-$H$2*F16))*$N$2,IF(G16&gt;=$J$2,E16*$P$2,IF(G16&gt;=$L$2,E16*$R$2,(E16+$F$2*($L$2*F16-E16))*$R$2))),-4)</f>
        <v>30810000</v>
      </c>
      <c r="N16" s="616">
        <f>ROUND(M16*$H$4,-4)</f>
        <v>30960000</v>
      </c>
      <c r="O16" s="616">
        <f>N16+J16</f>
        <v>32670000</v>
      </c>
      <c r="P16" s="618">
        <f>IF(E16=0,0,O16/E16-1)</f>
        <v>0.109348295058667</v>
      </c>
      <c r="Q16" s="618">
        <f>IF(F16=0,0,O16/F16-1)</f>
        <v>-0.139810426540284</v>
      </c>
      <c r="R16" s="618">
        <f>MAX($H$3,MIN($J$3,$D$3-$F$3*(G16-1)))</f>
        <v>0.081</v>
      </c>
      <c r="S16" s="616">
        <f>ROUND(MAX(E16*(1+R16),F16*$L$3),-4)</f>
        <v>32280000</v>
      </c>
      <c r="T16" s="616">
        <f>ROUND(S16*$L$4,-4)</f>
        <v>32280000</v>
      </c>
      <c r="U16" s="616">
        <f>T16+J16</f>
        <v>33990000</v>
      </c>
      <c r="V16" s="618">
        <f>IF(E16=0,0,U16/E16-1)</f>
        <v>0.15417044839437</v>
      </c>
      <c r="W16" s="618">
        <f>IF(F16=0,0,U16/F16-1)</f>
        <v>-0.105055292259084</v>
      </c>
    </row>
    <row r="17">
      <c r="A17" s="634">
        <f>'116目標底稿ver1'!B17</f>
        <v>10</v>
      </c>
      <c r="B17" s="636" t="str">
        <f>'116目標底稿ver1'!C17</f>
        <v>北一區</v>
      </c>
      <c r="C17" s="634">
        <f>'116目標底稿ver1'!D17</f>
        <v>110</v>
      </c>
      <c r="D17" s="636" t="str">
        <f>'116目標底稿ver1'!E17</f>
        <v>南松山分行</v>
      </c>
      <c r="E17" s="634">
        <f>'116目標底稿ver1'!G17</f>
        <v>44041600</v>
      </c>
      <c r="F17" s="634">
        <f>'116目標底稿ver1'!I17</f>
        <v>59470000</v>
      </c>
      <c r="G17" s="635">
        <f>'116目標底稿ver1'!J17</f>
        <v>0.74</v>
      </c>
      <c r="H17" s="636" t="str">
        <f>'116目標底稿ver1'!A17</f>
        <v>TYPE_4</v>
      </c>
      <c r="I17" s="634">
        <f>'116目標底稿ver1'!Q17</f>
        <v>57090000</v>
      </c>
      <c r="J17" s="634">
        <f>'116目標底稿ver1'!Y17</f>
        <v>2120000</v>
      </c>
      <c r="K17" s="634">
        <f>'116目標底稿ver1'!Z17</f>
        <v>59210000</v>
      </c>
      <c r="L17" s="618">
        <f>IF(E17=0,0,K17/E17-1)</f>
        <v>0.344410738937732</v>
      </c>
      <c r="M17" s="616">
        <f>ROUND(IF(G17&gt;=$H$2,($H$2*F17+$D$2*(E17-$H$2*F17))*$N$2,IF(G17&gt;=$J$2,E17*$P$2,IF(G17&gt;=$L$2,E17*$R$2,(E17+$F$2*($L$2*F17-E17))*$R$2))),-4)</f>
        <v>47180000</v>
      </c>
      <c r="N17" s="616">
        <f>ROUND(M17*$H$4,-4)</f>
        <v>47410000</v>
      </c>
      <c r="O17" s="616">
        <f>N17+J17</f>
        <v>49530000</v>
      </c>
      <c r="P17" s="618">
        <f>IF(E17=0,0,O17/E17-1)</f>
        <v>0.124618542468939</v>
      </c>
      <c r="Q17" s="618">
        <f>IF(F17=0,0,O17/F17-1)</f>
        <v>-0.167143097360013</v>
      </c>
      <c r="R17" s="618">
        <f>MAX($H$3,MIN($J$3,$D$3-$F$3*(G17-1)))</f>
        <v>0.091</v>
      </c>
      <c r="S17" s="616">
        <f>ROUND(MAX(E17*(1+R17),F17*$L$3),-4)</f>
        <v>50550000</v>
      </c>
      <c r="T17" s="616">
        <f>ROUND(S17*$L$4,-4)</f>
        <v>50550000</v>
      </c>
      <c r="U17" s="616">
        <f>T17+J17</f>
        <v>52670000</v>
      </c>
      <c r="V17" s="618">
        <f>IF(E17=0,0,U17/E17-1)</f>
        <v>0.195914771488774</v>
      </c>
      <c r="W17" s="618">
        <f>IF(F17=0,0,U17/F17-1)</f>
        <v>-0.114343366403229</v>
      </c>
    </row>
    <row r="18">
      <c r="A18" s="634">
        <f>'116目標底稿ver1'!B18</f>
        <v>11</v>
      </c>
      <c r="B18" s="636" t="str">
        <f>'116目標底稿ver1'!C18</f>
        <v>北一區</v>
      </c>
      <c r="C18" s="634">
        <f>'116目標底稿ver1'!D18</f>
        <v>111</v>
      </c>
      <c r="D18" s="636" t="str">
        <f>'116目標底稿ver1'!E18</f>
        <v>仁愛路分行</v>
      </c>
      <c r="E18" s="634">
        <f>'116目標底稿ver1'!G18</f>
        <v>156079156</v>
      </c>
      <c r="F18" s="634">
        <f>'116目標底稿ver1'!I18</f>
        <v>101770000</v>
      </c>
      <c r="G18" s="635">
        <f>'116目標底稿ver1'!J18</f>
        <v>1.53</v>
      </c>
      <c r="H18" s="636" t="str">
        <f>'116目標底稿ver1'!A18</f>
        <v>TYPE_1</v>
      </c>
      <c r="I18" s="634">
        <f>'116目標底稿ver1'!Q18</f>
        <v>123350000</v>
      </c>
      <c r="J18" s="634">
        <f>'116目標底稿ver1'!Y18</f>
        <v>3580000</v>
      </c>
      <c r="K18" s="634">
        <f>'116目標底稿ver1'!Z18</f>
        <v>126930000</v>
      </c>
      <c r="L18" s="618">
        <f>IF(E18=0,0,K18/E18-1)</f>
        <v>-0.186758800771578</v>
      </c>
      <c r="M18" s="616">
        <f>ROUND(IF(G18&gt;=$H$2,($H$2*F18+$D$2*(E18-$H$2*F18))*$N$2,IF(G18&gt;=$J$2,E18*$P$2,IF(G18&gt;=$L$2,E18*$R$2,(E18+$F$2*($L$2*F18-E18))*$R$2))),-4)</f>
        <v>140490000</v>
      </c>
      <c r="N18" s="616">
        <f>ROUND(M18*$H$4,-4)</f>
        <v>141160000</v>
      </c>
      <c r="O18" s="616">
        <f>N18+J18</f>
        <v>144740000</v>
      </c>
      <c r="P18" s="618">
        <f>IF(E18=0,0,O18/E18-1)</f>
        <v>-0.072650034063485</v>
      </c>
      <c r="Q18" s="618">
        <f>IF(F18=0,0,O18/F18-1)</f>
        <v>0.422226589368183</v>
      </c>
      <c r="R18" s="618">
        <f>MAX($H$3,MIN($J$3,$D$3-$F$3*(G18-1)))</f>
        <v>-0.1065</v>
      </c>
      <c r="S18" s="616">
        <f>ROUND(MAX(E18*(1+R18),F18*$L$3),-4)</f>
        <v>139460000</v>
      </c>
      <c r="T18" s="616">
        <f>ROUND(S18*$L$4,-4)</f>
        <v>139450000</v>
      </c>
      <c r="U18" s="616">
        <f>T18+J18</f>
        <v>143030000</v>
      </c>
      <c r="V18" s="618">
        <f>IF(E18=0,0,U18/E18-1)</f>
        <v>-0.0836060133487652</v>
      </c>
      <c r="W18" s="618">
        <f>IF(F18=0,0,U18/F18-1)</f>
        <v>0.405423995283482</v>
      </c>
    </row>
    <row r="19">
      <c r="A19" s="634">
        <f>'116目標底稿ver1'!B19</f>
        <v>12</v>
      </c>
      <c r="B19" s="636" t="str">
        <f>'116目標底稿ver1'!C19</f>
        <v>北一區</v>
      </c>
      <c r="C19" s="634">
        <f>'116目標底稿ver1'!D19</f>
        <v>112</v>
      </c>
      <c r="D19" s="636" t="str">
        <f>'116目標底稿ver1'!E19</f>
        <v>南京東路分行</v>
      </c>
      <c r="E19" s="634">
        <f>'116目標底稿ver1'!G19</f>
        <v>81157545</v>
      </c>
      <c r="F19" s="634">
        <f>'116目標底稿ver1'!I19</f>
        <v>68030000</v>
      </c>
      <c r="G19" s="635">
        <f>'116目標底稿ver1'!J19</f>
        <v>1.19</v>
      </c>
      <c r="H19" s="636" t="str">
        <f>'116目標底稿ver1'!A19</f>
        <v>TYPE_2</v>
      </c>
      <c r="I19" s="634">
        <f>'116目標底稿ver1'!Q19</f>
        <v>81970000</v>
      </c>
      <c r="J19" s="634">
        <f>'116目標底稿ver1'!Y19</f>
        <v>3440000</v>
      </c>
      <c r="K19" s="634">
        <f>'116目標底稿ver1'!Z19</f>
        <v>85410000</v>
      </c>
      <c r="L19" s="618">
        <f>IF(E19=0,0,K19/E19-1)</f>
        <v>0.0523975312461706</v>
      </c>
      <c r="M19" s="616">
        <f>ROUND(IF(G19&gt;=$H$2,($H$2*F19+$D$2*(E19-$H$2*F19))*$N$2,IF(G19&gt;=$J$2,E19*$P$2,IF(G19&gt;=$L$2,E19*$R$2,(E19+$F$2*($L$2*F19-E19))*$R$2))),-4)</f>
        <v>81970000</v>
      </c>
      <c r="N19" s="616">
        <f>ROUND(M19*$H$4,-4)</f>
        <v>82360000</v>
      </c>
      <c r="O19" s="616">
        <f>N19+J19</f>
        <v>85800000</v>
      </c>
      <c r="P19" s="618">
        <f>IF(E19=0,0,O19/E19-1)</f>
        <v>0.0572029994253769</v>
      </c>
      <c r="Q19" s="618">
        <f>IF(F19=0,0,O19/F19-1)</f>
        <v>0.261208290460091</v>
      </c>
      <c r="R19" s="618">
        <f>MAX($H$3,MIN($J$3,$D$3-$F$3*(G19-1)))</f>
        <v>-0.0215</v>
      </c>
      <c r="S19" s="616">
        <f>ROUND(MAX(E19*(1+R19),F19*$L$3),-4)</f>
        <v>79410000</v>
      </c>
      <c r="T19" s="616">
        <f>ROUND(S19*$L$4,-4)</f>
        <v>79400000</v>
      </c>
      <c r="U19" s="616">
        <f>T19+J19</f>
        <v>82840000</v>
      </c>
      <c r="V19" s="618">
        <f>IF(E19=0,0,U19/E19-1)</f>
        <v>0.0207307281165294</v>
      </c>
      <c r="W19" s="618">
        <f>IF(F19=0,0,U19/F19-1)</f>
        <v>0.217698074378951</v>
      </c>
    </row>
    <row r="20">
      <c r="A20" s="634">
        <f>'116目標底稿ver1'!B20</f>
        <v>13</v>
      </c>
      <c r="B20" s="636" t="str">
        <f>'116目標底稿ver1'!C20</f>
        <v>北一區</v>
      </c>
      <c r="C20" s="634">
        <f>'116目標底稿ver1'!D20</f>
        <v>113</v>
      </c>
      <c r="D20" s="636" t="str">
        <f>'116目標底稿ver1'!E20</f>
        <v>新生分行</v>
      </c>
      <c r="E20" s="634">
        <f>'116目標底稿ver1'!G20</f>
        <v>98528137</v>
      </c>
      <c r="F20" s="634">
        <f>'116目標底稿ver1'!I20</f>
        <v>91250000</v>
      </c>
      <c r="G20" s="635">
        <f>'116目標底稿ver1'!J20</f>
        <v>1.08</v>
      </c>
      <c r="H20" s="636" t="str">
        <f>'116目標底稿ver1'!A20</f>
        <v>TYPE_2</v>
      </c>
      <c r="I20" s="634">
        <f>'116目標底稿ver1'!Q20</f>
        <v>99510000</v>
      </c>
      <c r="J20" s="634">
        <f>'116目標底稿ver1'!Y20</f>
        <v>3130000</v>
      </c>
      <c r="K20" s="634">
        <f>'116目標底稿ver1'!Z20</f>
        <v>102640000</v>
      </c>
      <c r="L20" s="618">
        <f>IF(E20=0,0,K20/E20-1)</f>
        <v>0.0417328808317974</v>
      </c>
      <c r="M20" s="616">
        <f>ROUND(IF(G20&gt;=$H$2,($H$2*F20+$D$2*(E20-$H$2*F20))*$N$2,IF(G20&gt;=$J$2,E20*$P$2,IF(G20&gt;=$L$2,E20*$R$2,(E20+$F$2*($L$2*F20-E20))*$R$2))),-4)</f>
        <v>99510000</v>
      </c>
      <c r="N20" s="616">
        <f>ROUND(M20*$H$4,-4)</f>
        <v>99990000</v>
      </c>
      <c r="O20" s="616">
        <f>N20+J20</f>
        <v>103120000</v>
      </c>
      <c r="P20" s="618">
        <f>IF(E20=0,0,O20/E20-1)</f>
        <v>0.0466045856525228</v>
      </c>
      <c r="Q20" s="618">
        <f>IF(F20=0,0,O20/F20-1)</f>
        <v>0.130082191780822</v>
      </c>
      <c r="R20" s="618">
        <f>MAX($H$3,MIN($J$3,$D$3-$F$3*(G20-1)))</f>
        <v>0.00599999999999998</v>
      </c>
      <c r="S20" s="616">
        <f>ROUND(MAX(E20*(1+R20),F20*$L$3),-4)</f>
        <v>99120000</v>
      </c>
      <c r="T20" s="616">
        <f>ROUND(S20*$L$4,-4)</f>
        <v>99110000</v>
      </c>
      <c r="U20" s="616">
        <f>T20+J20</f>
        <v>102240000</v>
      </c>
      <c r="V20" s="618">
        <f>IF(E20=0,0,U20/E20-1)</f>
        <v>0.0376731268145261</v>
      </c>
      <c r="W20" s="618">
        <f>IF(F20=0,0,U20/F20-1)</f>
        <v>0.120438356164384</v>
      </c>
    </row>
    <row r="21">
      <c r="A21" s="634">
        <f>'116目標底稿ver1'!B21</f>
        <v>14</v>
      </c>
      <c r="B21" s="636" t="str">
        <f>'116目標底稿ver1'!C21</f>
        <v>北一區</v>
      </c>
      <c r="C21" s="634">
        <f>'116目標底稿ver1'!D21</f>
        <v>114</v>
      </c>
      <c r="D21" s="636" t="str">
        <f>'116目標底稿ver1'!E21</f>
        <v>大同分行</v>
      </c>
      <c r="E21" s="634">
        <f>'116目標底稿ver1'!G21</f>
        <v>61542910</v>
      </c>
      <c r="F21" s="634">
        <f>'116目標底稿ver1'!I21</f>
        <v>83440000</v>
      </c>
      <c r="G21" s="635">
        <f>'116目標底稿ver1'!J21</f>
        <v>0.74</v>
      </c>
      <c r="H21" s="636" t="str">
        <f>'116目標底稿ver1'!A21</f>
        <v>TYPE_4</v>
      </c>
      <c r="I21" s="634">
        <f>'116目標底稿ver1'!Q21</f>
        <v>80100000</v>
      </c>
      <c r="J21" s="634">
        <f>'116目標底稿ver1'!Y21</f>
        <v>2980000</v>
      </c>
      <c r="K21" s="634">
        <f>'116目標底稿ver1'!Z21</f>
        <v>83080000</v>
      </c>
      <c r="L21" s="618">
        <f>IF(E21=0,0,K21/E21-1)</f>
        <v>0.349952415314778</v>
      </c>
      <c r="M21" s="616">
        <f>ROUND(IF(G21&gt;=$H$2,($H$2*F21+$D$2*(E21-$H$2*F21))*$N$2,IF(G21&gt;=$J$2,E21*$P$2,IF(G21&gt;=$L$2,E21*$R$2,(E21+$F$2*($L$2*F21-E21))*$R$2))),-4)</f>
        <v>66070000</v>
      </c>
      <c r="N21" s="616">
        <f>ROUND(M21*$H$4,-4)</f>
        <v>66390000</v>
      </c>
      <c r="O21" s="616">
        <f>N21+J21</f>
        <v>69370000</v>
      </c>
      <c r="P21" s="618">
        <f>IF(E21=0,0,O21/E21-1)</f>
        <v>0.127181018902096</v>
      </c>
      <c r="Q21" s="618">
        <f>IF(F21=0,0,O21/F21-1)</f>
        <v>-0.168624161073826</v>
      </c>
      <c r="R21" s="618">
        <f>MAX($H$3,MIN($J$3,$D$3-$F$3*(G21-1)))</f>
        <v>0.091</v>
      </c>
      <c r="S21" s="616">
        <f>ROUND(MAX(E21*(1+R21),F21*$L$3),-4)</f>
        <v>70920000</v>
      </c>
      <c r="T21" s="616">
        <f>ROUND(S21*$L$4,-4)</f>
        <v>70910000</v>
      </c>
      <c r="U21" s="616">
        <f>T21+J21</f>
        <v>73890000</v>
      </c>
      <c r="V21" s="618">
        <f>IF(E21=0,0,U21/E21-1)</f>
        <v>0.200625709769005</v>
      </c>
      <c r="W21" s="618">
        <f>IF(F21=0,0,U21/F21-1)</f>
        <v>-0.114453499520614</v>
      </c>
    </row>
    <row r="22">
      <c r="A22" s="634">
        <f>'116目標底稿ver1'!B22</f>
        <v>15</v>
      </c>
      <c r="B22" s="636" t="str">
        <f>'116目標底稿ver1'!C22</f>
        <v>北一區</v>
      </c>
      <c r="C22" s="634">
        <f>'116目標底稿ver1'!D22</f>
        <v>115</v>
      </c>
      <c r="D22" s="636" t="str">
        <f>'116目標底稿ver1'!E22</f>
        <v>松山分行</v>
      </c>
      <c r="E22" s="634">
        <f>'116目標底稿ver1'!G22</f>
        <v>51207175</v>
      </c>
      <c r="F22" s="634">
        <f>'116目標底稿ver1'!I22</f>
        <v>59930000</v>
      </c>
      <c r="G22" s="635">
        <f>'116目標底稿ver1'!J22</f>
        <v>0.85</v>
      </c>
      <c r="H22" s="636" t="str">
        <f>'116目標底稿ver1'!A22</f>
        <v>TYPE_3</v>
      </c>
      <c r="I22" s="634">
        <f>'116目標底稿ver1'!Q22</f>
        <v>52740000</v>
      </c>
      <c r="J22" s="634">
        <f>'116目標底稿ver1'!Y22</f>
        <v>2100000</v>
      </c>
      <c r="K22" s="634">
        <f>'116目標底稿ver1'!Z22</f>
        <v>54840000</v>
      </c>
      <c r="L22" s="618">
        <f>IF(E22=0,0,K22/E22-1)</f>
        <v>0.0709436714679144</v>
      </c>
      <c r="M22" s="616">
        <f>ROUND(IF(G22&gt;=$H$2,($H$2*F22+$D$2*(E22-$H$2*F22))*$N$2,IF(G22&gt;=$J$2,E22*$P$2,IF(G22&gt;=$L$2,E22*$R$2,(E22+$F$2*($L$2*F22-E22))*$R$2))),-4)</f>
        <v>52740000</v>
      </c>
      <c r="N22" s="616">
        <f>ROUND(M22*$H$4,-4)</f>
        <v>52990000</v>
      </c>
      <c r="O22" s="616">
        <f>N22+J22</f>
        <v>55090000</v>
      </c>
      <c r="P22" s="618">
        <f>IF(E22=0,0,O22/E22-1)</f>
        <v>0.0758257998024692</v>
      </c>
      <c r="Q22" s="618">
        <f>IF(F22=0,0,O22/F22-1)</f>
        <v>-0.0807608877023194</v>
      </c>
      <c r="R22" s="618">
        <f>MAX($H$3,MIN($J$3,$D$3-$F$3*(G22-1)))</f>
        <v>0.0635</v>
      </c>
      <c r="S22" s="616">
        <f>ROUND(MAX(E22*(1+R22),F22*$L$3),-4)</f>
        <v>54460000</v>
      </c>
      <c r="T22" s="616">
        <f>ROUND(S22*$L$4,-4)</f>
        <v>54460000</v>
      </c>
      <c r="U22" s="616">
        <f>T22+J22</f>
        <v>56560000</v>
      </c>
      <c r="V22" s="618">
        <f>IF(E22=0,0,U22/E22-1)</f>
        <v>0.104532714409651</v>
      </c>
      <c r="W22" s="618">
        <f>IF(F22=0,0,U22/F22-1)</f>
        <v>-0.0562322709828133</v>
      </c>
    </row>
    <row r="23">
      <c r="A23" s="634">
        <f>'116目標底稿ver1'!B23</f>
        <v>16</v>
      </c>
      <c r="B23" s="636" t="str">
        <f>'116目標底稿ver1'!C23</f>
        <v>北一區</v>
      </c>
      <c r="C23" s="634">
        <f>'116目標底稿ver1'!D23</f>
        <v>116</v>
      </c>
      <c r="D23" s="636" t="str">
        <f>'116目標底稿ver1'!E23</f>
        <v>中崙分行</v>
      </c>
      <c r="E23" s="634">
        <f>'116目標底稿ver1'!G23</f>
        <v>38986009</v>
      </c>
      <c r="F23" s="634">
        <f>'116目標底稿ver1'!I23</f>
        <v>50090000</v>
      </c>
      <c r="G23" s="635">
        <f>'116目標底稿ver1'!J23</f>
        <v>0.78</v>
      </c>
      <c r="H23" s="636" t="str">
        <f>'116目標底稿ver1'!A23</f>
        <v>TYPE_4</v>
      </c>
      <c r="I23" s="634">
        <f>'116目標底稿ver1'!Q23</f>
        <v>48090000</v>
      </c>
      <c r="J23" s="634">
        <f>'116目標底稿ver1'!Y23</f>
        <v>2080000</v>
      </c>
      <c r="K23" s="634">
        <f>'116目標底稿ver1'!Z23</f>
        <v>50170000</v>
      </c>
      <c r="L23" s="618">
        <f>IF(E23=0,0,K23/E23-1)</f>
        <v>0.286871913460031</v>
      </c>
      <c r="M23" s="616">
        <f>ROUND(IF(G23&gt;=$H$2,($H$2*F23+$D$2*(E23-$H$2*F23))*$N$2,IF(G23&gt;=$J$2,E23*$P$2,IF(G23&gt;=$L$2,E23*$R$2,(E23+$F$2*($L$2*F23-E23))*$R$2))),-4)</f>
        <v>40710000</v>
      </c>
      <c r="N23" s="616">
        <f>ROUND(M23*$H$4,-4)</f>
        <v>40900000</v>
      </c>
      <c r="O23" s="616">
        <f>N23+J23</f>
        <v>42980000</v>
      </c>
      <c r="P23" s="618">
        <f>IF(E23=0,0,O23/E23-1)</f>
        <v>0.102446777765839</v>
      </c>
      <c r="Q23" s="618">
        <f>IF(F23=0,0,O23/F23-1)</f>
        <v>-0.14194449990018</v>
      </c>
      <c r="R23" s="618">
        <f>MAX($H$3,MIN($J$3,$D$3-$F$3*(G23-1)))</f>
        <v>0.081</v>
      </c>
      <c r="S23" s="616">
        <f>ROUND(MAX(E23*(1+R23),F23*$L$3),-4)</f>
        <v>42580000</v>
      </c>
      <c r="T23" s="616">
        <f>ROUND(S23*$L$4,-4)</f>
        <v>42580000</v>
      </c>
      <c r="U23" s="616">
        <f>T23+J23</f>
        <v>44660000</v>
      </c>
      <c r="V23" s="618">
        <f>IF(E23=0,0,U23/E23-1)</f>
        <v>0.145539159958641</v>
      </c>
      <c r="W23" s="618">
        <f>IF(F23=0,0,U23/F23-1)</f>
        <v>-0.108404871231783</v>
      </c>
    </row>
    <row r="24">
      <c r="A24" s="634">
        <f>'116目標底稿ver1'!B24</f>
        <v>17</v>
      </c>
      <c r="B24" s="636" t="str">
        <f>'116目標底稿ver1'!C24</f>
        <v>北一區</v>
      </c>
      <c r="C24" s="634">
        <f>'116目標底稿ver1'!D24</f>
        <v>117</v>
      </c>
      <c r="D24" s="636" t="str">
        <f>'116目標底稿ver1'!E24</f>
        <v>台北南門分行</v>
      </c>
      <c r="E24" s="634">
        <f>'116目標底稿ver1'!G24</f>
        <v>84357174</v>
      </c>
      <c r="F24" s="634">
        <f>'116目標底稿ver1'!I24</f>
        <v>76020000</v>
      </c>
      <c r="G24" s="635">
        <f>'116目標底稿ver1'!J24</f>
        <v>1.11</v>
      </c>
      <c r="H24" s="636" t="str">
        <f>'116目標底稿ver1'!A24</f>
        <v>TYPE_2</v>
      </c>
      <c r="I24" s="634">
        <f>'116目標底稿ver1'!Q24</f>
        <v>85200000</v>
      </c>
      <c r="J24" s="634">
        <f>'116目標底稿ver1'!Y24</f>
        <v>2900000</v>
      </c>
      <c r="K24" s="634">
        <f>'116目標底稿ver1'!Z24</f>
        <v>88100000</v>
      </c>
      <c r="L24" s="618">
        <f>IF(E24=0,0,K24/E24-1)</f>
        <v>0.0443687931034769</v>
      </c>
      <c r="M24" s="616">
        <f>ROUND(IF(G24&gt;=$H$2,($H$2*F24+$D$2*(E24-$H$2*F24))*$N$2,IF(G24&gt;=$J$2,E24*$P$2,IF(G24&gt;=$L$2,E24*$R$2,(E24+$F$2*($L$2*F24-E24))*$R$2))),-4)</f>
        <v>85200000</v>
      </c>
      <c r="N24" s="616">
        <f>ROUND(M24*$H$4,-4)</f>
        <v>85610000</v>
      </c>
      <c r="O24" s="616">
        <f>N24+J24</f>
        <v>88510000</v>
      </c>
      <c r="P24" s="618">
        <f>IF(E24=0,0,O24/E24-1)</f>
        <v>0.0492290792007803</v>
      </c>
      <c r="Q24" s="618">
        <f>IF(F24=0,0,O24/F24-1)</f>
        <v>0.164298868718758</v>
      </c>
      <c r="R24" s="618">
        <f>MAX($H$3,MIN($J$3,$D$3-$F$3*(G24-1)))</f>
        <v>-0.00150000000000003</v>
      </c>
      <c r="S24" s="616">
        <f>ROUND(MAX(E24*(1+R24),F24*$L$3),-4)</f>
        <v>84230000</v>
      </c>
      <c r="T24" s="616">
        <f>ROUND(S24*$L$4,-4)</f>
        <v>84220000</v>
      </c>
      <c r="U24" s="616">
        <f>T24+J24</f>
        <v>87120000</v>
      </c>
      <c r="V24" s="618">
        <f>IF(E24=0,0,U24/E24-1)</f>
        <v>0.0327515238952885</v>
      </c>
      <c r="W24" s="618">
        <f>IF(F24=0,0,U24/F24-1)</f>
        <v>0.146014206787688</v>
      </c>
    </row>
    <row r="25">
      <c r="A25" s="634">
        <f>'116目標底稿ver1'!B25</f>
        <v>18</v>
      </c>
      <c r="B25" s="636" t="str">
        <f>'116目標底稿ver1'!C25</f>
        <v>北一區</v>
      </c>
      <c r="C25" s="634">
        <f>'116目標底稿ver1'!D25</f>
        <v>118</v>
      </c>
      <c r="D25" s="636" t="str">
        <f>'116目標底稿ver1'!E25</f>
        <v>公館分行</v>
      </c>
      <c r="E25" s="634">
        <f>'116目標底稿ver1'!G25</f>
        <v>67010394</v>
      </c>
      <c r="F25" s="634">
        <f>'116目標底稿ver1'!I25</f>
        <v>73660000</v>
      </c>
      <c r="G25" s="635">
        <f>'116目標底稿ver1'!J25</f>
        <v>0.91</v>
      </c>
      <c r="H25" s="636" t="str">
        <f>'116目標底稿ver1'!A25</f>
        <v>TYPE_3</v>
      </c>
      <c r="I25" s="634">
        <f>'116目標底稿ver1'!Q25</f>
        <v>69020000</v>
      </c>
      <c r="J25" s="634">
        <f>'116目標底稿ver1'!Y25</f>
        <v>2570000</v>
      </c>
      <c r="K25" s="634">
        <f>'116目標底稿ver1'!Z25</f>
        <v>71590000</v>
      </c>
      <c r="L25" s="618">
        <f>IF(E25=0,0,K25/E25-1)</f>
        <v>0.0683417262104145</v>
      </c>
      <c r="M25" s="616">
        <f>ROUND(IF(G25&gt;=$H$2,($H$2*F25+$D$2*(E25-$H$2*F25))*$N$2,IF(G25&gt;=$J$2,E25*$P$2,IF(G25&gt;=$L$2,E25*$R$2,(E25+$F$2*($L$2*F25-E25))*$R$2))),-4)</f>
        <v>69020000</v>
      </c>
      <c r="N25" s="616">
        <f>ROUND(M25*$H$4,-4)</f>
        <v>69350000</v>
      </c>
      <c r="O25" s="616">
        <f>N25+J25</f>
        <v>71920000</v>
      </c>
      <c r="P25" s="618">
        <f>IF(E25=0,0,O25/E25-1)</f>
        <v>0.0732663353688086</v>
      </c>
      <c r="Q25" s="618">
        <f>IF(F25=0,0,O25/F25-1)</f>
        <v>-0.0236220472440944</v>
      </c>
      <c r="R25" s="618">
        <f>MAX($H$3,MIN($J$3,$D$3-$F$3*(G25-1)))</f>
        <v>0.0485</v>
      </c>
      <c r="S25" s="616">
        <f>ROUND(MAX(E25*(1+R25),F25*$L$3),-4)</f>
        <v>70260000</v>
      </c>
      <c r="T25" s="616">
        <f>ROUND(S25*$L$4,-4)</f>
        <v>70250000</v>
      </c>
      <c r="U25" s="616">
        <f>T25+J25</f>
        <v>72820000</v>
      </c>
      <c r="V25" s="618">
        <f>IF(E25=0,0,U25/E25-1)</f>
        <v>0.0866970876189745</v>
      </c>
      <c r="W25" s="618">
        <f>IF(F25=0,0,U25/F25-1)</f>
        <v>-0.0114037469454249</v>
      </c>
    </row>
    <row r="26">
      <c r="A26" s="634">
        <f>'116目標底稿ver1'!B26</f>
        <v>19</v>
      </c>
      <c r="B26" s="636" t="str">
        <f>'116目標底稿ver1'!C26</f>
        <v>北一區</v>
      </c>
      <c r="C26" s="634">
        <f>'116目標底稿ver1'!D26</f>
        <v>119</v>
      </c>
      <c r="D26" s="636" t="str">
        <f>'116目標底稿ver1'!E26</f>
        <v>信義分行</v>
      </c>
      <c r="E26" s="634">
        <f>'116目標底稿ver1'!G26</f>
        <v>49779745</v>
      </c>
      <c r="F26" s="634">
        <f>'116目標底稿ver1'!I26</f>
        <v>50390000</v>
      </c>
      <c r="G26" s="635">
        <f>'116目標底稿ver1'!J26</f>
        <v>0.99</v>
      </c>
      <c r="H26" s="636" t="str">
        <f>'116目標底稿ver1'!A26</f>
        <v>TYPE_3</v>
      </c>
      <c r="I26" s="634">
        <f>'116目標底稿ver1'!Q26</f>
        <v>51270000</v>
      </c>
      <c r="J26" s="634">
        <f>'116目標底稿ver1'!Y26</f>
        <v>1770000</v>
      </c>
      <c r="K26" s="634">
        <f>'116目標底稿ver1'!Z26</f>
        <v>53040000</v>
      </c>
      <c r="L26" s="618">
        <f>IF(E26=0,0,K26/E26-1)</f>
        <v>0.0654936058832765</v>
      </c>
      <c r="M26" s="616">
        <f>ROUND(IF(G26&gt;=$H$2,($H$2*F26+$D$2*(E26-$H$2*F26))*$N$2,IF(G26&gt;=$J$2,E26*$P$2,IF(G26&gt;=$L$2,E26*$R$2,(E26+$F$2*($L$2*F26-E26))*$R$2))),-4)</f>
        <v>51270000</v>
      </c>
      <c r="N26" s="616">
        <f>ROUND(M26*$H$4,-4)</f>
        <v>51510000</v>
      </c>
      <c r="O26" s="616">
        <f>N26+J26</f>
        <v>53280000</v>
      </c>
      <c r="P26" s="618">
        <f>IF(E26=0,0,O26/E26-1)</f>
        <v>0.0703148439189474</v>
      </c>
      <c r="Q26" s="618">
        <f>IF(F26=0,0,O26/F26-1)</f>
        <v>0.0573526493351855</v>
      </c>
      <c r="R26" s="618">
        <f>MAX($H$3,MIN($J$3,$D$3-$F$3*(G26-1)))</f>
        <v>0.0285</v>
      </c>
      <c r="S26" s="616">
        <f>ROUND(MAX(E26*(1+R26),F26*$L$3),-4)</f>
        <v>51200000</v>
      </c>
      <c r="T26" s="616">
        <f>ROUND(S26*$L$4,-4)</f>
        <v>51200000</v>
      </c>
      <c r="U26" s="616">
        <f>T26+J26</f>
        <v>52970000</v>
      </c>
      <c r="V26" s="618">
        <f>IF(E26=0,0,U26/E26-1)</f>
        <v>0.0640874114562058</v>
      </c>
      <c r="W26" s="618">
        <f>IF(F26=0,0,U26/F26-1)</f>
        <v>0.0512006350466363</v>
      </c>
    </row>
    <row r="27">
      <c r="A27" s="634">
        <f>'116目標底稿ver1'!B27</f>
        <v>20</v>
      </c>
      <c r="B27" s="636" t="str">
        <f>'116目標底稿ver1'!C27</f>
        <v>北一區</v>
      </c>
      <c r="C27" s="634">
        <f>'116目標底稿ver1'!D27</f>
        <v>120</v>
      </c>
      <c r="D27" s="636" t="str">
        <f>'116目標底稿ver1'!E27</f>
        <v>忠孝東路分行</v>
      </c>
      <c r="E27" s="634">
        <f>'116目標底稿ver1'!G27</f>
        <v>100696952</v>
      </c>
      <c r="F27" s="634">
        <f>'116目標底稿ver1'!I27</f>
        <v>89830000</v>
      </c>
      <c r="G27" s="635">
        <f>'116目標底稿ver1'!J27</f>
        <v>1.12</v>
      </c>
      <c r="H27" s="636" t="str">
        <f>'116目標底稿ver1'!A27</f>
        <v>TYPE_2</v>
      </c>
      <c r="I27" s="634">
        <f>'116目標底稿ver1'!Q27</f>
        <v>101700000</v>
      </c>
      <c r="J27" s="634">
        <f>'116目標底稿ver1'!Y27</f>
        <v>3450000</v>
      </c>
      <c r="K27" s="634">
        <f>'116目標底稿ver1'!Z27</f>
        <v>105150000</v>
      </c>
      <c r="L27" s="618">
        <f>IF(E27=0,0,K27/E27-1)</f>
        <v>0.0442222719909138</v>
      </c>
      <c r="M27" s="616">
        <f>ROUND(IF(G27&gt;=$H$2,($H$2*F27+$D$2*(E27-$H$2*F27))*$N$2,IF(G27&gt;=$J$2,E27*$P$2,IF(G27&gt;=$L$2,E27*$R$2,(E27+$F$2*($L$2*F27-E27))*$R$2))),-4)</f>
        <v>101700000</v>
      </c>
      <c r="N27" s="616">
        <f>ROUND(M27*$H$4,-4)</f>
        <v>102190000</v>
      </c>
      <c r="O27" s="616">
        <f>N27+J27</f>
        <v>105640000</v>
      </c>
      <c r="P27" s="618">
        <f>IF(E27=0,0,O27/E27-1)</f>
        <v>0.0490883577091787</v>
      </c>
      <c r="Q27" s="618">
        <f>IF(F27=0,0,O27/F27-1)</f>
        <v>0.175999109428921</v>
      </c>
      <c r="R27" s="618">
        <f>MAX($H$3,MIN($J$3,$D$3-$F$3*(G27-1)))</f>
        <v>-0.00400000000000003</v>
      </c>
      <c r="S27" s="616">
        <f>ROUND(MAX(E27*(1+R27),F27*$L$3),-4)</f>
        <v>100290000</v>
      </c>
      <c r="T27" s="616">
        <f>ROUND(S27*$L$4,-4)</f>
        <v>100280000</v>
      </c>
      <c r="U27" s="616">
        <f>T27+J27</f>
        <v>103730000</v>
      </c>
      <c r="V27" s="618">
        <f>IF(E27=0,0,U27/E27-1)</f>
        <v>0.0301205541951259</v>
      </c>
      <c r="W27" s="618">
        <f>IF(F27=0,0,U27/F27-1)</f>
        <v>0.154736724924858</v>
      </c>
    </row>
    <row r="28">
      <c r="A28" s="634">
        <f>'116目標底稿ver1'!B28</f>
        <v>21</v>
      </c>
      <c r="B28" s="636" t="str">
        <f>'116目標底稿ver1'!C28</f>
        <v>北一區</v>
      </c>
      <c r="C28" s="634">
        <f>'116目標底稿ver1'!D28</f>
        <v>121</v>
      </c>
      <c r="D28" s="636" t="str">
        <f>'116目標底稿ver1'!E28</f>
        <v>和平分行</v>
      </c>
      <c r="E28" s="634">
        <f>'116目標底稿ver1'!G28</f>
        <v>69530860</v>
      </c>
      <c r="F28" s="634">
        <f>'116目標底稿ver1'!I28</f>
        <v>72590000</v>
      </c>
      <c r="G28" s="635">
        <f>'116目標底稿ver1'!J28</f>
        <v>0.96</v>
      </c>
      <c r="H28" s="636" t="str">
        <f>'116目標底稿ver1'!A28</f>
        <v>TYPE_3</v>
      </c>
      <c r="I28" s="634">
        <f>'116目標底稿ver1'!Q28</f>
        <v>71620000</v>
      </c>
      <c r="J28" s="634">
        <f>'116目標底稿ver1'!Y28</f>
        <v>2640000</v>
      </c>
      <c r="K28" s="634">
        <f>'116目標底稿ver1'!Z28</f>
        <v>74260000</v>
      </c>
      <c r="L28" s="618">
        <f>IF(E28=0,0,K28/E28-1)</f>
        <v>0.0680149792480633</v>
      </c>
      <c r="M28" s="616">
        <f>ROUND(IF(G28&gt;=$H$2,($H$2*F28+$D$2*(E28-$H$2*F28))*$N$2,IF(G28&gt;=$J$2,E28*$P$2,IF(G28&gt;=$L$2,E28*$R$2,(E28+$F$2*($L$2*F28-E28))*$R$2))),-4)</f>
        <v>71620000</v>
      </c>
      <c r="N28" s="616">
        <f>ROUND(M28*$H$4,-4)</f>
        <v>71960000</v>
      </c>
      <c r="O28" s="616">
        <f>N28+J28</f>
        <v>74600000</v>
      </c>
      <c r="P28" s="618">
        <f>IF(E28=0,0,O28/E28-1)</f>
        <v>0.0729048943159916</v>
      </c>
      <c r="Q28" s="618">
        <f>IF(F28=0,0,O28/F28-1)</f>
        <v>0.0276897644303624</v>
      </c>
      <c r="R28" s="618">
        <f>MAX($H$3,MIN($J$3,$D$3-$F$3*(G28-1)))</f>
        <v>0.036</v>
      </c>
      <c r="S28" s="616">
        <f>ROUND(MAX(E28*(1+R28),F28*$L$3),-4)</f>
        <v>72030000</v>
      </c>
      <c r="T28" s="616">
        <f>ROUND(S28*$L$4,-4)</f>
        <v>72020000</v>
      </c>
      <c r="U28" s="616">
        <f>T28+J28</f>
        <v>74660000</v>
      </c>
      <c r="V28" s="618">
        <f>IF(E28=0,0,U28/E28-1)</f>
        <v>0.0737678205044494</v>
      </c>
      <c r="W28" s="618">
        <f>IF(F28=0,0,U28/F28-1)</f>
        <v>0.0285163245626119</v>
      </c>
    </row>
    <row r="29">
      <c r="A29" s="634">
        <f>'116目標底稿ver1'!B29</f>
        <v>22</v>
      </c>
      <c r="B29" s="636" t="str">
        <f>'116目標底稿ver1'!C29</f>
        <v>北一區</v>
      </c>
      <c r="C29" s="634">
        <f>'116目標底稿ver1'!D29</f>
        <v>122</v>
      </c>
      <c r="D29" s="636" t="str">
        <f>'116目標底稿ver1'!E29</f>
        <v>雙園分行</v>
      </c>
      <c r="E29" s="634">
        <f>'116目標底稿ver1'!G29</f>
        <v>84497964</v>
      </c>
      <c r="F29" s="634">
        <f>'116目標底稿ver1'!I29</f>
        <v>80720000</v>
      </c>
      <c r="G29" s="635">
        <f>'116目標底稿ver1'!J29</f>
        <v>1.05</v>
      </c>
      <c r="H29" s="636" t="str">
        <f>'116目標底稿ver1'!A29</f>
        <v>TYPE_2</v>
      </c>
      <c r="I29" s="634">
        <f>'116目標底稿ver1'!Q29</f>
        <v>85340000</v>
      </c>
      <c r="J29" s="634">
        <f>'116目標底稿ver1'!Y29</f>
        <v>3000000</v>
      </c>
      <c r="K29" s="634">
        <f>'116目標底稿ver1'!Z29</f>
        <v>88340000</v>
      </c>
      <c r="L29" s="618">
        <f>IF(E29=0,0,K29/E29-1)</f>
        <v>0.0454689772170132</v>
      </c>
      <c r="M29" s="616">
        <f>ROUND(IF(G29&gt;=$H$2,($H$2*F29+$D$2*(E29-$H$2*F29))*$N$2,IF(G29&gt;=$J$2,E29*$P$2,IF(G29&gt;=$L$2,E29*$R$2,(E29+$F$2*($L$2*F29-E29))*$R$2))),-4)</f>
        <v>85340000</v>
      </c>
      <c r="N29" s="616">
        <f>ROUND(M29*$H$4,-4)</f>
        <v>85750000</v>
      </c>
      <c r="O29" s="616">
        <f>N29+J29</f>
        <v>88750000</v>
      </c>
      <c r="P29" s="618">
        <f>IF(E29=0,0,O29/E29-1)</f>
        <v>0.0503211651348192</v>
      </c>
      <c r="Q29" s="618">
        <f>IF(F29=0,0,O29/F29-1)</f>
        <v>0.0994796828543112</v>
      </c>
      <c r="R29" s="618">
        <f>MAX($H$3,MIN($J$3,$D$3-$F$3*(G29-1)))</f>
        <v>0.0135</v>
      </c>
      <c r="S29" s="616">
        <f>ROUND(MAX(E29*(1+R29),F29*$L$3),-4)</f>
        <v>85640000</v>
      </c>
      <c r="T29" s="616">
        <f>ROUND(S29*$L$4,-4)</f>
        <v>85630000</v>
      </c>
      <c r="U29" s="616">
        <f>T29+J29</f>
        <v>88630000</v>
      </c>
      <c r="V29" s="618">
        <f>IF(E29=0,0,U29/E29-1)</f>
        <v>0.0489010125735101</v>
      </c>
      <c r="W29" s="618">
        <f>IF(F29=0,0,U29/F29-1)</f>
        <v>0.0979930624380574</v>
      </c>
    </row>
    <row r="30">
      <c r="A30" s="634">
        <f>'116目標底稿ver1'!B30</f>
        <v>23</v>
      </c>
      <c r="B30" s="636" t="str">
        <f>'116目標底稿ver1'!C30</f>
        <v>北一區</v>
      </c>
      <c r="C30" s="634">
        <f>'116目標底稿ver1'!D30</f>
        <v>123</v>
      </c>
      <c r="D30" s="636" t="str">
        <f>'116目標底稿ver1'!E30</f>
        <v>士林分行</v>
      </c>
      <c r="E30" s="634">
        <f>'116目標底稿ver1'!G30</f>
        <v>98773192</v>
      </c>
      <c r="F30" s="634">
        <f>'116目標底稿ver1'!I30</f>
        <v>93950000</v>
      </c>
      <c r="G30" s="635">
        <f>'116目標底稿ver1'!J30</f>
        <v>1.05</v>
      </c>
      <c r="H30" s="636" t="str">
        <f>'116目標底稿ver1'!A30</f>
        <v>TYPE_2</v>
      </c>
      <c r="I30" s="634">
        <f>'116目標底稿ver1'!Q30</f>
        <v>99760000</v>
      </c>
      <c r="J30" s="634">
        <f>'116目標底稿ver1'!Y30</f>
        <v>3200000</v>
      </c>
      <c r="K30" s="634">
        <f>'116目標底稿ver1'!Z30</f>
        <v>102960000</v>
      </c>
      <c r="L30" s="618">
        <f>IF(E30=0,0,K30/E30-1)</f>
        <v>0.0423881006093232</v>
      </c>
      <c r="M30" s="616">
        <f>ROUND(IF(G30&gt;=$H$2,($H$2*F30+$D$2*(E30-$H$2*F30))*$N$2,IF(G30&gt;=$J$2,E30*$P$2,IF(G30&gt;=$L$2,E30*$R$2,(E30+$F$2*($L$2*F30-E30))*$R$2))),-4)</f>
        <v>99760000</v>
      </c>
      <c r="N30" s="616">
        <f>ROUND(M30*$H$4,-4)</f>
        <v>100240000</v>
      </c>
      <c r="O30" s="616">
        <f>N30+J30</f>
        <v>103440000</v>
      </c>
      <c r="P30" s="618">
        <f>IF(E30=0,0,O30/E30-1)</f>
        <v>0.0472477187939822</v>
      </c>
      <c r="Q30" s="618">
        <f>IF(F30=0,0,O30/F30-1)</f>
        <v>0.101011176157531</v>
      </c>
      <c r="R30" s="618">
        <f>MAX($H$3,MIN($J$3,$D$3-$F$3*(G30-1)))</f>
        <v>0.0135</v>
      </c>
      <c r="S30" s="616">
        <f>ROUND(MAX(E30*(1+R30),F30*$L$3),-4)</f>
        <v>100110000</v>
      </c>
      <c r="T30" s="616">
        <f>ROUND(S30*$L$4,-4)</f>
        <v>100100000</v>
      </c>
      <c r="U30" s="616">
        <f>T30+J30</f>
        <v>103300000</v>
      </c>
      <c r="V30" s="618">
        <f>IF(E30=0,0,U30/E30-1)</f>
        <v>0.0458303301567899</v>
      </c>
      <c r="W30" s="618">
        <f>IF(F30=0,0,U30/F30-1)</f>
        <v>0.099521021820117</v>
      </c>
    </row>
    <row r="31">
      <c r="A31" s="634">
        <f>'116目標底稿ver1'!B31</f>
        <v>24</v>
      </c>
      <c r="B31" s="636" t="str">
        <f>'116目標底稿ver1'!C31</f>
        <v>北一區</v>
      </c>
      <c r="C31" s="634">
        <f>'116目標底稿ver1'!D31</f>
        <v>124</v>
      </c>
      <c r="D31" s="636" t="str">
        <f>'116目標底稿ver1'!E31</f>
        <v>東台北分行</v>
      </c>
      <c r="E31" s="634">
        <f>'116目標底稿ver1'!G31</f>
        <v>43108651</v>
      </c>
      <c r="F31" s="634">
        <f>'116目標底稿ver1'!I31</f>
        <v>42510000</v>
      </c>
      <c r="G31" s="635">
        <f>'116目標底稿ver1'!J31</f>
        <v>1.01</v>
      </c>
      <c r="H31" s="636" t="str">
        <f>'116目標底稿ver1'!A31</f>
        <v>TYPE_2</v>
      </c>
      <c r="I31" s="634">
        <f>'116目標底稿ver1'!Q31</f>
        <v>43540000</v>
      </c>
      <c r="J31" s="634">
        <f>'116目標底稿ver1'!Y31</f>
        <v>2050000</v>
      </c>
      <c r="K31" s="634">
        <f>'116目標底稿ver1'!Z31</f>
        <v>45590000</v>
      </c>
      <c r="L31" s="618">
        <f>IF(E31=0,0,K31/E31-1)</f>
        <v>0.0575603490816727</v>
      </c>
      <c r="M31" s="616">
        <f>ROUND(IF(G31&gt;=$H$2,($H$2*F31+$D$2*(E31-$H$2*F31))*$N$2,IF(G31&gt;=$J$2,E31*$P$2,IF(G31&gt;=$L$2,E31*$R$2,(E31+$F$2*($L$2*F31-E31))*$R$2))),-4)</f>
        <v>43540000</v>
      </c>
      <c r="N31" s="616">
        <f>ROUND(M31*$H$4,-4)</f>
        <v>43750000</v>
      </c>
      <c r="O31" s="616">
        <f>N31+J31</f>
        <v>45800000</v>
      </c>
      <c r="P31" s="618">
        <f>IF(E31=0,0,O31/E31-1)</f>
        <v>0.0624317610866552</v>
      </c>
      <c r="Q31" s="618">
        <f>IF(F31=0,0,O31/F31-1)</f>
        <v>0.0773935544577746</v>
      </c>
      <c r="R31" s="618">
        <f>MAX($H$3,MIN($J$3,$D$3-$F$3*(G31-1)))</f>
        <v>0.0235</v>
      </c>
      <c r="S31" s="616">
        <f>ROUND(MAX(E31*(1+R31),F31*$L$3),-4)</f>
        <v>44120000</v>
      </c>
      <c r="T31" s="616">
        <f>ROUND(S31*$L$4,-4)</f>
        <v>44120000</v>
      </c>
      <c r="U31" s="616">
        <f>T31+J31</f>
        <v>46170000</v>
      </c>
      <c r="V31" s="618">
        <f>IF(E31=0,0,U31/E31-1)</f>
        <v>0.0710147250954338</v>
      </c>
      <c r="W31" s="618">
        <f>IF(F31=0,0,U31/F31-1)</f>
        <v>0.0860973888496823</v>
      </c>
    </row>
    <row r="32">
      <c r="A32" s="634">
        <f>'116目標底稿ver1'!B32</f>
        <v>25</v>
      </c>
      <c r="B32" s="636" t="str">
        <f>'116目標底稿ver1'!C32</f>
        <v>北一區</v>
      </c>
      <c r="C32" s="634">
        <f>'116目標底稿ver1'!D32</f>
        <v>125</v>
      </c>
      <c r="D32" s="636" t="str">
        <f>'116目標底稿ver1'!E32</f>
        <v>大安分行</v>
      </c>
      <c r="E32" s="634">
        <f>'116目標底稿ver1'!G32</f>
        <v>63203960</v>
      </c>
      <c r="F32" s="634">
        <f>'116目標底稿ver1'!I32</f>
        <v>84440000</v>
      </c>
      <c r="G32" s="635">
        <f>'116目標底稿ver1'!J32</f>
        <v>0.75</v>
      </c>
      <c r="H32" s="636" t="str">
        <f>'116目標底稿ver1'!A32</f>
        <v>TYPE_4</v>
      </c>
      <c r="I32" s="634">
        <f>'116目標底稿ver1'!Q32</f>
        <v>81060000</v>
      </c>
      <c r="J32" s="634">
        <f>'116目標底稿ver1'!Y32</f>
        <v>2720000</v>
      </c>
      <c r="K32" s="634">
        <f>'116目標底稿ver1'!Z32</f>
        <v>83780000</v>
      </c>
      <c r="L32" s="618">
        <f>IF(E32=0,0,K32/E32-1)</f>
        <v>0.32554985478758</v>
      </c>
      <c r="M32" s="616">
        <f>ROUND(IF(G32&gt;=$H$2,($H$2*F32+$D$2*(E32-$H$2*F32))*$N$2,IF(G32&gt;=$J$2,E32*$P$2,IF(G32&gt;=$L$2,E32*$R$2,(E32+$F$2*($L$2*F32-E32))*$R$2))),-4)</f>
        <v>67340000</v>
      </c>
      <c r="N32" s="616">
        <f>ROUND(M32*$H$4,-4)</f>
        <v>67660000</v>
      </c>
      <c r="O32" s="616">
        <f>N32+J32</f>
        <v>70380000</v>
      </c>
      <c r="P32" s="618">
        <f>IF(E32=0,0,O32/E32-1)</f>
        <v>0.113537822630101</v>
      </c>
      <c r="Q32" s="618">
        <f>IF(F32=0,0,O32/F32-1)</f>
        <v>-0.166508763619138</v>
      </c>
      <c r="R32" s="618">
        <f>MAX($H$3,MIN($J$3,$D$3-$F$3*(G32-1)))</f>
        <v>0.0885</v>
      </c>
      <c r="S32" s="616">
        <f>ROUND(MAX(E32*(1+R32),F32*$L$3),-4)</f>
        <v>71770000</v>
      </c>
      <c r="T32" s="616">
        <f>ROUND(S32*$L$4,-4)</f>
        <v>71760000</v>
      </c>
      <c r="U32" s="616">
        <f>T32+J32</f>
        <v>74480000</v>
      </c>
      <c r="V32" s="618">
        <f>IF(E32=0,0,U32/E32-1)</f>
        <v>0.178407175752912</v>
      </c>
      <c r="W32" s="618">
        <f>IF(F32=0,0,U32/F32-1)</f>
        <v>-0.117953576504026</v>
      </c>
    </row>
    <row r="33">
      <c r="A33" s="634">
        <f>'116目標底稿ver1'!B33</f>
        <v>26</v>
      </c>
      <c r="B33" s="636" t="str">
        <f>'116目標底稿ver1'!C33</f>
        <v>北一區</v>
      </c>
      <c r="C33" s="634">
        <f>'116目標底稿ver1'!D33</f>
        <v>126</v>
      </c>
      <c r="D33" s="636" t="str">
        <f>'116目標底稿ver1'!E33</f>
        <v>民生分行</v>
      </c>
      <c r="E33" s="634">
        <f>'116目標底稿ver1'!G33</f>
        <v>109982593</v>
      </c>
      <c r="F33" s="634">
        <f>'116目標底稿ver1'!I33</f>
        <v>89400000</v>
      </c>
      <c r="G33" s="635">
        <f>'116目標底稿ver1'!J33</f>
        <v>1.23</v>
      </c>
      <c r="H33" s="636" t="str">
        <f>'116目標底稿ver1'!A33</f>
        <v>TYPE_1</v>
      </c>
      <c r="I33" s="634">
        <f>'116目標底稿ver1'!Q33</f>
        <v>108350000</v>
      </c>
      <c r="J33" s="634">
        <f>'116目標底稿ver1'!Y33</f>
        <v>3470000</v>
      </c>
      <c r="K33" s="634">
        <f>'116目標底稿ver1'!Z33</f>
        <v>111820000</v>
      </c>
      <c r="L33" s="618">
        <f>IF(E33=0,0,K33/E33-1)</f>
        <v>0.0167063437029531</v>
      </c>
      <c r="M33" s="616">
        <f>ROUND(IF(G33&gt;=$H$2,($H$2*F33+$D$2*(E33-$H$2*F33))*$N$2,IF(G33&gt;=$J$2,E33*$P$2,IF(G33&gt;=$L$2,E33*$R$2,(E33+$F$2*($L$2*F33-E33))*$R$2))),-4)</f>
        <v>109720000</v>
      </c>
      <c r="N33" s="616">
        <f>ROUND(M33*$H$4,-4)</f>
        <v>110240000</v>
      </c>
      <c r="O33" s="616">
        <f>N33+J33</f>
        <v>113710000</v>
      </c>
      <c r="P33" s="618">
        <f>IF(E33=0,0,O33/E33-1)</f>
        <v>0.0338908812597281</v>
      </c>
      <c r="Q33" s="618">
        <f>IF(F33=0,0,O33/F33-1)</f>
        <v>0.271923937360179</v>
      </c>
      <c r="R33" s="618">
        <f>MAX($H$3,MIN($J$3,$D$3-$F$3*(G33-1)))</f>
        <v>-0.0315</v>
      </c>
      <c r="S33" s="616">
        <f>ROUND(MAX(E33*(1+R33),F33*$L$3),-4)</f>
        <v>106520000</v>
      </c>
      <c r="T33" s="616">
        <f>ROUND(S33*$L$4,-4)</f>
        <v>106510000</v>
      </c>
      <c r="U33" s="616">
        <f>T33+J33</f>
        <v>109980000</v>
      </c>
      <c r="V33" s="618">
        <f>IF(E33=0,0,U33/E33-1)</f>
        <v>-2.35764581401066e-05</v>
      </c>
      <c r="W33" s="618">
        <f>IF(F33=0,0,U33/F33-1)</f>
        <v>0.230201342281879</v>
      </c>
    </row>
    <row r="34">
      <c r="A34" s="634">
        <f>'116目標底稿ver1'!B34</f>
        <v>27</v>
      </c>
      <c r="B34" s="636" t="str">
        <f>'116目標底稿ver1'!C34</f>
        <v>北一區</v>
      </c>
      <c r="C34" s="634">
        <f>'116目標底稿ver1'!D34</f>
        <v>127</v>
      </c>
      <c r="D34" s="636" t="str">
        <f>'116目標底稿ver1'!E34</f>
        <v>復興分行</v>
      </c>
      <c r="E34" s="634">
        <f>'116目標底稿ver1'!G34</f>
        <v>67142368</v>
      </c>
      <c r="F34" s="634">
        <f>'116目標底稿ver1'!I34</f>
        <v>68820000</v>
      </c>
      <c r="G34" s="635">
        <f>'116目標底稿ver1'!J34</f>
        <v>0.98</v>
      </c>
      <c r="H34" s="636" t="str">
        <f>'116目標底稿ver1'!A34</f>
        <v>TYPE_3</v>
      </c>
      <c r="I34" s="634">
        <f>'116目標底稿ver1'!Q34</f>
        <v>69160000</v>
      </c>
      <c r="J34" s="634">
        <f>'116目標底稿ver1'!Y34</f>
        <v>2730000</v>
      </c>
      <c r="K34" s="634">
        <f>'116目標底稿ver1'!Z34</f>
        <v>71890000</v>
      </c>
      <c r="L34" s="618">
        <f>IF(E34=0,0,K34/E34-1)</f>
        <v>0.0707099278953045</v>
      </c>
      <c r="M34" s="616">
        <f>ROUND(IF(G34&gt;=$H$2,($H$2*F34+$D$2*(E34-$H$2*F34))*$N$2,IF(G34&gt;=$J$2,E34*$P$2,IF(G34&gt;=$L$2,E34*$R$2,(E34+$F$2*($L$2*F34-E34))*$R$2))),-4)</f>
        <v>69160000</v>
      </c>
      <c r="N34" s="616">
        <f>ROUND(M34*$H$4,-4)</f>
        <v>69490000</v>
      </c>
      <c r="O34" s="616">
        <f>N34+J34</f>
        <v>72220000</v>
      </c>
      <c r="P34" s="618">
        <f>IF(E34=0,0,O34/E34-1)</f>
        <v>0.0756248573181095</v>
      </c>
      <c r="Q34" s="618">
        <f>IF(F34=0,0,O34/F34-1)</f>
        <v>0.04940424295263</v>
      </c>
      <c r="R34" s="618">
        <f>MAX($H$3,MIN($J$3,$D$3-$F$3*(G34-1)))</f>
        <v>0.031</v>
      </c>
      <c r="S34" s="616">
        <f>ROUND(MAX(E34*(1+R34),F34*$L$3),-4)</f>
        <v>69220000</v>
      </c>
      <c r="T34" s="616">
        <f>ROUND(S34*$L$4,-4)</f>
        <v>69210000</v>
      </c>
      <c r="U34" s="616">
        <f>T34+J34</f>
        <v>71940000</v>
      </c>
      <c r="V34" s="618">
        <f>IF(E34=0,0,U34/E34-1)</f>
        <v>0.0714546141714871</v>
      </c>
      <c r="W34" s="618">
        <f>IF(F34=0,0,U34/F34-1)</f>
        <v>0.045335658238884</v>
      </c>
    </row>
    <row r="35">
      <c r="A35" s="634">
        <f>'116目標底稿ver1'!B35</f>
        <v>28</v>
      </c>
      <c r="B35" s="636" t="str">
        <f>'116目標底稿ver1'!C35</f>
        <v>北一區</v>
      </c>
      <c r="C35" s="634">
        <f>'116目標底稿ver1'!D35</f>
        <v>128</v>
      </c>
      <c r="D35" s="636" t="str">
        <f>'116目標底稿ver1'!E35</f>
        <v>龍江分行</v>
      </c>
      <c r="E35" s="634">
        <f>'116目標底稿ver1'!G35</f>
        <v>40121914</v>
      </c>
      <c r="F35" s="634">
        <f>'116目標底稿ver1'!I35</f>
        <v>47250000</v>
      </c>
      <c r="G35" s="635">
        <f>'116目標底稿ver1'!J35</f>
        <v>0.85</v>
      </c>
      <c r="H35" s="636" t="str">
        <f>'116目標底稿ver1'!A35</f>
        <v>TYPE_3</v>
      </c>
      <c r="I35" s="634">
        <f>'116目標底稿ver1'!Q35</f>
        <v>41330000</v>
      </c>
      <c r="J35" s="634">
        <f>'116目標底稿ver1'!Y35</f>
        <v>1950000</v>
      </c>
      <c r="K35" s="634">
        <f>'116目標底稿ver1'!Z35</f>
        <v>43280000</v>
      </c>
      <c r="L35" s="618">
        <f>IF(E35=0,0,K35/E35-1)</f>
        <v>0.0787122468783519</v>
      </c>
      <c r="M35" s="616">
        <f>ROUND(IF(G35&gt;=$H$2,($H$2*F35+$D$2*(E35-$H$2*F35))*$N$2,IF(G35&gt;=$J$2,E35*$P$2,IF(G35&gt;=$L$2,E35*$R$2,(E35+$F$2*($L$2*F35-E35))*$R$2))),-4)</f>
        <v>41330000</v>
      </c>
      <c r="N35" s="616">
        <f>ROUND(M35*$H$4,-4)</f>
        <v>41530000</v>
      </c>
      <c r="O35" s="616">
        <f>N35+J35</f>
        <v>43480000</v>
      </c>
      <c r="P35" s="618">
        <f>IF(E35=0,0,O35/E35-1)</f>
        <v>0.0836970539341668</v>
      </c>
      <c r="Q35" s="618">
        <f>IF(F35=0,0,O35/F35-1)</f>
        <v>-0.0797883597883597</v>
      </c>
      <c r="R35" s="618">
        <f>MAX($H$3,MIN($J$3,$D$3-$F$3*(G35-1)))</f>
        <v>0.0635</v>
      </c>
      <c r="S35" s="616">
        <f>ROUND(MAX(E35*(1+R35),F35*$L$3),-4)</f>
        <v>42670000</v>
      </c>
      <c r="T35" s="616">
        <f>ROUND(S35*$L$4,-4)</f>
        <v>42670000</v>
      </c>
      <c r="U35" s="616">
        <f>T35+J35</f>
        <v>44620000</v>
      </c>
      <c r="V35" s="618">
        <f>IF(E35=0,0,U35/E35-1)</f>
        <v>0.112110454152312</v>
      </c>
      <c r="W35" s="618">
        <f>IF(F35=0,0,U35/F35-1)</f>
        <v>-0.0556613756613756</v>
      </c>
    </row>
    <row r="36">
      <c r="A36" s="634">
        <f>'116目標底稿ver1'!B36</f>
        <v>29</v>
      </c>
      <c r="B36" s="636" t="str">
        <f>'116目標底稿ver1'!C36</f>
        <v>北一區</v>
      </c>
      <c r="C36" s="634">
        <f>'116目標底稿ver1'!D36</f>
        <v>129</v>
      </c>
      <c r="D36" s="636" t="str">
        <f>'116目標底稿ver1'!E36</f>
        <v>永吉分行</v>
      </c>
      <c r="E36" s="634">
        <f>'116目標底稿ver1'!G36</f>
        <v>52270476</v>
      </c>
      <c r="F36" s="634">
        <f>'116目標底稿ver1'!I36</f>
        <v>59980000</v>
      </c>
      <c r="G36" s="635">
        <f>'116目標底稿ver1'!J36</f>
        <v>0.87</v>
      </c>
      <c r="H36" s="636" t="str">
        <f>'116目標底稿ver1'!A36</f>
        <v>TYPE_3</v>
      </c>
      <c r="I36" s="634">
        <f>'116目標底稿ver1'!Q36</f>
        <v>53840000</v>
      </c>
      <c r="J36" s="634">
        <f>'116目標底稿ver1'!Y36</f>
        <v>2200000</v>
      </c>
      <c r="K36" s="634">
        <f>'116目標底稿ver1'!Z36</f>
        <v>56040000</v>
      </c>
      <c r="L36" s="618">
        <f>IF(E36=0,0,K36/E36-1)</f>
        <v>0.0721157389115799</v>
      </c>
      <c r="M36" s="616">
        <f>ROUND(IF(G36&gt;=$H$2,($H$2*F36+$D$2*(E36-$H$2*F36))*$N$2,IF(G36&gt;=$J$2,E36*$P$2,IF(G36&gt;=$L$2,E36*$R$2,(E36+$F$2*($L$2*F36-E36))*$R$2))),-4)</f>
        <v>53840000</v>
      </c>
      <c r="N36" s="616">
        <f>ROUND(M36*$H$4,-4)</f>
        <v>54100000</v>
      </c>
      <c r="O36" s="616">
        <f>N36+J36</f>
        <v>56300000</v>
      </c>
      <c r="P36" s="618">
        <f>IF(E36=0,0,O36/E36-1)</f>
        <v>0.0770898661799062</v>
      </c>
      <c r="Q36" s="618">
        <f>IF(F36=0,0,O36/F36-1)</f>
        <v>-0.061353784594865</v>
      </c>
      <c r="R36" s="618">
        <f>MAX($H$3,MIN($J$3,$D$3-$F$3*(G36-1)))</f>
        <v>0.0585</v>
      </c>
      <c r="S36" s="616">
        <f>ROUND(MAX(E36*(1+R36),F36*$L$3),-4)</f>
        <v>55330000</v>
      </c>
      <c r="T36" s="616">
        <f>ROUND(S36*$L$4,-4)</f>
        <v>55330000</v>
      </c>
      <c r="U36" s="616">
        <f>T36+J36</f>
        <v>57530000</v>
      </c>
      <c r="V36" s="618">
        <f>IF(E36=0,0,U36/E36-1)</f>
        <v>0.100621314410835</v>
      </c>
      <c r="W36" s="618">
        <f>IF(F36=0,0,U36/F36-1)</f>
        <v>-0.0408469489829944</v>
      </c>
    </row>
    <row r="37">
      <c r="A37" s="634">
        <f>'116目標底稿ver1'!B37</f>
        <v>30</v>
      </c>
      <c r="B37" s="636" t="str">
        <f>'116目標底稿ver1'!C37</f>
        <v>北一區</v>
      </c>
      <c r="C37" s="634">
        <f>'116目標底稿ver1'!D37</f>
        <v>130</v>
      </c>
      <c r="D37" s="636" t="str">
        <f>'116目標底稿ver1'!E37</f>
        <v>敦化分行</v>
      </c>
      <c r="E37" s="634">
        <f>'116目標底稿ver1'!G37</f>
        <v>35284802</v>
      </c>
      <c r="F37" s="634">
        <f>'116目標底稿ver1'!I37</f>
        <v>47410000</v>
      </c>
      <c r="G37" s="635">
        <f>'116目標底稿ver1'!J37</f>
        <v>0.74</v>
      </c>
      <c r="H37" s="636" t="str">
        <f>'116目標底稿ver1'!A37</f>
        <v>TYPE_4</v>
      </c>
      <c r="I37" s="634">
        <f>'116目標底稿ver1'!Q37</f>
        <v>45510000</v>
      </c>
      <c r="J37" s="634">
        <f>'116目標底稿ver1'!Y37</f>
        <v>2190000</v>
      </c>
      <c r="K37" s="634">
        <f>'116目標底稿ver1'!Z37</f>
        <v>47700000</v>
      </c>
      <c r="L37" s="618">
        <f>IF(E37=0,0,K37/E37-1)</f>
        <v>0.351856813593569</v>
      </c>
      <c r="M37" s="616">
        <f>ROUND(IF(G37&gt;=$H$2,($H$2*F37+$D$2*(E37-$H$2*F37))*$N$2,IF(G37&gt;=$J$2,E37*$P$2,IF(G37&gt;=$L$2,E37*$R$2,(E37+$F$2*($L$2*F37-E37))*$R$2))),-4)</f>
        <v>37700000</v>
      </c>
      <c r="N37" s="616">
        <f>ROUND(M37*$H$4,-4)</f>
        <v>37880000</v>
      </c>
      <c r="O37" s="616">
        <f>N37+J37</f>
        <v>40070000</v>
      </c>
      <c r="P37" s="618">
        <f>IF(E37=0,0,O37/E37-1)</f>
        <v>0.135616405046002</v>
      </c>
      <c r="Q37" s="618">
        <f>IF(F37=0,0,O37/F37-1)</f>
        <v>-0.154819658299937</v>
      </c>
      <c r="R37" s="618">
        <f>MAX($H$3,MIN($J$3,$D$3-$F$3*(G37-1)))</f>
        <v>0.091</v>
      </c>
      <c r="S37" s="616">
        <f>ROUND(MAX(E37*(1+R37),F37*$L$3),-4)</f>
        <v>40300000</v>
      </c>
      <c r="T37" s="616">
        <f>ROUND(S37*$L$4,-4)</f>
        <v>40300000</v>
      </c>
      <c r="U37" s="616">
        <f>T37+J37</f>
        <v>42490000</v>
      </c>
      <c r="V37" s="618">
        <f>IF(E37=0,0,U37/E37-1)</f>
        <v>0.204201174205257</v>
      </c>
      <c r="W37" s="618">
        <f>IF(F37=0,0,U37/F37-1)</f>
        <v>-0.103775574773255</v>
      </c>
    </row>
    <row r="38">
      <c r="A38" s="634">
        <f>'116目標底稿ver1'!B38</f>
        <v>31</v>
      </c>
      <c r="B38" s="636" t="str">
        <f>'116目標底稿ver1'!C38</f>
        <v>北一區</v>
      </c>
      <c r="C38" s="634">
        <f>'116目標底稿ver1'!D38</f>
        <v>132</v>
      </c>
      <c r="D38" s="636" t="str">
        <f>'116目標底稿ver1'!E38</f>
        <v>大直分行</v>
      </c>
      <c r="E38" s="634">
        <f>'116目標底稿ver1'!G38</f>
        <v>24377025</v>
      </c>
      <c r="F38" s="634">
        <f>'116目標底稿ver1'!I38</f>
        <v>24640000</v>
      </c>
      <c r="G38" s="635">
        <f>'116目標底稿ver1'!J38</f>
        <v>0.99</v>
      </c>
      <c r="H38" s="636" t="str">
        <f>'116目標底稿ver1'!A38</f>
        <v>TYPE_3</v>
      </c>
      <c r="I38" s="634">
        <f>'116目標底稿ver1'!Q38</f>
        <v>25110000</v>
      </c>
      <c r="J38" s="634">
        <f>'116目標底稿ver1'!Y38</f>
        <v>1130000</v>
      </c>
      <c r="K38" s="634">
        <f>'116目標底稿ver1'!Z38</f>
        <v>26240000</v>
      </c>
      <c r="L38" s="618">
        <f>IF(E38=0,0,K38/E38-1)</f>
        <v>0.0764233945692716</v>
      </c>
      <c r="M38" s="616">
        <f>ROUND(IF(G38&gt;=$H$2,($H$2*F38+$D$2*(E38-$H$2*F38))*$N$2,IF(G38&gt;=$J$2,E38*$P$2,IF(G38&gt;=$L$2,E38*$R$2,(E38+$F$2*($L$2*F38-E38))*$R$2))),-4)</f>
        <v>25110000</v>
      </c>
      <c r="N38" s="616">
        <f>ROUND(M38*$H$4,-4)</f>
        <v>25230000</v>
      </c>
      <c r="O38" s="616">
        <f>N38+J38</f>
        <v>26360000</v>
      </c>
      <c r="P38" s="618">
        <f>IF(E38=0,0,O38/E38-1)</f>
        <v>0.0813460625322409</v>
      </c>
      <c r="Q38" s="618">
        <f>IF(F38=0,0,O38/F38-1)</f>
        <v>0.0698051948051948</v>
      </c>
      <c r="R38" s="618">
        <f>MAX($H$3,MIN($J$3,$D$3-$F$3*(G38-1)))</f>
        <v>0.0285</v>
      </c>
      <c r="S38" s="616">
        <f>ROUND(MAX(E38*(1+R38),F38*$L$3),-4)</f>
        <v>25070000</v>
      </c>
      <c r="T38" s="616">
        <f>ROUND(S38*$L$4,-4)</f>
        <v>25070000</v>
      </c>
      <c r="U38" s="616">
        <f>T38+J38</f>
        <v>26200000</v>
      </c>
      <c r="V38" s="618">
        <f>IF(E38=0,0,U38/E38-1)</f>
        <v>0.074782505248282</v>
      </c>
      <c r="W38" s="618">
        <f>IF(F38=0,0,U38/F38-1)</f>
        <v>0.0633116883116882</v>
      </c>
    </row>
    <row r="39">
      <c r="A39" s="634">
        <f>'116目標底稿ver1'!B39</f>
        <v>32</v>
      </c>
      <c r="B39" s="636" t="str">
        <f>'116目標底稿ver1'!C39</f>
        <v>北一區</v>
      </c>
      <c r="C39" s="634">
        <f>'116目標底稿ver1'!D39</f>
        <v>133</v>
      </c>
      <c r="D39" s="636" t="str">
        <f>'116目標底稿ver1'!E39</f>
        <v>敦和分行</v>
      </c>
      <c r="E39" s="634">
        <f>'116目標底稿ver1'!G39</f>
        <v>36160101</v>
      </c>
      <c r="F39" s="634">
        <f>'116目標底稿ver1'!I39</f>
        <v>50840000</v>
      </c>
      <c r="G39" s="635">
        <f>'116目標底稿ver1'!J39</f>
        <v>0.71</v>
      </c>
      <c r="H39" s="636" t="str">
        <f>'116目標底稿ver1'!A39</f>
        <v>TYPE_4</v>
      </c>
      <c r="I39" s="634">
        <f>'116目標底稿ver1'!Q39</f>
        <v>48810000</v>
      </c>
      <c r="J39" s="634">
        <f>'116目標底稿ver1'!Y39</f>
        <v>1860000</v>
      </c>
      <c r="K39" s="634">
        <f>'116目標底稿ver1'!Z39</f>
        <v>50670000</v>
      </c>
      <c r="L39" s="618">
        <f>IF(E39=0,0,K39/E39-1)</f>
        <v>0.401268209953285</v>
      </c>
      <c r="M39" s="616">
        <f>ROUND(IF(G39&gt;=$H$2,($H$2*F39+$D$2*(E39-$H$2*F39))*$N$2,IF(G39&gt;=$J$2,E39*$P$2,IF(G39&gt;=$L$2,E39*$R$2,(E39+$F$2*($L$2*F39-E39))*$R$2))),-4)</f>
        <v>39570000</v>
      </c>
      <c r="N39" s="616">
        <f>ROUND(M39*$H$4,-4)</f>
        <v>39760000</v>
      </c>
      <c r="O39" s="616">
        <f>N39+J39</f>
        <v>41620000</v>
      </c>
      <c r="P39" s="618">
        <f>IF(E39=0,0,O39/E39-1)</f>
        <v>0.150992360336604</v>
      </c>
      <c r="Q39" s="618">
        <f>IF(F39=0,0,O39/F39-1)</f>
        <v>-0.181353265145555</v>
      </c>
      <c r="R39" s="618">
        <f>MAX($H$3,MIN($J$3,$D$3-$F$3*(G39-1)))</f>
        <v>0.0985</v>
      </c>
      <c r="S39" s="616">
        <f>ROUND(MAX(E39*(1+R39),F39*$L$3),-4)</f>
        <v>43210000</v>
      </c>
      <c r="T39" s="616">
        <f>ROUND(S39*$L$4,-4)</f>
        <v>43210000</v>
      </c>
      <c r="U39" s="616">
        <f>T39+J39</f>
        <v>45070000</v>
      </c>
      <c r="V39" s="618">
        <f>IF(E39=0,0,U39/E39-1)</f>
        <v>0.246401385881085</v>
      </c>
      <c r="W39" s="618">
        <f>IF(F39=0,0,U39/F39-1)</f>
        <v>-0.113493312352478</v>
      </c>
    </row>
    <row r="40">
      <c r="A40" s="634">
        <f>'116目標底稿ver1'!B40</f>
        <v>33</v>
      </c>
      <c r="B40" s="636" t="str">
        <f>'116目標底稿ver1'!C40</f>
        <v>北二區</v>
      </c>
      <c r="C40" s="634">
        <f>'116目標底稿ver1'!D40</f>
        <v>134</v>
      </c>
      <c r="D40" s="636" t="str">
        <f>'116目標底稿ver1'!E40</f>
        <v>東湖分行</v>
      </c>
      <c r="E40" s="634">
        <f>'116目標底稿ver1'!G40</f>
        <v>61784257</v>
      </c>
      <c r="F40" s="634">
        <f>'116目標底稿ver1'!I40</f>
        <v>75830000</v>
      </c>
      <c r="G40" s="635">
        <f>'116目標底稿ver1'!J40</f>
        <v>0.81</v>
      </c>
      <c r="H40" s="636" t="str">
        <f>'116目標底稿ver1'!A40</f>
        <v>TYPE_3</v>
      </c>
      <c r="I40" s="634">
        <f>'116目標底稿ver1'!Q40</f>
        <v>63640000</v>
      </c>
      <c r="J40" s="634">
        <f>'116目標底稿ver1'!Y40</f>
        <v>2620000</v>
      </c>
      <c r="K40" s="634">
        <f>'116目標底稿ver1'!Z40</f>
        <v>66260000</v>
      </c>
      <c r="L40" s="618">
        <f>IF(E40=0,0,K40/E40-1)</f>
        <v>0.0724414797122186</v>
      </c>
      <c r="M40" s="616">
        <f>ROUND(IF(G40&gt;=$H$2,($H$2*F40+$D$2*(E40-$H$2*F40))*$N$2,IF(G40&gt;=$J$2,E40*$P$2,IF(G40&gt;=$L$2,E40*$R$2,(E40+$F$2*($L$2*F40-E40))*$R$2))),-4)</f>
        <v>63640000</v>
      </c>
      <c r="N40" s="616">
        <f>ROUND(M40*$H$4,-4)</f>
        <v>63940000</v>
      </c>
      <c r="O40" s="616">
        <f>N40+J40</f>
        <v>66560000</v>
      </c>
      <c r="P40" s="618">
        <f>IF(E40=0,0,O40/E40-1)</f>
        <v>0.0772970855666355</v>
      </c>
      <c r="Q40" s="618">
        <f>IF(F40=0,0,O40/F40-1)</f>
        <v>-0.122247131742055</v>
      </c>
      <c r="R40" s="618">
        <f>MAX($H$3,MIN($J$3,$D$3-$F$3*(G40-1)))</f>
        <v>0.0735</v>
      </c>
      <c r="S40" s="616">
        <f>ROUND(MAX(E40*(1+R40),F40*$L$3),-4)</f>
        <v>66330000</v>
      </c>
      <c r="T40" s="616">
        <f>ROUND(S40*$L$4,-4)</f>
        <v>66330000</v>
      </c>
      <c r="U40" s="616">
        <f>T40+J40</f>
        <v>68950000</v>
      </c>
      <c r="V40" s="618">
        <f>IF(E40=0,0,U40/E40-1)</f>
        <v>0.11598007887349</v>
      </c>
      <c r="W40" s="618">
        <f>IF(F40=0,0,U40/F40-1)</f>
        <v>-0.0907292628247396</v>
      </c>
    </row>
    <row r="41">
      <c r="A41" s="634">
        <f>'116目標底稿ver1'!B41</f>
        <v>34</v>
      </c>
      <c r="B41" s="636" t="str">
        <f>'116目標底稿ver1'!C41</f>
        <v>北一區</v>
      </c>
      <c r="C41" s="634">
        <f>'116目標底稿ver1'!D41</f>
        <v>136</v>
      </c>
      <c r="D41" s="636" t="str">
        <f>'116目標底稿ver1'!E41</f>
        <v>東興分行</v>
      </c>
      <c r="E41" s="634">
        <f>'116目標底稿ver1'!G41</f>
        <v>49654913</v>
      </c>
      <c r="F41" s="634">
        <f>'116目標底稿ver1'!I41</f>
        <v>34730000</v>
      </c>
      <c r="G41" s="635">
        <f>'116目標底稿ver1'!J41</f>
        <v>1.43</v>
      </c>
      <c r="H41" s="636" t="str">
        <f>'116目標底稿ver1'!A41</f>
        <v>TYPE_1</v>
      </c>
      <c r="I41" s="634">
        <f>'116目標底稿ver1'!Q41</f>
        <v>42090000</v>
      </c>
      <c r="J41" s="634">
        <f>'116目標底稿ver1'!Y41</f>
        <v>1190000</v>
      </c>
      <c r="K41" s="634">
        <f>'116目標底稿ver1'!Z41</f>
        <v>43280000</v>
      </c>
      <c r="L41" s="618">
        <f>IF(E41=0,0,K41/E41-1)</f>
        <v>-0.12838433530233</v>
      </c>
      <c r="M41" s="616">
        <f>ROUND(IF(G41&gt;=$H$2,($H$2*F41+$D$2*(E41-$H$2*F41))*$N$2,IF(G41&gt;=$J$2,E41*$P$2,IF(G41&gt;=$L$2,E41*$R$2,(E41+$F$2*($L$2*F41-E41))*$R$2))),-4)</f>
        <v>46120000</v>
      </c>
      <c r="N41" s="616">
        <f>ROUND(M41*$H$4,-4)</f>
        <v>46340000</v>
      </c>
      <c r="O41" s="616">
        <f>N41+J41</f>
        <v>47530000</v>
      </c>
      <c r="P41" s="618">
        <f>IF(E41=0,0,O41/E41-1)</f>
        <v>-0.042793610372452</v>
      </c>
      <c r="Q41" s="618">
        <f>IF(F41=0,0,O41/F41-1)</f>
        <v>0.368557443132738</v>
      </c>
      <c r="R41" s="618">
        <f>MAX($H$3,MIN($J$3,$D$3-$F$3*(G41-1)))</f>
        <v>-0.0815</v>
      </c>
      <c r="S41" s="616">
        <f>ROUND(MAX(E41*(1+R41),F41*$L$3),-4)</f>
        <v>45610000</v>
      </c>
      <c r="T41" s="616">
        <f>ROUND(S41*$L$4,-4)</f>
        <v>45610000</v>
      </c>
      <c r="U41" s="616">
        <f>T41+J41</f>
        <v>46800000</v>
      </c>
      <c r="V41" s="618">
        <f>IF(E41=0,0,U41/E41-1)</f>
        <v>-0.0574950760662898</v>
      </c>
      <c r="W41" s="618">
        <f>IF(F41=0,0,U41/F41-1)</f>
        <v>0.347538151454074</v>
      </c>
    </row>
    <row r="42">
      <c r="A42" s="634">
        <f>'116目標底稿ver1'!B42</f>
        <v>35</v>
      </c>
      <c r="B42" s="636" t="str">
        <f>'116目標底稿ver1'!C42</f>
        <v>北二區</v>
      </c>
      <c r="C42" s="634">
        <f>'116目標底稿ver1'!D42</f>
        <v>137</v>
      </c>
      <c r="D42" s="636" t="str">
        <f>'116目標底稿ver1'!E42</f>
        <v>北南港分行</v>
      </c>
      <c r="E42" s="634">
        <f>'116目標底稿ver1'!G42</f>
        <v>61003844</v>
      </c>
      <c r="F42" s="634">
        <f>'116目標底稿ver1'!I42</f>
        <v>47080000</v>
      </c>
      <c r="G42" s="635">
        <f>'116目標底稿ver1'!J42</f>
        <v>1.3</v>
      </c>
      <c r="H42" s="636" t="str">
        <f>'116目標底稿ver1'!A42</f>
        <v>TYPE_1</v>
      </c>
      <c r="I42" s="634">
        <f>'116目標底稿ver1'!Q42</f>
        <v>57060000</v>
      </c>
      <c r="J42" s="634">
        <f>'116目標底稿ver1'!Y42</f>
        <v>1780000</v>
      </c>
      <c r="K42" s="634">
        <f>'116目標底稿ver1'!Z42</f>
        <v>58840000</v>
      </c>
      <c r="L42" s="618">
        <f>IF(E42=0,0,K42/E42-1)</f>
        <v>-0.0354706172286454</v>
      </c>
      <c r="M42" s="616">
        <f>ROUND(IF(G42&gt;=$H$2,($H$2*F42+$D$2*(E42-$H$2*F42))*$N$2,IF(G42&gt;=$J$2,E42*$P$2,IF(G42&gt;=$L$2,E42*$R$2,(E42+$F$2*($L$2*F42-E42))*$R$2))),-4)</f>
        <v>59340000</v>
      </c>
      <c r="N42" s="616">
        <f>ROUND(M42*$H$4,-4)</f>
        <v>59620000</v>
      </c>
      <c r="O42" s="616">
        <f>N42+J42</f>
        <v>61400000</v>
      </c>
      <c r="P42" s="618">
        <f>IF(E42=0,0,O42/E42-1)</f>
        <v>0.00649395143033948</v>
      </c>
      <c r="Q42" s="618">
        <f>IF(F42=0,0,O42/F42-1)</f>
        <v>0.304163126593033</v>
      </c>
      <c r="R42" s="618">
        <f>MAX($H$3,MIN($J$3,$D$3-$F$3*(G42-1)))</f>
        <v>-0.049</v>
      </c>
      <c r="S42" s="616">
        <f>ROUND(MAX(E42*(1+R42),F42*$L$3),-4)</f>
        <v>58010000</v>
      </c>
      <c r="T42" s="616">
        <f>ROUND(S42*$L$4,-4)</f>
        <v>58010000</v>
      </c>
      <c r="U42" s="616">
        <f>T42+J42</f>
        <v>59790000</v>
      </c>
      <c r="V42" s="618">
        <f>IF(E42=0,0,U42/E42-1)</f>
        <v>-0.0198978280778503</v>
      </c>
      <c r="W42" s="618">
        <f>IF(F42=0,0,U42/F42-1)</f>
        <v>0.269966015293118</v>
      </c>
    </row>
    <row r="43">
      <c r="A43" s="634">
        <f>'116目標底稿ver1'!B43</f>
        <v>36</v>
      </c>
      <c r="B43" s="636" t="str">
        <f>'116目標底稿ver1'!C43</f>
        <v>北二區</v>
      </c>
      <c r="C43" s="634">
        <f>'116目標底稿ver1'!D43</f>
        <v>143</v>
      </c>
      <c r="D43" s="636" t="str">
        <f>'116目標底稿ver1'!E43</f>
        <v>南內湖分行</v>
      </c>
      <c r="E43" s="634">
        <f>'116目標底稿ver1'!G43</f>
        <v>44219159</v>
      </c>
      <c r="F43" s="634">
        <f>'116目標底稿ver1'!I43</f>
        <v>41160000</v>
      </c>
      <c r="G43" s="635">
        <f>'116目標底稿ver1'!J43</f>
        <v>1.07</v>
      </c>
      <c r="H43" s="636" t="str">
        <f>'116目標底稿ver1'!A43</f>
        <v>TYPE_2</v>
      </c>
      <c r="I43" s="634">
        <f>'116目標底稿ver1'!Q43</f>
        <v>44660000</v>
      </c>
      <c r="J43" s="634">
        <f>'116目標底稿ver1'!Y43</f>
        <v>1500000</v>
      </c>
      <c r="K43" s="634">
        <f>'116目標底稿ver1'!Z43</f>
        <v>46160000</v>
      </c>
      <c r="L43" s="618">
        <f>IF(E43=0,0,K43/E43-1)</f>
        <v>0.043891404628478</v>
      </c>
      <c r="M43" s="616">
        <f>ROUND(IF(G43&gt;=$H$2,($H$2*F43+$D$2*(E43-$H$2*F43))*$N$2,IF(G43&gt;=$J$2,E43*$P$2,IF(G43&gt;=$L$2,E43*$R$2,(E43+$F$2*($L$2*F43-E43))*$R$2))),-4)</f>
        <v>44660000</v>
      </c>
      <c r="N43" s="616">
        <f>ROUND(M43*$H$4,-4)</f>
        <v>44870000</v>
      </c>
      <c r="O43" s="616">
        <f>N43+J43</f>
        <v>46370000</v>
      </c>
      <c r="P43" s="618">
        <f>IF(E43=0,0,O43/E43-1)</f>
        <v>0.0486404773098466</v>
      </c>
      <c r="Q43" s="618">
        <f>IF(F43=0,0,O43/F43-1)</f>
        <v>0.126579203109815</v>
      </c>
      <c r="R43" s="618">
        <f>MAX($H$3,MIN($J$3,$D$3-$F$3*(G43-1)))</f>
        <v>0.00849999999999998</v>
      </c>
      <c r="S43" s="616">
        <f>ROUND(MAX(E43*(1+R43),F43*$L$3),-4)</f>
        <v>44600000</v>
      </c>
      <c r="T43" s="616">
        <f>ROUND(S43*$L$4,-4)</f>
        <v>44600000</v>
      </c>
      <c r="U43" s="616">
        <f>T43+J43</f>
        <v>46100000</v>
      </c>
      <c r="V43" s="618">
        <f>IF(E43=0,0,U43/E43-1)</f>
        <v>0.0425345267195154</v>
      </c>
      <c r="W43" s="618">
        <f>IF(F43=0,0,U43/F43-1)</f>
        <v>0.120019436345967</v>
      </c>
    </row>
    <row r="44">
      <c r="A44" s="634">
        <f>'116目標底稿ver1'!B44</f>
        <v>37</v>
      </c>
      <c r="B44" s="636" t="str">
        <f>'116目標底稿ver1'!C44</f>
        <v>北一區</v>
      </c>
      <c r="C44" s="634">
        <f>'116目標底稿ver1'!D44</f>
        <v>145</v>
      </c>
      <c r="D44" s="636" t="str">
        <f>'116目標底稿ver1'!E44</f>
        <v>長安分行</v>
      </c>
      <c r="E44" s="634">
        <f>'116目標底稿ver1'!G44</f>
        <v>43235636</v>
      </c>
      <c r="F44" s="634">
        <f>'116目標底稿ver1'!I44</f>
        <v>31970000</v>
      </c>
      <c r="G44" s="635">
        <f>'116目標底稿ver1'!J44</f>
        <v>1.35</v>
      </c>
      <c r="H44" s="636" t="str">
        <f>'116目標底稿ver1'!A44</f>
        <v>TYPE_1</v>
      </c>
      <c r="I44" s="634">
        <f>'116目標底稿ver1'!Q44</f>
        <v>38750000</v>
      </c>
      <c r="J44" s="634">
        <f>'116目標底稿ver1'!Y44</f>
        <v>1430000</v>
      </c>
      <c r="K44" s="634">
        <f>'116目標底稿ver1'!Z44</f>
        <v>40180000</v>
      </c>
      <c r="L44" s="618">
        <f>IF(E44=0,0,K44/E44-1)</f>
        <v>-0.0706740152960859</v>
      </c>
      <c r="M44" s="616">
        <f>ROUND(IF(G44&gt;=$H$2,($H$2*F44+$D$2*(E44-$H$2*F44))*$N$2,IF(G44&gt;=$J$2,E44*$P$2,IF(G44&gt;=$L$2,E44*$R$2,(E44+$F$2*($L$2*F44-E44))*$R$2))),-4)</f>
        <v>41210000</v>
      </c>
      <c r="N44" s="616">
        <f>ROUND(M44*$H$4,-4)</f>
        <v>41410000</v>
      </c>
      <c r="O44" s="616">
        <f>N44+J44</f>
        <v>42840000</v>
      </c>
      <c r="P44" s="618">
        <f>IF(E44=0,0,O44/E44-1)</f>
        <v>-0.0091506922669069</v>
      </c>
      <c r="Q44" s="618">
        <f>IF(F44=0,0,O44/F44-1)</f>
        <v>0.340006255864873</v>
      </c>
      <c r="R44" s="618">
        <f>MAX($H$3,MIN($J$3,$D$3-$F$3*(G44-1)))</f>
        <v>-0.0615</v>
      </c>
      <c r="S44" s="616">
        <f>ROUND(MAX(E44*(1+R44),F44*$L$3),-4)</f>
        <v>40580000</v>
      </c>
      <c r="T44" s="616">
        <f>ROUND(S44*$L$4,-4)</f>
        <v>40580000</v>
      </c>
      <c r="U44" s="616">
        <f>T44+J44</f>
        <v>42010000</v>
      </c>
      <c r="V44" s="618">
        <f>IF(E44=0,0,U44/E44-1)</f>
        <v>-0.0283478193775153</v>
      </c>
      <c r="W44" s="618">
        <f>IF(F44=0,0,U44/F44-1)</f>
        <v>0.3140444166406</v>
      </c>
    </row>
    <row r="45">
      <c r="A45" s="634">
        <f>'116目標底稿ver1'!B45</f>
        <v>38</v>
      </c>
      <c r="B45" s="636" t="str">
        <f>'116目標底稿ver1'!C45</f>
        <v>北一區</v>
      </c>
      <c r="C45" s="634">
        <f>'116目標底稿ver1'!D45</f>
        <v>147</v>
      </c>
      <c r="D45" s="636" t="str">
        <f>'116目標底稿ver1'!E45</f>
        <v>懷生分行</v>
      </c>
      <c r="E45" s="634">
        <f>'116目標底稿ver1'!G45</f>
        <v>77955723</v>
      </c>
      <c r="F45" s="634">
        <f>'116目標底稿ver1'!I45</f>
        <v>66300000</v>
      </c>
      <c r="G45" s="635">
        <f>'116目標底稿ver1'!J45</f>
        <v>1.18</v>
      </c>
      <c r="H45" s="636" t="str">
        <f>'116目標底稿ver1'!A45</f>
        <v>TYPE_2</v>
      </c>
      <c r="I45" s="634">
        <f>'116目標底稿ver1'!Q45</f>
        <v>78740000</v>
      </c>
      <c r="J45" s="634">
        <f>'116目標底稿ver1'!Y45</f>
        <v>2700000</v>
      </c>
      <c r="K45" s="634">
        <f>'116目標底稿ver1'!Z45</f>
        <v>81440000</v>
      </c>
      <c r="L45" s="618">
        <f>IF(E45=0,0,K45/E45-1)</f>
        <v>0.0446955895720447</v>
      </c>
      <c r="M45" s="616">
        <f>ROUND(IF(G45&gt;=$H$2,($H$2*F45+$D$2*(E45-$H$2*F45))*$N$2,IF(G45&gt;=$J$2,E45*$P$2,IF(G45&gt;=$L$2,E45*$R$2,(E45+$F$2*($L$2*F45-E45))*$R$2))),-4)</f>
        <v>78740000</v>
      </c>
      <c r="N45" s="616">
        <f>ROUND(M45*$H$4,-4)</f>
        <v>79120000</v>
      </c>
      <c r="O45" s="616">
        <f>N45+J45</f>
        <v>81820000</v>
      </c>
      <c r="P45" s="618">
        <f>IF(E45=0,0,O45/E45-1)</f>
        <v>0.0495701515076705</v>
      </c>
      <c r="Q45" s="618">
        <f>IF(F45=0,0,O45/F45-1)</f>
        <v>0.234087481146305</v>
      </c>
      <c r="R45" s="618">
        <f>MAX($H$3,MIN($J$3,$D$3-$F$3*(G45-1)))</f>
        <v>-0.019</v>
      </c>
      <c r="S45" s="616">
        <f>ROUND(MAX(E45*(1+R45),F45*$L$3),-4)</f>
        <v>76470000</v>
      </c>
      <c r="T45" s="616">
        <f>ROUND(S45*$L$4,-4)</f>
        <v>76460000</v>
      </c>
      <c r="U45" s="616">
        <f>T45+J45</f>
        <v>79160000</v>
      </c>
      <c r="V45" s="618">
        <f>IF(E45=0,0,U45/E45-1)</f>
        <v>0.0154482179582889</v>
      </c>
      <c r="W45" s="618">
        <f>IF(F45=0,0,U45/F45-1)</f>
        <v>0.193966817496229</v>
      </c>
    </row>
    <row r="46">
      <c r="A46" s="634">
        <f>'116目標底稿ver1'!B46</f>
        <v>39</v>
      </c>
      <c r="B46" s="636" t="str">
        <f>'116目標底稿ver1'!C46</f>
        <v>北一區</v>
      </c>
      <c r="C46" s="634">
        <f>'116目標底稿ver1'!D46</f>
        <v>148</v>
      </c>
      <c r="D46" s="636" t="str">
        <f>'116目標底稿ver1'!E46</f>
        <v>中華路分行</v>
      </c>
      <c r="E46" s="634">
        <f>'116目標底稿ver1'!G46</f>
        <v>37388217</v>
      </c>
      <c r="F46" s="634">
        <f>'116目標底稿ver1'!I46</f>
        <v>44260000</v>
      </c>
      <c r="G46" s="635">
        <f>'116目標底稿ver1'!J46</f>
        <v>0.84</v>
      </c>
      <c r="H46" s="636" t="str">
        <f>'116目標底稿ver1'!A46</f>
        <v>TYPE_3</v>
      </c>
      <c r="I46" s="634">
        <f>'116目標底稿ver1'!Q46</f>
        <v>38510000</v>
      </c>
      <c r="J46" s="634">
        <f>'116目標底稿ver1'!Y46</f>
        <v>1620000</v>
      </c>
      <c r="K46" s="634">
        <f>'116目標底稿ver1'!Z46</f>
        <v>40130000</v>
      </c>
      <c r="L46" s="618">
        <f>IF(E46=0,0,K46/E46-1)</f>
        <v>0.0733328096389299</v>
      </c>
      <c r="M46" s="616">
        <f>ROUND(IF(G46&gt;=$H$2,($H$2*F46+$D$2*(E46-$H$2*F46))*$N$2,IF(G46&gt;=$J$2,E46*$P$2,IF(G46&gt;=$L$2,E46*$R$2,(E46+$F$2*($L$2*F46-E46))*$R$2))),-4)</f>
        <v>38510000</v>
      </c>
      <c r="N46" s="616">
        <f>ROUND(M46*$H$4,-4)</f>
        <v>38690000</v>
      </c>
      <c r="O46" s="616">
        <f>N46+J46</f>
        <v>40310000</v>
      </c>
      <c r="P46" s="618">
        <f>IF(E46=0,0,O46/E46-1)</f>
        <v>0.0781471606415465</v>
      </c>
      <c r="Q46" s="618">
        <f>IF(F46=0,0,O46/F46-1)</f>
        <v>-0.0892453682783552</v>
      </c>
      <c r="R46" s="618">
        <f>MAX($H$3,MIN($J$3,$D$3-$F$3*(G46-1)))</f>
        <v>0.066</v>
      </c>
      <c r="S46" s="616">
        <f>ROUND(MAX(E46*(1+R46),F46*$L$3),-4)</f>
        <v>39860000</v>
      </c>
      <c r="T46" s="616">
        <f>ROUND(S46*$L$4,-4)</f>
        <v>39860000</v>
      </c>
      <c r="U46" s="616">
        <f>T46+J46</f>
        <v>41480000</v>
      </c>
      <c r="V46" s="618">
        <f>IF(E46=0,0,U46/E46-1)</f>
        <v>0.109440442158555</v>
      </c>
      <c r="W46" s="618">
        <f>IF(F46=0,0,U46/F46-1)</f>
        <v>-0.0628106642566652</v>
      </c>
    </row>
    <row r="47">
      <c r="A47" s="634">
        <f>'116目標底稿ver1'!B47</f>
        <v>40</v>
      </c>
      <c r="B47" s="636" t="str">
        <f>'116目標底稿ver1'!C47</f>
        <v>北一區</v>
      </c>
      <c r="C47" s="634">
        <f>'116目標底稿ver1'!D47</f>
        <v>149</v>
      </c>
      <c r="D47" s="636" t="str">
        <f>'116目標底稿ver1'!E47</f>
        <v>信維分行</v>
      </c>
      <c r="E47" s="634">
        <f>'116目標底稿ver1'!G47</f>
        <v>62694255</v>
      </c>
      <c r="F47" s="634">
        <f>'116目標底稿ver1'!I47</f>
        <v>61940000</v>
      </c>
      <c r="G47" s="635">
        <f>'116目標底稿ver1'!J47</f>
        <v>1.01</v>
      </c>
      <c r="H47" s="636" t="str">
        <f>'116目標底稿ver1'!A47</f>
        <v>TYPE_2</v>
      </c>
      <c r="I47" s="634">
        <f>'116目標底稿ver1'!Q47</f>
        <v>63320000</v>
      </c>
      <c r="J47" s="634">
        <f>'116目標底稿ver1'!Y47</f>
        <v>2240000</v>
      </c>
      <c r="K47" s="634">
        <f>'116目標底稿ver1'!Z47</f>
        <v>65560000</v>
      </c>
      <c r="L47" s="618">
        <f>IF(E47=0,0,K47/E47-1)</f>
        <v>0.045709850129011</v>
      </c>
      <c r="M47" s="616">
        <f>ROUND(IF(G47&gt;=$H$2,($H$2*F47+$D$2*(E47-$H$2*F47))*$N$2,IF(G47&gt;=$J$2,E47*$P$2,IF(G47&gt;=$L$2,E47*$R$2,(E47+$F$2*($L$2*F47-E47))*$R$2))),-4)</f>
        <v>63320000</v>
      </c>
      <c r="N47" s="616">
        <f>ROUND(M47*$H$4,-4)</f>
        <v>63620000</v>
      </c>
      <c r="O47" s="616">
        <f>N47+J47</f>
        <v>65860000</v>
      </c>
      <c r="P47" s="618">
        <f>IF(E47=0,0,O47/E47-1)</f>
        <v>0.0504949775701138</v>
      </c>
      <c r="Q47" s="618">
        <f>IF(F47=0,0,O47/F47-1)</f>
        <v>0.0632870519857927</v>
      </c>
      <c r="R47" s="618">
        <f>MAX($H$3,MIN($J$3,$D$3-$F$3*(G47-1)))</f>
        <v>0.0235</v>
      </c>
      <c r="S47" s="616">
        <f>ROUND(MAX(E47*(1+R47),F47*$L$3),-4)</f>
        <v>64170000</v>
      </c>
      <c r="T47" s="616">
        <f>ROUND(S47*$L$4,-4)</f>
        <v>64170000</v>
      </c>
      <c r="U47" s="616">
        <f>T47+J47</f>
        <v>66410000</v>
      </c>
      <c r="V47" s="618">
        <f>IF(E47=0,0,U47/E47-1)</f>
        <v>0.0592677112121358</v>
      </c>
      <c r="W47" s="618">
        <f>IF(F47=0,0,U47/F47-1)</f>
        <v>0.0721666128511462</v>
      </c>
    </row>
    <row r="48">
      <c r="A48" s="634">
        <f>'116目標底稿ver1'!B48</f>
        <v>41</v>
      </c>
      <c r="B48" s="636" t="str">
        <f>'116目標底稿ver1'!C48</f>
        <v>北二區</v>
      </c>
      <c r="C48" s="634">
        <f>'116目標底稿ver1'!D48</f>
        <v>151</v>
      </c>
      <c r="D48" s="636" t="str">
        <f>'116目標底稿ver1'!E48</f>
        <v>埔墘分行</v>
      </c>
      <c r="E48" s="634">
        <f>'116目標底稿ver1'!G48</f>
        <v>94209278</v>
      </c>
      <c r="F48" s="634">
        <f>'116目標底稿ver1'!I48</f>
        <v>82620000</v>
      </c>
      <c r="G48" s="635">
        <f>'116目標底稿ver1'!J48</f>
        <v>1.14</v>
      </c>
      <c r="H48" s="636" t="str">
        <f>'116目標底稿ver1'!A48</f>
        <v>TYPE_2</v>
      </c>
      <c r="I48" s="634">
        <f>'116目標底稿ver1'!Q48</f>
        <v>95150000</v>
      </c>
      <c r="J48" s="634">
        <f>'116目標底稿ver1'!Y48</f>
        <v>2850000</v>
      </c>
      <c r="K48" s="634">
        <f>'116目標底稿ver1'!Z48</f>
        <v>98000000</v>
      </c>
      <c r="L48" s="618">
        <f>IF(E48=0,0,K48/E48-1)</f>
        <v>0.0402372471212442</v>
      </c>
      <c r="M48" s="616">
        <f>ROUND(IF(G48&gt;=$H$2,($H$2*F48+$D$2*(E48-$H$2*F48))*$N$2,IF(G48&gt;=$J$2,E48*$P$2,IF(G48&gt;=$L$2,E48*$R$2,(E48+$F$2*($L$2*F48-E48))*$R$2))),-4)</f>
        <v>95150000</v>
      </c>
      <c r="N48" s="616">
        <f>ROUND(M48*$H$4,-4)</f>
        <v>95600000</v>
      </c>
      <c r="O48" s="616">
        <f>N48+J48</f>
        <v>98450000</v>
      </c>
      <c r="P48" s="618">
        <f>IF(E48=0,0,O48/E48-1)</f>
        <v>0.0450138467253725</v>
      </c>
      <c r="Q48" s="618">
        <f>IF(F48=0,0,O48/F48-1)</f>
        <v>0.191600096828855</v>
      </c>
      <c r="R48" s="618">
        <f>MAX($H$3,MIN($J$3,$D$3-$F$3*(G48-1)))</f>
        <v>-0.00899999999999998</v>
      </c>
      <c r="S48" s="616">
        <f>ROUND(MAX(E48*(1+R48),F48*$L$3),-4)</f>
        <v>93360000</v>
      </c>
      <c r="T48" s="616">
        <f>ROUND(S48*$L$4,-4)</f>
        <v>93350000</v>
      </c>
      <c r="U48" s="616">
        <f>T48+J48</f>
        <v>96200000</v>
      </c>
      <c r="V48" s="618">
        <f>IF(E48=0,0,U48/E48-1)</f>
        <v>0.0211308487047317</v>
      </c>
      <c r="W48" s="618">
        <f>IF(F48=0,0,U48/F48-1)</f>
        <v>0.164366981360445</v>
      </c>
    </row>
    <row r="49">
      <c r="A49" s="634">
        <f>'116目標底稿ver1'!B49</f>
        <v>42</v>
      </c>
      <c r="B49" s="636" t="str">
        <f>'116目標底稿ver1'!C49</f>
        <v>北一區</v>
      </c>
      <c r="C49" s="634">
        <f>'116目標底稿ver1'!D49</f>
        <v>152</v>
      </c>
      <c r="D49" s="636" t="str">
        <f>'116目標底稿ver1'!E49</f>
        <v>石牌分行</v>
      </c>
      <c r="E49" s="634">
        <f>'116目標底稿ver1'!G49</f>
        <v>61112664</v>
      </c>
      <c r="F49" s="634">
        <f>'116目標底稿ver1'!I49</f>
        <v>76730000</v>
      </c>
      <c r="G49" s="635">
        <f>'116目標底稿ver1'!J49</f>
        <v>0.8</v>
      </c>
      <c r="H49" s="636" t="str">
        <f>'116目標底稿ver1'!A49</f>
        <v>TYPE_3</v>
      </c>
      <c r="I49" s="634">
        <f>'116目標底稿ver1'!Q49</f>
        <v>62950000</v>
      </c>
      <c r="J49" s="634">
        <f>'116目標底稿ver1'!Y49</f>
        <v>2920000</v>
      </c>
      <c r="K49" s="634">
        <f>'116目標底稿ver1'!Z49</f>
        <v>65870000</v>
      </c>
      <c r="L49" s="618">
        <f>IF(E49=0,0,K49/E49-1)</f>
        <v>0.077845338242823</v>
      </c>
      <c r="M49" s="616">
        <f>ROUND(IF(G49&gt;=$H$2,($H$2*F49+$D$2*(E49-$H$2*F49))*$N$2,IF(G49&gt;=$J$2,E49*$P$2,IF(G49&gt;=$L$2,E49*$R$2,(E49+$F$2*($L$2*F49-E49))*$R$2))),-4)</f>
        <v>62950000</v>
      </c>
      <c r="N49" s="616">
        <f>ROUND(M49*$H$4,-4)</f>
        <v>63250000</v>
      </c>
      <c r="O49" s="616">
        <f>N49+J49</f>
        <v>66170000</v>
      </c>
      <c r="P49" s="618">
        <f>IF(E49=0,0,O49/E49-1)</f>
        <v>0.0827543044106209</v>
      </c>
      <c r="Q49" s="618">
        <f>IF(F49=0,0,O49/F49-1)</f>
        <v>-0.137625439854034</v>
      </c>
      <c r="R49" s="618">
        <f>MAX($H$3,MIN($J$3,$D$3-$F$3*(G49-1)))</f>
        <v>0.076</v>
      </c>
      <c r="S49" s="616">
        <f>ROUND(MAX(E49*(1+R49),F49*$L$3),-4)</f>
        <v>65760000</v>
      </c>
      <c r="T49" s="616">
        <f>ROUND(S49*$L$4,-4)</f>
        <v>65760000</v>
      </c>
      <c r="U49" s="616">
        <f>T49+J49</f>
        <v>68680000</v>
      </c>
      <c r="V49" s="618">
        <f>IF(E49=0,0,U49/E49-1)</f>
        <v>0.12382598801453</v>
      </c>
      <c r="W49" s="618">
        <f>IF(F49=0,0,U49/F49-1)</f>
        <v>-0.104913332464486</v>
      </c>
    </row>
    <row r="50">
      <c r="A50" s="634">
        <f>'116目標底稿ver1'!B50</f>
        <v>43</v>
      </c>
      <c r="B50" s="636" t="str">
        <f>'116目標底稿ver1'!C50</f>
        <v>北一區</v>
      </c>
      <c r="C50" s="634">
        <f>'116目標底稿ver1'!D50</f>
        <v>153</v>
      </c>
      <c r="D50" s="636" t="str">
        <f>'116目標底稿ver1'!E50</f>
        <v>瑞祥分行</v>
      </c>
      <c r="E50" s="634">
        <f>'116目標底稿ver1'!G50</f>
        <v>91287215</v>
      </c>
      <c r="F50" s="634">
        <f>'116目標底稿ver1'!I50</f>
        <v>70340000</v>
      </c>
      <c r="G50" s="635">
        <f>'116目標底稿ver1'!J50</f>
        <v>1.3</v>
      </c>
      <c r="H50" s="636" t="str">
        <f>'116目標底稿ver1'!A50</f>
        <v>TYPE_1</v>
      </c>
      <c r="I50" s="634">
        <f>'116目標底稿ver1'!Q50</f>
        <v>85250000</v>
      </c>
      <c r="J50" s="634">
        <f>'116目標底稿ver1'!Y50</f>
        <v>2530000</v>
      </c>
      <c r="K50" s="634">
        <f>'116目標底稿ver1'!Z50</f>
        <v>87780000</v>
      </c>
      <c r="L50" s="618">
        <f>IF(E50=0,0,K50/E50-1)</f>
        <v>-0.0384195640101409</v>
      </c>
      <c r="M50" s="616">
        <f>ROUND(IF(G50&gt;=$H$2,($H$2*F50+$D$2*(E50-$H$2*F50))*$N$2,IF(G50&gt;=$J$2,E50*$P$2,IF(G50&gt;=$L$2,E50*$R$2,(E50+$F$2*($L$2*F50-E50))*$R$2))),-4)</f>
        <v>88730000</v>
      </c>
      <c r="N50" s="616">
        <f>ROUND(M50*$H$4,-4)</f>
        <v>89150000</v>
      </c>
      <c r="O50" s="616">
        <f>N50+J50</f>
        <v>91680000</v>
      </c>
      <c r="P50" s="618">
        <f>IF(E50=0,0,O50/E50-1)</f>
        <v>0.00430273834074146</v>
      </c>
      <c r="Q50" s="618">
        <f>IF(F50=0,0,O50/F50-1)</f>
        <v>0.303383565538812</v>
      </c>
      <c r="R50" s="618">
        <f>MAX($H$3,MIN($J$3,$D$3-$F$3*(G50-1)))</f>
        <v>-0.049</v>
      </c>
      <c r="S50" s="616">
        <f>ROUND(MAX(E50*(1+R50),F50*$L$3),-4)</f>
        <v>86810000</v>
      </c>
      <c r="T50" s="616">
        <f>ROUND(S50*$L$4,-4)</f>
        <v>86800000</v>
      </c>
      <c r="U50" s="616">
        <f>T50+J50</f>
        <v>89330000</v>
      </c>
      <c r="V50" s="618">
        <f>IF(E50=0,0,U50/E50-1)</f>
        <v>-0.0214401874347903</v>
      </c>
      <c r="W50" s="618">
        <f>IF(F50=0,0,U50/F50-1)</f>
        <v>0.26997441000853</v>
      </c>
    </row>
    <row r="51">
      <c r="A51" s="634">
        <f>'116目標底稿ver1'!B51</f>
        <v>44</v>
      </c>
      <c r="B51" s="636" t="str">
        <f>'116目標底稿ver1'!C51</f>
        <v>北一區</v>
      </c>
      <c r="C51" s="634">
        <f>'116目標底稿ver1'!D51</f>
        <v>154</v>
      </c>
      <c r="D51" s="636" t="str">
        <f>'116目標底稿ver1'!E51</f>
        <v>台大分行</v>
      </c>
      <c r="E51" s="634">
        <f>'116目標底稿ver1'!G51</f>
        <v>49686844</v>
      </c>
      <c r="F51" s="634">
        <f>'116目標底稿ver1'!I51</f>
        <v>38300000</v>
      </c>
      <c r="G51" s="635">
        <f>'116目標底稿ver1'!J51</f>
        <v>1.3</v>
      </c>
      <c r="H51" s="636" t="str">
        <f>'116目標底稿ver1'!A51</f>
        <v>TYPE_1</v>
      </c>
      <c r="I51" s="634">
        <f>'116目標底稿ver1'!Q51</f>
        <v>46420000</v>
      </c>
      <c r="J51" s="634">
        <f>'116目標底稿ver1'!Y51</f>
        <v>1590000</v>
      </c>
      <c r="K51" s="634">
        <f>'116目標底稿ver1'!Z51</f>
        <v>48010000</v>
      </c>
      <c r="L51" s="618">
        <f>IF(E51=0,0,K51/E51-1)</f>
        <v>-0.0337482493353773</v>
      </c>
      <c r="M51" s="616">
        <f>ROUND(IF(G51&gt;=$H$2,($H$2*F51+$D$2*(E51-$H$2*F51))*$N$2,IF(G51&gt;=$J$2,E51*$P$2,IF(G51&gt;=$L$2,E51*$R$2,(E51+$F$2*($L$2*F51-E51))*$R$2))),-4)</f>
        <v>48300000</v>
      </c>
      <c r="N51" s="616">
        <f>ROUND(M51*$H$4,-4)</f>
        <v>48530000</v>
      </c>
      <c r="O51" s="616">
        <f>N51+J51</f>
        <v>50120000</v>
      </c>
      <c r="P51" s="618">
        <f>IF(E51=0,0,O51/E51-1)</f>
        <v>0.00871772012728367</v>
      </c>
      <c r="Q51" s="618">
        <f>IF(F51=0,0,O51/F51-1)</f>
        <v>0.308616187989556</v>
      </c>
      <c r="R51" s="618">
        <f>MAX($H$3,MIN($J$3,$D$3-$F$3*(G51-1)))</f>
        <v>-0.049</v>
      </c>
      <c r="S51" s="616">
        <f>ROUND(MAX(E51*(1+R51),F51*$L$3),-4)</f>
        <v>47250000</v>
      </c>
      <c r="T51" s="616">
        <f>ROUND(S51*$L$4,-4)</f>
        <v>47250000</v>
      </c>
      <c r="U51" s="616">
        <f>T51+J51</f>
        <v>48840000</v>
      </c>
      <c r="V51" s="618">
        <f>IF(E51=0,0,U51/E51-1)</f>
        <v>-0.0170436262766055</v>
      </c>
      <c r="W51" s="618">
        <f>IF(F51=0,0,U51/F51-1)</f>
        <v>0.275195822454308</v>
      </c>
    </row>
    <row r="52">
      <c r="A52" s="634">
        <f>'116目標底稿ver1'!B52</f>
        <v>45</v>
      </c>
      <c r="B52" s="636" t="str">
        <f>'116目標底稿ver1'!C52</f>
        <v>北一區</v>
      </c>
      <c r="C52" s="634">
        <f>'116目標底稿ver1'!D52</f>
        <v>156</v>
      </c>
      <c r="D52" s="636" t="str">
        <f>'116目標底稿ver1'!E52</f>
        <v>世貿分行</v>
      </c>
      <c r="E52" s="634">
        <f>'116目標底稿ver1'!G52</f>
        <v>48887128</v>
      </c>
      <c r="F52" s="634">
        <f>'116目標底稿ver1'!I52</f>
        <v>50930000</v>
      </c>
      <c r="G52" s="635">
        <f>'116目標底稿ver1'!J52</f>
        <v>0.96</v>
      </c>
      <c r="H52" s="636" t="str">
        <f>'116目標底稿ver1'!A52</f>
        <v>TYPE_3</v>
      </c>
      <c r="I52" s="634">
        <f>'116目標底稿ver1'!Q52</f>
        <v>50350000</v>
      </c>
      <c r="J52" s="634">
        <f>'116目標底稿ver1'!Y52</f>
        <v>1980000</v>
      </c>
      <c r="K52" s="634">
        <f>'116目標底稿ver1'!Z52</f>
        <v>52330000</v>
      </c>
      <c r="L52" s="618">
        <f>IF(E52=0,0,K52/E52-1)</f>
        <v>0.0704249183956971</v>
      </c>
      <c r="M52" s="616">
        <f>ROUND(IF(G52&gt;=$H$2,($H$2*F52+$D$2*(E52-$H$2*F52))*$N$2,IF(G52&gt;=$J$2,E52*$P$2,IF(G52&gt;=$L$2,E52*$R$2,(E52+$F$2*($L$2*F52-E52))*$R$2))),-4)</f>
        <v>50350000</v>
      </c>
      <c r="N52" s="616">
        <f>ROUND(M52*$H$4,-4)</f>
        <v>50590000</v>
      </c>
      <c r="O52" s="616">
        <f>N52+J52</f>
        <v>52570000</v>
      </c>
      <c r="P52" s="618">
        <f>IF(E52=0,0,O52/E52-1)</f>
        <v>0.0753341861276857</v>
      </c>
      <c r="Q52" s="618">
        <f>IF(F52=0,0,O52/F52-1)</f>
        <v>0.0322010602788141</v>
      </c>
      <c r="R52" s="618">
        <f>MAX($H$3,MIN($J$3,$D$3-$F$3*(G52-1)))</f>
        <v>0.036</v>
      </c>
      <c r="S52" s="616">
        <f>ROUND(MAX(E52*(1+R52),F52*$L$3),-4)</f>
        <v>50650000</v>
      </c>
      <c r="T52" s="616">
        <f>ROUND(S52*$L$4,-4)</f>
        <v>50650000</v>
      </c>
      <c r="U52" s="616">
        <f>T52+J52</f>
        <v>52630000</v>
      </c>
      <c r="V52" s="618">
        <f>IF(E52=0,0,U52/E52-1)</f>
        <v>0.076561503060683</v>
      </c>
      <c r="W52" s="618">
        <f>IF(F52=0,0,U52/F52-1)</f>
        <v>0.0333791478499901</v>
      </c>
    </row>
    <row r="53">
      <c r="A53" s="634">
        <f>'116目標底稿ver1'!B53</f>
        <v>46</v>
      </c>
      <c r="B53" s="636" t="str">
        <f>'116目標底稿ver1'!C53</f>
        <v>北一區</v>
      </c>
      <c r="C53" s="634">
        <f>'116目標底稿ver1'!D53</f>
        <v>157</v>
      </c>
      <c r="D53" s="636" t="str">
        <f>'116目標底稿ver1'!E53</f>
        <v>萬華分行</v>
      </c>
      <c r="E53" s="634">
        <f>'116目標底稿ver1'!G53</f>
        <v>37642448</v>
      </c>
      <c r="F53" s="634">
        <f>'116目標底稿ver1'!I53</f>
        <v>37520000</v>
      </c>
      <c r="G53" s="635">
        <f>'116目標底稿ver1'!J53</f>
        <v>1</v>
      </c>
      <c r="H53" s="636" t="str">
        <f>'116目標底稿ver1'!A53</f>
        <v>TYPE_2</v>
      </c>
      <c r="I53" s="634">
        <f>'116目標底稿ver1'!Q53</f>
        <v>38020000</v>
      </c>
      <c r="J53" s="634">
        <f>'116目標底稿ver1'!Y53</f>
        <v>1840000</v>
      </c>
      <c r="K53" s="634">
        <f>'116目標底稿ver1'!Z53</f>
        <v>39860000</v>
      </c>
      <c r="L53" s="618">
        <f>IF(E53=0,0,K53/E53-1)</f>
        <v>0.0589109401173908</v>
      </c>
      <c r="M53" s="616">
        <f>ROUND(IF(G53&gt;=$H$2,($H$2*F53+$D$2*(E53-$H$2*F53))*$N$2,IF(G53&gt;=$J$2,E53*$P$2,IF(G53&gt;=$L$2,E53*$R$2,(E53+$F$2*($L$2*F53-E53))*$R$2))),-4)</f>
        <v>38020000</v>
      </c>
      <c r="N53" s="616">
        <f>ROUND(M53*$H$4,-4)</f>
        <v>38200000</v>
      </c>
      <c r="O53" s="616">
        <f>N53+J53</f>
        <v>40040000</v>
      </c>
      <c r="P53" s="618">
        <f>IF(E53=0,0,O53/E53-1)</f>
        <v>0.0636927757727128</v>
      </c>
      <c r="Q53" s="618">
        <f>IF(F53=0,0,O53/F53-1)</f>
        <v>0.0671641791044777</v>
      </c>
      <c r="R53" s="618">
        <f>MAX($H$3,MIN($J$3,$D$3-$F$3*(G53-1)))</f>
        <v>0.026</v>
      </c>
      <c r="S53" s="616">
        <f>ROUND(MAX(E53*(1+R53),F53*$L$3),-4)</f>
        <v>38620000</v>
      </c>
      <c r="T53" s="616">
        <f>ROUND(S53*$L$4,-4)</f>
        <v>38620000</v>
      </c>
      <c r="U53" s="616">
        <f>T53+J53</f>
        <v>40460000</v>
      </c>
      <c r="V53" s="618">
        <f>IF(E53=0,0,U53/E53-1)</f>
        <v>0.0748503923017971</v>
      </c>
      <c r="W53" s="618">
        <f>IF(F53=0,0,U53/F53-1)</f>
        <v>0.0783582089552239</v>
      </c>
    </row>
    <row r="54">
      <c r="A54" s="634">
        <f>'116目標底稿ver1'!B54</f>
        <v>47</v>
      </c>
      <c r="B54" s="636" t="str">
        <f>'116目標底稿ver1'!C54</f>
        <v>北二區</v>
      </c>
      <c r="C54" s="634">
        <f>'116目標底稿ver1'!D54</f>
        <v>158</v>
      </c>
      <c r="D54" s="636" t="str">
        <f>'116目標底稿ver1'!E54</f>
        <v>南港分行</v>
      </c>
      <c r="E54" s="634">
        <f>'116目標底稿ver1'!G54</f>
        <v>76700670</v>
      </c>
      <c r="F54" s="634">
        <f>'116目標底稿ver1'!I54</f>
        <v>66080000</v>
      </c>
      <c r="G54" s="635">
        <f>'116目標底稿ver1'!J54</f>
        <v>1.16</v>
      </c>
      <c r="H54" s="636" t="str">
        <f>'116目標底稿ver1'!A54</f>
        <v>TYPE_2</v>
      </c>
      <c r="I54" s="634">
        <f>'116目標底稿ver1'!Q54</f>
        <v>77470000</v>
      </c>
      <c r="J54" s="634">
        <f>'116目標底稿ver1'!Y54</f>
        <v>2570000</v>
      </c>
      <c r="K54" s="634">
        <f>'116目標底稿ver1'!Z54</f>
        <v>80040000</v>
      </c>
      <c r="L54" s="618">
        <f>IF(E54=0,0,K54/E54-1)</f>
        <v>0.043537168580144</v>
      </c>
      <c r="M54" s="616">
        <f>ROUND(IF(G54&gt;=$H$2,($H$2*F54+$D$2*(E54-$H$2*F54))*$N$2,IF(G54&gt;=$J$2,E54*$P$2,IF(G54&gt;=$L$2,E54*$R$2,(E54+$F$2*($L$2*F54-E54))*$R$2))),-4)</f>
        <v>77470000</v>
      </c>
      <c r="N54" s="616">
        <f>ROUND(M54*$H$4,-4)</f>
        <v>77840000</v>
      </c>
      <c r="O54" s="616">
        <f>N54+J54</f>
        <v>80410000</v>
      </c>
      <c r="P54" s="618">
        <f>IF(E54=0,0,O54/E54-1)</f>
        <v>0.0483611160111117</v>
      </c>
      <c r="Q54" s="618">
        <f>IF(F54=0,0,O54/F54-1)</f>
        <v>0.216858353510896</v>
      </c>
      <c r="R54" s="618">
        <f>MAX($H$3,MIN($J$3,$D$3-$F$3*(G54-1)))</f>
        <v>-0.014</v>
      </c>
      <c r="S54" s="616">
        <f>ROUND(MAX(E54*(1+R54),F54*$L$3),-4)</f>
        <v>75630000</v>
      </c>
      <c r="T54" s="616">
        <f>ROUND(S54*$L$4,-4)</f>
        <v>75620000</v>
      </c>
      <c r="U54" s="616">
        <f>T54+J54</f>
        <v>78190000</v>
      </c>
      <c r="V54" s="618">
        <f>IF(E54=0,0,U54/E54-1)</f>
        <v>0.0194174314253057</v>
      </c>
      <c r="W54" s="618">
        <f>IF(F54=0,0,U54/F54-1)</f>
        <v>0.183262711864407</v>
      </c>
    </row>
    <row r="55">
      <c r="A55" s="634">
        <f>'116目標底稿ver1'!B55</f>
        <v>48</v>
      </c>
      <c r="B55" s="636" t="str">
        <f>'116目標底稿ver1'!C55</f>
        <v>北二區</v>
      </c>
      <c r="C55" s="634">
        <f>'116目標底稿ver1'!D55</f>
        <v>159</v>
      </c>
      <c r="D55" s="636" t="str">
        <f>'116目標底稿ver1'!E55</f>
        <v>華江分行</v>
      </c>
      <c r="E55" s="634">
        <f>'116目標底稿ver1'!G55</f>
        <v>145784243</v>
      </c>
      <c r="F55" s="634">
        <f>'116目標底稿ver1'!I55</f>
        <v>118930000</v>
      </c>
      <c r="G55" s="635">
        <f>'116目標底稿ver1'!J55</f>
        <v>1.23</v>
      </c>
      <c r="H55" s="636" t="str">
        <f>'116目標底稿ver1'!A55</f>
        <v>TYPE_1</v>
      </c>
      <c r="I55" s="634">
        <f>'116目標底稿ver1'!Q55</f>
        <v>144140000</v>
      </c>
      <c r="J55" s="634">
        <f>'116目標底稿ver1'!Y55</f>
        <v>4030000</v>
      </c>
      <c r="K55" s="634">
        <f>'116目標底稿ver1'!Z55</f>
        <v>148170000</v>
      </c>
      <c r="L55" s="618">
        <f>IF(E55=0,0,K55/E55-1)</f>
        <v>0.0163649853434436</v>
      </c>
      <c r="M55" s="616">
        <f>ROUND(IF(G55&gt;=$H$2,($H$2*F55+$D$2*(E55-$H$2*F55))*$N$2,IF(G55&gt;=$J$2,E55*$P$2,IF(G55&gt;=$L$2,E55*$R$2,(E55+$F$2*($L$2*F55-E55))*$R$2))),-4)</f>
        <v>145690000</v>
      </c>
      <c r="N55" s="616">
        <f>ROUND(M55*$H$4,-4)</f>
        <v>146390000</v>
      </c>
      <c r="O55" s="616">
        <f>N55+J55</f>
        <v>150420000</v>
      </c>
      <c r="P55" s="618">
        <f>IF(E55=0,0,O55/E55-1)</f>
        <v>0.0317987520777536</v>
      </c>
      <c r="Q55" s="618">
        <f>IF(F55=0,0,O55/F55-1)</f>
        <v>0.264777600269066</v>
      </c>
      <c r="R55" s="618">
        <f>MAX($H$3,MIN($J$3,$D$3-$F$3*(G55-1)))</f>
        <v>-0.0315</v>
      </c>
      <c r="S55" s="616">
        <f>ROUND(MAX(E55*(1+R55),F55*$L$3),-4)</f>
        <v>141190000</v>
      </c>
      <c r="T55" s="616">
        <f>ROUND(S55*$L$4,-4)</f>
        <v>141180000</v>
      </c>
      <c r="U55" s="616">
        <f>T55+J55</f>
        <v>145210000</v>
      </c>
      <c r="V55" s="618">
        <f>IF(E55=0,0,U55/E55-1)</f>
        <v>-0.00393899222702687</v>
      </c>
      <c r="W55" s="618">
        <f>IF(F55=0,0,U55/F55-1)</f>
        <v>0.220970318674851</v>
      </c>
    </row>
    <row r="56">
      <c r="A56" s="634">
        <f>'116目標底稿ver1'!B56</f>
        <v>49</v>
      </c>
      <c r="B56" s="636" t="str">
        <f>'116目標底稿ver1'!C56</f>
        <v>北二區</v>
      </c>
      <c r="C56" s="634">
        <f>'116目標底稿ver1'!D56</f>
        <v>160</v>
      </c>
      <c r="D56" s="636" t="str">
        <f>'116目標底稿ver1'!E56</f>
        <v>板橋分行</v>
      </c>
      <c r="E56" s="634">
        <f>'116目標底稿ver1'!G56</f>
        <v>104246307</v>
      </c>
      <c r="F56" s="634">
        <f>'116目標底稿ver1'!I56</f>
        <v>79980000</v>
      </c>
      <c r="G56" s="635">
        <f>'116目標底稿ver1'!J56</f>
        <v>1.3</v>
      </c>
      <c r="H56" s="636" t="str">
        <f>'116目標底稿ver1'!A56</f>
        <v>TYPE_1</v>
      </c>
      <c r="I56" s="634">
        <f>'116目標底稿ver1'!Q56</f>
        <v>96940000</v>
      </c>
      <c r="J56" s="634">
        <f>'116目標底稿ver1'!Y56</f>
        <v>2650000</v>
      </c>
      <c r="K56" s="634">
        <f>'116目標底稿ver1'!Z56</f>
        <v>99590000</v>
      </c>
      <c r="L56" s="618">
        <f>IF(E56=0,0,K56/E56-1)</f>
        <v>-0.0446663976307573</v>
      </c>
      <c r="M56" s="616">
        <f>ROUND(IF(G56&gt;=$H$2,($H$2*F56+$D$2*(E56-$H$2*F56))*$N$2,IF(G56&gt;=$J$2,E56*$P$2,IF(G56&gt;=$L$2,E56*$R$2,(E56+$F$2*($L$2*F56-E56))*$R$2))),-4)</f>
        <v>101110000</v>
      </c>
      <c r="N56" s="616">
        <f>ROUND(M56*$H$4,-4)</f>
        <v>101590000</v>
      </c>
      <c r="O56" s="616">
        <f>N56+J56</f>
        <v>104240000</v>
      </c>
      <c r="P56" s="618">
        <f>IF(E56=0,0,O56/E56-1)</f>
        <v>-6.05009441725368e-05</v>
      </c>
      <c r="Q56" s="618">
        <f>IF(F56=0,0,O56/F56-1)</f>
        <v>0.303325831457864</v>
      </c>
      <c r="R56" s="618">
        <f>MAX($H$3,MIN($J$3,$D$3-$F$3*(G56-1)))</f>
        <v>-0.049</v>
      </c>
      <c r="S56" s="616">
        <f>ROUND(MAX(E56*(1+R56),F56*$L$3),-4)</f>
        <v>99140000</v>
      </c>
      <c r="T56" s="616">
        <f>ROUND(S56*$L$4,-4)</f>
        <v>99130000</v>
      </c>
      <c r="U56" s="616">
        <f>T56+J56</f>
        <v>101780000</v>
      </c>
      <c r="V56" s="618">
        <f>IF(E56=0,0,U56/E56-1)</f>
        <v>-0.023658459191269</v>
      </c>
      <c r="W56" s="618">
        <f>IF(F56=0,0,U56/F56-1)</f>
        <v>0.272568142035509</v>
      </c>
    </row>
    <row r="57">
      <c r="A57" s="634">
        <f>'116目標底稿ver1'!B57</f>
        <v>50</v>
      </c>
      <c r="B57" s="636" t="str">
        <f>'116目標底稿ver1'!C57</f>
        <v>北二區</v>
      </c>
      <c r="C57" s="634">
        <f>'116目標底稿ver1'!D57</f>
        <v>161</v>
      </c>
      <c r="D57" s="636" t="str">
        <f>'116目標底稿ver1'!E57</f>
        <v>三重分行</v>
      </c>
      <c r="E57" s="634">
        <f>'116目標底稿ver1'!G57</f>
        <v>42318931</v>
      </c>
      <c r="F57" s="634">
        <f>'116目標底稿ver1'!I57</f>
        <v>51780000</v>
      </c>
      <c r="G57" s="635">
        <f>'116目標底稿ver1'!J57</f>
        <v>0.82</v>
      </c>
      <c r="H57" s="636" t="str">
        <f>'116目標底稿ver1'!A57</f>
        <v>TYPE_3</v>
      </c>
      <c r="I57" s="634">
        <f>'116目標底稿ver1'!Q57</f>
        <v>43590000</v>
      </c>
      <c r="J57" s="634">
        <f>'116目標底稿ver1'!Y57</f>
        <v>1870000</v>
      </c>
      <c r="K57" s="634">
        <f>'116目標底稿ver1'!Z57</f>
        <v>45460000</v>
      </c>
      <c r="L57" s="618">
        <f>IF(E57=0,0,K57/E57-1)</f>
        <v>0.0742237321637449</v>
      </c>
      <c r="M57" s="616">
        <f>ROUND(IF(G57&gt;=$H$2,($H$2*F57+$D$2*(E57-$H$2*F57))*$N$2,IF(G57&gt;=$J$2,E57*$P$2,IF(G57&gt;=$L$2,E57*$R$2,(E57+$F$2*($L$2*F57-E57))*$R$2))),-4)</f>
        <v>43590000</v>
      </c>
      <c r="N57" s="616">
        <f>ROUND(M57*$H$4,-4)</f>
        <v>43800000</v>
      </c>
      <c r="O57" s="616">
        <f>N57+J57</f>
        <v>45670000</v>
      </c>
      <c r="P57" s="618">
        <f>IF(E57=0,0,O57/E57-1)</f>
        <v>0.0791860503281616</v>
      </c>
      <c r="Q57" s="618">
        <f>IF(F57=0,0,O57/F57-1)</f>
        <v>-0.117999227500966</v>
      </c>
      <c r="R57" s="618">
        <f>MAX($H$3,MIN($J$3,$D$3-$F$3*(G57-1)))</f>
        <v>0.071</v>
      </c>
      <c r="S57" s="616">
        <f>ROUND(MAX(E57*(1+R57),F57*$L$3),-4)</f>
        <v>45320000</v>
      </c>
      <c r="T57" s="616">
        <f>ROUND(S57*$L$4,-4)</f>
        <v>45320000</v>
      </c>
      <c r="U57" s="616">
        <f>T57+J57</f>
        <v>47190000</v>
      </c>
      <c r="V57" s="618">
        <f>IF(E57=0,0,U57/E57-1)</f>
        <v>0.11510378180394</v>
      </c>
      <c r="W57" s="618">
        <f>IF(F57=0,0,U57/F57-1)</f>
        <v>-0.0886442641946698</v>
      </c>
    </row>
    <row r="58">
      <c r="A58" s="634">
        <f>'116目標底稿ver1'!B58</f>
        <v>51</v>
      </c>
      <c r="B58" s="636" t="str">
        <f>'116目標底稿ver1'!C58</f>
        <v>北二區</v>
      </c>
      <c r="C58" s="634">
        <f>'116目標底稿ver1'!D58</f>
        <v>162</v>
      </c>
      <c r="D58" s="636" t="str">
        <f>'116目標底稿ver1'!E58</f>
        <v>北三重分行</v>
      </c>
      <c r="E58" s="634">
        <f>'116目標底稿ver1'!G58</f>
        <v>178110527</v>
      </c>
      <c r="F58" s="634">
        <f>'116目標底稿ver1'!I58</f>
        <v>111250000</v>
      </c>
      <c r="G58" s="635">
        <f>'116目標底稿ver1'!J58</f>
        <v>1.6</v>
      </c>
      <c r="H58" s="636" t="str">
        <f>'116目標底稿ver1'!A58</f>
        <v>TYPE_1</v>
      </c>
      <c r="I58" s="634">
        <f>'116目標底稿ver1'!Q58</f>
        <v>134840000</v>
      </c>
      <c r="J58" s="634">
        <f>'116目標底稿ver1'!Y58</f>
        <v>3820000</v>
      </c>
      <c r="K58" s="634">
        <f>'116目標底稿ver1'!Z58</f>
        <v>138660000</v>
      </c>
      <c r="L58" s="618">
        <f>IF(E58=0,0,K58/E58-1)</f>
        <v>-0.221494639673937</v>
      </c>
      <c r="M58" s="616">
        <f>ROUND(IF(G58&gt;=$H$2,($H$2*F58+$D$2*(E58-$H$2*F58))*$N$2,IF(G58&gt;=$J$2,E58*$P$2,IF(G58&gt;=$L$2,E58*$R$2,(E58+$F$2*($L$2*F58-E58))*$R$2))),-4)</f>
        <v>157360000</v>
      </c>
      <c r="N58" s="616">
        <f>ROUND(M58*$H$4,-4)</f>
        <v>158110000</v>
      </c>
      <c r="O58" s="616">
        <f>N58+J58</f>
        <v>161930000</v>
      </c>
      <c r="P58" s="618">
        <f>IF(E58=0,0,O58/E58-1)</f>
        <v>-0.0908454276821044</v>
      </c>
      <c r="Q58" s="618">
        <f>IF(F58=0,0,O58/F58-1)</f>
        <v>0.455550561797753</v>
      </c>
      <c r="R58" s="618">
        <f>MAX($H$3,MIN($J$3,$D$3-$F$3*(G58-1)))</f>
        <v>-0.124</v>
      </c>
      <c r="S58" s="616">
        <f>ROUND(MAX(E58*(1+R58),F58*$L$3),-4)</f>
        <v>156020000</v>
      </c>
      <c r="T58" s="616">
        <f>ROUND(S58*$L$4,-4)</f>
        <v>156010000</v>
      </c>
      <c r="U58" s="616">
        <f>T58+J58</f>
        <v>159830000</v>
      </c>
      <c r="V58" s="618">
        <f>IF(E58=0,0,U58/E58-1)</f>
        <v>-0.102635859361642</v>
      </c>
      <c r="W58" s="618">
        <f>IF(F58=0,0,U58/F58-1)</f>
        <v>0.436674157303371</v>
      </c>
    </row>
    <row r="59">
      <c r="A59" s="634">
        <f>'116目標底稿ver1'!B59</f>
        <v>52</v>
      </c>
      <c r="B59" s="636" t="str">
        <f>'116目標底稿ver1'!C59</f>
        <v>北三區</v>
      </c>
      <c r="C59" s="634">
        <f>'116目標底稿ver1'!D59</f>
        <v>163</v>
      </c>
      <c r="D59" s="636" t="str">
        <f>'116目標底稿ver1'!E59</f>
        <v>新莊分行</v>
      </c>
      <c r="E59" s="634">
        <f>'116目標底稿ver1'!G59</f>
        <v>47384123</v>
      </c>
      <c r="F59" s="634">
        <f>'116目標底稿ver1'!I59</f>
        <v>57760000</v>
      </c>
      <c r="G59" s="635">
        <f>'116目標底稿ver1'!J59</f>
        <v>0.82</v>
      </c>
      <c r="H59" s="636" t="str">
        <f>'116目標底稿ver1'!A59</f>
        <v>TYPE_3</v>
      </c>
      <c r="I59" s="634">
        <f>'116目標底稿ver1'!Q59</f>
        <v>48810000</v>
      </c>
      <c r="J59" s="634">
        <f>'116目標底稿ver1'!Y59</f>
        <v>2200000</v>
      </c>
      <c r="K59" s="634">
        <f>'116目標底稿ver1'!Z59</f>
        <v>51010000</v>
      </c>
      <c r="L59" s="618">
        <f>IF(E59=0,0,K59/E59-1)</f>
        <v>0.0765209266403433</v>
      </c>
      <c r="M59" s="616">
        <f>ROUND(IF(G59&gt;=$H$2,($H$2*F59+$D$2*(E59-$H$2*F59))*$N$2,IF(G59&gt;=$J$2,E59*$P$2,IF(G59&gt;=$L$2,E59*$R$2,(E59+$F$2*($L$2*F59-E59))*$R$2))),-4)</f>
        <v>48810000</v>
      </c>
      <c r="N59" s="616">
        <f>ROUND(M59*$H$4,-4)</f>
        <v>49040000</v>
      </c>
      <c r="O59" s="616">
        <f>N59+J59</f>
        <v>51240000</v>
      </c>
      <c r="P59" s="618">
        <f>IF(E59=0,0,O59/E59-1)</f>
        <v>0.0813748731827326</v>
      </c>
      <c r="Q59" s="618">
        <f>IF(F59=0,0,O59/F59-1)</f>
        <v>-0.112880886426593</v>
      </c>
      <c r="R59" s="618">
        <f>MAX($H$3,MIN($J$3,$D$3-$F$3*(G59-1)))</f>
        <v>0.071</v>
      </c>
      <c r="S59" s="616">
        <f>ROUND(MAX(E59*(1+R59),F59*$L$3),-4)</f>
        <v>50750000</v>
      </c>
      <c r="T59" s="616">
        <f>ROUND(S59*$L$4,-4)</f>
        <v>50750000</v>
      </c>
      <c r="U59" s="616">
        <f>T59+J59</f>
        <v>52950000</v>
      </c>
      <c r="V59" s="618">
        <f>IF(E59=0,0,U59/E59-1)</f>
        <v>0.117462910519627</v>
      </c>
      <c r="W59" s="618">
        <f>IF(F59=0,0,U59/F59-1)</f>
        <v>-0.0832756232686981</v>
      </c>
    </row>
    <row r="60">
      <c r="A60" s="634">
        <f>'116目標底稿ver1'!B60</f>
        <v>53</v>
      </c>
      <c r="B60" s="636" t="str">
        <f>'116目標底稿ver1'!C60</f>
        <v>北二區</v>
      </c>
      <c r="C60" s="634">
        <f>'116目標底稿ver1'!D60</f>
        <v>164</v>
      </c>
      <c r="D60" s="636" t="str">
        <f>'116目標底稿ver1'!E60</f>
        <v>永和分行</v>
      </c>
      <c r="E60" s="634">
        <f>'116目標底稿ver1'!G60</f>
        <v>54719513</v>
      </c>
      <c r="F60" s="634">
        <f>'116目標底稿ver1'!I60</f>
        <v>71460000</v>
      </c>
      <c r="G60" s="635">
        <f>'116目標底稿ver1'!J60</f>
        <v>0.77</v>
      </c>
      <c r="H60" s="636" t="str">
        <f>'116目標底稿ver1'!A60</f>
        <v>TYPE_4</v>
      </c>
      <c r="I60" s="634">
        <f>'116目標底稿ver1'!Q60</f>
        <v>68600000</v>
      </c>
      <c r="J60" s="634">
        <f>'116目標底稿ver1'!Y60</f>
        <v>2490000</v>
      </c>
      <c r="K60" s="634">
        <f>'116目標底稿ver1'!Z60</f>
        <v>71090000</v>
      </c>
      <c r="L60" s="618">
        <f>IF(E60=0,0,K60/E60-1)</f>
        <v>0.299170919156389</v>
      </c>
      <c r="M60" s="616">
        <f>ROUND(IF(G60&gt;=$H$2,($H$2*F60+$D$2*(E60-$H$2*F60))*$N$2,IF(G60&gt;=$J$2,E60*$P$2,IF(G60&gt;=$L$2,E60*$R$2,(E60+$F$2*($L$2*F60-E60))*$R$2))),-4)</f>
        <v>57620000</v>
      </c>
      <c r="N60" s="616">
        <f>ROUND(M60*$H$4,-4)</f>
        <v>57900000</v>
      </c>
      <c r="O60" s="616">
        <f>N60+J60</f>
        <v>60390000</v>
      </c>
      <c r="P60" s="618">
        <f>IF(E60=0,0,O60/E60-1)</f>
        <v>0.103628243182647</v>
      </c>
      <c r="Q60" s="618">
        <f>IF(F60=0,0,O60/F60-1)</f>
        <v>-0.154911838790932</v>
      </c>
      <c r="R60" s="618">
        <f>MAX($H$3,MIN($J$3,$D$3-$F$3*(G60-1)))</f>
        <v>0.0835</v>
      </c>
      <c r="S60" s="616">
        <f>ROUND(MAX(E60*(1+R60),F60*$L$3),-4)</f>
        <v>60740000</v>
      </c>
      <c r="T60" s="616">
        <f>ROUND(S60*$L$4,-4)</f>
        <v>60740000</v>
      </c>
      <c r="U60" s="616">
        <f>T60+J60</f>
        <v>63230000</v>
      </c>
      <c r="V60" s="618">
        <f>IF(E60=0,0,U60/E60-1)</f>
        <v>0.155529289889696</v>
      </c>
      <c r="W60" s="618">
        <f>IF(F60=0,0,U60/F60-1)</f>
        <v>-0.115169325496781</v>
      </c>
    </row>
    <row r="61">
      <c r="A61" s="634">
        <f>'116目標底稿ver1'!B61</f>
        <v>54</v>
      </c>
      <c r="B61" s="636" t="str">
        <f>'116目標底稿ver1'!C61</f>
        <v>北二區</v>
      </c>
      <c r="C61" s="634">
        <f>'116目標底稿ver1'!D61</f>
        <v>165</v>
      </c>
      <c r="D61" s="636" t="str">
        <f>'116目標底稿ver1'!E61</f>
        <v>中和分行</v>
      </c>
      <c r="E61" s="634">
        <f>'116目標底稿ver1'!G61</f>
        <v>132567789</v>
      </c>
      <c r="F61" s="634">
        <f>'116目標底稿ver1'!I61</f>
        <v>85530000</v>
      </c>
      <c r="G61" s="635">
        <f>'116目標底稿ver1'!J61</f>
        <v>1.55</v>
      </c>
      <c r="H61" s="636" t="str">
        <f>'116目標底稿ver1'!A61</f>
        <v>TYPE_1</v>
      </c>
      <c r="I61" s="634">
        <f>'116目標底稿ver1'!Q61</f>
        <v>103660000</v>
      </c>
      <c r="J61" s="634">
        <f>'116目標底稿ver1'!Y61</f>
        <v>3070000</v>
      </c>
      <c r="K61" s="634">
        <f>'116目標底稿ver1'!Z61</f>
        <v>106730000</v>
      </c>
      <c r="L61" s="618">
        <f>IF(E61=0,0,K61/E61-1)</f>
        <v>-0.194902466088501</v>
      </c>
      <c r="M61" s="616">
        <f>ROUND(IF(G61&gt;=$H$2,($H$2*F61+$D$2*(E61-$H$2*F61))*$N$2,IF(G61&gt;=$J$2,E61*$P$2,IF(G61&gt;=$L$2,E61*$R$2,(E61+$F$2*($L$2*F61-E61))*$R$2))),-4)</f>
        <v>118780000</v>
      </c>
      <c r="N61" s="616">
        <f>ROUND(M61*$H$4,-4)</f>
        <v>119350000</v>
      </c>
      <c r="O61" s="616">
        <f>N61+J61</f>
        <v>122420000</v>
      </c>
      <c r="P61" s="618">
        <f>IF(E61=0,0,O61/E61-1)</f>
        <v>-0.0765479237192377</v>
      </c>
      <c r="Q61" s="618">
        <f>IF(F61=0,0,O61/F61-1)</f>
        <v>0.431310651233485</v>
      </c>
      <c r="R61" s="618">
        <f>MAX($H$3,MIN($J$3,$D$3-$F$3*(G61-1)))</f>
        <v>-0.1115</v>
      </c>
      <c r="S61" s="616">
        <f>ROUND(MAX(E61*(1+R61),F61*$L$3),-4)</f>
        <v>117790000</v>
      </c>
      <c r="T61" s="616">
        <f>ROUND(S61*$L$4,-4)</f>
        <v>117780000</v>
      </c>
      <c r="U61" s="616">
        <f>T61+J61</f>
        <v>120850000</v>
      </c>
      <c r="V61" s="618">
        <f>IF(E61=0,0,U61/E61-1)</f>
        <v>-0.0883909212667038</v>
      </c>
      <c r="W61" s="618">
        <f>IF(F61=0,0,U61/F61-1)</f>
        <v>0.412954518882264</v>
      </c>
    </row>
    <row r="62">
      <c r="A62" s="634">
        <f>'116目標底稿ver1'!B62</f>
        <v>55</v>
      </c>
      <c r="B62" s="636" t="str">
        <f>'116目標底稿ver1'!C62</f>
        <v>北二區</v>
      </c>
      <c r="C62" s="634">
        <f>'116目標底稿ver1'!D62</f>
        <v>166</v>
      </c>
      <c r="D62" s="636" t="str">
        <f>'116目標底稿ver1'!E62</f>
        <v>新店分行</v>
      </c>
      <c r="E62" s="634">
        <f>'116目標底稿ver1'!G62</f>
        <v>58273963</v>
      </c>
      <c r="F62" s="634">
        <f>'116目標底稿ver1'!I62</f>
        <v>64930000</v>
      </c>
      <c r="G62" s="635">
        <f>'116目標底稿ver1'!J62</f>
        <v>0.9</v>
      </c>
      <c r="H62" s="636" t="str">
        <f>'116目標底稿ver1'!A62</f>
        <v>TYPE_3</v>
      </c>
      <c r="I62" s="634">
        <f>'116目標底稿ver1'!Q62</f>
        <v>60020000</v>
      </c>
      <c r="J62" s="634">
        <f>'116目標底稿ver1'!Y62</f>
        <v>2760000</v>
      </c>
      <c r="K62" s="634">
        <f>'116目標底稿ver1'!Z62</f>
        <v>62780000</v>
      </c>
      <c r="L62" s="618">
        <f>IF(E62=0,0,K62/E62-1)</f>
        <v>0.0773250482380956</v>
      </c>
      <c r="M62" s="616">
        <f>ROUND(IF(G62&gt;=$H$2,($H$2*F62+$D$2*(E62-$H$2*F62))*$N$2,IF(G62&gt;=$J$2,E62*$P$2,IF(G62&gt;=$L$2,E62*$R$2,(E62+$F$2*($L$2*F62-E62))*$R$2))),-4)</f>
        <v>60020000</v>
      </c>
      <c r="N62" s="616">
        <f>ROUND(M62*$H$4,-4)</f>
        <v>60310000</v>
      </c>
      <c r="O62" s="616">
        <f>N62+J62</f>
        <v>63070000</v>
      </c>
      <c r="P62" s="618">
        <f>IF(E62=0,0,O62/E62-1)</f>
        <v>0.0823015417708934</v>
      </c>
      <c r="Q62" s="618">
        <f>IF(F62=0,0,O62/F62-1)</f>
        <v>-0.0286462344062837</v>
      </c>
      <c r="R62" s="618">
        <f>MAX($H$3,MIN($J$3,$D$3-$F$3*(G62-1)))</f>
        <v>0.051</v>
      </c>
      <c r="S62" s="616">
        <f>ROUND(MAX(E62*(1+R62),F62*$L$3),-4)</f>
        <v>61250000</v>
      </c>
      <c r="T62" s="616">
        <f>ROUND(S62*$L$4,-4)</f>
        <v>61250000</v>
      </c>
      <c r="U62" s="616">
        <f>T62+J62</f>
        <v>64010000</v>
      </c>
      <c r="V62" s="618">
        <f>IF(E62=0,0,U62/E62-1)</f>
        <v>0.0984322449461692</v>
      </c>
      <c r="W62" s="618">
        <f>IF(F62=0,0,U62/F62-1)</f>
        <v>-0.0141691051902049</v>
      </c>
    </row>
    <row r="63">
      <c r="A63" s="634">
        <f>'116目標底稿ver1'!B63</f>
        <v>56</v>
      </c>
      <c r="B63" s="636" t="str">
        <f>'116目標底稿ver1'!C63</f>
        <v>北二區</v>
      </c>
      <c r="C63" s="634">
        <f>'116目標底稿ver1'!D63</f>
        <v>167</v>
      </c>
      <c r="D63" s="636" t="str">
        <f>'116目標底稿ver1'!E63</f>
        <v>淡水分行</v>
      </c>
      <c r="E63" s="634">
        <f>'116目標底稿ver1'!G63</f>
        <v>87988931</v>
      </c>
      <c r="F63" s="634">
        <f>'116目標底稿ver1'!I63</f>
        <v>100880000</v>
      </c>
      <c r="G63" s="635">
        <f>'116目標底稿ver1'!J63</f>
        <v>0.87</v>
      </c>
      <c r="H63" s="636" t="str">
        <f>'116目標底稿ver1'!A63</f>
        <v>TYPE_3</v>
      </c>
      <c r="I63" s="634">
        <f>'116目標底稿ver1'!Q63</f>
        <v>90630000</v>
      </c>
      <c r="J63" s="634">
        <f>'116目標底稿ver1'!Y63</f>
        <v>3430000</v>
      </c>
      <c r="K63" s="634">
        <f>'116目標底稿ver1'!Z63</f>
        <v>94060000</v>
      </c>
      <c r="L63" s="618">
        <f>IF(E63=0,0,K63/E63-1)</f>
        <v>0.0689980993177426</v>
      </c>
      <c r="M63" s="616">
        <f>ROUND(IF(G63&gt;=$H$2,($H$2*F63+$D$2*(E63-$H$2*F63))*$N$2,IF(G63&gt;=$J$2,E63*$P$2,IF(G63&gt;=$L$2,E63*$R$2,(E63+$F$2*($L$2*F63-E63))*$R$2))),-4)</f>
        <v>90630000</v>
      </c>
      <c r="N63" s="616">
        <f>ROUND(M63*$H$4,-4)</f>
        <v>91060000</v>
      </c>
      <c r="O63" s="616">
        <f>N63+J63</f>
        <v>94490000</v>
      </c>
      <c r="P63" s="618">
        <f>IF(E63=0,0,O63/E63-1)</f>
        <v>0.073885077658234</v>
      </c>
      <c r="Q63" s="618">
        <f>IF(F63=0,0,O63/F63-1)</f>
        <v>-0.0633425852498017</v>
      </c>
      <c r="R63" s="618">
        <f>MAX($H$3,MIN($J$3,$D$3-$F$3*(G63-1)))</f>
        <v>0.0585</v>
      </c>
      <c r="S63" s="616">
        <f>ROUND(MAX(E63*(1+R63),F63*$L$3),-4)</f>
        <v>93140000</v>
      </c>
      <c r="T63" s="616">
        <f>ROUND(S63*$L$4,-4)</f>
        <v>93130000</v>
      </c>
      <c r="U63" s="616">
        <f>T63+J63</f>
        <v>96560000</v>
      </c>
      <c r="V63" s="618">
        <f>IF(E63=0,0,U63/E63-1)</f>
        <v>0.097410764088042</v>
      </c>
      <c r="W63" s="618">
        <f>IF(F63=0,0,U63/F63-1)</f>
        <v>-0.042823156225218</v>
      </c>
    </row>
    <row r="64">
      <c r="A64" s="634">
        <f>'116目標底稿ver1'!B64</f>
        <v>57</v>
      </c>
      <c r="B64" s="636" t="str">
        <f>'116目標底稿ver1'!C64</f>
        <v>北二區</v>
      </c>
      <c r="C64" s="634">
        <f>'116目標底稿ver1'!D64</f>
        <v>168</v>
      </c>
      <c r="D64" s="636" t="str">
        <f>'116目標底稿ver1'!E64</f>
        <v>汐止分行</v>
      </c>
      <c r="E64" s="634">
        <f>'116目標底稿ver1'!G64</f>
        <v>99414533</v>
      </c>
      <c r="F64" s="634">
        <f>'116目標底稿ver1'!I64</f>
        <v>93940000</v>
      </c>
      <c r="G64" s="635">
        <f>'116目標底稿ver1'!J64</f>
        <v>1.06</v>
      </c>
      <c r="H64" s="636" t="str">
        <f>'116目標底稿ver1'!A64</f>
        <v>TYPE_2</v>
      </c>
      <c r="I64" s="634">
        <f>'116目標底稿ver1'!Q64</f>
        <v>100410000</v>
      </c>
      <c r="J64" s="634">
        <f>'116目標底稿ver1'!Y64</f>
        <v>3230000</v>
      </c>
      <c r="K64" s="634">
        <f>'116目標底稿ver1'!Z64</f>
        <v>103640000</v>
      </c>
      <c r="L64" s="618">
        <f>IF(E64=0,0,K64/E64-1)</f>
        <v>0.042503514048595</v>
      </c>
      <c r="M64" s="616">
        <f>ROUND(IF(G64&gt;=$H$2,($H$2*F64+$D$2*(E64-$H$2*F64))*$N$2,IF(G64&gt;=$J$2,E64*$P$2,IF(G64&gt;=$L$2,E64*$R$2,(E64+$F$2*($L$2*F64-E64))*$R$2))),-4)</f>
        <v>100410000</v>
      </c>
      <c r="N64" s="616">
        <f>ROUND(M64*$H$4,-4)</f>
        <v>100890000</v>
      </c>
      <c r="O64" s="616">
        <f>N64+J64</f>
        <v>104120000</v>
      </c>
      <c r="P64" s="618">
        <f>IF(E64=0,0,O64/E64-1)</f>
        <v>0.0473317819639107</v>
      </c>
      <c r="Q64" s="618">
        <f>IF(F64=0,0,O64/F64-1)</f>
        <v>0.108367042793272</v>
      </c>
      <c r="R64" s="618">
        <f>MAX($H$3,MIN($J$3,$D$3-$F$3*(G64-1)))</f>
        <v>0.011</v>
      </c>
      <c r="S64" s="616">
        <f>ROUND(MAX(E64*(1+R64),F64*$L$3),-4)</f>
        <v>100510000</v>
      </c>
      <c r="T64" s="616">
        <f>ROUND(S64*$L$4,-4)</f>
        <v>100500000</v>
      </c>
      <c r="U64" s="616">
        <f>T64+J64</f>
        <v>103730000</v>
      </c>
      <c r="V64" s="618">
        <f>IF(E64=0,0,U64/E64-1)</f>
        <v>0.0434088142827167</v>
      </c>
      <c r="W64" s="618">
        <f>IF(F64=0,0,U64/F64-1)</f>
        <v>0.104215456674473</v>
      </c>
    </row>
    <row r="65">
      <c r="A65" s="634">
        <f>'116目標底稿ver1'!B65</f>
        <v>58</v>
      </c>
      <c r="B65" s="636" t="str">
        <f>'116目標底稿ver1'!C65</f>
        <v>北二區</v>
      </c>
      <c r="C65" s="634">
        <f>'116目標底稿ver1'!D65</f>
        <v>169</v>
      </c>
      <c r="D65" s="636" t="str">
        <f>'116目標底稿ver1'!E65</f>
        <v>南永和分行</v>
      </c>
      <c r="E65" s="634">
        <f>'116目標底稿ver1'!G65</f>
        <v>71520993</v>
      </c>
      <c r="F65" s="634">
        <f>'116目標底稿ver1'!I65</f>
        <v>75130000</v>
      </c>
      <c r="G65" s="635">
        <f>'116目標底稿ver1'!J65</f>
        <v>0.95</v>
      </c>
      <c r="H65" s="636" t="str">
        <f>'116目標底稿ver1'!A65</f>
        <v>TYPE_3</v>
      </c>
      <c r="I65" s="634">
        <f>'116目標底稿ver1'!Q65</f>
        <v>73670000</v>
      </c>
      <c r="J65" s="634">
        <f>'116目標底稿ver1'!Y65</f>
        <v>2690000</v>
      </c>
      <c r="K65" s="634">
        <f>'116目標底稿ver1'!Z65</f>
        <v>76360000</v>
      </c>
      <c r="L65" s="618">
        <f>IF(E65=0,0,K65/E65-1)</f>
        <v>0.0676585544610657</v>
      </c>
      <c r="M65" s="616">
        <f>ROUND(IF(G65&gt;=$H$2,($H$2*F65+$D$2*(E65-$H$2*F65))*$N$2,IF(G65&gt;=$J$2,E65*$P$2,IF(G65&gt;=$L$2,E65*$R$2,(E65+$F$2*($L$2*F65-E65))*$R$2))),-4)</f>
        <v>73670000</v>
      </c>
      <c r="N65" s="616">
        <f>ROUND(M65*$H$4,-4)</f>
        <v>74020000</v>
      </c>
      <c r="O65" s="616">
        <f>N65+J65</f>
        <v>76710000</v>
      </c>
      <c r="P65" s="618">
        <f>IF(E65=0,0,O65/E65-1)</f>
        <v>0.0725522225341586</v>
      </c>
      <c r="Q65" s="618">
        <f>IF(F65=0,0,O65/F65-1)</f>
        <v>0.0210302142952217</v>
      </c>
      <c r="R65" s="618">
        <f>MAX($H$3,MIN($J$3,$D$3-$F$3*(G65-1)))</f>
        <v>0.0385</v>
      </c>
      <c r="S65" s="616">
        <f>ROUND(MAX(E65*(1+R65),F65*$L$3),-4)</f>
        <v>74270000</v>
      </c>
      <c r="T65" s="616">
        <f>ROUND(S65*$L$4,-4)</f>
        <v>74260000</v>
      </c>
      <c r="U65" s="616">
        <f>T65+J65</f>
        <v>76950000</v>
      </c>
      <c r="V65" s="618">
        <f>IF(E65=0,0,U65/E65-1)</f>
        <v>0.0759078806414224</v>
      </c>
      <c r="W65" s="618">
        <f>IF(F65=0,0,U65/F65-1)</f>
        <v>0.0242246772261414</v>
      </c>
    </row>
    <row r="66">
      <c r="A66" s="634">
        <f>'116目標底稿ver1'!B66</f>
        <v>59</v>
      </c>
      <c r="B66" s="636" t="str">
        <f>'116目標底稿ver1'!C66</f>
        <v>北二區</v>
      </c>
      <c r="C66" s="634">
        <f>'116目標底稿ver1'!D66</f>
        <v>170</v>
      </c>
      <c r="D66" s="636" t="str">
        <f>'116目標底稿ver1'!E66</f>
        <v>西三重分行</v>
      </c>
      <c r="E66" s="634">
        <f>'116目標底稿ver1'!G66</f>
        <v>76868205</v>
      </c>
      <c r="F66" s="634">
        <f>'116目標底稿ver1'!I66</f>
        <v>64280000</v>
      </c>
      <c r="G66" s="635">
        <f>'116目標底稿ver1'!J66</f>
        <v>1.2</v>
      </c>
      <c r="H66" s="636" t="str">
        <f>'116目標底稿ver1'!A66</f>
        <v>TYPE_1</v>
      </c>
      <c r="I66" s="634">
        <f>'116目標底稿ver1'!Q66</f>
        <v>77910000</v>
      </c>
      <c r="J66" s="634">
        <f>'116目標底稿ver1'!Y66</f>
        <v>2430000</v>
      </c>
      <c r="K66" s="634">
        <f>'116目標底稿ver1'!Z66</f>
        <v>80340000</v>
      </c>
      <c r="L66" s="618">
        <f>IF(E66=0,0,K66/E66-1)</f>
        <v>0.0451655531698705</v>
      </c>
      <c r="M66" s="616">
        <f>ROUND(IF(G66&gt;=$H$2,($H$2*F66+$D$2*(E66-$H$2*F66))*$N$2,IF(G66&gt;=$J$2,E66*$P$2,IF(G66&gt;=$L$2,E66*$R$2,(E66+$F$2*($L$2*F66-E66))*$R$2))),-4)</f>
        <v>77770000</v>
      </c>
      <c r="N66" s="616">
        <f>ROUND(M66*$H$4,-4)</f>
        <v>78140000</v>
      </c>
      <c r="O66" s="616">
        <f>N66+J66</f>
        <v>80570000</v>
      </c>
      <c r="P66" s="618">
        <f>IF(E66=0,0,O66/E66-1)</f>
        <v>0.0481576875640586</v>
      </c>
      <c r="Q66" s="618">
        <f>IF(F66=0,0,O66/F66-1)</f>
        <v>0.253422526446795</v>
      </c>
      <c r="R66" s="618">
        <f>MAX($H$3,MIN($J$3,$D$3-$F$3*(G66-1)))</f>
        <v>-0.024</v>
      </c>
      <c r="S66" s="616">
        <f>ROUND(MAX(E66*(1+R66),F66*$L$3),-4)</f>
        <v>75020000</v>
      </c>
      <c r="T66" s="616">
        <f>ROUND(S66*$L$4,-4)</f>
        <v>75010000</v>
      </c>
      <c r="U66" s="616">
        <f>T66+J66</f>
        <v>77440000</v>
      </c>
      <c r="V66" s="618">
        <f>IF(E66=0,0,U66/E66-1)</f>
        <v>0.00743864124315108</v>
      </c>
      <c r="W66" s="618">
        <f>IF(F66=0,0,U66/F66-1)</f>
        <v>0.204729309271935</v>
      </c>
    </row>
    <row r="67">
      <c r="A67" s="634">
        <f>'116目標底稿ver1'!B67</f>
        <v>60</v>
      </c>
      <c r="B67" s="636" t="str">
        <f>'116目標底稿ver1'!C67</f>
        <v>北二區</v>
      </c>
      <c r="C67" s="634">
        <f>'116目標底稿ver1'!D67</f>
        <v>171</v>
      </c>
      <c r="D67" s="636" t="str">
        <f>'116目標底稿ver1'!E67</f>
        <v>南三重分行</v>
      </c>
      <c r="E67" s="634">
        <f>'116目標底稿ver1'!G67</f>
        <v>89702081</v>
      </c>
      <c r="F67" s="634">
        <f>'116目標底稿ver1'!I67</f>
        <v>61230000</v>
      </c>
      <c r="G67" s="635">
        <f>'116目標底稿ver1'!J67</f>
        <v>1.47</v>
      </c>
      <c r="H67" s="636" t="str">
        <f>'116目標底稿ver1'!A67</f>
        <v>TYPE_1</v>
      </c>
      <c r="I67" s="634">
        <f>'116目標底稿ver1'!Q67</f>
        <v>74210000</v>
      </c>
      <c r="J67" s="634">
        <f>'116目標底稿ver1'!Y67</f>
        <v>2310000</v>
      </c>
      <c r="K67" s="634">
        <f>'116目標底稿ver1'!Z67</f>
        <v>76520000</v>
      </c>
      <c r="L67" s="618">
        <f>IF(E67=0,0,K67/E67-1)</f>
        <v>-0.146954015481536</v>
      </c>
      <c r="M67" s="616">
        <f>ROUND(IF(G67&gt;=$H$2,($H$2*F67+$D$2*(E67-$H$2*F67))*$N$2,IF(G67&gt;=$J$2,E67*$P$2,IF(G67&gt;=$L$2,E67*$R$2,(E67+$F$2*($L$2*F67-E67))*$R$2))),-4)</f>
        <v>82400000</v>
      </c>
      <c r="N67" s="616">
        <f>ROUND(M67*$H$4,-4)</f>
        <v>82790000</v>
      </c>
      <c r="O67" s="616">
        <f>N67+J67</f>
        <v>85100000</v>
      </c>
      <c r="P67" s="618">
        <f>IF(E67=0,0,O67/E67-1)</f>
        <v>-0.0513040606047924</v>
      </c>
      <c r="Q67" s="618">
        <f>IF(F67=0,0,O67/F67-1)</f>
        <v>0.389841580924383</v>
      </c>
      <c r="R67" s="618">
        <f>MAX($H$3,MIN($J$3,$D$3-$F$3*(G67-1)))</f>
        <v>-0.0915</v>
      </c>
      <c r="S67" s="616">
        <f>ROUND(MAX(E67*(1+R67),F67*$L$3),-4)</f>
        <v>81490000</v>
      </c>
      <c r="T67" s="616">
        <f>ROUND(S67*$L$4,-4)</f>
        <v>81480000</v>
      </c>
      <c r="U67" s="616">
        <f>T67+J67</f>
        <v>83790000</v>
      </c>
      <c r="V67" s="618">
        <f>IF(E67=0,0,U67/E67-1)</f>
        <v>-0.0659079581442487</v>
      </c>
      <c r="W67" s="618">
        <f>IF(F67=0,0,U67/F67-1)</f>
        <v>0.368446839784419</v>
      </c>
    </row>
    <row r="68">
      <c r="A68" s="634">
        <f>'116目標底稿ver1'!B68</f>
        <v>61</v>
      </c>
      <c r="B68" s="636" t="str">
        <f>'116目標底稿ver1'!C68</f>
        <v>北二區</v>
      </c>
      <c r="C68" s="634">
        <f>'116目標底稿ver1'!D68</f>
        <v>172</v>
      </c>
      <c r="D68" s="636" t="str">
        <f>'116目標底稿ver1'!E68</f>
        <v>雙和分行</v>
      </c>
      <c r="E68" s="634">
        <f>'116目標底稿ver1'!G68</f>
        <v>52796873</v>
      </c>
      <c r="F68" s="634">
        <f>'116目標底稿ver1'!I68</f>
        <v>38160000</v>
      </c>
      <c r="G68" s="635">
        <f>'116目標底稿ver1'!J68</f>
        <v>1.38</v>
      </c>
      <c r="H68" s="636" t="str">
        <f>'116目標底稿ver1'!A68</f>
        <v>TYPE_1</v>
      </c>
      <c r="I68" s="634">
        <f>'116目標底稿ver1'!Q68</f>
        <v>46250000</v>
      </c>
      <c r="J68" s="634">
        <f>'116目標底稿ver1'!Y68</f>
        <v>1820000</v>
      </c>
      <c r="K68" s="634">
        <f>'116目標底稿ver1'!Z68</f>
        <v>48070000</v>
      </c>
      <c r="L68" s="618">
        <f>IF(E68=0,0,K68/E68-1)</f>
        <v>-0.0895294120922654</v>
      </c>
      <c r="M68" s="616">
        <f>ROUND(IF(G68&gt;=$H$2,($H$2*F68+$D$2*(E68-$H$2*F68))*$N$2,IF(G68&gt;=$J$2,E68*$P$2,IF(G68&gt;=$L$2,E68*$R$2,(E68+$F$2*($L$2*F68-E68))*$R$2))),-4)</f>
        <v>49790000</v>
      </c>
      <c r="N68" s="616">
        <f>ROUND(M68*$H$4,-4)</f>
        <v>50030000</v>
      </c>
      <c r="O68" s="616">
        <f>N68+J68</f>
        <v>51850000</v>
      </c>
      <c r="P68" s="618">
        <f>IF(E68=0,0,O68/E68-1)</f>
        <v>-0.0179342628871221</v>
      </c>
      <c r="Q68" s="618">
        <f>IF(F68=0,0,O68/F68-1)</f>
        <v>0.358752620545073</v>
      </c>
      <c r="R68" s="618">
        <f>MAX($H$3,MIN($J$3,$D$3-$F$3*(G68-1)))</f>
        <v>-0.069</v>
      </c>
      <c r="S68" s="616">
        <f>ROUND(MAX(E68*(1+R68),F68*$L$3),-4)</f>
        <v>49150000</v>
      </c>
      <c r="T68" s="616">
        <f>ROUND(S68*$L$4,-4)</f>
        <v>49150000</v>
      </c>
      <c r="U68" s="616">
        <f>T68+J68</f>
        <v>50970000</v>
      </c>
      <c r="V68" s="618">
        <f>IF(E68=0,0,U68/E68-1)</f>
        <v>-0.0346019166703301</v>
      </c>
      <c r="W68" s="618">
        <f>IF(F68=0,0,U68/F68-1)</f>
        <v>0.335691823899371</v>
      </c>
    </row>
    <row r="69">
      <c r="A69" s="634">
        <f>'116目標底稿ver1'!B69</f>
        <v>62</v>
      </c>
      <c r="B69" s="636" t="str">
        <f>'116目標底稿ver1'!C69</f>
        <v>北三區</v>
      </c>
      <c r="C69" s="634">
        <f>'116目標底稿ver1'!D69</f>
        <v>173</v>
      </c>
      <c r="D69" s="636" t="str">
        <f>'116目標底稿ver1'!E69</f>
        <v>新泰分行</v>
      </c>
      <c r="E69" s="634">
        <f>'116目標底稿ver1'!G69</f>
        <v>36336774</v>
      </c>
      <c r="F69" s="634">
        <f>'116目標底稿ver1'!I69</f>
        <v>51200000</v>
      </c>
      <c r="G69" s="635">
        <f>'116目標底稿ver1'!J69</f>
        <v>0.71</v>
      </c>
      <c r="H69" s="636" t="str">
        <f>'116目標底稿ver1'!A69</f>
        <v>TYPE_4</v>
      </c>
      <c r="I69" s="634">
        <f>'116目標底稿ver1'!Q69</f>
        <v>49150000</v>
      </c>
      <c r="J69" s="634">
        <f>'116目標底稿ver1'!Y69</f>
        <v>1970000</v>
      </c>
      <c r="K69" s="634">
        <f>'116目標底稿ver1'!Z69</f>
        <v>51120000</v>
      </c>
      <c r="L69" s="618">
        <f>IF(E69=0,0,K69/E69-1)</f>
        <v>0.406839253258971</v>
      </c>
      <c r="M69" s="616">
        <f>ROUND(IF(G69&gt;=$H$2,($H$2*F69+$D$2*(E69-$H$2*F69))*$N$2,IF(G69&gt;=$J$2,E69*$P$2,IF(G69&gt;=$L$2,E69*$R$2,(E69+$F$2*($L$2*F69-E69))*$R$2))),-4)</f>
        <v>39810000</v>
      </c>
      <c r="N69" s="616">
        <f>ROUND(M69*$H$4,-4)</f>
        <v>40000000</v>
      </c>
      <c r="O69" s="616">
        <f>N69+J69</f>
        <v>41970000</v>
      </c>
      <c r="P69" s="618">
        <f>IF(E69=0,0,O69/E69-1)</f>
        <v>0.155028236683862</v>
      </c>
      <c r="Q69" s="618">
        <f>IF(F69=0,0,O69/F69-1)</f>
        <v>-0.1802734375</v>
      </c>
      <c r="R69" s="618">
        <f>MAX($H$3,MIN($J$3,$D$3-$F$3*(G69-1)))</f>
        <v>0.0985</v>
      </c>
      <c r="S69" s="616">
        <f>ROUND(MAX(E69*(1+R69),F69*$L$3),-4)</f>
        <v>43520000</v>
      </c>
      <c r="T69" s="616">
        <f>ROUND(S69*$L$4,-4)</f>
        <v>43520000</v>
      </c>
      <c r="U69" s="616">
        <f>T69+J69</f>
        <v>45490000</v>
      </c>
      <c r="V69" s="618">
        <f>IF(E69=0,0,U69/E69-1)</f>
        <v>0.251899797158658</v>
      </c>
      <c r="W69" s="618">
        <f>IF(F69=0,0,U69/F69-1)</f>
        <v>-0.1115234375</v>
      </c>
    </row>
    <row r="70">
      <c r="A70" s="634">
        <f>'116目標底稿ver1'!B70</f>
        <v>63</v>
      </c>
      <c r="B70" s="636" t="str">
        <f>'116目標底稿ver1'!C70</f>
        <v>北二區</v>
      </c>
      <c r="C70" s="634">
        <f>'116目標底稿ver1'!D70</f>
        <v>174</v>
      </c>
      <c r="D70" s="636" t="str">
        <f>'116目標底稿ver1'!E70</f>
        <v>二重分行</v>
      </c>
      <c r="E70" s="634">
        <f>'116目標底稿ver1'!G70</f>
        <v>124307550</v>
      </c>
      <c r="F70" s="634">
        <f>'116目標底稿ver1'!I70</f>
        <v>104860000</v>
      </c>
      <c r="G70" s="635">
        <f>'116目標底稿ver1'!J70</f>
        <v>1.19</v>
      </c>
      <c r="H70" s="636" t="str">
        <f>'116目標底稿ver1'!A70</f>
        <v>TYPE_2</v>
      </c>
      <c r="I70" s="634">
        <f>'116目標底稿ver1'!Q70</f>
        <v>125550000</v>
      </c>
      <c r="J70" s="634">
        <f>'116目標底稿ver1'!Y70</f>
        <v>3700000</v>
      </c>
      <c r="K70" s="634">
        <f>'116目標底稿ver1'!Z70</f>
        <v>129250000</v>
      </c>
      <c r="L70" s="618">
        <f>IF(E70=0,0,K70/E70-1)</f>
        <v>0.039759853685476</v>
      </c>
      <c r="M70" s="616">
        <f>ROUND(IF(G70&gt;=$H$2,($H$2*F70+$D$2*(E70-$H$2*F70))*$N$2,IF(G70&gt;=$J$2,E70*$P$2,IF(G70&gt;=$L$2,E70*$R$2,(E70+$F$2*($L$2*F70-E70))*$R$2))),-4)</f>
        <v>125550000</v>
      </c>
      <c r="N70" s="616">
        <f>ROUND(M70*$H$4,-4)</f>
        <v>126150000</v>
      </c>
      <c r="O70" s="616">
        <f>N70+J70</f>
        <v>129850000</v>
      </c>
      <c r="P70" s="618">
        <f>IF(E70=0,0,O70/E70-1)</f>
        <v>0.0445865918844028</v>
      </c>
      <c r="Q70" s="618">
        <f>IF(F70=0,0,O70/F70-1)</f>
        <v>0.238317757009346</v>
      </c>
      <c r="R70" s="618">
        <f>MAX($H$3,MIN($J$3,$D$3-$F$3*(G70-1)))</f>
        <v>-0.0215</v>
      </c>
      <c r="S70" s="616">
        <f>ROUND(MAX(E70*(1+R70),F70*$L$3),-4)</f>
        <v>121630000</v>
      </c>
      <c r="T70" s="616">
        <f>ROUND(S70*$L$4,-4)</f>
        <v>121620000</v>
      </c>
      <c r="U70" s="616">
        <f>T70+J70</f>
        <v>125320000</v>
      </c>
      <c r="V70" s="618">
        <f>IF(E70=0,0,U70/E70-1)</f>
        <v>0.00814471848250564</v>
      </c>
      <c r="W70" s="618">
        <f>IF(F70=0,0,U70/F70-1)</f>
        <v>0.195117299256151</v>
      </c>
    </row>
    <row r="71">
      <c r="A71" s="634">
        <f>'116目標底稿ver1'!B71</f>
        <v>64</v>
      </c>
      <c r="B71" s="636" t="str">
        <f>'116目標底稿ver1'!C71</f>
        <v>北二區</v>
      </c>
      <c r="C71" s="634">
        <f>'116目標底稿ver1'!D71</f>
        <v>175</v>
      </c>
      <c r="D71" s="636" t="str">
        <f>'116目標底稿ver1'!E71</f>
        <v>板新分行</v>
      </c>
      <c r="E71" s="634">
        <f>'116目標底稿ver1'!G71</f>
        <v>63605529</v>
      </c>
      <c r="F71" s="634">
        <f>'116目標底稿ver1'!I71</f>
        <v>71300000</v>
      </c>
      <c r="G71" s="635">
        <f>'116目標底稿ver1'!J71</f>
        <v>0.89</v>
      </c>
      <c r="H71" s="636" t="str">
        <f>'116目標底稿ver1'!A71</f>
        <v>TYPE_3</v>
      </c>
      <c r="I71" s="634">
        <f>'116目標底稿ver1'!Q71</f>
        <v>65510000</v>
      </c>
      <c r="J71" s="634">
        <f>'116目標底稿ver1'!Y71</f>
        <v>2590000</v>
      </c>
      <c r="K71" s="634">
        <f>'116目標底稿ver1'!Z71</f>
        <v>68100000</v>
      </c>
      <c r="L71" s="618">
        <f>IF(E71=0,0,K71/E71-1)</f>
        <v>0.070661640122512</v>
      </c>
      <c r="M71" s="616">
        <f>ROUND(IF(G71&gt;=$H$2,($H$2*F71+$D$2*(E71-$H$2*F71))*$N$2,IF(G71&gt;=$J$2,E71*$P$2,IF(G71&gt;=$L$2,E71*$R$2,(E71+$F$2*($L$2*F71-E71))*$R$2))),-4)</f>
        <v>65510000</v>
      </c>
      <c r="N71" s="616">
        <f>ROUND(M71*$H$4,-4)</f>
        <v>65820000</v>
      </c>
      <c r="O71" s="616">
        <f>N71+J71</f>
        <v>68410000</v>
      </c>
      <c r="P71" s="618">
        <f>IF(E71=0,0,O71/E71-1)</f>
        <v>0.075535430261102</v>
      </c>
      <c r="Q71" s="618">
        <f>IF(F71=0,0,O71/F71-1)</f>
        <v>-0.0405329593267882</v>
      </c>
      <c r="R71" s="618">
        <f>MAX($H$3,MIN($J$3,$D$3-$F$3*(G71-1)))</f>
        <v>0.0535</v>
      </c>
      <c r="S71" s="616">
        <f>ROUND(MAX(E71*(1+R71),F71*$L$3),-4)</f>
        <v>67010000</v>
      </c>
      <c r="T71" s="616">
        <f>ROUND(S71*$L$4,-4)</f>
        <v>67000000</v>
      </c>
      <c r="U71" s="616">
        <f>T71+J71</f>
        <v>69590000</v>
      </c>
      <c r="V71" s="618">
        <f>IF(E71=0,0,U71/E71-1)</f>
        <v>0.0940872765950898</v>
      </c>
      <c r="W71" s="618">
        <f>IF(F71=0,0,U71/F71-1)</f>
        <v>-0.0239831697054699</v>
      </c>
    </row>
    <row r="72">
      <c r="A72" s="634">
        <f>'116目標底稿ver1'!B72</f>
        <v>65</v>
      </c>
      <c r="B72" s="636" t="str">
        <f>'116目標底稿ver1'!C72</f>
        <v>北三區</v>
      </c>
      <c r="C72" s="634">
        <f>'116目標底稿ver1'!D72</f>
        <v>176</v>
      </c>
      <c r="D72" s="636" t="str">
        <f>'116目標底稿ver1'!E72</f>
        <v>五股分行</v>
      </c>
      <c r="E72" s="634">
        <f>'116目標底稿ver1'!G72</f>
        <v>37796451</v>
      </c>
      <c r="F72" s="634">
        <f>'116目標底稿ver1'!I72</f>
        <v>42340000</v>
      </c>
      <c r="G72" s="635">
        <f>'116目標底稿ver1'!J72</f>
        <v>0.89</v>
      </c>
      <c r="H72" s="636" t="str">
        <f>'116目標底稿ver1'!A72</f>
        <v>TYPE_3</v>
      </c>
      <c r="I72" s="634">
        <f>'116目標底稿ver1'!Q72</f>
        <v>38930000</v>
      </c>
      <c r="J72" s="634">
        <f>'116目標底稿ver1'!Y72</f>
        <v>1830000</v>
      </c>
      <c r="K72" s="634">
        <f>'116目標底稿ver1'!Z72</f>
        <v>40760000</v>
      </c>
      <c r="L72" s="618">
        <f>IF(E72=0,0,K72/E72-1)</f>
        <v>0.0784081288478646</v>
      </c>
      <c r="M72" s="616">
        <f>ROUND(IF(G72&gt;=$H$2,($H$2*F72+$D$2*(E72-$H$2*F72))*$N$2,IF(G72&gt;=$J$2,E72*$P$2,IF(G72&gt;=$L$2,E72*$R$2,(E72+$F$2*($L$2*F72-E72))*$R$2))),-4)</f>
        <v>38930000</v>
      </c>
      <c r="N72" s="616">
        <f>ROUND(M72*$H$4,-4)</f>
        <v>39120000</v>
      </c>
      <c r="O72" s="616">
        <f>N72+J72</f>
        <v>40950000</v>
      </c>
      <c r="P72" s="618">
        <f>IF(E72=0,0,O72/E72-1)</f>
        <v>0.0834350558469101</v>
      </c>
      <c r="Q72" s="618">
        <f>IF(F72=0,0,O72/F72-1)</f>
        <v>-0.0328294756731223</v>
      </c>
      <c r="R72" s="618">
        <f>MAX($H$3,MIN($J$3,$D$3-$F$3*(G72-1)))</f>
        <v>0.0535</v>
      </c>
      <c r="S72" s="616">
        <f>ROUND(MAX(E72*(1+R72),F72*$L$3),-4)</f>
        <v>39820000</v>
      </c>
      <c r="T72" s="616">
        <f>ROUND(S72*$L$4,-4)</f>
        <v>39820000</v>
      </c>
      <c r="U72" s="616">
        <f>T72+J72</f>
        <v>41650000</v>
      </c>
      <c r="V72" s="618">
        <f>IF(E72=0,0,U72/E72-1)</f>
        <v>0.101955313211815</v>
      </c>
      <c r="W72" s="618">
        <f>IF(F72=0,0,U72/F72-1)</f>
        <v>-0.0162966461974492</v>
      </c>
    </row>
    <row r="73">
      <c r="A73" s="634">
        <f>'116目標底稿ver1'!B73</f>
        <v>66</v>
      </c>
      <c r="B73" s="636" t="str">
        <f>'116目標底稿ver1'!C73</f>
        <v>北一區</v>
      </c>
      <c r="C73" s="634">
        <f>'116目標底稿ver1'!D73</f>
        <v>177</v>
      </c>
      <c r="D73" s="636" t="str">
        <f>'116目標底稿ver1'!E73</f>
        <v>潭美分行</v>
      </c>
      <c r="E73" s="634">
        <f>'116目標底稿ver1'!G73</f>
        <v>13618622</v>
      </c>
      <c r="F73" s="634">
        <f>'116目標底稿ver1'!I73</f>
        <v>15750000</v>
      </c>
      <c r="G73" s="635">
        <f>'116目標底稿ver1'!J73</f>
        <v>0.86</v>
      </c>
      <c r="H73" s="636" t="str">
        <f>'116目標底稿ver1'!A73</f>
        <v>TYPE_3</v>
      </c>
      <c r="I73" s="634">
        <f>'116目標底稿ver1'!Q73</f>
        <v>14030000</v>
      </c>
      <c r="J73" s="634">
        <f>'116目標底稿ver1'!Y73</f>
        <v>580000</v>
      </c>
      <c r="K73" s="634">
        <f>'116目標底稿ver1'!Z73</f>
        <v>14610000</v>
      </c>
      <c r="L73" s="618">
        <f>IF(E73=0,0,K73/E73-1)</f>
        <v>0.0727957645053956</v>
      </c>
      <c r="M73" s="616">
        <f>ROUND(IF(G73&gt;=$H$2,($H$2*F73+$D$2*(E73-$H$2*F73))*$N$2,IF(G73&gt;=$J$2,E73*$P$2,IF(G73&gt;=$L$2,E73*$R$2,(E73+$F$2*($L$2*F73-E73))*$R$2))),-4)</f>
        <v>14030000</v>
      </c>
      <c r="N73" s="616">
        <f>ROUND(M73*$H$4,-4)</f>
        <v>14100000</v>
      </c>
      <c r="O73" s="616">
        <f>N73+J73</f>
        <v>14680000</v>
      </c>
      <c r="P73" s="618">
        <f>IF(E73=0,0,O73/E73-1)</f>
        <v>0.077935785279891</v>
      </c>
      <c r="Q73" s="618">
        <f>IF(F73=0,0,O73/F73-1)</f>
        <v>-0.067936507936508</v>
      </c>
      <c r="R73" s="618">
        <f>MAX($H$3,MIN($J$3,$D$3-$F$3*(G73-1)))</f>
        <v>0.061</v>
      </c>
      <c r="S73" s="616">
        <f>ROUND(MAX(E73*(1+R73),F73*$L$3),-4)</f>
        <v>14450000</v>
      </c>
      <c r="T73" s="616">
        <f>ROUND(S73*$L$4,-4)</f>
        <v>14450000</v>
      </c>
      <c r="U73" s="616">
        <f>T73+J73</f>
        <v>15030000</v>
      </c>
      <c r="V73" s="618">
        <f>IF(E73=0,0,U73/E73-1)</f>
        <v>0.103635889152368</v>
      </c>
      <c r="W73" s="618">
        <f>IF(F73=0,0,U73/F73-1)</f>
        <v>-0.0457142857142857</v>
      </c>
    </row>
    <row r="74">
      <c r="A74" s="634">
        <f>'116目標底稿ver1'!B74</f>
        <v>67</v>
      </c>
      <c r="B74" s="636" t="str">
        <f>'116目標底稿ver1'!C74</f>
        <v>北一區</v>
      </c>
      <c r="C74" s="634">
        <f>'116目標底稿ver1'!D74</f>
        <v>178</v>
      </c>
      <c r="D74" s="636" t="str">
        <f>'116目標底稿ver1'!E74</f>
        <v>北投分行</v>
      </c>
      <c r="E74" s="634">
        <f>'116目標底稿ver1'!G74</f>
        <v>131519728</v>
      </c>
      <c r="F74" s="634">
        <f>'116目標底稿ver1'!I74</f>
        <v>68840000</v>
      </c>
      <c r="G74" s="635">
        <f>'116目標底稿ver1'!J74</f>
        <v>1.91</v>
      </c>
      <c r="H74" s="636" t="str">
        <f>'116目標底稿ver1'!A74</f>
        <v>TYPE_1</v>
      </c>
      <c r="I74" s="634">
        <f>'116目標底稿ver1'!Q74</f>
        <v>83430000</v>
      </c>
      <c r="J74" s="634">
        <f>'116目標底稿ver1'!Y74</f>
        <v>2800000</v>
      </c>
      <c r="K74" s="634">
        <f>'116目標底稿ver1'!Z74</f>
        <v>86230000</v>
      </c>
      <c r="L74" s="618">
        <f>IF(E74=0,0,K74/E74-1)</f>
        <v>-0.344356916553234</v>
      </c>
      <c r="M74" s="616">
        <f>ROUND(IF(G74&gt;=$H$2,($H$2*F74+$D$2*(E74-$H$2*F74))*$N$2,IF(G74&gt;=$J$2,E74*$P$2,IF(G74&gt;=$L$2,E74*$R$2,(E74+$F$2*($L$2*F74-E74))*$R$2))),-4)</f>
        <v>108130000</v>
      </c>
      <c r="N74" s="616">
        <f>ROUND(M74*$H$4,-4)</f>
        <v>108650000</v>
      </c>
      <c r="O74" s="616">
        <f>N74+J74</f>
        <v>111450000</v>
      </c>
      <c r="P74" s="618">
        <f>IF(E74=0,0,O74/E74-1)</f>
        <v>-0.15259861243022</v>
      </c>
      <c r="Q74" s="618">
        <f>IF(F74=0,0,O74/F74-1)</f>
        <v>0.61897152818129</v>
      </c>
      <c r="R74" s="618">
        <f>MAX($H$3,MIN($J$3,$D$3-$F$3*(G74-1)))</f>
        <v>-0.2</v>
      </c>
      <c r="S74" s="616">
        <f>ROUND(MAX(E74*(1+R74),F74*$L$3),-4)</f>
        <v>105220000</v>
      </c>
      <c r="T74" s="616">
        <f>ROUND(S74*$L$4,-4)</f>
        <v>105210000</v>
      </c>
      <c r="U74" s="616">
        <f>T74+J74</f>
        <v>108010000</v>
      </c>
      <c r="V74" s="618">
        <f>IF(E74=0,0,U74/E74-1)</f>
        <v>-0.178754384285223</v>
      </c>
      <c r="W74" s="618">
        <f>IF(F74=0,0,U74/F74-1)</f>
        <v>0.569000581057525</v>
      </c>
    </row>
    <row r="75">
      <c r="A75" s="634">
        <f>'116目標底稿ver1'!B75</f>
        <v>68</v>
      </c>
      <c r="B75" s="636" t="str">
        <f>'116目標底稿ver1'!C75</f>
        <v>北二區</v>
      </c>
      <c r="C75" s="634">
        <f>'116目標底稿ver1'!D75</f>
        <v>179</v>
      </c>
      <c r="D75" s="636" t="str">
        <f>'116目標底稿ver1'!E75</f>
        <v>西湖分行</v>
      </c>
      <c r="E75" s="634">
        <f>'116目標底稿ver1'!G75</f>
        <v>75456428</v>
      </c>
      <c r="F75" s="634">
        <f>'116目標底稿ver1'!I75</f>
        <v>77460000</v>
      </c>
      <c r="G75" s="635">
        <f>'116目標底稿ver1'!J75</f>
        <v>0.97</v>
      </c>
      <c r="H75" s="636" t="str">
        <f>'116目標底稿ver1'!A75</f>
        <v>TYPE_3</v>
      </c>
      <c r="I75" s="634">
        <f>'116目標底稿ver1'!Q75</f>
        <v>77720000</v>
      </c>
      <c r="J75" s="634">
        <f>'116目標底稿ver1'!Y75</f>
        <v>2790000</v>
      </c>
      <c r="K75" s="634">
        <f>'116目標底稿ver1'!Z75</f>
        <v>80510000</v>
      </c>
      <c r="L75" s="618">
        <f>IF(E75=0,0,K75/E75-1)</f>
        <v>0.0669733796569325</v>
      </c>
      <c r="M75" s="616">
        <f>ROUND(IF(G75&gt;=$H$2,($H$2*F75+$D$2*(E75-$H$2*F75))*$N$2,IF(G75&gt;=$J$2,E75*$P$2,IF(G75&gt;=$L$2,E75*$R$2,(E75+$F$2*($L$2*F75-E75))*$R$2))),-4)</f>
        <v>77720000</v>
      </c>
      <c r="N75" s="616">
        <f>ROUND(M75*$H$4,-4)</f>
        <v>78090000</v>
      </c>
      <c r="O75" s="616">
        <f>N75+J75</f>
        <v>80880000</v>
      </c>
      <c r="P75" s="618">
        <f>IF(E75=0,0,O75/E75-1)</f>
        <v>0.0718768717755896</v>
      </c>
      <c r="Q75" s="618">
        <f>IF(F75=0,0,O75/F75-1)</f>
        <v>0.0441518202943454</v>
      </c>
      <c r="R75" s="618">
        <f>MAX($H$3,MIN($J$3,$D$3-$F$3*(G75-1)))</f>
        <v>0.0335</v>
      </c>
      <c r="S75" s="616">
        <f>ROUND(MAX(E75*(1+R75),F75*$L$3),-4)</f>
        <v>77980000</v>
      </c>
      <c r="T75" s="616">
        <f>ROUND(S75*$L$4,-4)</f>
        <v>77970000</v>
      </c>
      <c r="U75" s="616">
        <f>T75+J75</f>
        <v>80760000</v>
      </c>
      <c r="V75" s="618">
        <f>IF(E75=0,0,U75/E75-1)</f>
        <v>0.0702865500073764</v>
      </c>
      <c r="W75" s="618">
        <f>IF(F75=0,0,U75/F75-1)</f>
        <v>0.0426026336173508</v>
      </c>
    </row>
    <row r="76">
      <c r="A76" s="634">
        <f>'116目標底稿ver1'!B76</f>
        <v>69</v>
      </c>
      <c r="B76" s="636" t="str">
        <f>'116目標底稿ver1'!C76</f>
        <v>北二區</v>
      </c>
      <c r="C76" s="634">
        <f>'116目標底稿ver1'!D76</f>
        <v>180</v>
      </c>
      <c r="D76" s="636" t="str">
        <f>'116目標底稿ver1'!E76</f>
        <v>積穗分行</v>
      </c>
      <c r="E76" s="634">
        <f>'116目標底稿ver1'!G76</f>
        <v>104611803</v>
      </c>
      <c r="F76" s="634">
        <f>'116目標底稿ver1'!I76</f>
        <v>82960000</v>
      </c>
      <c r="G76" s="635">
        <f>'116目標底稿ver1'!J76</f>
        <v>1.26</v>
      </c>
      <c r="H76" s="636" t="str">
        <f>'116目標底稿ver1'!A76</f>
        <v>TYPE_1</v>
      </c>
      <c r="I76" s="634">
        <f>'116目標底稿ver1'!Q76</f>
        <v>100550000</v>
      </c>
      <c r="J76" s="634">
        <f>'116目標底稿ver1'!Y76</f>
        <v>2890000</v>
      </c>
      <c r="K76" s="634">
        <f>'116目標底稿ver1'!Z76</f>
        <v>103440000</v>
      </c>
      <c r="L76" s="618">
        <f>IF(E76=0,0,K76/E76-1)</f>
        <v>-0.0112014415811187</v>
      </c>
      <c r="M76" s="616">
        <f>ROUND(IF(G76&gt;=$H$2,($H$2*F76+$D$2*(E76-$H$2*F76))*$N$2,IF(G76&gt;=$J$2,E76*$P$2,IF(G76&gt;=$L$2,E76*$R$2,(E76+$F$2*($L$2*F76-E76))*$R$2))),-4)</f>
        <v>103100000</v>
      </c>
      <c r="N76" s="616">
        <f>ROUND(M76*$H$4,-4)</f>
        <v>103590000</v>
      </c>
      <c r="O76" s="616">
        <f>N76+J76</f>
        <v>106480000</v>
      </c>
      <c r="P76" s="618">
        <f>IF(E76=0,0,O76/E76-1)</f>
        <v>0.0178583768410912</v>
      </c>
      <c r="Q76" s="618">
        <f>IF(F76=0,0,O76/F76-1)</f>
        <v>0.28351012536162</v>
      </c>
      <c r="R76" s="618">
        <f>MAX($H$3,MIN($J$3,$D$3-$F$3*(G76-1)))</f>
        <v>-0.039</v>
      </c>
      <c r="S76" s="616">
        <f>ROUND(MAX(E76*(1+R76),F76*$L$3),-4)</f>
        <v>100530000</v>
      </c>
      <c r="T76" s="616">
        <f>ROUND(S76*$L$4,-4)</f>
        <v>100520000</v>
      </c>
      <c r="U76" s="616">
        <f>T76+J76</f>
        <v>103410000</v>
      </c>
      <c r="V76" s="618">
        <f>IF(E76=0,0,U76/E76-1)</f>
        <v>-0.0114882161050222</v>
      </c>
      <c r="W76" s="618">
        <f>IF(F76=0,0,U76/F76-1)</f>
        <v>0.246504339440694</v>
      </c>
    </row>
    <row r="77">
      <c r="A77" s="634">
        <f>'116目標底稿ver1'!B77</f>
        <v>70</v>
      </c>
      <c r="B77" s="636" t="str">
        <f>'116目標底稿ver1'!C77</f>
        <v>北二區</v>
      </c>
      <c r="C77" s="634">
        <f>'116目標底稿ver1'!D77</f>
        <v>182</v>
      </c>
      <c r="D77" s="636" t="str">
        <f>'116目標底稿ver1'!E77</f>
        <v>福和分行</v>
      </c>
      <c r="E77" s="634">
        <f>'116目標底稿ver1'!G77</f>
        <v>49976757</v>
      </c>
      <c r="F77" s="634">
        <f>'116目標底稿ver1'!I77</f>
        <v>43610000</v>
      </c>
      <c r="G77" s="635">
        <f>'116目標底稿ver1'!J77</f>
        <v>1.15</v>
      </c>
      <c r="H77" s="636" t="str">
        <f>'116目標底稿ver1'!A77</f>
        <v>TYPE_2</v>
      </c>
      <c r="I77" s="634">
        <f>'116目標底稿ver1'!Q77</f>
        <v>50480000</v>
      </c>
      <c r="J77" s="634">
        <f>'116目標底稿ver1'!Y77</f>
        <v>1560000</v>
      </c>
      <c r="K77" s="634">
        <f>'116目標底稿ver1'!Z77</f>
        <v>52040000</v>
      </c>
      <c r="L77" s="618">
        <f>IF(E77=0,0,K77/E77-1)</f>
        <v>0.0412840513040893</v>
      </c>
      <c r="M77" s="616">
        <f>ROUND(IF(G77&gt;=$H$2,($H$2*F77+$D$2*(E77-$H$2*F77))*$N$2,IF(G77&gt;=$J$2,E77*$P$2,IF(G77&gt;=$L$2,E77*$R$2,(E77+$F$2*($L$2*F77-E77))*$R$2))),-4)</f>
        <v>50480000</v>
      </c>
      <c r="N77" s="616">
        <f>ROUND(M77*$H$4,-4)</f>
        <v>50720000</v>
      </c>
      <c r="O77" s="616">
        <f>N77+J77</f>
        <v>52280000</v>
      </c>
      <c r="P77" s="618">
        <f>IF(E77=0,0,O77/E77-1)</f>
        <v>0.0460862836698268</v>
      </c>
      <c r="Q77" s="618">
        <f>IF(F77=0,0,O77/F77-1)</f>
        <v>0.198807612932814</v>
      </c>
      <c r="R77" s="618">
        <f>MAX($H$3,MIN($J$3,$D$3-$F$3*(G77-1)))</f>
        <v>-0.0115</v>
      </c>
      <c r="S77" s="616">
        <f>ROUND(MAX(E77*(1+R77),F77*$L$3),-4)</f>
        <v>49400000</v>
      </c>
      <c r="T77" s="616">
        <f>ROUND(S77*$L$4,-4)</f>
        <v>49400000</v>
      </c>
      <c r="U77" s="616">
        <f>T77+J77</f>
        <v>50960000</v>
      </c>
      <c r="V77" s="618">
        <f>IF(E77=0,0,U77/E77-1)</f>
        <v>0.0196740056582703</v>
      </c>
      <c r="W77" s="618">
        <f>IF(F77=0,0,U77/F77-1)</f>
        <v>0.168539325842697</v>
      </c>
    </row>
    <row r="78">
      <c r="A78" s="634">
        <f>'116目標底稿ver1'!B78</f>
        <v>71</v>
      </c>
      <c r="B78" s="636" t="str">
        <f>'116目標底稿ver1'!C78</f>
        <v>北二區</v>
      </c>
      <c r="C78" s="634">
        <f>'116目標底稿ver1'!D78</f>
        <v>183</v>
      </c>
      <c r="D78" s="636" t="str">
        <f>'116目標底稿ver1'!E78</f>
        <v>南勢角分行</v>
      </c>
      <c r="E78" s="634">
        <f>'116目標底稿ver1'!G78</f>
        <v>31648331</v>
      </c>
      <c r="F78" s="634">
        <f>'116目標底稿ver1'!I78</f>
        <v>38790000</v>
      </c>
      <c r="G78" s="635">
        <f>'116目標底稿ver1'!J78</f>
        <v>0.82</v>
      </c>
      <c r="H78" s="636" t="str">
        <f>'116目標底稿ver1'!A78</f>
        <v>TYPE_3</v>
      </c>
      <c r="I78" s="634">
        <f>'116目標底稿ver1'!Q78</f>
        <v>32600000</v>
      </c>
      <c r="J78" s="634">
        <f>'116目標底稿ver1'!Y78</f>
        <v>1690000</v>
      </c>
      <c r="K78" s="634">
        <f>'116目標底稿ver1'!Z78</f>
        <v>34290000</v>
      </c>
      <c r="L78" s="618">
        <f>IF(E78=0,0,K78/E78-1)</f>
        <v>0.0834694568885797</v>
      </c>
      <c r="M78" s="616">
        <f>ROUND(IF(G78&gt;=$H$2,($H$2*F78+$D$2*(E78-$H$2*F78))*$N$2,IF(G78&gt;=$J$2,E78*$P$2,IF(G78&gt;=$L$2,E78*$R$2,(E78+$F$2*($L$2*F78-E78))*$R$2))),-4)</f>
        <v>32600000</v>
      </c>
      <c r="N78" s="616">
        <f>ROUND(M78*$H$4,-4)</f>
        <v>32760000</v>
      </c>
      <c r="O78" s="616">
        <f>N78+J78</f>
        <v>34450000</v>
      </c>
      <c r="P78" s="618">
        <f>IF(E78=0,0,O78/E78-1)</f>
        <v>0.0885250157425364</v>
      </c>
      <c r="Q78" s="618">
        <f>IF(F78=0,0,O78/F78-1)</f>
        <v>-0.111884506316061</v>
      </c>
      <c r="R78" s="618">
        <f>MAX($H$3,MIN($J$3,$D$3-$F$3*(G78-1)))</f>
        <v>0.071</v>
      </c>
      <c r="S78" s="616">
        <f>ROUND(MAX(E78*(1+R78),F78*$L$3),-4)</f>
        <v>33900000</v>
      </c>
      <c r="T78" s="616">
        <f>ROUND(S78*$L$4,-4)</f>
        <v>33900000</v>
      </c>
      <c r="U78" s="616">
        <f>T78+J78</f>
        <v>35590000</v>
      </c>
      <c r="V78" s="618">
        <f>IF(E78=0,0,U78/E78-1)</f>
        <v>0.124545872576977</v>
      </c>
      <c r="W78" s="618">
        <f>IF(F78=0,0,U78/F78-1)</f>
        <v>-0.0824954885279712</v>
      </c>
    </row>
    <row r="79">
      <c r="A79" s="634">
        <f>'116目標底稿ver1'!B79</f>
        <v>72</v>
      </c>
      <c r="B79" s="636" t="str">
        <f>'116目標底稿ver1'!C79</f>
        <v>北二區</v>
      </c>
      <c r="C79" s="634">
        <f>'116目標底稿ver1'!D79</f>
        <v>184</v>
      </c>
      <c r="D79" s="636" t="str">
        <f>'116目標底稿ver1'!E79</f>
        <v>北蘆洲分行</v>
      </c>
      <c r="E79" s="634">
        <f>'116目標底稿ver1'!G79</f>
        <v>64996126</v>
      </c>
      <c r="F79" s="634">
        <f>'116目標底稿ver1'!I79</f>
        <v>57280000</v>
      </c>
      <c r="G79" s="635">
        <f>'116目標底稿ver1'!J79</f>
        <v>1.13</v>
      </c>
      <c r="H79" s="636" t="str">
        <f>'116目標底稿ver1'!A79</f>
        <v>TYPE_2</v>
      </c>
      <c r="I79" s="634">
        <f>'116目標底稿ver1'!Q79</f>
        <v>65650000</v>
      </c>
      <c r="J79" s="634">
        <f>'116目標底稿ver1'!Y79</f>
        <v>1970000</v>
      </c>
      <c r="K79" s="634">
        <f>'116目標底稿ver1'!Z79</f>
        <v>67620000</v>
      </c>
      <c r="L79" s="618">
        <f>IF(E79=0,0,K79/E79-1)</f>
        <v>0.0403696983417134</v>
      </c>
      <c r="M79" s="616">
        <f>ROUND(IF(G79&gt;=$H$2,($H$2*F79+$D$2*(E79-$H$2*F79))*$N$2,IF(G79&gt;=$J$2,E79*$P$2,IF(G79&gt;=$L$2,E79*$R$2,(E79+$F$2*($L$2*F79-E79))*$R$2))),-4)</f>
        <v>65650000</v>
      </c>
      <c r="N79" s="616">
        <f>ROUND(M79*$H$4,-4)</f>
        <v>65960000</v>
      </c>
      <c r="O79" s="616">
        <f>N79+J79</f>
        <v>67930000</v>
      </c>
      <c r="P79" s="618">
        <f>IF(E79=0,0,O79/E79-1)</f>
        <v>0.0451392133740403</v>
      </c>
      <c r="Q79" s="618">
        <f>IF(F79=0,0,O79/F79-1)</f>
        <v>0.185928770949721</v>
      </c>
      <c r="R79" s="618">
        <f>MAX($H$3,MIN($J$3,$D$3-$F$3*(G79-1)))</f>
        <v>-0.00649999999999997</v>
      </c>
      <c r="S79" s="616">
        <f>ROUND(MAX(E79*(1+R79),F79*$L$3),-4)</f>
        <v>64570000</v>
      </c>
      <c r="T79" s="616">
        <f>ROUND(S79*$L$4,-4)</f>
        <v>64570000</v>
      </c>
      <c r="U79" s="616">
        <f>T79+J79</f>
        <v>66540000</v>
      </c>
      <c r="V79" s="618">
        <f>IF(E79=0,0,U79/E79-1)</f>
        <v>0.0237533233903817</v>
      </c>
      <c r="W79" s="618">
        <f>IF(F79=0,0,U79/F79-1)</f>
        <v>0.161662011173184</v>
      </c>
    </row>
    <row r="80">
      <c r="A80" s="634">
        <f>'116目標底稿ver1'!B80</f>
        <v>73</v>
      </c>
      <c r="B80" s="636" t="str">
        <f>'116目標底稿ver1'!C80</f>
        <v>北二區</v>
      </c>
      <c r="C80" s="634">
        <f>'116目標底稿ver1'!D80</f>
        <v>185</v>
      </c>
      <c r="D80" s="636" t="str">
        <f>'116目標底稿ver1'!E80</f>
        <v>蘆洲分行</v>
      </c>
      <c r="E80" s="634">
        <f>'116目標底稿ver1'!G80</f>
        <v>80510390</v>
      </c>
      <c r="F80" s="634">
        <f>'116目標底稿ver1'!I80</f>
        <v>82120000</v>
      </c>
      <c r="G80" s="635">
        <f>'116目標底稿ver1'!J80</f>
        <v>0.98</v>
      </c>
      <c r="H80" s="636" t="str">
        <f>'116目標底稿ver1'!A80</f>
        <v>TYPE_3</v>
      </c>
      <c r="I80" s="634">
        <f>'116目標底稿ver1'!Q80</f>
        <v>82930000</v>
      </c>
      <c r="J80" s="634">
        <f>'116目標底稿ver1'!Y80</f>
        <v>2950000</v>
      </c>
      <c r="K80" s="634">
        <f>'116目標底稿ver1'!Z80</f>
        <v>85880000</v>
      </c>
      <c r="L80" s="618">
        <f>IF(E80=0,0,K80/E80-1)</f>
        <v>0.0666946216506963</v>
      </c>
      <c r="M80" s="616">
        <f>ROUND(IF(G80&gt;=$H$2,($H$2*F80+$D$2*(E80-$H$2*F80))*$N$2,IF(G80&gt;=$J$2,E80*$P$2,IF(G80&gt;=$L$2,E80*$R$2,(E80+$F$2*($L$2*F80-E80))*$R$2))),-4)</f>
        <v>82930000</v>
      </c>
      <c r="N80" s="616">
        <f>ROUND(M80*$H$4,-4)</f>
        <v>83330000</v>
      </c>
      <c r="O80" s="616">
        <f>N80+J80</f>
        <v>86280000</v>
      </c>
      <c r="P80" s="618">
        <f>IF(E80=0,0,O80/E80-1)</f>
        <v>0.0716629244995584</v>
      </c>
      <c r="Q80" s="618">
        <f>IF(F80=0,0,O80/F80-1)</f>
        <v>0.0506575742815392</v>
      </c>
      <c r="R80" s="618">
        <f>MAX($H$3,MIN($J$3,$D$3-$F$3*(G80-1)))</f>
        <v>0.031</v>
      </c>
      <c r="S80" s="616">
        <f>ROUND(MAX(E80*(1+R80),F80*$L$3),-4)</f>
        <v>83010000</v>
      </c>
      <c r="T80" s="616">
        <f>ROUND(S80*$L$4,-4)</f>
        <v>83000000</v>
      </c>
      <c r="U80" s="616">
        <f>T80+J80</f>
        <v>85950000</v>
      </c>
      <c r="V80" s="618">
        <f>IF(E80=0,0,U80/E80-1)</f>
        <v>0.0675640746492472</v>
      </c>
      <c r="W80" s="618">
        <f>IF(F80=0,0,U80/F80-1)</f>
        <v>0.046639064783244</v>
      </c>
    </row>
    <row r="81">
      <c r="A81" s="634">
        <f>'116目標底稿ver1'!B81</f>
        <v>74</v>
      </c>
      <c r="B81" s="636" t="str">
        <f>'116目標底稿ver1'!C81</f>
        <v>北三區</v>
      </c>
      <c r="C81" s="634">
        <f>'116目標底稿ver1'!D81</f>
        <v>186</v>
      </c>
      <c r="D81" s="636" t="str">
        <f>'116目標底稿ver1'!E81</f>
        <v>土城分行</v>
      </c>
      <c r="E81" s="634">
        <f>'116目標底稿ver1'!G81</f>
        <v>50585750</v>
      </c>
      <c r="F81" s="634">
        <f>'116目標底稿ver1'!I81</f>
        <v>77150000</v>
      </c>
      <c r="G81" s="635">
        <f>'116目標底稿ver1'!J81</f>
        <v>0.66</v>
      </c>
      <c r="H81" s="636" t="str">
        <f>'116目標底稿ver1'!A81</f>
        <v>TYPE_4</v>
      </c>
      <c r="I81" s="634">
        <f>'116目標底稿ver1'!Q81</f>
        <v>74060000</v>
      </c>
      <c r="J81" s="634">
        <f>'116目標底稿ver1'!Y81</f>
        <v>2670000</v>
      </c>
      <c r="K81" s="634">
        <f>'116目標底稿ver1'!Z81</f>
        <v>76730000</v>
      </c>
      <c r="L81" s="618">
        <f>IF(E81=0,0,K81/E81-1)</f>
        <v>0.51683033265297</v>
      </c>
      <c r="M81" s="616">
        <f>ROUND(IF(G81&gt;=$H$2,($H$2*F81+$D$2*(E81-$H$2*F81))*$N$2,IF(G81&gt;=$J$2,E81*$P$2,IF(G81&gt;=$L$2,E81*$R$2,(E81+$F$2*($L$2*F81-E81))*$R$2))),-4)</f>
        <v>57840000</v>
      </c>
      <c r="N81" s="616">
        <f>ROUND(M81*$H$4,-4)</f>
        <v>58120000</v>
      </c>
      <c r="O81" s="616">
        <f>N81+J81</f>
        <v>60790000</v>
      </c>
      <c r="P81" s="618">
        <f>IF(E81=0,0,O81/E81-1)</f>
        <v>0.20172182877589</v>
      </c>
      <c r="Q81" s="618">
        <f>IF(F81=0,0,O81/F81-1)</f>
        <v>-0.212054439403759</v>
      </c>
      <c r="R81" s="618">
        <f>MAX($H$3,MIN($J$3,$D$3-$F$3*(G81-1)))</f>
        <v>0.111</v>
      </c>
      <c r="S81" s="616">
        <f>ROUND(MAX(E81*(1+R81),F81*$L$3),-4)</f>
        <v>65580000</v>
      </c>
      <c r="T81" s="616">
        <f>ROUND(S81*$L$4,-4)</f>
        <v>65580000</v>
      </c>
      <c r="U81" s="616">
        <f>T81+J81</f>
        <v>68250000</v>
      </c>
      <c r="V81" s="618">
        <f>IF(E81=0,0,U81/E81-1)</f>
        <v>0.349194190063407</v>
      </c>
      <c r="W81" s="618">
        <f>IF(F81=0,0,U81/F81-1)</f>
        <v>-0.115359688917693</v>
      </c>
    </row>
    <row r="82">
      <c r="A82" s="634">
        <f>'116目標底稿ver1'!B82</f>
        <v>75</v>
      </c>
      <c r="B82" s="636" t="str">
        <f>'116目標底稿ver1'!C82</f>
        <v>北二區</v>
      </c>
      <c r="C82" s="634">
        <f>'116目標底稿ver1'!D82</f>
        <v>187</v>
      </c>
      <c r="D82" s="636" t="str">
        <f>'116目標底稿ver1'!E82</f>
        <v>北新分行</v>
      </c>
      <c r="E82" s="634">
        <f>'116目標底稿ver1'!G82</f>
        <v>76406208</v>
      </c>
      <c r="F82" s="634">
        <f>'116目標底稿ver1'!I82</f>
        <v>57290000</v>
      </c>
      <c r="G82" s="635">
        <f>'116目標底稿ver1'!J82</f>
        <v>1.33</v>
      </c>
      <c r="H82" s="636" t="str">
        <f>'116目標底稿ver1'!A82</f>
        <v>TYPE_1</v>
      </c>
      <c r="I82" s="634">
        <f>'116目標底稿ver1'!Q82</f>
        <v>69440000</v>
      </c>
      <c r="J82" s="634">
        <f>'116目標底稿ver1'!Y82</f>
        <v>2070000</v>
      </c>
      <c r="K82" s="634">
        <f>'116目標底稿ver1'!Z82</f>
        <v>71510000</v>
      </c>
      <c r="L82" s="618">
        <f>IF(E82=0,0,K82/E82-1)</f>
        <v>-0.0640812851228005</v>
      </c>
      <c r="M82" s="616">
        <f>ROUND(IF(G82&gt;=$H$2,($H$2*F82+$D$2*(E82-$H$2*F82))*$N$2,IF(G82&gt;=$J$2,E82*$P$2,IF(G82&gt;=$L$2,E82*$R$2,(E82+$F$2*($L$2*F82-E82))*$R$2))),-4)</f>
        <v>73300000</v>
      </c>
      <c r="N82" s="616">
        <f>ROUND(M82*$H$4,-4)</f>
        <v>73650000</v>
      </c>
      <c r="O82" s="616">
        <f>N82+J82</f>
        <v>75720000</v>
      </c>
      <c r="P82" s="618">
        <f>IF(E82=0,0,O82/E82-1)</f>
        <v>-0.00898105033559582</v>
      </c>
      <c r="Q82" s="618">
        <f>IF(F82=0,0,O82/F82-1)</f>
        <v>0.321696631174725</v>
      </c>
      <c r="R82" s="618">
        <f>MAX($H$3,MIN($J$3,$D$3-$F$3*(G82-1)))</f>
        <v>-0.0565</v>
      </c>
      <c r="S82" s="616">
        <f>ROUND(MAX(E82*(1+R82),F82*$L$3),-4)</f>
        <v>72090000</v>
      </c>
      <c r="T82" s="616">
        <f>ROUND(S82*$L$4,-4)</f>
        <v>72080000</v>
      </c>
      <c r="U82" s="616">
        <f>T82+J82</f>
        <v>74150000</v>
      </c>
      <c r="V82" s="618">
        <f>IF(E82=0,0,U82/E82-1)</f>
        <v>-0.0295291188904441</v>
      </c>
      <c r="W82" s="618">
        <f>IF(F82=0,0,U82/F82-1)</f>
        <v>0.294292197591203</v>
      </c>
    </row>
    <row r="83">
      <c r="A83" s="634">
        <f>'116目標底稿ver1'!B83</f>
        <v>76</v>
      </c>
      <c r="B83" s="636" t="str">
        <f>'116目標底稿ver1'!C83</f>
        <v>北一區</v>
      </c>
      <c r="C83" s="634">
        <f>'116目標底稿ver1'!D83</f>
        <v>189</v>
      </c>
      <c r="D83" s="636" t="str">
        <f>'116目標底稿ver1'!E83</f>
        <v>天母分行</v>
      </c>
      <c r="E83" s="634">
        <f>'116目標底稿ver1'!G83</f>
        <v>90735057</v>
      </c>
      <c r="F83" s="634">
        <f>'116目標底稿ver1'!I83</f>
        <v>80500000</v>
      </c>
      <c r="G83" s="635">
        <f>'116目標底稿ver1'!J83</f>
        <v>1.13</v>
      </c>
      <c r="H83" s="636" t="str">
        <f>'116目標底稿ver1'!A83</f>
        <v>TYPE_2</v>
      </c>
      <c r="I83" s="634">
        <f>'116目標底稿ver1'!Q83</f>
        <v>91640000</v>
      </c>
      <c r="J83" s="634">
        <f>'116目標底稿ver1'!Y83</f>
        <v>2720000</v>
      </c>
      <c r="K83" s="634">
        <f>'116目標底稿ver1'!Z83</f>
        <v>94360000</v>
      </c>
      <c r="L83" s="618">
        <f>IF(E83=0,0,K83/E83-1)</f>
        <v>0.0399508538359104</v>
      </c>
      <c r="M83" s="616">
        <f>ROUND(IF(G83&gt;=$H$2,($H$2*F83+$D$2*(E83-$H$2*F83))*$N$2,IF(G83&gt;=$J$2,E83*$P$2,IF(G83&gt;=$L$2,E83*$R$2,(E83+$F$2*($L$2*F83-E83))*$R$2))),-4)</f>
        <v>91640000</v>
      </c>
      <c r="N83" s="616">
        <f>ROUND(M83*$H$4,-4)</f>
        <v>92080000</v>
      </c>
      <c r="O83" s="616">
        <f>N83+J83</f>
        <v>94800000</v>
      </c>
      <c r="P83" s="618">
        <f>IF(E83=0,0,O83/E83-1)</f>
        <v>0.0448001371730002</v>
      </c>
      <c r="Q83" s="618">
        <f>IF(F83=0,0,O83/F83-1)</f>
        <v>0.177639751552795</v>
      </c>
      <c r="R83" s="618">
        <f>MAX($H$3,MIN($J$3,$D$3-$F$3*(G83-1)))</f>
        <v>-0.00649999999999997</v>
      </c>
      <c r="S83" s="616">
        <f>ROUND(MAX(E83*(1+R83),F83*$L$3),-4)</f>
        <v>90150000</v>
      </c>
      <c r="T83" s="616">
        <f>ROUND(S83*$L$4,-4)</f>
        <v>90140000</v>
      </c>
      <c r="U83" s="616">
        <f>T83+J83</f>
        <v>92860000</v>
      </c>
      <c r="V83" s="618">
        <f>IF(E83=0,0,U83/E83-1)</f>
        <v>0.0234192060958314</v>
      </c>
      <c r="W83" s="618">
        <f>IF(F83=0,0,U83/F83-1)</f>
        <v>0.153540372670808</v>
      </c>
    </row>
    <row r="84">
      <c r="A84" s="634">
        <f>'116目標底稿ver1'!B84</f>
        <v>77</v>
      </c>
      <c r="B84" s="636" t="str">
        <f>'116目標底稿ver1'!C84</f>
        <v>北二區</v>
      </c>
      <c r="C84" s="634">
        <f>'116目標底稿ver1'!D84</f>
        <v>190</v>
      </c>
      <c r="D84" s="636" t="str">
        <f>'116目標底稿ver1'!E84</f>
        <v>內湖分行</v>
      </c>
      <c r="E84" s="634">
        <f>'116目標底稿ver1'!G84</f>
        <v>81004243</v>
      </c>
      <c r="F84" s="634">
        <f>'116目標底稿ver1'!I84</f>
        <v>59460000</v>
      </c>
      <c r="G84" s="635">
        <f>'116目標底稿ver1'!J84</f>
        <v>1.36</v>
      </c>
      <c r="H84" s="636" t="str">
        <f>'116目標底稿ver1'!A84</f>
        <v>TYPE_1</v>
      </c>
      <c r="I84" s="634">
        <f>'116目標底稿ver1'!Q84</f>
        <v>72070000</v>
      </c>
      <c r="J84" s="634">
        <f>'116目標底稿ver1'!Y84</f>
        <v>2270000</v>
      </c>
      <c r="K84" s="634">
        <f>'116目標底稿ver1'!Z84</f>
        <v>74340000</v>
      </c>
      <c r="L84" s="618">
        <f>IF(E84=0,0,K84/E84-1)</f>
        <v>-0.0822702953967486</v>
      </c>
      <c r="M84" s="616">
        <f>ROUND(IF(G84&gt;=$H$2,($H$2*F84+$D$2*(E84-$H$2*F84))*$N$2,IF(G84&gt;=$J$2,E84*$P$2,IF(G84&gt;=$L$2,E84*$R$2,(E84+$F$2*($L$2*F84-E84))*$R$2))),-4)</f>
        <v>76940000</v>
      </c>
      <c r="N84" s="616">
        <f>ROUND(M84*$H$4,-4)</f>
        <v>77310000</v>
      </c>
      <c r="O84" s="616">
        <f>N84+J84</f>
        <v>79580000</v>
      </c>
      <c r="P84" s="618">
        <f>IF(E84=0,0,O84/E84-1)</f>
        <v>-0.017582325903595</v>
      </c>
      <c r="Q84" s="618">
        <f>IF(F84=0,0,O84/F84-1)</f>
        <v>0.338378742011436</v>
      </c>
      <c r="R84" s="618">
        <f>MAX($H$3,MIN($J$3,$D$3-$F$3*(G84-1)))</f>
        <v>-0.064</v>
      </c>
      <c r="S84" s="616">
        <f>ROUND(MAX(E84*(1+R84),F84*$L$3),-4)</f>
        <v>75820000</v>
      </c>
      <c r="T84" s="616">
        <f>ROUND(S84*$L$4,-4)</f>
        <v>75810000</v>
      </c>
      <c r="U84" s="616">
        <f>T84+J84</f>
        <v>78080000</v>
      </c>
      <c r="V84" s="618">
        <f>IF(E84=0,0,U84/E84-1)</f>
        <v>-0.0360998744226275</v>
      </c>
      <c r="W84" s="618">
        <f>IF(F84=0,0,U84/F84-1)</f>
        <v>0.313151698620922</v>
      </c>
    </row>
    <row r="85">
      <c r="A85" s="634">
        <f>'116目標底稿ver1'!B85</f>
        <v>78</v>
      </c>
      <c r="B85" s="636" t="str">
        <f>'116目標底稿ver1'!C85</f>
        <v>北三區</v>
      </c>
      <c r="C85" s="634">
        <f>'116目標底稿ver1'!D85</f>
        <v>191</v>
      </c>
      <c r="D85" s="636" t="str">
        <f>'116目標底稿ver1'!E85</f>
        <v>樹林分行</v>
      </c>
      <c r="E85" s="634">
        <f>'116目標底稿ver1'!G85</f>
        <v>82833914</v>
      </c>
      <c r="F85" s="634">
        <f>'116目標底稿ver1'!I85</f>
        <v>75690000</v>
      </c>
      <c r="G85" s="635">
        <f>'116目標底稿ver1'!J85</f>
        <v>1.09</v>
      </c>
      <c r="H85" s="636" t="str">
        <f>'116目標底稿ver1'!A85</f>
        <v>TYPE_2</v>
      </c>
      <c r="I85" s="634">
        <f>'116目標底稿ver1'!Q85</f>
        <v>83660000</v>
      </c>
      <c r="J85" s="634">
        <f>'116目標底稿ver1'!Y85</f>
        <v>2790000</v>
      </c>
      <c r="K85" s="634">
        <f>'116目標底稿ver1'!Z85</f>
        <v>86450000</v>
      </c>
      <c r="L85" s="618">
        <f>IF(E85=0,0,K85/E85-1)</f>
        <v>0.0436546557488517</v>
      </c>
      <c r="M85" s="616">
        <f>ROUND(IF(G85&gt;=$H$2,($H$2*F85+$D$2*(E85-$H$2*F85))*$N$2,IF(G85&gt;=$J$2,E85*$P$2,IF(G85&gt;=$L$2,E85*$R$2,(E85+$F$2*($L$2*F85-E85))*$R$2))),-4)</f>
        <v>83660000</v>
      </c>
      <c r="N85" s="616">
        <f>ROUND(M85*$H$4,-4)</f>
        <v>84060000</v>
      </c>
      <c r="O85" s="616">
        <f>N85+J85</f>
        <v>86850000</v>
      </c>
      <c r="P85" s="618">
        <f>IF(E85=0,0,O85/E85-1)</f>
        <v>0.0484835957407495</v>
      </c>
      <c r="Q85" s="618">
        <f>IF(F85=0,0,O85/F85-1)</f>
        <v>0.147443519619501</v>
      </c>
      <c r="R85" s="618">
        <f>MAX($H$3,MIN($J$3,$D$3-$F$3*(G85-1)))</f>
        <v>0.00349999999999998</v>
      </c>
      <c r="S85" s="616">
        <f>ROUND(MAX(E85*(1+R85),F85*$L$3),-4)</f>
        <v>83120000</v>
      </c>
      <c r="T85" s="616">
        <f>ROUND(S85*$L$4,-4)</f>
        <v>83110000</v>
      </c>
      <c r="U85" s="616">
        <f>T85+J85</f>
        <v>85900000</v>
      </c>
      <c r="V85" s="618">
        <f>IF(E85=0,0,U85/E85-1)</f>
        <v>0.0370148632599927</v>
      </c>
      <c r="W85" s="618">
        <f>IF(F85=0,0,U85/F85-1)</f>
        <v>0.134892323952966</v>
      </c>
    </row>
    <row r="86">
      <c r="A86" s="634">
        <f>'116目標底稿ver1'!B86</f>
        <v>79</v>
      </c>
      <c r="B86" s="636" t="str">
        <f>'116目標底稿ver1'!C86</f>
        <v>北二區</v>
      </c>
      <c r="C86" s="634">
        <f>'116目標底稿ver1'!D86</f>
        <v>192</v>
      </c>
      <c r="D86" s="636" t="str">
        <f>'116目標底稿ver1'!E86</f>
        <v>樟樹灣分行</v>
      </c>
      <c r="E86" s="634">
        <f>'116目標底稿ver1'!G86</f>
        <v>95382733</v>
      </c>
      <c r="F86" s="634">
        <f>'116目標底稿ver1'!I86</f>
        <v>77470000</v>
      </c>
      <c r="G86" s="635">
        <f>'116目標底稿ver1'!J86</f>
        <v>1.23</v>
      </c>
      <c r="H86" s="636" t="str">
        <f>'116目標底稿ver1'!A86</f>
        <v>TYPE_1</v>
      </c>
      <c r="I86" s="634">
        <f>'116目標底稿ver1'!Q86</f>
        <v>93890000</v>
      </c>
      <c r="J86" s="634">
        <f>'116目標底稿ver1'!Y86</f>
        <v>2680000</v>
      </c>
      <c r="K86" s="634">
        <f>'116目標底稿ver1'!Z86</f>
        <v>96570000</v>
      </c>
      <c r="L86" s="618">
        <f>IF(E86=0,0,K86/E86-1)</f>
        <v>0.0124473996776755</v>
      </c>
      <c r="M86" s="616">
        <f>ROUND(IF(G86&gt;=$H$2,($H$2*F86+$D$2*(E86-$H$2*F86))*$N$2,IF(G86&gt;=$J$2,E86*$P$2,IF(G86&gt;=$L$2,E86*$R$2,(E86+$F$2*($L$2*F86-E86))*$R$2))),-4)</f>
        <v>95120000</v>
      </c>
      <c r="N86" s="616">
        <f>ROUND(M86*$H$4,-4)</f>
        <v>95570000</v>
      </c>
      <c r="O86" s="616">
        <f>N86+J86</f>
        <v>98250000</v>
      </c>
      <c r="P86" s="618">
        <f>IF(E86=0,0,O86/E86-1)</f>
        <v>0.0300606504953052</v>
      </c>
      <c r="Q86" s="618">
        <f>IF(F86=0,0,O86/F86-1)</f>
        <v>0.268232864334581</v>
      </c>
      <c r="R86" s="618">
        <f>MAX($H$3,MIN($J$3,$D$3-$F$3*(G86-1)))</f>
        <v>-0.0315</v>
      </c>
      <c r="S86" s="616">
        <f>ROUND(MAX(E86*(1+R86),F86*$L$3),-4)</f>
        <v>92380000</v>
      </c>
      <c r="T86" s="616">
        <f>ROUND(S86*$L$4,-4)</f>
        <v>92370000</v>
      </c>
      <c r="U86" s="616">
        <f>T86+J86</f>
        <v>95050000</v>
      </c>
      <c r="V86" s="618">
        <f>IF(E86=0,0,U86/E86-1)</f>
        <v>-0.00348839868113238</v>
      </c>
      <c r="W86" s="618">
        <f>IF(F86=0,0,U86/F86-1)</f>
        <v>0.22692655221376</v>
      </c>
    </row>
    <row r="87">
      <c r="A87" s="634">
        <f>'116目標底稿ver1'!B87</f>
        <v>80</v>
      </c>
      <c r="B87" s="636" t="str">
        <f>'116目標底稿ver1'!C87</f>
        <v>北三區</v>
      </c>
      <c r="C87" s="634">
        <f>'116目標底稿ver1'!D87</f>
        <v>193</v>
      </c>
      <c r="D87" s="636" t="str">
        <f>'116目標底稿ver1'!E87</f>
        <v>泰山分行</v>
      </c>
      <c r="E87" s="634">
        <f>'116目標底稿ver1'!G87</f>
        <v>40700836</v>
      </c>
      <c r="F87" s="634">
        <f>'116目標底稿ver1'!I87</f>
        <v>56200000</v>
      </c>
      <c r="G87" s="635">
        <f>'116目標底稿ver1'!J87</f>
        <v>0.72</v>
      </c>
      <c r="H87" s="636" t="str">
        <f>'116目標底稿ver1'!A87</f>
        <v>TYPE_4</v>
      </c>
      <c r="I87" s="634">
        <f>'116目標底稿ver1'!Q87</f>
        <v>53950000</v>
      </c>
      <c r="J87" s="634">
        <f>'116目標底稿ver1'!Y87</f>
        <v>2550000</v>
      </c>
      <c r="K87" s="634">
        <f>'116目標底稿ver1'!Z87</f>
        <v>56500000</v>
      </c>
      <c r="L87" s="618">
        <f>IF(E87=0,0,K87/E87-1)</f>
        <v>0.388177874282484</v>
      </c>
      <c r="M87" s="616">
        <f>ROUND(IF(G87&gt;=$H$2,($H$2*F87+$D$2*(E87-$H$2*F87))*$N$2,IF(G87&gt;=$J$2,E87*$P$2,IF(G87&gt;=$L$2,E87*$R$2,(E87+$F$2*($L$2*F87-E87))*$R$2))),-4)</f>
        <v>44120000</v>
      </c>
      <c r="N87" s="616">
        <f>ROUND(M87*$H$4,-4)</f>
        <v>44330000</v>
      </c>
      <c r="O87" s="616">
        <f>N87+J87</f>
        <v>46880000</v>
      </c>
      <c r="P87" s="618">
        <f>IF(E87=0,0,O87/E87-1)</f>
        <v>0.15181909285598</v>
      </c>
      <c r="Q87" s="618">
        <f>IF(F87=0,0,O87/F87-1)</f>
        <v>-0.165836298932384</v>
      </c>
      <c r="R87" s="618">
        <f>MAX($H$3,MIN($J$3,$D$3-$F$3*(G87-1)))</f>
        <v>0.096</v>
      </c>
      <c r="S87" s="616">
        <f>ROUND(MAX(E87*(1+R87),F87*$L$3),-4)</f>
        <v>47770000</v>
      </c>
      <c r="T87" s="616">
        <f>ROUND(S87*$L$4,-4)</f>
        <v>47770000</v>
      </c>
      <c r="U87" s="616">
        <f>T87+J87</f>
        <v>50320000</v>
      </c>
      <c r="V87" s="618">
        <f>IF(E87=0,0,U87/E87-1)</f>
        <v>0.236338241307869</v>
      </c>
      <c r="W87" s="618">
        <f>IF(F87=0,0,U87/F87-1)</f>
        <v>-0.104626334519573</v>
      </c>
    </row>
    <row r="88">
      <c r="A88" s="634">
        <f>'116目標底稿ver1'!B88</f>
        <v>81</v>
      </c>
      <c r="B88" s="636" t="str">
        <f>'116目標底稿ver1'!C88</f>
        <v>北三區</v>
      </c>
      <c r="C88" s="634">
        <f>'116目標底稿ver1'!D88</f>
        <v>194</v>
      </c>
      <c r="D88" s="636" t="str">
        <f>'116目標底稿ver1'!E88</f>
        <v>三峽分行</v>
      </c>
      <c r="E88" s="634">
        <f>'116目標底稿ver1'!G88</f>
        <v>36561726</v>
      </c>
      <c r="F88" s="634">
        <f>'116目標底稿ver1'!I88</f>
        <v>49050000</v>
      </c>
      <c r="G88" s="635">
        <f>'116目標底稿ver1'!J88</f>
        <v>0.75</v>
      </c>
      <c r="H88" s="636" t="str">
        <f>'116目標底稿ver1'!A88</f>
        <v>TYPE_4</v>
      </c>
      <c r="I88" s="634">
        <f>'116目標底稿ver1'!Q88</f>
        <v>47090000</v>
      </c>
      <c r="J88" s="634">
        <f>'116目標底稿ver1'!Y88</f>
        <v>2090000</v>
      </c>
      <c r="K88" s="634">
        <f>'116目標底稿ver1'!Z88</f>
        <v>49180000</v>
      </c>
      <c r="L88" s="618">
        <f>IF(E88=0,0,K88/E88-1)</f>
        <v>0.34512249230247</v>
      </c>
      <c r="M88" s="616">
        <f>ROUND(IF(G88&gt;=$H$2,($H$2*F88+$D$2*(E88-$H$2*F88))*$N$2,IF(G88&gt;=$J$2,E88*$P$2,IF(G88&gt;=$L$2,E88*$R$2,(E88+$F$2*($L$2*F88-E88))*$R$2))),-4)</f>
        <v>39040000</v>
      </c>
      <c r="N88" s="616">
        <f>ROUND(M88*$H$4,-4)</f>
        <v>39230000</v>
      </c>
      <c r="O88" s="616">
        <f>N88+J88</f>
        <v>41320000</v>
      </c>
      <c r="P88" s="618">
        <f>IF(E88=0,0,O88/E88-1)</f>
        <v>0.130143582389956</v>
      </c>
      <c r="Q88" s="618">
        <f>IF(F88=0,0,O88/F88-1)</f>
        <v>-0.157594291539246</v>
      </c>
      <c r="R88" s="618">
        <f>MAX($H$3,MIN($J$3,$D$3-$F$3*(G88-1)))</f>
        <v>0.0885</v>
      </c>
      <c r="S88" s="616">
        <f>ROUND(MAX(E88*(1+R88),F88*$L$3),-4)</f>
        <v>41690000</v>
      </c>
      <c r="T88" s="616">
        <f>ROUND(S88*$L$4,-4)</f>
        <v>41690000</v>
      </c>
      <c r="U88" s="616">
        <f>T88+J88</f>
        <v>43780000</v>
      </c>
      <c r="V88" s="618">
        <f>IF(E88=0,0,U88/E88-1)</f>
        <v>0.19742705801143</v>
      </c>
      <c r="W88" s="618">
        <f>IF(F88=0,0,U88/F88-1)</f>
        <v>-0.107441386340469</v>
      </c>
    </row>
    <row r="89">
      <c r="A89" s="634">
        <f>'116目標底稿ver1'!B89</f>
        <v>82</v>
      </c>
      <c r="B89" s="636" t="str">
        <f>'116目標底稿ver1'!C89</f>
        <v>北二區</v>
      </c>
      <c r="C89" s="634">
        <f>'116目標底稿ver1'!D89</f>
        <v>195</v>
      </c>
      <c r="D89" s="636" t="str">
        <f>'116目標底稿ver1'!E89</f>
        <v>文山分行</v>
      </c>
      <c r="E89" s="634">
        <f>'116目標底稿ver1'!G89</f>
        <v>44181883</v>
      </c>
      <c r="F89" s="634">
        <f>'116目標底稿ver1'!I89</f>
        <v>47320000</v>
      </c>
      <c r="G89" s="635">
        <f>'116目標底稿ver1'!J89</f>
        <v>0.93</v>
      </c>
      <c r="H89" s="636" t="str">
        <f>'116目標底稿ver1'!A89</f>
        <v>TYPE_3</v>
      </c>
      <c r="I89" s="634">
        <f>'116目標底稿ver1'!Q89</f>
        <v>45510000</v>
      </c>
      <c r="J89" s="634">
        <f>'116目標底稿ver1'!Y89</f>
        <v>1640000</v>
      </c>
      <c r="K89" s="634">
        <f>'116目標底稿ver1'!Z89</f>
        <v>47150000</v>
      </c>
      <c r="L89" s="618">
        <f>IF(E89=0,0,K89/E89-1)</f>
        <v>0.067179504323073</v>
      </c>
      <c r="M89" s="616">
        <f>ROUND(IF(G89&gt;=$H$2,($H$2*F89+$D$2*(E89-$H$2*F89))*$N$2,IF(G89&gt;=$J$2,E89*$P$2,IF(G89&gt;=$L$2,E89*$R$2,(E89+$F$2*($L$2*F89-E89))*$R$2))),-4)</f>
        <v>45510000</v>
      </c>
      <c r="N89" s="616">
        <f>ROUND(M89*$H$4,-4)</f>
        <v>45730000</v>
      </c>
      <c r="O89" s="616">
        <f>N89+J89</f>
        <v>47370000</v>
      </c>
      <c r="P89" s="618">
        <f>IF(E89=0,0,O89/E89-1)</f>
        <v>0.0721589208861921</v>
      </c>
      <c r="Q89" s="618">
        <f>IF(F89=0,0,O89/F89-1)</f>
        <v>0.0010566356720203</v>
      </c>
      <c r="R89" s="618">
        <f>MAX($H$3,MIN($J$3,$D$3-$F$3*(G89-1)))</f>
        <v>0.0435</v>
      </c>
      <c r="S89" s="616">
        <f>ROUND(MAX(E89*(1+R89),F89*$L$3),-4)</f>
        <v>46100000</v>
      </c>
      <c r="T89" s="616">
        <f>ROUND(S89*$L$4,-4)</f>
        <v>46100000</v>
      </c>
      <c r="U89" s="616">
        <f>T89+J89</f>
        <v>47740000</v>
      </c>
      <c r="V89" s="618">
        <f>IF(E89=0,0,U89/E89-1)</f>
        <v>0.0805333941968929</v>
      </c>
      <c r="W89" s="618">
        <f>IF(F89=0,0,U89/F89-1)</f>
        <v>0.00887573964497035</v>
      </c>
    </row>
    <row r="90">
      <c r="A90" s="634">
        <f>'116目標底稿ver1'!B90</f>
        <v>83</v>
      </c>
      <c r="B90" s="636" t="str">
        <f>'116目標底稿ver1'!C90</f>
        <v>北三區</v>
      </c>
      <c r="C90" s="634">
        <f>'116目標底稿ver1'!D90</f>
        <v>196</v>
      </c>
      <c r="D90" s="636" t="str">
        <f>'116目標底稿ver1'!E90</f>
        <v>鶯歌分行</v>
      </c>
      <c r="E90" s="634">
        <f>'116目標底稿ver1'!G90</f>
        <v>52883916</v>
      </c>
      <c r="F90" s="634">
        <f>'116目標底稿ver1'!I90</f>
        <v>53910000</v>
      </c>
      <c r="G90" s="635">
        <f>'116目標底稿ver1'!J90</f>
        <v>0.98</v>
      </c>
      <c r="H90" s="636" t="str">
        <f>'116目標底稿ver1'!A90</f>
        <v>TYPE_3</v>
      </c>
      <c r="I90" s="634">
        <f>'116目標底稿ver1'!Q90</f>
        <v>54470000</v>
      </c>
      <c r="J90" s="634">
        <f>'116目標底稿ver1'!Y90</f>
        <v>2030000</v>
      </c>
      <c r="K90" s="634">
        <f>'116目標底稿ver1'!Z90</f>
        <v>56500000</v>
      </c>
      <c r="L90" s="618">
        <f>IF(E90=0,0,K90/E90-1)</f>
        <v>0.0683777653682076</v>
      </c>
      <c r="M90" s="616">
        <f>ROUND(IF(G90&gt;=$H$2,($H$2*F90+$D$2*(E90-$H$2*F90))*$N$2,IF(G90&gt;=$J$2,E90*$P$2,IF(G90&gt;=$L$2,E90*$R$2,(E90+$F$2*($L$2*F90-E90))*$R$2))),-4)</f>
        <v>54470000</v>
      </c>
      <c r="N90" s="616">
        <f>ROUND(M90*$H$4,-4)</f>
        <v>54730000</v>
      </c>
      <c r="O90" s="616">
        <f>N90+J90</f>
        <v>56760000</v>
      </c>
      <c r="P90" s="618">
        <f>IF(E90=0,0,O90/E90-1)</f>
        <v>0.0732941940229994</v>
      </c>
      <c r="Q90" s="618">
        <f>IF(F90=0,0,O90/F90-1)</f>
        <v>0.0528658875904284</v>
      </c>
      <c r="R90" s="618">
        <f>MAX($H$3,MIN($J$3,$D$3-$F$3*(G90-1)))</f>
        <v>0.031</v>
      </c>
      <c r="S90" s="616">
        <f>ROUND(MAX(E90*(1+R90),F90*$L$3),-4)</f>
        <v>54520000</v>
      </c>
      <c r="T90" s="616">
        <f>ROUND(S90*$L$4,-4)</f>
        <v>54520000</v>
      </c>
      <c r="U90" s="616">
        <f>T90+J90</f>
        <v>56550000</v>
      </c>
      <c r="V90" s="618">
        <f>IF(E90=0,0,U90/E90-1)</f>
        <v>0.069323232417206</v>
      </c>
      <c r="W90" s="618">
        <f>IF(F90=0,0,U90/F90-1)</f>
        <v>0.0489705063995549</v>
      </c>
    </row>
    <row r="91">
      <c r="A91" s="634">
        <f>'116目標底稿ver1'!B91</f>
        <v>84</v>
      </c>
      <c r="B91" s="636" t="str">
        <f>'116目標底稿ver1'!C91</f>
        <v>北三區</v>
      </c>
      <c r="C91" s="634">
        <f>'116目標底稿ver1'!D91</f>
        <v>197</v>
      </c>
      <c r="D91" s="636" t="str">
        <f>'116目標底稿ver1'!E91</f>
        <v>北新莊分行</v>
      </c>
      <c r="E91" s="634">
        <f>'116目標底稿ver1'!G91</f>
        <v>27985794</v>
      </c>
      <c r="F91" s="634">
        <f>'116目標底稿ver1'!I91</f>
        <v>33530000</v>
      </c>
      <c r="G91" s="635">
        <f>'116目標底稿ver1'!J91</f>
        <v>0.83</v>
      </c>
      <c r="H91" s="636" t="str">
        <f>'116目標底稿ver1'!A91</f>
        <v>TYPE_3</v>
      </c>
      <c r="I91" s="634">
        <f>'116目標底稿ver1'!Q91</f>
        <v>28830000</v>
      </c>
      <c r="J91" s="634">
        <f>'116目標底稿ver1'!Y91</f>
        <v>1260000</v>
      </c>
      <c r="K91" s="634">
        <f>'116目標底稿ver1'!Z91</f>
        <v>30090000</v>
      </c>
      <c r="L91" s="618">
        <f>IF(E91=0,0,K91/E91-1)</f>
        <v>0.0751883616380511</v>
      </c>
      <c r="M91" s="616">
        <f>ROUND(IF(G91&gt;=$H$2,($H$2*F91+$D$2*(E91-$H$2*F91))*$N$2,IF(G91&gt;=$J$2,E91*$P$2,IF(G91&gt;=$L$2,E91*$R$2,(E91+$F$2*($L$2*F91-E91))*$R$2))),-4)</f>
        <v>28830000</v>
      </c>
      <c r="N91" s="616">
        <f>ROUND(M91*$H$4,-4)</f>
        <v>28970000</v>
      </c>
      <c r="O91" s="616">
        <f>N91+J91</f>
        <v>30230000</v>
      </c>
      <c r="P91" s="618">
        <f>IF(E91=0,0,O91/E91-1)</f>
        <v>0.0801908997114751</v>
      </c>
      <c r="Q91" s="618">
        <f>IF(F91=0,0,O91/F91-1)</f>
        <v>-0.0984193259767373</v>
      </c>
      <c r="R91" s="618">
        <f>MAX($H$3,MIN($J$3,$D$3-$F$3*(G91-1)))</f>
        <v>0.0685</v>
      </c>
      <c r="S91" s="616">
        <f>ROUND(MAX(E91*(1+R91),F91*$L$3),-4)</f>
        <v>29900000</v>
      </c>
      <c r="T91" s="616">
        <f>ROUND(S91*$L$4,-4)</f>
        <v>29900000</v>
      </c>
      <c r="U91" s="616">
        <f>T91+J91</f>
        <v>31160000</v>
      </c>
      <c r="V91" s="618">
        <f>IF(E91=0,0,U91/E91-1)</f>
        <v>0.113422045484934</v>
      </c>
      <c r="W91" s="618">
        <f>IF(F91=0,0,U91/F91-1)</f>
        <v>-0.0706829704742022</v>
      </c>
    </row>
    <row r="92">
      <c r="A92" s="634">
        <f>'116目標底稿ver1'!B92</f>
        <v>85</v>
      </c>
      <c r="B92" s="636" t="str">
        <f>'116目標底稿ver1'!C92</f>
        <v>北三區</v>
      </c>
      <c r="C92" s="634">
        <f>'116目標底稿ver1'!D92</f>
        <v>199</v>
      </c>
      <c r="D92" s="636" t="str">
        <f>'116目標底稿ver1'!E92</f>
        <v>林口站前分行</v>
      </c>
      <c r="E92" s="634">
        <f>'116目標底稿ver1'!G92</f>
        <v>58292427</v>
      </c>
      <c r="F92" s="634">
        <f>'116目標底稿ver1'!I92</f>
        <v>42110000</v>
      </c>
      <c r="G92" s="635">
        <f>'116目標底稿ver1'!J92</f>
        <v>1.38</v>
      </c>
      <c r="H92" s="636" t="str">
        <f>'116目標底稿ver1'!A92</f>
        <v>TYPE_1</v>
      </c>
      <c r="I92" s="634">
        <f>'116目標底稿ver1'!Q92</f>
        <v>51040000</v>
      </c>
      <c r="J92" s="634">
        <f>'116目標底稿ver1'!Y92</f>
        <v>1670000</v>
      </c>
      <c r="K92" s="634">
        <f>'116目標底稿ver1'!Z92</f>
        <v>52710000</v>
      </c>
      <c r="L92" s="618">
        <f>IF(E92=0,0,K92/E92-1)</f>
        <v>-0.0957659045488019</v>
      </c>
      <c r="M92" s="616">
        <f>ROUND(IF(G92&gt;=$H$2,($H$2*F92+$D$2*(E92-$H$2*F92))*$N$2,IF(G92&gt;=$J$2,E92*$P$2,IF(G92&gt;=$L$2,E92*$R$2,(E92+$F$2*($L$2*F92-E92))*$R$2))),-4)</f>
        <v>54960000</v>
      </c>
      <c r="N92" s="616">
        <f>ROUND(M92*$H$4,-4)</f>
        <v>55220000</v>
      </c>
      <c r="O92" s="616">
        <f>N92+J92</f>
        <v>56890000</v>
      </c>
      <c r="P92" s="618">
        <f>IF(E92=0,0,O92/E92-1)</f>
        <v>-0.0240584767554798</v>
      </c>
      <c r="Q92" s="618">
        <f>IF(F92=0,0,O92/F92-1)</f>
        <v>0.350985514129661</v>
      </c>
      <c r="R92" s="618">
        <f>MAX($H$3,MIN($J$3,$D$3-$F$3*(G92-1)))</f>
        <v>-0.069</v>
      </c>
      <c r="S92" s="616">
        <f>ROUND(MAX(E92*(1+R92),F92*$L$3),-4)</f>
        <v>54270000</v>
      </c>
      <c r="T92" s="616">
        <f>ROUND(S92*$L$4,-4)</f>
        <v>54270000</v>
      </c>
      <c r="U92" s="616">
        <f>T92+J92</f>
        <v>55940000</v>
      </c>
      <c r="V92" s="618">
        <f>IF(E92=0,0,U92/E92-1)</f>
        <v>-0.0403556194357803</v>
      </c>
      <c r="W92" s="618">
        <f>IF(F92=0,0,U92/F92-1)</f>
        <v>0.328425552125386</v>
      </c>
    </row>
    <row r="93">
      <c r="A93" s="634">
        <f>'116目標底稿ver1'!B93</f>
        <v>86</v>
      </c>
      <c r="B93" s="636" t="str">
        <f>'116目標底稿ver1'!C93</f>
        <v>北二區</v>
      </c>
      <c r="C93" s="634">
        <f>'116目標底稿ver1'!D93</f>
        <v>200</v>
      </c>
      <c r="D93" s="636" t="str">
        <f>'116目標底稿ver1'!E93</f>
        <v>基隆分行</v>
      </c>
      <c r="E93" s="634">
        <f>'116目標底稿ver1'!G93</f>
        <v>38909027</v>
      </c>
      <c r="F93" s="634">
        <f>'116目標底稿ver1'!I93</f>
        <v>46120000</v>
      </c>
      <c r="G93" s="635">
        <f>'116目標底稿ver1'!J93</f>
        <v>0.84</v>
      </c>
      <c r="H93" s="636" t="str">
        <f>'116目標底稿ver1'!A93</f>
        <v>TYPE_3</v>
      </c>
      <c r="I93" s="634">
        <f>'116目標底稿ver1'!Q93</f>
        <v>40080000</v>
      </c>
      <c r="J93" s="634">
        <f>'116目標底稿ver1'!Y93</f>
        <v>1760000</v>
      </c>
      <c r="K93" s="634">
        <f>'116目標底稿ver1'!Z93</f>
        <v>41840000</v>
      </c>
      <c r="L93" s="618">
        <f>IF(E93=0,0,K93/E93-1)</f>
        <v>0.0753288690565304</v>
      </c>
      <c r="M93" s="616">
        <f>ROUND(IF(G93&gt;=$H$2,($H$2*F93+$D$2*(E93-$H$2*F93))*$N$2,IF(G93&gt;=$J$2,E93*$P$2,IF(G93&gt;=$L$2,E93*$R$2,(E93+$F$2*($L$2*F93-E93))*$R$2))),-4)</f>
        <v>40080000</v>
      </c>
      <c r="N93" s="616">
        <f>ROUND(M93*$H$4,-4)</f>
        <v>40270000</v>
      </c>
      <c r="O93" s="616">
        <f>N93+J93</f>
        <v>42030000</v>
      </c>
      <c r="P93" s="618">
        <f>IF(E93=0,0,O93/E93-1)</f>
        <v>0.0802120546473701</v>
      </c>
      <c r="Q93" s="618">
        <f>IF(F93=0,0,O93/F93-1)</f>
        <v>-0.0886816999132697</v>
      </c>
      <c r="R93" s="618">
        <f>MAX($H$3,MIN($J$3,$D$3-$F$3*(G93-1)))</f>
        <v>0.066</v>
      </c>
      <c r="S93" s="616">
        <f>ROUND(MAX(E93*(1+R93),F93*$L$3),-4)</f>
        <v>41480000</v>
      </c>
      <c r="T93" s="616">
        <f>ROUND(S93*$L$4,-4)</f>
        <v>41480000</v>
      </c>
      <c r="U93" s="616">
        <f>T93+J93</f>
        <v>43240000</v>
      </c>
      <c r="V93" s="618">
        <f>IF(E93=0,0,U93/E93-1)</f>
        <v>0.111310236567982</v>
      </c>
      <c r="W93" s="618">
        <f>IF(F93=0,0,U93/F93-1)</f>
        <v>-0.0624457935819601</v>
      </c>
    </row>
    <row r="94">
      <c r="A94" s="634">
        <f>'116目標底稿ver1'!B94</f>
        <v>87</v>
      </c>
      <c r="B94" s="636" t="str">
        <f>'116目標底稿ver1'!C94</f>
        <v>北二區</v>
      </c>
      <c r="C94" s="634">
        <f>'116目標底稿ver1'!D94</f>
        <v>201</v>
      </c>
      <c r="D94" s="636" t="str">
        <f>'116目標底稿ver1'!E94</f>
        <v>基隆港口分行</v>
      </c>
      <c r="E94" s="634">
        <f>'116目標底稿ver1'!G94</f>
        <v>50826486</v>
      </c>
      <c r="F94" s="634">
        <f>'116目標底稿ver1'!I94</f>
        <v>51890000</v>
      </c>
      <c r="G94" s="635">
        <f>'116目標底稿ver1'!J94</f>
        <v>0.98</v>
      </c>
      <c r="H94" s="636" t="str">
        <f>'116目標底稿ver1'!A94</f>
        <v>TYPE_3</v>
      </c>
      <c r="I94" s="634">
        <f>'116目標底稿ver1'!Q94</f>
        <v>52350000</v>
      </c>
      <c r="J94" s="634">
        <f>'116目標底稿ver1'!Y94</f>
        <v>1880000</v>
      </c>
      <c r="K94" s="634">
        <f>'116目標底稿ver1'!Z94</f>
        <v>54230000</v>
      </c>
      <c r="L94" s="618">
        <f>IF(E94=0,0,K94/E94-1)</f>
        <v>0.0669633938494194</v>
      </c>
      <c r="M94" s="616">
        <f>ROUND(IF(G94&gt;=$H$2,($H$2*F94+$D$2*(E94-$H$2*F94))*$N$2,IF(G94&gt;=$J$2,E94*$P$2,IF(G94&gt;=$L$2,E94*$R$2,(E94+$F$2*($L$2*F94-E94))*$R$2))),-4)</f>
        <v>52350000</v>
      </c>
      <c r="N94" s="616">
        <f>ROUND(M94*$H$4,-4)</f>
        <v>52600000</v>
      </c>
      <c r="O94" s="616">
        <f>N94+J94</f>
        <v>54480000</v>
      </c>
      <c r="P94" s="618">
        <f>IF(E94=0,0,O94/E94-1)</f>
        <v>0.0718820891926308</v>
      </c>
      <c r="Q94" s="618">
        <f>IF(F94=0,0,O94/F94-1)</f>
        <v>0.0499132780882636</v>
      </c>
      <c r="R94" s="618">
        <f>MAX($H$3,MIN($J$3,$D$3-$F$3*(G94-1)))</f>
        <v>0.031</v>
      </c>
      <c r="S94" s="616">
        <f>ROUND(MAX(E94*(1+R94),F94*$L$3),-4)</f>
        <v>52400000</v>
      </c>
      <c r="T94" s="616">
        <f>ROUND(S94*$L$4,-4)</f>
        <v>52400000</v>
      </c>
      <c r="U94" s="616">
        <f>T94+J94</f>
        <v>54280000</v>
      </c>
      <c r="V94" s="618">
        <f>IF(E94=0,0,U94/E94-1)</f>
        <v>0.0679471329180617</v>
      </c>
      <c r="W94" s="618">
        <f>IF(F94=0,0,U94/F94-1)</f>
        <v>0.0460589708999808</v>
      </c>
    </row>
    <row r="95">
      <c r="A95" s="634">
        <f>'116目標底稿ver1'!B95</f>
        <v>88</v>
      </c>
      <c r="B95" s="636" t="str">
        <f>'116目標底稿ver1'!C95</f>
        <v>北二區</v>
      </c>
      <c r="C95" s="634">
        <f>'116目標底稿ver1'!D95</f>
        <v>211</v>
      </c>
      <c r="D95" s="636" t="str">
        <f>'116目標底稿ver1'!E95</f>
        <v>七堵分行</v>
      </c>
      <c r="E95" s="634">
        <f>'116目標底稿ver1'!G95</f>
        <v>79114408</v>
      </c>
      <c r="F95" s="634">
        <f>'116目標底稿ver1'!I95</f>
        <v>53780000</v>
      </c>
      <c r="G95" s="635">
        <f>'116目標底稿ver1'!J95</f>
        <v>1.47</v>
      </c>
      <c r="H95" s="636" t="str">
        <f>'116目標底稿ver1'!A95</f>
        <v>TYPE_1</v>
      </c>
      <c r="I95" s="634">
        <f>'116目標底稿ver1'!Q95</f>
        <v>65180000</v>
      </c>
      <c r="J95" s="634">
        <f>'116目標底稿ver1'!Y95</f>
        <v>2010000</v>
      </c>
      <c r="K95" s="634">
        <f>'116目標底稿ver1'!Z95</f>
        <v>67190000</v>
      </c>
      <c r="L95" s="618">
        <f>IF(E95=0,0,K95/E95-1)</f>
        <v>-0.150723595125682</v>
      </c>
      <c r="M95" s="616">
        <f>ROUND(IF(G95&gt;=$H$2,($H$2*F95+$D$2*(E95-$H$2*F95))*$N$2,IF(G95&gt;=$J$2,E95*$P$2,IF(G95&gt;=$L$2,E95*$R$2,(E95+$F$2*($L$2*F95-E95))*$R$2))),-4)</f>
        <v>72540000</v>
      </c>
      <c r="N95" s="616">
        <f>ROUND(M95*$H$4,-4)</f>
        <v>72890000</v>
      </c>
      <c r="O95" s="616">
        <f>N95+J95</f>
        <v>74900000</v>
      </c>
      <c r="P95" s="618">
        <f>IF(E95=0,0,O95/E95-1)</f>
        <v>-0.0532697912622945</v>
      </c>
      <c r="Q95" s="618">
        <f>IF(F95=0,0,O95/F95-1)</f>
        <v>0.392711044998141</v>
      </c>
      <c r="R95" s="618">
        <f>MAX($H$3,MIN($J$3,$D$3-$F$3*(G95-1)))</f>
        <v>-0.0915</v>
      </c>
      <c r="S95" s="616">
        <f>ROUND(MAX(E95*(1+R95),F95*$L$3),-4)</f>
        <v>71880000</v>
      </c>
      <c r="T95" s="616">
        <f>ROUND(S95*$L$4,-4)</f>
        <v>71870000</v>
      </c>
      <c r="U95" s="616">
        <f>T95+J95</f>
        <v>73880000</v>
      </c>
      <c r="V95" s="618">
        <f>IF(E95=0,0,U95/E95-1)</f>
        <v>-0.0661625123959722</v>
      </c>
      <c r="W95" s="618">
        <f>IF(F95=0,0,U95/F95-1)</f>
        <v>0.373744886574935</v>
      </c>
    </row>
    <row r="96">
      <c r="A96" s="634">
        <f>'116目標底稿ver1'!B96</f>
        <v>89</v>
      </c>
      <c r="B96" s="636" t="str">
        <f>'116目標底稿ver1'!C96</f>
        <v>北二區</v>
      </c>
      <c r="C96" s="634">
        <f>'116目標底稿ver1'!D96</f>
        <v>220</v>
      </c>
      <c r="D96" s="636" t="str">
        <f>'116目標底稿ver1'!E96</f>
        <v>羅東分行</v>
      </c>
      <c r="E96" s="634">
        <f>'116目標底稿ver1'!G96</f>
        <v>52028367</v>
      </c>
      <c r="F96" s="634">
        <f>'116目標底稿ver1'!I96</f>
        <v>42760000</v>
      </c>
      <c r="G96" s="635">
        <f>'116目標底稿ver1'!J96</f>
        <v>1.22</v>
      </c>
      <c r="H96" s="636" t="str">
        <f>'116目標底稿ver1'!A96</f>
        <v>TYPE_1</v>
      </c>
      <c r="I96" s="634">
        <f>'116目標底稿ver1'!Q96</f>
        <v>51830000</v>
      </c>
      <c r="J96" s="634">
        <f>'116目標底稿ver1'!Y96</f>
        <v>1670000</v>
      </c>
      <c r="K96" s="634">
        <f>'116目標底稿ver1'!Z96</f>
        <v>53500000</v>
      </c>
      <c r="L96" s="618">
        <f>IF(E96=0,0,K96/E96-1)</f>
        <v>0.0282852044923878</v>
      </c>
      <c r="M96" s="616">
        <f>ROUND(IF(G96&gt;=$H$2,($H$2*F96+$D$2*(E96-$H$2*F96))*$N$2,IF(G96&gt;=$J$2,E96*$P$2,IF(G96&gt;=$L$2,E96*$R$2,(E96+$F$2*($L$2*F96-E96))*$R$2))),-4)</f>
        <v>52190000</v>
      </c>
      <c r="N96" s="616">
        <f>ROUND(M96*$H$4,-4)</f>
        <v>52440000</v>
      </c>
      <c r="O96" s="616">
        <f>N96+J96</f>
        <v>54110000</v>
      </c>
      <c r="P96" s="618">
        <f>IF(E96=0,0,O96/E96-1)</f>
        <v>0.0400095778520206</v>
      </c>
      <c r="Q96" s="618">
        <f>IF(F96=0,0,O96/F96-1)</f>
        <v>0.265434985968195</v>
      </c>
      <c r="R96" s="618">
        <f>MAX($H$3,MIN($J$3,$D$3-$F$3*(G96-1)))</f>
        <v>-0.029</v>
      </c>
      <c r="S96" s="616">
        <f>ROUND(MAX(E96*(1+R96),F96*$L$3),-4)</f>
        <v>50520000</v>
      </c>
      <c r="T96" s="616">
        <f>ROUND(S96*$L$4,-4)</f>
        <v>50520000</v>
      </c>
      <c r="U96" s="616">
        <f>T96+J96</f>
        <v>52190000</v>
      </c>
      <c r="V96" s="618">
        <f>IF(E96=0,0,U96/E96-1)</f>
        <v>0.00310663219547136</v>
      </c>
      <c r="W96" s="618">
        <f>IF(F96=0,0,U96/F96-1)</f>
        <v>0.220533208606174</v>
      </c>
    </row>
    <row r="97">
      <c r="A97" s="634">
        <f>'116目標底稿ver1'!B97</f>
        <v>90</v>
      </c>
      <c r="B97" s="636" t="str">
        <f>'116目標底稿ver1'!C97</f>
        <v>北二區</v>
      </c>
      <c r="C97" s="634">
        <f>'116目標底稿ver1'!D97</f>
        <v>221</v>
      </c>
      <c r="D97" s="636" t="str">
        <f>'116目標底稿ver1'!E97</f>
        <v>宜蘭分行</v>
      </c>
      <c r="E97" s="634">
        <f>'116目標底稿ver1'!G97</f>
        <v>46798736</v>
      </c>
      <c r="F97" s="634">
        <f>'116目標底稿ver1'!I97</f>
        <v>42840000</v>
      </c>
      <c r="G97" s="635">
        <f>'116目標底稿ver1'!J97</f>
        <v>1.09</v>
      </c>
      <c r="H97" s="636" t="str">
        <f>'116目標底稿ver1'!A97</f>
        <v>TYPE_2</v>
      </c>
      <c r="I97" s="634">
        <f>'116目標底稿ver1'!Q97</f>
        <v>47270000</v>
      </c>
      <c r="J97" s="634">
        <f>'116目標底稿ver1'!Y97</f>
        <v>1600000</v>
      </c>
      <c r="K97" s="634">
        <f>'116目標底稿ver1'!Z97</f>
        <v>48870000</v>
      </c>
      <c r="L97" s="618">
        <f>IF(E97=0,0,K97/E97-1)</f>
        <v>0.0442589731483347</v>
      </c>
      <c r="M97" s="616">
        <f>ROUND(IF(G97&gt;=$H$2,($H$2*F97+$D$2*(E97-$H$2*F97))*$N$2,IF(G97&gt;=$J$2,E97*$P$2,IF(G97&gt;=$L$2,E97*$R$2,(E97+$F$2*($L$2*F97-E97))*$R$2))),-4)</f>
        <v>47270000</v>
      </c>
      <c r="N97" s="616">
        <f>ROUND(M97*$H$4,-4)</f>
        <v>47500000</v>
      </c>
      <c r="O97" s="616">
        <f>N97+J97</f>
        <v>49100000</v>
      </c>
      <c r="P97" s="618">
        <f>IF(E97=0,0,O97/E97-1)</f>
        <v>0.0491736358007617</v>
      </c>
      <c r="Q97" s="618">
        <f>IF(F97=0,0,O97/F97-1)</f>
        <v>0.146125116713352</v>
      </c>
      <c r="R97" s="618">
        <f>MAX($H$3,MIN($J$3,$D$3-$F$3*(G97-1)))</f>
        <v>0.00349999999999998</v>
      </c>
      <c r="S97" s="616">
        <f>ROUND(MAX(E97*(1+R97),F97*$L$3),-4)</f>
        <v>46960000</v>
      </c>
      <c r="T97" s="616">
        <f>ROUND(S97*$L$4,-4)</f>
        <v>46960000</v>
      </c>
      <c r="U97" s="616">
        <f>T97+J97</f>
        <v>48560000</v>
      </c>
      <c r="V97" s="618">
        <f>IF(E97=0,0,U97/E97-1)</f>
        <v>0.0376348626168024</v>
      </c>
      <c r="W97" s="618">
        <f>IF(F97=0,0,U97/F97-1)</f>
        <v>0.133520074696545</v>
      </c>
    </row>
    <row r="98">
      <c r="A98" s="634">
        <f>'116目標底稿ver1'!B98</f>
        <v>91</v>
      </c>
      <c r="B98" s="636" t="str">
        <f>'116目標底稿ver1'!C98</f>
        <v>北三區</v>
      </c>
      <c r="C98" s="634">
        <f>'116目標底稿ver1'!D98</f>
        <v>240</v>
      </c>
      <c r="D98" s="636" t="str">
        <f>'116目標底稿ver1'!E98</f>
        <v>桃園分行</v>
      </c>
      <c r="E98" s="634">
        <f>'116目標底稿ver1'!G98</f>
        <v>107901864</v>
      </c>
      <c r="F98" s="634">
        <f>'116目標底稿ver1'!I98</f>
        <v>88890000</v>
      </c>
      <c r="G98" s="635">
        <f>'116目標底稿ver1'!J98</f>
        <v>1.21</v>
      </c>
      <c r="H98" s="636" t="str">
        <f>'116目標底稿ver1'!A98</f>
        <v>TYPE_1</v>
      </c>
      <c r="I98" s="634">
        <f>'116目標底稿ver1'!Q98</f>
        <v>107730000</v>
      </c>
      <c r="J98" s="634">
        <f>'116目標底稿ver1'!Y98</f>
        <v>3170000</v>
      </c>
      <c r="K98" s="634">
        <f>'116目標底稿ver1'!Z98</f>
        <v>110900000</v>
      </c>
      <c r="L98" s="618">
        <f>IF(E98=0,0,K98/E98-1)</f>
        <v>0.0277857665183616</v>
      </c>
      <c r="M98" s="616">
        <f>ROUND(IF(G98&gt;=$H$2,($H$2*F98+$D$2*(E98-$H$2*F98))*$N$2,IF(G98&gt;=$J$2,E98*$P$2,IF(G98&gt;=$L$2,E98*$R$2,(E98+$F$2*($L$2*F98-E98))*$R$2))),-4)</f>
        <v>108360000</v>
      </c>
      <c r="N98" s="616">
        <f>ROUND(M98*$H$4,-4)</f>
        <v>108880000</v>
      </c>
      <c r="O98" s="616">
        <f>N98+J98</f>
        <v>112050000</v>
      </c>
      <c r="P98" s="618">
        <f>IF(E98=0,0,O98/E98-1)</f>
        <v>0.0384435990837007</v>
      </c>
      <c r="Q98" s="618">
        <f>IF(F98=0,0,O98/F98-1)</f>
        <v>0.26054674316571</v>
      </c>
      <c r="R98" s="618">
        <f>MAX($H$3,MIN($J$3,$D$3-$F$3*(G98-1)))</f>
        <v>-0.0265</v>
      </c>
      <c r="S98" s="616">
        <f>ROUND(MAX(E98*(1+R98),F98*$L$3),-4)</f>
        <v>105040000</v>
      </c>
      <c r="T98" s="616">
        <f>ROUND(S98*$L$4,-4)</f>
        <v>105030000</v>
      </c>
      <c r="U98" s="616">
        <f>T98+J98</f>
        <v>108200000</v>
      </c>
      <c r="V98" s="618">
        <f>IF(E98=0,0,U98/E98-1)</f>
        <v>0.00276302919104343</v>
      </c>
      <c r="W98" s="618">
        <f>IF(F98=0,0,U98/F98-1)</f>
        <v>0.217234784565193</v>
      </c>
    </row>
    <row r="99">
      <c r="A99" s="634">
        <f>'116目標底稿ver1'!B99</f>
        <v>92</v>
      </c>
      <c r="B99" s="636" t="str">
        <f>'116目標底稿ver1'!C99</f>
        <v>北三區</v>
      </c>
      <c r="C99" s="634">
        <f>'116目標底稿ver1'!D99</f>
        <v>241</v>
      </c>
      <c r="D99" s="636" t="str">
        <f>'116目標底稿ver1'!E99</f>
        <v>中壢分行</v>
      </c>
      <c r="E99" s="634">
        <f>'116目標底稿ver1'!G99</f>
        <v>106580847</v>
      </c>
      <c r="F99" s="634">
        <f>'116目標底稿ver1'!I99</f>
        <v>95850000</v>
      </c>
      <c r="G99" s="635">
        <f>'116目標底稿ver1'!J99</f>
        <v>1.11</v>
      </c>
      <c r="H99" s="636" t="str">
        <f>'116目標底稿ver1'!A99</f>
        <v>TYPE_2</v>
      </c>
      <c r="I99" s="634">
        <f>'116目標底稿ver1'!Q99</f>
        <v>107650000</v>
      </c>
      <c r="J99" s="634">
        <f>'116目標底稿ver1'!Y99</f>
        <v>3300000</v>
      </c>
      <c r="K99" s="634">
        <f>'116目標底稿ver1'!Z99</f>
        <v>110950000</v>
      </c>
      <c r="L99" s="618">
        <f>IF(E99=0,0,K99/E99-1)</f>
        <v>0.0409937913141185</v>
      </c>
      <c r="M99" s="616">
        <f>ROUND(IF(G99&gt;=$H$2,($H$2*F99+$D$2*(E99-$H$2*F99))*$N$2,IF(G99&gt;=$J$2,E99*$P$2,IF(G99&gt;=$L$2,E99*$R$2,(E99+$F$2*($L$2*F99-E99))*$R$2))),-4)</f>
        <v>107650000</v>
      </c>
      <c r="N99" s="616">
        <f>ROUND(M99*$H$4,-4)</f>
        <v>108160000</v>
      </c>
      <c r="O99" s="616">
        <f>N99+J99</f>
        <v>111460000</v>
      </c>
      <c r="P99" s="618">
        <f>IF(E99=0,0,O99/E99-1)</f>
        <v>0.045778891211101</v>
      </c>
      <c r="Q99" s="618">
        <f>IF(F99=0,0,O99/F99-1)</f>
        <v>0.162858633281169</v>
      </c>
      <c r="R99" s="618">
        <f>MAX($H$3,MIN($J$3,$D$3-$F$3*(G99-1)))</f>
        <v>-0.00150000000000003</v>
      </c>
      <c r="S99" s="616">
        <f>ROUND(MAX(E99*(1+R99),F99*$L$3),-4)</f>
        <v>106420000</v>
      </c>
      <c r="T99" s="616">
        <f>ROUND(S99*$L$4,-4)</f>
        <v>106410000</v>
      </c>
      <c r="U99" s="616">
        <f>T99+J99</f>
        <v>109710000</v>
      </c>
      <c r="V99" s="618">
        <f>IF(E99=0,0,U99/E99-1)</f>
        <v>0.0293594307802789</v>
      </c>
      <c r="W99" s="618">
        <f>IF(F99=0,0,U99/F99-1)</f>
        <v>0.144600938967136</v>
      </c>
    </row>
    <row r="100">
      <c r="A100" s="634">
        <f>'116目標底稿ver1'!B100</f>
        <v>93</v>
      </c>
      <c r="B100" s="636" t="str">
        <f>'116目標底稿ver1'!C100</f>
        <v>北三區</v>
      </c>
      <c r="C100" s="634">
        <f>'116目標底稿ver1'!D100</f>
        <v>242</v>
      </c>
      <c r="D100" s="636" t="str">
        <f>'116目標底稿ver1'!E100</f>
        <v>楊梅分行</v>
      </c>
      <c r="E100" s="634">
        <f>'116目標底稿ver1'!G100</f>
        <v>91803483</v>
      </c>
      <c r="F100" s="634">
        <f>'116目標底稿ver1'!I100</f>
        <v>90750000</v>
      </c>
      <c r="G100" s="635">
        <f>'116目標底稿ver1'!J100</f>
        <v>1.01</v>
      </c>
      <c r="H100" s="636" t="str">
        <f>'116目標底稿ver1'!A100</f>
        <v>TYPE_2</v>
      </c>
      <c r="I100" s="634">
        <f>'116目標底稿ver1'!Q100</f>
        <v>92720000</v>
      </c>
      <c r="J100" s="634">
        <f>'116目標底稿ver1'!Y100</f>
        <v>3240000</v>
      </c>
      <c r="K100" s="634">
        <f>'116目標底稿ver1'!Z100</f>
        <v>95960000</v>
      </c>
      <c r="L100" s="618">
        <f>IF(E100=0,0,K100/E100-1)</f>
        <v>0.0452762451289566</v>
      </c>
      <c r="M100" s="616">
        <f>ROUND(IF(G100&gt;=$H$2,($H$2*F100+$D$2*(E100-$H$2*F100))*$N$2,IF(G100&gt;=$J$2,E100*$P$2,IF(G100&gt;=$L$2,E100*$R$2,(E100+$F$2*($L$2*F100-E100))*$R$2))),-4)</f>
        <v>92720000</v>
      </c>
      <c r="N100" s="616">
        <f>ROUND(M100*$H$4,-4)</f>
        <v>93160000</v>
      </c>
      <c r="O100" s="616">
        <f>N100+J100</f>
        <v>96400000</v>
      </c>
      <c r="P100" s="618">
        <f>IF(E100=0,0,O100/E100-1)</f>
        <v>0.0500690916051627</v>
      </c>
      <c r="Q100" s="618">
        <f>IF(F100=0,0,O100/F100-1)</f>
        <v>0.062258953168044</v>
      </c>
      <c r="R100" s="618">
        <f>MAX($H$3,MIN($J$3,$D$3-$F$3*(G100-1)))</f>
        <v>0.0235</v>
      </c>
      <c r="S100" s="616">
        <f>ROUND(MAX(E100*(1+R100),F100*$L$3),-4)</f>
        <v>93960000</v>
      </c>
      <c r="T100" s="616">
        <f>ROUND(S100*$L$4,-4)</f>
        <v>93950000</v>
      </c>
      <c r="U100" s="616">
        <f>T100+J100</f>
        <v>97190000</v>
      </c>
      <c r="V100" s="618">
        <f>IF(E100=0,0,U100/E100-1)</f>
        <v>0.0586744295965329</v>
      </c>
      <c r="W100" s="618">
        <f>IF(F100=0,0,U100/F100-1)</f>
        <v>0.0709641873278237</v>
      </c>
    </row>
    <row r="101">
      <c r="A101" s="634">
        <f>'116目標底稿ver1'!B101</f>
        <v>94</v>
      </c>
      <c r="B101" s="636" t="str">
        <f>'116目標底稿ver1'!C101</f>
        <v>北三區</v>
      </c>
      <c r="C101" s="634">
        <f>'116目標底稿ver1'!D101</f>
        <v>243</v>
      </c>
      <c r="D101" s="636" t="str">
        <f>'116目標底稿ver1'!E101</f>
        <v>壢昌分行</v>
      </c>
      <c r="E101" s="634">
        <f>'116目標底稿ver1'!G101</f>
        <v>55810563</v>
      </c>
      <c r="F101" s="634">
        <f>'116目標底稿ver1'!I101</f>
        <v>66240000</v>
      </c>
      <c r="G101" s="635">
        <f>'116目標底稿ver1'!J101</f>
        <v>0.84</v>
      </c>
      <c r="H101" s="636" t="str">
        <f>'116目標底稿ver1'!A101</f>
        <v>TYPE_3</v>
      </c>
      <c r="I101" s="634">
        <f>'116目標底稿ver1'!Q101</f>
        <v>57480000</v>
      </c>
      <c r="J101" s="634">
        <f>'116目標底稿ver1'!Y101</f>
        <v>2300000</v>
      </c>
      <c r="K101" s="634">
        <f>'116目標底稿ver1'!Z101</f>
        <v>59780000</v>
      </c>
      <c r="L101" s="618">
        <f>IF(E101=0,0,K101/E101-1)</f>
        <v>0.0711234000631744</v>
      </c>
      <c r="M101" s="616">
        <f>ROUND(IF(G101&gt;=$H$2,($H$2*F101+$D$2*(E101-$H$2*F101))*$N$2,IF(G101&gt;=$J$2,E101*$P$2,IF(G101&gt;=$L$2,E101*$R$2,(E101+$F$2*($L$2*F101-E101))*$R$2))),-4)</f>
        <v>57480000</v>
      </c>
      <c r="N101" s="616">
        <f>ROUND(M101*$H$4,-4)</f>
        <v>57750000</v>
      </c>
      <c r="O101" s="616">
        <f>N101+J101</f>
        <v>60050000</v>
      </c>
      <c r="P101" s="618">
        <f>IF(E101=0,0,O101/E101-1)</f>
        <v>0.0759611939410108</v>
      </c>
      <c r="Q101" s="618">
        <f>IF(F101=0,0,O101/F101-1)</f>
        <v>-0.0934480676328503</v>
      </c>
      <c r="R101" s="618">
        <f>MAX($H$3,MIN($J$3,$D$3-$F$3*(G101-1)))</f>
        <v>0.066</v>
      </c>
      <c r="S101" s="616">
        <f>ROUND(MAX(E101*(1+R101),F101*$L$3),-4)</f>
        <v>59490000</v>
      </c>
      <c r="T101" s="616">
        <f>ROUND(S101*$L$4,-4)</f>
        <v>59490000</v>
      </c>
      <c r="U101" s="616">
        <f>T101+J101</f>
        <v>61790000</v>
      </c>
      <c r="V101" s="618">
        <f>IF(E101=0,0,U101/E101-1)</f>
        <v>0.107138087820401</v>
      </c>
      <c r="W101" s="618">
        <f>IF(F101=0,0,U101/F101-1)</f>
        <v>-0.0671799516908213</v>
      </c>
    </row>
    <row r="102">
      <c r="A102" s="634">
        <f>'116目標底稿ver1'!B102</f>
        <v>95</v>
      </c>
      <c r="B102" s="636" t="str">
        <f>'116目標底稿ver1'!C102</f>
        <v>北三區</v>
      </c>
      <c r="C102" s="634">
        <f>'116目標底稿ver1'!D102</f>
        <v>244</v>
      </c>
      <c r="D102" s="636" t="str">
        <f>'116目標底稿ver1'!E102</f>
        <v>北桃園分行</v>
      </c>
      <c r="E102" s="634">
        <f>'116目標底稿ver1'!G102</f>
        <v>101727026</v>
      </c>
      <c r="F102" s="634">
        <f>'116目標底稿ver1'!I102</f>
        <v>86720000</v>
      </c>
      <c r="G102" s="635">
        <f>'116目標底稿ver1'!J102</f>
        <v>1.17</v>
      </c>
      <c r="H102" s="636" t="str">
        <f>'116目標底稿ver1'!A102</f>
        <v>TYPE_2</v>
      </c>
      <c r="I102" s="634">
        <f>'116目標底稿ver1'!Q102</f>
        <v>102740000</v>
      </c>
      <c r="J102" s="634">
        <f>'116目標底稿ver1'!Y102</f>
        <v>2880000</v>
      </c>
      <c r="K102" s="634">
        <f>'116目標底稿ver1'!Z102</f>
        <v>105620000</v>
      </c>
      <c r="L102" s="618">
        <f>IF(E102=0,0,K102/E102-1)</f>
        <v>0.0382688274008916</v>
      </c>
      <c r="M102" s="616">
        <f>ROUND(IF(G102&gt;=$H$2,($H$2*F102+$D$2*(E102-$H$2*F102))*$N$2,IF(G102&gt;=$J$2,E102*$P$2,IF(G102&gt;=$L$2,E102*$R$2,(E102+$F$2*($L$2*F102-E102))*$R$2))),-4)</f>
        <v>102740000</v>
      </c>
      <c r="N102" s="616">
        <f>ROUND(M102*$H$4,-4)</f>
        <v>103230000</v>
      </c>
      <c r="O102" s="616">
        <f>N102+J102</f>
        <v>106110000</v>
      </c>
      <c r="P102" s="618">
        <f>IF(E102=0,0,O102/E102-1)</f>
        <v>0.043085639798415</v>
      </c>
      <c r="Q102" s="618">
        <f>IF(F102=0,0,O102/F102-1)</f>
        <v>0.223593173431734</v>
      </c>
      <c r="R102" s="618">
        <f>MAX($H$3,MIN($J$3,$D$3-$F$3*(G102-1)))</f>
        <v>-0.0165</v>
      </c>
      <c r="S102" s="616">
        <f>ROUND(MAX(E102*(1+R102),F102*$L$3),-4)</f>
        <v>100050000</v>
      </c>
      <c r="T102" s="616">
        <f>ROUND(S102*$L$4,-4)</f>
        <v>100040000</v>
      </c>
      <c r="U102" s="616">
        <f>T102+J102</f>
        <v>102920000</v>
      </c>
      <c r="V102" s="618">
        <f>IF(E102=0,0,U102/E102-1)</f>
        <v>0.0117272080675985</v>
      </c>
      <c r="W102" s="618">
        <f>IF(F102=0,0,U102/F102-1)</f>
        <v>0.186808118081181</v>
      </c>
    </row>
    <row r="103">
      <c r="A103" s="634">
        <f>'116目標底稿ver1'!B103</f>
        <v>96</v>
      </c>
      <c r="B103" s="636" t="str">
        <f>'116目標底稿ver1'!C103</f>
        <v>北三區</v>
      </c>
      <c r="C103" s="634">
        <f>'116目標底稿ver1'!D103</f>
        <v>245</v>
      </c>
      <c r="D103" s="636" t="str">
        <f>'116目標底稿ver1'!E103</f>
        <v>南崁分行</v>
      </c>
      <c r="E103" s="634">
        <f>'116目標底稿ver1'!G103</f>
        <v>69926506</v>
      </c>
      <c r="F103" s="634">
        <f>'116目標底稿ver1'!I103</f>
        <v>53800000</v>
      </c>
      <c r="G103" s="635">
        <f>'116目標底稿ver1'!J103</f>
        <v>1.3</v>
      </c>
      <c r="H103" s="636" t="str">
        <f>'116目標底稿ver1'!A103</f>
        <v>TYPE_1</v>
      </c>
      <c r="I103" s="634">
        <f>'116目標底稿ver1'!Q103</f>
        <v>65210000</v>
      </c>
      <c r="J103" s="634">
        <f>'116目標底稿ver1'!Y103</f>
        <v>2120000</v>
      </c>
      <c r="K103" s="634">
        <f>'116目標底稿ver1'!Z103</f>
        <v>67330000</v>
      </c>
      <c r="L103" s="618">
        <f>IF(E103=0,0,K103/E103-1)</f>
        <v>-0.0371319281990151</v>
      </c>
      <c r="M103" s="616">
        <f>ROUND(IF(G103&gt;=$H$2,($H$2*F103+$D$2*(E103-$H$2*F103))*$N$2,IF(G103&gt;=$J$2,E103*$P$2,IF(G103&gt;=$L$2,E103*$R$2,(E103+$F$2*($L$2*F103-E103))*$R$2))),-4)</f>
        <v>67920000</v>
      </c>
      <c r="N103" s="616">
        <f>ROUND(M103*$H$4,-4)</f>
        <v>68240000</v>
      </c>
      <c r="O103" s="616">
        <f>N103+J103</f>
        <v>70360000</v>
      </c>
      <c r="P103" s="618">
        <f>IF(E103=0,0,O103/E103-1)</f>
        <v>0.00619928014135307</v>
      </c>
      <c r="Q103" s="618">
        <f>IF(F103=0,0,O103/F103-1)</f>
        <v>0.307806691449814</v>
      </c>
      <c r="R103" s="618">
        <f>MAX($H$3,MIN($J$3,$D$3-$F$3*(G103-1)))</f>
        <v>-0.049</v>
      </c>
      <c r="S103" s="616">
        <f>ROUND(MAX(E103*(1+R103),F103*$L$3),-4)</f>
        <v>66500000</v>
      </c>
      <c r="T103" s="616">
        <f>ROUND(S103*$L$4,-4)</f>
        <v>66500000</v>
      </c>
      <c r="U103" s="616">
        <f>T103+J103</f>
        <v>68620000</v>
      </c>
      <c r="V103" s="618">
        <f>IF(E103=0,0,U103/E103-1)</f>
        <v>-0.018683988014502</v>
      </c>
      <c r="W103" s="618">
        <f>IF(F103=0,0,U103/F103-1)</f>
        <v>0.27546468401487</v>
      </c>
    </row>
    <row r="104">
      <c r="A104" s="634">
        <f>'116目標底稿ver1'!B104</f>
        <v>97</v>
      </c>
      <c r="B104" s="636" t="str">
        <f>'116目標底稿ver1'!C104</f>
        <v>北三區</v>
      </c>
      <c r="C104" s="634">
        <f>'116目標底稿ver1'!D104</f>
        <v>246</v>
      </c>
      <c r="D104" s="636" t="str">
        <f>'116目標底稿ver1'!E104</f>
        <v>平鎮分行</v>
      </c>
      <c r="E104" s="634">
        <f>'116目標底稿ver1'!G104</f>
        <v>57385143</v>
      </c>
      <c r="F104" s="634">
        <f>'116目標底稿ver1'!I104</f>
        <v>58750000</v>
      </c>
      <c r="G104" s="635">
        <f>'116目標底稿ver1'!J104</f>
        <v>0.98</v>
      </c>
      <c r="H104" s="636" t="str">
        <f>'116目標底稿ver1'!A104</f>
        <v>TYPE_3</v>
      </c>
      <c r="I104" s="634">
        <f>'116目標底稿ver1'!Q104</f>
        <v>59110000</v>
      </c>
      <c r="J104" s="634">
        <f>'116目標底稿ver1'!Y104</f>
        <v>2200000</v>
      </c>
      <c r="K104" s="634">
        <f>'116目標底稿ver1'!Z104</f>
        <v>61310000</v>
      </c>
      <c r="L104" s="618">
        <f>IF(E104=0,0,K104/E104-1)</f>
        <v>0.0683950025183349</v>
      </c>
      <c r="M104" s="616">
        <f>ROUND(IF(G104&gt;=$H$2,($H$2*F104+$D$2*(E104-$H$2*F104))*$N$2,IF(G104&gt;=$J$2,E104*$P$2,IF(G104&gt;=$L$2,E104*$R$2,(E104+$F$2*($L$2*F104-E104))*$R$2))),-4)</f>
        <v>59110000</v>
      </c>
      <c r="N104" s="616">
        <f>ROUND(M104*$H$4,-4)</f>
        <v>59390000</v>
      </c>
      <c r="O104" s="616">
        <f>N104+J104</f>
        <v>61590000</v>
      </c>
      <c r="P104" s="618">
        <f>IF(E104=0,0,O104/E104-1)</f>
        <v>0.0732743142245023</v>
      </c>
      <c r="Q104" s="618">
        <f>IF(F104=0,0,O104/F104-1)</f>
        <v>0.0483404255319149</v>
      </c>
      <c r="R104" s="618">
        <f>MAX($H$3,MIN($J$3,$D$3-$F$3*(G104-1)))</f>
        <v>0.031</v>
      </c>
      <c r="S104" s="616">
        <f>ROUND(MAX(E104*(1+R104),F104*$L$3),-4)</f>
        <v>59160000</v>
      </c>
      <c r="T104" s="616">
        <f>ROUND(S104*$L$4,-4)</f>
        <v>59160000</v>
      </c>
      <c r="U104" s="616">
        <f>T104+J104</f>
        <v>61360000</v>
      </c>
      <c r="V104" s="618">
        <f>IF(E104=0,0,U104/E104-1)</f>
        <v>0.0692663081801503</v>
      </c>
      <c r="W104" s="618">
        <f>IF(F104=0,0,U104/F104-1)</f>
        <v>0.0444255319148936</v>
      </c>
    </row>
    <row r="105">
      <c r="A105" s="634">
        <f>'116目標底稿ver1'!B105</f>
        <v>98</v>
      </c>
      <c r="B105" s="636" t="str">
        <f>'116目標底稿ver1'!C105</f>
        <v>北三區</v>
      </c>
      <c r="C105" s="634">
        <f>'116目標底稿ver1'!D105</f>
        <v>247</v>
      </c>
      <c r="D105" s="636" t="str">
        <f>'116目標底稿ver1'!E105</f>
        <v>八德分行</v>
      </c>
      <c r="E105" s="634">
        <f>'116目標底稿ver1'!G105</f>
        <v>81347580</v>
      </c>
      <c r="F105" s="634">
        <f>'116目標底稿ver1'!I105</f>
        <v>59780000</v>
      </c>
      <c r="G105" s="635">
        <f>'116目標底稿ver1'!J105</f>
        <v>1.36</v>
      </c>
      <c r="H105" s="636" t="str">
        <f>'116目標底稿ver1'!A105</f>
        <v>TYPE_1</v>
      </c>
      <c r="I105" s="634">
        <f>'116目標底稿ver1'!Q105</f>
        <v>72450000</v>
      </c>
      <c r="J105" s="634">
        <f>'116目標底稿ver1'!Y105</f>
        <v>2400000</v>
      </c>
      <c r="K105" s="634">
        <f>'116目標底稿ver1'!Z105</f>
        <v>74850000</v>
      </c>
      <c r="L105" s="618">
        <f>IF(E105=0,0,K105/E105-1)</f>
        <v>-0.0798742875940501</v>
      </c>
      <c r="M105" s="616">
        <f>ROUND(IF(G105&gt;=$H$2,($H$2*F105+$D$2*(E105-$H$2*F105))*$N$2,IF(G105&gt;=$J$2,E105*$P$2,IF(G105&gt;=$L$2,E105*$R$2,(E105+$F$2*($L$2*F105-E105))*$R$2))),-4)</f>
        <v>77310000</v>
      </c>
      <c r="N105" s="616">
        <f>ROUND(M105*$H$4,-4)</f>
        <v>77680000</v>
      </c>
      <c r="O105" s="616">
        <f>N105+J105</f>
        <v>80080000</v>
      </c>
      <c r="P105" s="618">
        <f>IF(E105=0,0,O105/E105-1)</f>
        <v>-0.0155822705481835</v>
      </c>
      <c r="Q105" s="618">
        <f>IF(F105=0,0,O105/F105-1)</f>
        <v>0.339578454332553</v>
      </c>
      <c r="R105" s="618">
        <f>MAX($H$3,MIN($J$3,$D$3-$F$3*(G105-1)))</f>
        <v>-0.064</v>
      </c>
      <c r="S105" s="616">
        <f>ROUND(MAX(E105*(1+R105),F105*$L$3),-4)</f>
        <v>76140000</v>
      </c>
      <c r="T105" s="616">
        <f>ROUND(S105*$L$4,-4)</f>
        <v>76130000</v>
      </c>
      <c r="U105" s="616">
        <f>T105+J105</f>
        <v>78530000</v>
      </c>
      <c r="V105" s="618">
        <f>IF(E105=0,0,U105/E105-1)</f>
        <v>-0.0346363100168438</v>
      </c>
      <c r="W105" s="618">
        <f>IF(F105=0,0,U105/F105-1)</f>
        <v>0.313650050184008</v>
      </c>
    </row>
    <row r="106">
      <c r="A106" s="634">
        <f>'116目標底稿ver1'!B106</f>
        <v>99</v>
      </c>
      <c r="B106" s="636" t="str">
        <f>'116目標底稿ver1'!C106</f>
        <v>北三區</v>
      </c>
      <c r="C106" s="634">
        <f>'116目標底稿ver1'!D106</f>
        <v>248</v>
      </c>
      <c r="D106" s="636" t="str">
        <f>'116目標底稿ver1'!E106</f>
        <v>龜山分行</v>
      </c>
      <c r="E106" s="634">
        <f>'116目標底稿ver1'!G106</f>
        <v>75643659</v>
      </c>
      <c r="F106" s="634">
        <f>'116目標底稿ver1'!I106</f>
        <v>62590000</v>
      </c>
      <c r="G106" s="635">
        <f>'116目標底稿ver1'!J106</f>
        <v>1.21</v>
      </c>
      <c r="H106" s="636" t="str">
        <f>'116目標底稿ver1'!A106</f>
        <v>TYPE_1</v>
      </c>
      <c r="I106" s="634">
        <f>'116目標底稿ver1'!Q106</f>
        <v>75860000</v>
      </c>
      <c r="J106" s="634">
        <f>'116目標底稿ver1'!Y106</f>
        <v>2270000</v>
      </c>
      <c r="K106" s="634">
        <f>'116目標底稿ver1'!Z106</f>
        <v>78130000</v>
      </c>
      <c r="L106" s="618">
        <f>IF(E106=0,0,K106/E106-1)</f>
        <v>0.0328691265450287</v>
      </c>
      <c r="M106" s="616">
        <f>ROUND(IF(G106&gt;=$H$2,($H$2*F106+$D$2*(E106-$H$2*F106))*$N$2,IF(G106&gt;=$J$2,E106*$P$2,IF(G106&gt;=$L$2,E106*$R$2,(E106+$F$2*($L$2*F106-E106))*$R$2))),-4)</f>
        <v>76130000</v>
      </c>
      <c r="N106" s="616">
        <f>ROUND(M106*$H$4,-4)</f>
        <v>76490000</v>
      </c>
      <c r="O106" s="616">
        <f>N106+J106</f>
        <v>78760000</v>
      </c>
      <c r="P106" s="618">
        <f>IF(E106=0,0,O106/E106-1)</f>
        <v>0.0411976501559768</v>
      </c>
      <c r="Q106" s="618">
        <f>IF(F106=0,0,O106/F106-1)</f>
        <v>0.258347978910369</v>
      </c>
      <c r="R106" s="618">
        <f>MAX($H$3,MIN($J$3,$D$3-$F$3*(G106-1)))</f>
        <v>-0.0265</v>
      </c>
      <c r="S106" s="616">
        <f>ROUND(MAX(E106*(1+R106),F106*$L$3),-4)</f>
        <v>73640000</v>
      </c>
      <c r="T106" s="616">
        <f>ROUND(S106*$L$4,-4)</f>
        <v>73630000</v>
      </c>
      <c r="U106" s="616">
        <f>T106+J106</f>
        <v>75900000</v>
      </c>
      <c r="V106" s="618">
        <f>IF(E106=0,0,U106/E106-1)</f>
        <v>0.00338879693802219</v>
      </c>
      <c r="W106" s="618">
        <f>IF(F106=0,0,U106/F106-1)</f>
        <v>0.212653778558875</v>
      </c>
    </row>
    <row r="107">
      <c r="A107" s="634">
        <f>'116目標底稿ver1'!B107</f>
        <v>100</v>
      </c>
      <c r="B107" s="636" t="str">
        <f>'116目標底稿ver1'!C107</f>
        <v>北三區</v>
      </c>
      <c r="C107" s="634">
        <f>'116目標底稿ver1'!D107</f>
        <v>249</v>
      </c>
      <c r="D107" s="636" t="str">
        <f>'116目標底稿ver1'!E107</f>
        <v>龍潭分行</v>
      </c>
      <c r="E107" s="634">
        <f>'116目標底稿ver1'!G107</f>
        <v>63209896</v>
      </c>
      <c r="F107" s="634">
        <f>'116目標底稿ver1'!I107</f>
        <v>48750000</v>
      </c>
      <c r="G107" s="635">
        <f>'116目標底稿ver1'!J107</f>
        <v>1.3</v>
      </c>
      <c r="H107" s="636" t="str">
        <f>'116目標底稿ver1'!A107</f>
        <v>TYPE_1</v>
      </c>
      <c r="I107" s="634">
        <f>'116目標底稿ver1'!Q107</f>
        <v>59090000</v>
      </c>
      <c r="J107" s="634">
        <f>'116目標底稿ver1'!Y107</f>
        <v>1620000</v>
      </c>
      <c r="K107" s="634">
        <f>'116目標底稿ver1'!Z107</f>
        <v>60710000</v>
      </c>
      <c r="L107" s="618">
        <f>IF(E107=0,0,K107/E107-1)</f>
        <v>-0.0395491237637854</v>
      </c>
      <c r="M107" s="616">
        <f>ROUND(IF(G107&gt;=$H$2,($H$2*F107+$D$2*(E107-$H$2*F107))*$N$2,IF(G107&gt;=$J$2,E107*$P$2,IF(G107&gt;=$L$2,E107*$R$2,(E107+$F$2*($L$2*F107-E107))*$R$2))),-4)</f>
        <v>61460000</v>
      </c>
      <c r="N107" s="616">
        <f>ROUND(M107*$H$4,-4)</f>
        <v>61750000</v>
      </c>
      <c r="O107" s="616">
        <f>N107+J107</f>
        <v>63370000</v>
      </c>
      <c r="P107" s="618">
        <f>IF(E107=0,0,O107/E107-1)</f>
        <v>0.00253289453284333</v>
      </c>
      <c r="Q107" s="618">
        <f>IF(F107=0,0,O107/F107-1)</f>
        <v>0.299897435897436</v>
      </c>
      <c r="R107" s="618">
        <f>MAX($H$3,MIN($J$3,$D$3-$F$3*(G107-1)))</f>
        <v>-0.049</v>
      </c>
      <c r="S107" s="616">
        <f>ROUND(MAX(E107*(1+R107),F107*$L$3),-4)</f>
        <v>60110000</v>
      </c>
      <c r="T107" s="616">
        <f>ROUND(S107*$L$4,-4)</f>
        <v>60110000</v>
      </c>
      <c r="U107" s="616">
        <f>T107+J107</f>
        <v>61730000</v>
      </c>
      <c r="V107" s="618">
        <f>IF(E107=0,0,U107/E107-1)</f>
        <v>-0.0234124099808676</v>
      </c>
      <c r="W107" s="618">
        <f>IF(F107=0,0,U107/F107-1)</f>
        <v>0.26625641025641</v>
      </c>
    </row>
    <row r="108">
      <c r="A108" s="634">
        <f>'116目標底稿ver1'!B108</f>
        <v>101</v>
      </c>
      <c r="B108" s="636" t="str">
        <f>'116目標底稿ver1'!C108</f>
        <v>北三區</v>
      </c>
      <c r="C108" s="634">
        <f>'116目標底稿ver1'!D108</f>
        <v>250</v>
      </c>
      <c r="D108" s="636" t="str">
        <f>'116目標底稿ver1'!E108</f>
        <v>大溪分行</v>
      </c>
      <c r="E108" s="634">
        <f>'116目標底稿ver1'!G108</f>
        <v>44525345</v>
      </c>
      <c r="F108" s="634">
        <f>'116目標底稿ver1'!I108</f>
        <v>36600000</v>
      </c>
      <c r="G108" s="635">
        <f>'116目標底稿ver1'!J108</f>
        <v>1.22</v>
      </c>
      <c r="H108" s="636" t="str">
        <f>'116目標底稿ver1'!A108</f>
        <v>TYPE_1</v>
      </c>
      <c r="I108" s="634">
        <f>'116目標底稿ver1'!Q108</f>
        <v>44360000</v>
      </c>
      <c r="J108" s="634">
        <f>'116目標底稿ver1'!Y108</f>
        <v>1430000</v>
      </c>
      <c r="K108" s="634">
        <f>'116目標底稿ver1'!Z108</f>
        <v>45790000</v>
      </c>
      <c r="L108" s="618">
        <f>IF(E108=0,0,K108/E108-1)</f>
        <v>0.0284030365177406</v>
      </c>
      <c r="M108" s="616">
        <f>ROUND(IF(G108&gt;=$H$2,($H$2*F108+$D$2*(E108-$H$2*F108))*$N$2,IF(G108&gt;=$J$2,E108*$P$2,IF(G108&gt;=$L$2,E108*$R$2,(E108+$F$2*($L$2*F108-E108))*$R$2))),-4)</f>
        <v>44660000</v>
      </c>
      <c r="N108" s="616">
        <f>ROUND(M108*$H$4,-4)</f>
        <v>44870000</v>
      </c>
      <c r="O108" s="616">
        <f>N108+J108</f>
        <v>46300000</v>
      </c>
      <c r="P108" s="618">
        <f>IF(E108=0,0,O108/E108-1)</f>
        <v>0.0398571869572262</v>
      </c>
      <c r="Q108" s="618">
        <f>IF(F108=0,0,O108/F108-1)</f>
        <v>0.265027322404372</v>
      </c>
      <c r="R108" s="618">
        <f>MAX($H$3,MIN($J$3,$D$3-$F$3*(G108-1)))</f>
        <v>-0.029</v>
      </c>
      <c r="S108" s="616">
        <f>ROUND(MAX(E108*(1+R108),F108*$L$3),-4)</f>
        <v>43230000</v>
      </c>
      <c r="T108" s="616">
        <f>ROUND(S108*$L$4,-4)</f>
        <v>43230000</v>
      </c>
      <c r="U108" s="616">
        <f>T108+J108</f>
        <v>44660000</v>
      </c>
      <c r="V108" s="618">
        <f>IF(E108=0,0,U108/E108-1)</f>
        <v>0.00302423260280182</v>
      </c>
      <c r="W108" s="618">
        <f>IF(F108=0,0,U108/F108-1)</f>
        <v>0.220218579234973</v>
      </c>
    </row>
    <row r="109">
      <c r="A109" s="634">
        <f>'116目標底稿ver1'!B109</f>
        <v>102</v>
      </c>
      <c r="B109" s="636" t="str">
        <f>'116目標底稿ver1'!C109</f>
        <v>北三區</v>
      </c>
      <c r="C109" s="634">
        <f>'116目標底稿ver1'!D109</f>
        <v>251</v>
      </c>
      <c r="D109" s="636" t="str">
        <f>'116目標底稿ver1'!E109</f>
        <v>內壢分行</v>
      </c>
      <c r="E109" s="634">
        <f>'116目標底稿ver1'!G109</f>
        <v>46850859</v>
      </c>
      <c r="F109" s="634">
        <f>'116目標底稿ver1'!I109</f>
        <v>40520000</v>
      </c>
      <c r="G109" s="635">
        <f>'116目標底稿ver1'!J109</f>
        <v>1.16</v>
      </c>
      <c r="H109" s="636" t="str">
        <f>'116目標底稿ver1'!A109</f>
        <v>TYPE_2</v>
      </c>
      <c r="I109" s="634">
        <f>'116目標底稿ver1'!Q109</f>
        <v>47320000</v>
      </c>
      <c r="J109" s="634">
        <f>'116目標底稿ver1'!Y109</f>
        <v>1680000</v>
      </c>
      <c r="K109" s="634">
        <f>'116目標底稿ver1'!Z109</f>
        <v>49000000</v>
      </c>
      <c r="L109" s="618">
        <f>IF(E109=0,0,K109/E109-1)</f>
        <v>0.0458719657626769</v>
      </c>
      <c r="M109" s="616">
        <f>ROUND(IF(G109&gt;=$H$2,($H$2*F109+$D$2*(E109-$H$2*F109))*$N$2,IF(G109&gt;=$J$2,E109*$P$2,IF(G109&gt;=$L$2,E109*$R$2,(E109+$F$2*($L$2*F109-E109))*$R$2))),-4)</f>
        <v>47320000</v>
      </c>
      <c r="N109" s="616">
        <f>ROUND(M109*$H$4,-4)</f>
        <v>47550000</v>
      </c>
      <c r="O109" s="616">
        <f>N109+J109</f>
        <v>49230000</v>
      </c>
      <c r="P109" s="618">
        <f>IF(E109=0,0,O109/E109-1)</f>
        <v>0.0507811607040118</v>
      </c>
      <c r="Q109" s="618">
        <f>IF(F109=0,0,O109/F109-1)</f>
        <v>0.214955577492596</v>
      </c>
      <c r="R109" s="618">
        <f>MAX($H$3,MIN($J$3,$D$3-$F$3*(G109-1)))</f>
        <v>-0.014</v>
      </c>
      <c r="S109" s="616">
        <f>ROUND(MAX(E109*(1+R109),F109*$L$3),-4)</f>
        <v>46190000</v>
      </c>
      <c r="T109" s="616">
        <f>ROUND(S109*$L$4,-4)</f>
        <v>46190000</v>
      </c>
      <c r="U109" s="616">
        <f>T109+J109</f>
        <v>47870000</v>
      </c>
      <c r="V109" s="618">
        <f>IF(E109=0,0,U109/E109-1)</f>
        <v>0.0217528775726397</v>
      </c>
      <c r="W109" s="618">
        <f>IF(F109=0,0,U109/F109-1)</f>
        <v>0.181391905231984</v>
      </c>
    </row>
    <row r="110">
      <c r="A110" s="634">
        <f>'116目標底稿ver1'!B110</f>
        <v>103</v>
      </c>
      <c r="B110" s="636" t="str">
        <f>'116目標底稿ver1'!C110</f>
        <v>北三區</v>
      </c>
      <c r="C110" s="634">
        <f>'116目標底稿ver1'!D110</f>
        <v>252</v>
      </c>
      <c r="D110" s="636" t="str">
        <f>'116目標底稿ver1'!E110</f>
        <v>林口分行</v>
      </c>
      <c r="E110" s="634">
        <f>'116目標底稿ver1'!G110</f>
        <v>55431786</v>
      </c>
      <c r="F110" s="634">
        <f>'116目標底稿ver1'!I110</f>
        <v>61310000</v>
      </c>
      <c r="G110" s="635">
        <f>'116目標底稿ver1'!J110</f>
        <v>0.9</v>
      </c>
      <c r="H110" s="636" t="str">
        <f>'116目標底稿ver1'!A110</f>
        <v>TYPE_3</v>
      </c>
      <c r="I110" s="634">
        <f>'116目標底稿ver1'!Q110</f>
        <v>57090000</v>
      </c>
      <c r="J110" s="634">
        <f>'116目標底稿ver1'!Y110</f>
        <v>2420000</v>
      </c>
      <c r="K110" s="634">
        <f>'116目標底稿ver1'!Z110</f>
        <v>59510000</v>
      </c>
      <c r="L110" s="618">
        <f>IF(E110=0,0,K110/E110-1)</f>
        <v>0.0735717589904104</v>
      </c>
      <c r="M110" s="616">
        <f>ROUND(IF(G110&gt;=$H$2,($H$2*F110+$D$2*(E110-$H$2*F110))*$N$2,IF(G110&gt;=$J$2,E110*$P$2,IF(G110&gt;=$L$2,E110*$R$2,(E110+$F$2*($L$2*F110-E110))*$R$2))),-4)</f>
        <v>57090000</v>
      </c>
      <c r="N110" s="616">
        <f>ROUND(M110*$H$4,-4)</f>
        <v>57360000</v>
      </c>
      <c r="O110" s="616">
        <f>N110+J110</f>
        <v>59780000</v>
      </c>
      <c r="P110" s="618">
        <f>IF(E110=0,0,O110/E110-1)</f>
        <v>0.0784426105267473</v>
      </c>
      <c r="Q110" s="618">
        <f>IF(F110=0,0,O110/F110-1)</f>
        <v>-0.0249551459794487</v>
      </c>
      <c r="R110" s="618">
        <f>MAX($H$3,MIN($J$3,$D$3-$F$3*(G110-1)))</f>
        <v>0.051</v>
      </c>
      <c r="S110" s="616">
        <f>ROUND(MAX(E110*(1+R110),F110*$L$3),-4)</f>
        <v>58260000</v>
      </c>
      <c r="T110" s="616">
        <f>ROUND(S110*$L$4,-4)</f>
        <v>58260000</v>
      </c>
      <c r="U110" s="616">
        <f>T110+J110</f>
        <v>60680000</v>
      </c>
      <c r="V110" s="618">
        <f>IF(E110=0,0,U110/E110-1)</f>
        <v>0.094678782314537</v>
      </c>
      <c r="W110" s="618">
        <f>IF(F110=0,0,U110/F110-1)</f>
        <v>-0.0102756483444789</v>
      </c>
    </row>
    <row r="111">
      <c r="A111" s="634">
        <f>'116目標底稿ver1'!B111</f>
        <v>104</v>
      </c>
      <c r="B111" s="636" t="str">
        <f>'116目標底稿ver1'!C111</f>
        <v>北三區</v>
      </c>
      <c r="C111" s="634">
        <f>'116目標底稿ver1'!D111</f>
        <v>260</v>
      </c>
      <c r="D111" s="636" t="str">
        <f>'116目標底稿ver1'!E111</f>
        <v>觀音分行</v>
      </c>
      <c r="E111" s="634">
        <f>'116目標底稿ver1'!G111</f>
        <v>88959282</v>
      </c>
      <c r="F111" s="634">
        <f>'116目標底稿ver1'!I111</f>
        <v>77470000</v>
      </c>
      <c r="G111" s="635">
        <f>'116目標底稿ver1'!J111</f>
        <v>1.15</v>
      </c>
      <c r="H111" s="636" t="str">
        <f>'116目標底稿ver1'!A111</f>
        <v>TYPE_2</v>
      </c>
      <c r="I111" s="634">
        <f>'116目標底稿ver1'!Q111</f>
        <v>89850000</v>
      </c>
      <c r="J111" s="634">
        <f>'116目標底稿ver1'!Y111</f>
        <v>2820000</v>
      </c>
      <c r="K111" s="634">
        <f>'116目標底稿ver1'!Z111</f>
        <v>92670000</v>
      </c>
      <c r="L111" s="618">
        <f>IF(E111=0,0,K111/E111-1)</f>
        <v>0.0417125443975592</v>
      </c>
      <c r="M111" s="616">
        <f>ROUND(IF(G111&gt;=$H$2,($H$2*F111+$D$2*(E111-$H$2*F111))*$N$2,IF(G111&gt;=$J$2,E111*$P$2,IF(G111&gt;=$L$2,E111*$R$2,(E111+$F$2*($L$2*F111-E111))*$R$2))),-4)</f>
        <v>89850000</v>
      </c>
      <c r="N111" s="616">
        <f>ROUND(M111*$H$4,-4)</f>
        <v>90280000</v>
      </c>
      <c r="O111" s="616">
        <f>N111+J111</f>
        <v>93100000</v>
      </c>
      <c r="P111" s="618">
        <f>IF(E111=0,0,O111/E111-1)</f>
        <v>0.0465462165038608</v>
      </c>
      <c r="Q111" s="618">
        <f>IF(F111=0,0,O111/F111-1)</f>
        <v>0.201755518265135</v>
      </c>
      <c r="R111" s="618">
        <f>MAX($H$3,MIN($J$3,$D$3-$F$3*(G111-1)))</f>
        <v>-0.0115</v>
      </c>
      <c r="S111" s="616">
        <f>ROUND(MAX(E111*(1+R111),F111*$L$3),-4)</f>
        <v>87940000</v>
      </c>
      <c r="T111" s="616">
        <f>ROUND(S111*$L$4,-4)</f>
        <v>87930000</v>
      </c>
      <c r="U111" s="616">
        <f>T111+J111</f>
        <v>90750000</v>
      </c>
      <c r="V111" s="618">
        <f>IF(E111=0,0,U111/E111-1)</f>
        <v>0.0201296363880275</v>
      </c>
      <c r="W111" s="618">
        <f>IF(F111=0,0,U111/F111-1)</f>
        <v>0.171421195301407</v>
      </c>
    </row>
    <row r="112">
      <c r="A112" s="634">
        <f>'116目標底稿ver1'!B112</f>
        <v>105</v>
      </c>
      <c r="B112" s="636" t="str">
        <f>'116目標底稿ver1'!C112</f>
        <v>北三區</v>
      </c>
      <c r="C112" s="634">
        <f>'116目標底稿ver1'!D112</f>
        <v>262</v>
      </c>
      <c r="D112" s="636" t="str">
        <f>'116目標底稿ver1'!E112</f>
        <v>大園分行</v>
      </c>
      <c r="E112" s="634">
        <f>'116目標底稿ver1'!G112</f>
        <v>55046028</v>
      </c>
      <c r="F112" s="634">
        <f>'116目標底稿ver1'!I112</f>
        <v>59520000</v>
      </c>
      <c r="G112" s="635">
        <f>'116目標底稿ver1'!J112</f>
        <v>0.92</v>
      </c>
      <c r="H112" s="636" t="str">
        <f>'116目標底稿ver1'!A112</f>
        <v>TYPE_3</v>
      </c>
      <c r="I112" s="634">
        <f>'116目標底稿ver1'!Q112</f>
        <v>56700000</v>
      </c>
      <c r="J112" s="634">
        <f>'116目標底稿ver1'!Y112</f>
        <v>2150000</v>
      </c>
      <c r="K112" s="634">
        <f>'116目標底稿ver1'!Z112</f>
        <v>58850000</v>
      </c>
      <c r="L112" s="618">
        <f>IF(E112=0,0,K112/E112-1)</f>
        <v>0.0691052949360851</v>
      </c>
      <c r="M112" s="616">
        <f>ROUND(IF(G112&gt;=$H$2,($H$2*F112+$D$2*(E112-$H$2*F112))*$N$2,IF(G112&gt;=$J$2,E112*$P$2,IF(G112&gt;=$L$2,E112*$R$2,(E112+$F$2*($L$2*F112-E112))*$R$2))),-4)</f>
        <v>56700000</v>
      </c>
      <c r="N112" s="616">
        <f>ROUND(M112*$H$4,-4)</f>
        <v>56970000</v>
      </c>
      <c r="O112" s="616">
        <f>N112+J112</f>
        <v>59120000</v>
      </c>
      <c r="P112" s="618">
        <f>IF(E112=0,0,O112/E112-1)</f>
        <v>0.0740102809961147</v>
      </c>
      <c r="Q112" s="618">
        <f>IF(F112=0,0,O112/F112-1)</f>
        <v>-0.00672043010752688</v>
      </c>
      <c r="R112" s="618">
        <f>MAX($H$3,MIN($J$3,$D$3-$F$3*(G112-1)))</f>
        <v>0.046</v>
      </c>
      <c r="S112" s="616">
        <f>ROUND(MAX(E112*(1+R112),F112*$L$3),-4)</f>
        <v>57580000</v>
      </c>
      <c r="T112" s="616">
        <f>ROUND(S112*$L$4,-4)</f>
        <v>57580000</v>
      </c>
      <c r="U112" s="616">
        <f>T112+J112</f>
        <v>59730000</v>
      </c>
      <c r="V112" s="618">
        <f>IF(E112=0,0,U112/E112-1)</f>
        <v>0.0850919161687742</v>
      </c>
      <c r="W112" s="618">
        <f>IF(F112=0,0,U112/F112-1)</f>
        <v>0.00352822580645151</v>
      </c>
    </row>
    <row r="113">
      <c r="A113" s="634">
        <f>'116目標底稿ver1'!B113</f>
        <v>106</v>
      </c>
      <c r="B113" s="636" t="str">
        <f>'116目標底稿ver1'!C113</f>
        <v>北三區</v>
      </c>
      <c r="C113" s="634">
        <f>'116目標底稿ver1'!D113</f>
        <v>268</v>
      </c>
      <c r="D113" s="636" t="str">
        <f>'116目標底稿ver1'!E113</f>
        <v>青埔分行</v>
      </c>
      <c r="E113" s="634">
        <f>'116目標底稿ver1'!G113</f>
        <v>38092596</v>
      </c>
      <c r="F113" s="634">
        <f>'116目標底稿ver1'!I113</f>
        <v>20980000</v>
      </c>
      <c r="G113" s="635">
        <f>'116目標底稿ver1'!J113</f>
        <v>1.82</v>
      </c>
      <c r="H113" s="636" t="str">
        <f>'116目標底稿ver1'!A113</f>
        <v>TYPE_1</v>
      </c>
      <c r="I113" s="634">
        <f>'116目標底稿ver1'!Q113</f>
        <v>25430000</v>
      </c>
      <c r="J113" s="634">
        <f>'116目標底稿ver1'!Y113</f>
        <v>670000</v>
      </c>
      <c r="K113" s="634">
        <f>'116目標底稿ver1'!Z113</f>
        <v>26100000</v>
      </c>
      <c r="L113" s="618">
        <f>IF(E113=0,0,K113/E113-1)</f>
        <v>-0.314827479859866</v>
      </c>
      <c r="M113" s="616">
        <f>ROUND(IF(G113&gt;=$H$2,($H$2*F113+$D$2*(E113-$H$2*F113))*$N$2,IF(G113&gt;=$J$2,E113*$P$2,IF(G113&gt;=$L$2,E113*$R$2,(E113+$F$2*($L$2*F113-E113))*$R$2))),-4)</f>
        <v>31950000</v>
      </c>
      <c r="N113" s="616">
        <f>ROUND(M113*$H$4,-4)</f>
        <v>32100000</v>
      </c>
      <c r="O113" s="616">
        <f>N113+J113</f>
        <v>32770000</v>
      </c>
      <c r="P113" s="618">
        <f>IF(E113=0,0,O113/E113-1)</f>
        <v>-0.139727835824054</v>
      </c>
      <c r="Q113" s="618">
        <f>IF(F113=0,0,O113/F113-1)</f>
        <v>0.561963775023832</v>
      </c>
      <c r="R113" s="618">
        <f>MAX($H$3,MIN($J$3,$D$3-$F$3*(G113-1)))</f>
        <v>-0.179</v>
      </c>
      <c r="S113" s="616">
        <f>ROUND(MAX(E113*(1+R113),F113*$L$3),-4)</f>
        <v>31270000</v>
      </c>
      <c r="T113" s="616">
        <f>ROUND(S113*$L$4,-4)</f>
        <v>31270000</v>
      </c>
      <c r="U113" s="616">
        <f>T113+J113</f>
        <v>31940000</v>
      </c>
      <c r="V113" s="618">
        <f>IF(E113=0,0,U113/E113-1)</f>
        <v>-0.161516847000924</v>
      </c>
      <c r="W113" s="618">
        <f>IF(F113=0,0,U113/F113-1)</f>
        <v>0.522402287893232</v>
      </c>
    </row>
    <row r="114">
      <c r="A114" s="634">
        <f>'116目標底稿ver1'!B114</f>
        <v>107</v>
      </c>
      <c r="B114" s="636" t="str">
        <f>'116目標底稿ver1'!C114</f>
        <v>北三區</v>
      </c>
      <c r="C114" s="634">
        <f>'116目標底稿ver1'!D114</f>
        <v>300</v>
      </c>
      <c r="D114" s="636" t="str">
        <f>'116目標底稿ver1'!E114</f>
        <v>新竹分行</v>
      </c>
      <c r="E114" s="634">
        <f>'116目標底稿ver1'!G114</f>
        <v>68426864</v>
      </c>
      <c r="F114" s="634">
        <f>'116目標底稿ver1'!I114</f>
        <v>76050000</v>
      </c>
      <c r="G114" s="635">
        <f>'116目標底稿ver1'!J114</f>
        <v>0.9</v>
      </c>
      <c r="H114" s="636" t="str">
        <f>'116目標底稿ver1'!A114</f>
        <v>TYPE_3</v>
      </c>
      <c r="I114" s="634">
        <f>'116目標底稿ver1'!Q114</f>
        <v>70480000</v>
      </c>
      <c r="J114" s="634">
        <f>'116目標底稿ver1'!Y114</f>
        <v>2820000</v>
      </c>
      <c r="K114" s="634">
        <f>'116目標底稿ver1'!Z114</f>
        <v>73300000</v>
      </c>
      <c r="L114" s="618">
        <f>IF(E114=0,0,K114/E114-1)</f>
        <v>0.0712167081045829</v>
      </c>
      <c r="M114" s="616">
        <f>ROUND(IF(G114&gt;=$H$2,($H$2*F114+$D$2*(E114-$H$2*F114))*$N$2,IF(G114&gt;=$J$2,E114*$P$2,IF(G114&gt;=$L$2,E114*$R$2,(E114+$F$2*($L$2*F114-E114))*$R$2))),-4)</f>
        <v>70480000</v>
      </c>
      <c r="N114" s="616">
        <f>ROUND(M114*$H$4,-4)</f>
        <v>70820000</v>
      </c>
      <c r="O114" s="616">
        <f>N114+J114</f>
        <v>73640000</v>
      </c>
      <c r="P114" s="618">
        <f>IF(E114=0,0,O114/E114-1)</f>
        <v>0.0761855168461323</v>
      </c>
      <c r="Q114" s="618">
        <f>IF(F114=0,0,O114/F114-1)</f>
        <v>-0.0316896778435239</v>
      </c>
      <c r="R114" s="618">
        <f>MAX($H$3,MIN($J$3,$D$3-$F$3*(G114-1)))</f>
        <v>0.051</v>
      </c>
      <c r="S114" s="616">
        <f>ROUND(MAX(E114*(1+R114),F114*$L$3),-4)</f>
        <v>71920000</v>
      </c>
      <c r="T114" s="616">
        <f>ROUND(S114*$L$4,-4)</f>
        <v>71910000</v>
      </c>
      <c r="U114" s="616">
        <f>T114+J114</f>
        <v>74730000</v>
      </c>
      <c r="V114" s="618">
        <f>IF(E114=0,0,U114/E114-1)</f>
        <v>0.0921149331058047</v>
      </c>
      <c r="W114" s="618">
        <f>IF(F114=0,0,U114/F114-1)</f>
        <v>-0.0173570019723865</v>
      </c>
    </row>
    <row r="115">
      <c r="A115" s="634">
        <f>'116目標底稿ver1'!B115</f>
        <v>108</v>
      </c>
      <c r="B115" s="636" t="str">
        <f>'116目標底稿ver1'!C115</f>
        <v>北三區</v>
      </c>
      <c r="C115" s="634">
        <f>'116目標底稿ver1'!D115</f>
        <v>301</v>
      </c>
      <c r="D115" s="636" t="str">
        <f>'116目標底稿ver1'!E115</f>
        <v>竹東分行</v>
      </c>
      <c r="E115" s="634">
        <f>'116目標底稿ver1'!G115</f>
        <v>58000944</v>
      </c>
      <c r="F115" s="634">
        <f>'116目標底稿ver1'!I115</f>
        <v>62570000</v>
      </c>
      <c r="G115" s="635">
        <f>'116目標底稿ver1'!J115</f>
        <v>0.93</v>
      </c>
      <c r="H115" s="636" t="str">
        <f>'116目標底稿ver1'!A115</f>
        <v>TYPE_3</v>
      </c>
      <c r="I115" s="634">
        <f>'116目標底稿ver1'!Q115</f>
        <v>59740000</v>
      </c>
      <c r="J115" s="634">
        <f>'116目標底稿ver1'!Y115</f>
        <v>2090000</v>
      </c>
      <c r="K115" s="634">
        <f>'116目標底稿ver1'!Z115</f>
        <v>61830000</v>
      </c>
      <c r="L115" s="618">
        <f>IF(E115=0,0,K115/E115-1)</f>
        <v>0.0660171324108103</v>
      </c>
      <c r="M115" s="616">
        <f>ROUND(IF(G115&gt;=$H$2,($H$2*F115+$D$2*(E115-$H$2*F115))*$N$2,IF(G115&gt;=$J$2,E115*$P$2,IF(G115&gt;=$L$2,E115*$R$2,(E115+$F$2*($L$2*F115-E115))*$R$2))),-4)</f>
        <v>59740000</v>
      </c>
      <c r="N115" s="616">
        <f>ROUND(M115*$H$4,-4)</f>
        <v>60030000</v>
      </c>
      <c r="O115" s="616">
        <f>N115+J115</f>
        <v>62120000</v>
      </c>
      <c r="P115" s="618">
        <f>IF(E115=0,0,O115/E115-1)</f>
        <v>0.0710170510328245</v>
      </c>
      <c r="Q115" s="618">
        <f>IF(F115=0,0,O115/F115-1)</f>
        <v>-0.00719194502157583</v>
      </c>
      <c r="R115" s="618">
        <f>MAX($H$3,MIN($J$3,$D$3-$F$3*(G115-1)))</f>
        <v>0.0435</v>
      </c>
      <c r="S115" s="616">
        <f>ROUND(MAX(E115*(1+R115),F115*$L$3),-4)</f>
        <v>60520000</v>
      </c>
      <c r="T115" s="616">
        <f>ROUND(S115*$L$4,-4)</f>
        <v>60520000</v>
      </c>
      <c r="U115" s="616">
        <f>T115+J115</f>
        <v>62610000</v>
      </c>
      <c r="V115" s="618">
        <f>IF(E115=0,0,U115/E115-1)</f>
        <v>0.0794651893941589</v>
      </c>
      <c r="W115" s="618">
        <f>IF(F115=0,0,U115/F115-1)</f>
        <v>0.000639284001917817</v>
      </c>
    </row>
    <row r="116">
      <c r="A116" s="634">
        <f>'116目標底稿ver1'!B116</f>
        <v>109</v>
      </c>
      <c r="B116" s="636" t="str">
        <f>'116目標底稿ver1'!C116</f>
        <v>北三區</v>
      </c>
      <c r="C116" s="634">
        <f>'116目標底稿ver1'!D116</f>
        <v>302</v>
      </c>
      <c r="D116" s="636" t="str">
        <f>'116目標底稿ver1'!E116</f>
        <v>竹科分行</v>
      </c>
      <c r="E116" s="634">
        <f>'116目標底稿ver1'!G116</f>
        <v>36906824</v>
      </c>
      <c r="F116" s="634">
        <f>'116目標底稿ver1'!I116</f>
        <v>50010000</v>
      </c>
      <c r="G116" s="635">
        <f>'116目標底稿ver1'!J116</f>
        <v>0.74</v>
      </c>
      <c r="H116" s="636" t="str">
        <f>'116目標底稿ver1'!A116</f>
        <v>TYPE_4</v>
      </c>
      <c r="I116" s="634">
        <f>'116目標底稿ver1'!Q116</f>
        <v>48010000</v>
      </c>
      <c r="J116" s="634">
        <f>'116目標底稿ver1'!Y116</f>
        <v>1830000</v>
      </c>
      <c r="K116" s="634">
        <f>'116目標底稿ver1'!Z116</f>
        <v>49840000</v>
      </c>
      <c r="L116" s="618">
        <f>IF(E116=0,0,K116/E116-1)</f>
        <v>0.350427769130175</v>
      </c>
      <c r="M116" s="616">
        <f>ROUND(IF(G116&gt;=$H$2,($H$2*F116+$D$2*(E116-$H$2*F116))*$N$2,IF(G116&gt;=$J$2,E116*$P$2,IF(G116&gt;=$L$2,E116*$R$2,(E116+$F$2*($L$2*F116-E116))*$R$2))),-4)</f>
        <v>39610000</v>
      </c>
      <c r="N116" s="616">
        <f>ROUND(M116*$H$4,-4)</f>
        <v>39800000</v>
      </c>
      <c r="O116" s="616">
        <f>N116+J116</f>
        <v>41630000</v>
      </c>
      <c r="P116" s="618">
        <f>IF(E116=0,0,O116/E116-1)</f>
        <v>0.127975682762624</v>
      </c>
      <c r="Q116" s="618">
        <f>IF(F116=0,0,O116/F116-1)</f>
        <v>-0.16756648670266</v>
      </c>
      <c r="R116" s="618">
        <f>MAX($H$3,MIN($J$3,$D$3-$F$3*(G116-1)))</f>
        <v>0.091</v>
      </c>
      <c r="S116" s="616">
        <f>ROUND(MAX(E116*(1+R116),F116*$L$3),-4)</f>
        <v>42510000</v>
      </c>
      <c r="T116" s="616">
        <f>ROUND(S116*$L$4,-4)</f>
        <v>42510000</v>
      </c>
      <c r="U116" s="616">
        <f>T116+J116</f>
        <v>44340000</v>
      </c>
      <c r="V116" s="618">
        <f>IF(E116=0,0,U116/E116-1)</f>
        <v>0.201403837946067</v>
      </c>
      <c r="W116" s="618">
        <f>IF(F116=0,0,U116/F116-1)</f>
        <v>-0.113377324535093</v>
      </c>
    </row>
    <row r="117">
      <c r="A117" s="634">
        <f>'116目標底稿ver1'!B117</f>
        <v>110</v>
      </c>
      <c r="B117" s="636" t="str">
        <f>'116目標底稿ver1'!C117</f>
        <v>北三區</v>
      </c>
      <c r="C117" s="634">
        <f>'116目標底稿ver1'!D117</f>
        <v>310</v>
      </c>
      <c r="D117" s="636" t="str">
        <f>'116目標底稿ver1'!E117</f>
        <v>新豐分行</v>
      </c>
      <c r="E117" s="634">
        <f>'116目標底稿ver1'!G117</f>
        <v>58910176</v>
      </c>
      <c r="F117" s="634">
        <f>'116目標底稿ver1'!I117</f>
        <v>56840000</v>
      </c>
      <c r="G117" s="635">
        <f>'116目標底稿ver1'!J117</f>
        <v>1.04</v>
      </c>
      <c r="H117" s="636" t="str">
        <f>'116目標底稿ver1'!A117</f>
        <v>TYPE_2</v>
      </c>
      <c r="I117" s="634">
        <f>'116目標底稿ver1'!Q117</f>
        <v>59500000</v>
      </c>
      <c r="J117" s="634">
        <f>'116目標底稿ver1'!Y117</f>
        <v>2050000</v>
      </c>
      <c r="K117" s="634">
        <f>'116目標底稿ver1'!Z117</f>
        <v>61550000</v>
      </c>
      <c r="L117" s="618">
        <f>IF(E117=0,0,K117/E117-1)</f>
        <v>0.044811001752906</v>
      </c>
      <c r="M117" s="616">
        <f>ROUND(IF(G117&gt;=$H$2,($H$2*F117+$D$2*(E117-$H$2*F117))*$N$2,IF(G117&gt;=$J$2,E117*$P$2,IF(G117&gt;=$L$2,E117*$R$2,(E117+$F$2*($L$2*F117-E117))*$R$2))),-4)</f>
        <v>59500000</v>
      </c>
      <c r="N117" s="616">
        <f>ROUND(M117*$H$4,-4)</f>
        <v>59780000</v>
      </c>
      <c r="O117" s="616">
        <f>N117+J117</f>
        <v>61830000</v>
      </c>
      <c r="P117" s="618">
        <f>IF(E117=0,0,O117/E117-1)</f>
        <v>0.0495640006235936</v>
      </c>
      <c r="Q117" s="618">
        <f>IF(F117=0,0,O117/F117-1)</f>
        <v>0.0877902885292048</v>
      </c>
      <c r="R117" s="618">
        <f>MAX($H$3,MIN($J$3,$D$3-$F$3*(G117-1)))</f>
        <v>0.016</v>
      </c>
      <c r="S117" s="616">
        <f>ROUND(MAX(E117*(1+R117),F117*$L$3),-4)</f>
        <v>59850000</v>
      </c>
      <c r="T117" s="616">
        <f>ROUND(S117*$L$4,-4)</f>
        <v>59850000</v>
      </c>
      <c r="U117" s="616">
        <f>T117+J117</f>
        <v>61900000</v>
      </c>
      <c r="V117" s="618">
        <f>IF(E117=0,0,U117/E117-1)</f>
        <v>0.0507522503412654</v>
      </c>
      <c r="W117" s="618">
        <f>IF(F117=0,0,U117/F117-1)</f>
        <v>0.0890218156228009</v>
      </c>
    </row>
    <row r="118">
      <c r="A118" s="634">
        <f>'116目標底稿ver1'!B118</f>
        <v>111</v>
      </c>
      <c r="B118" s="636" t="str">
        <f>'116目標底稿ver1'!C118</f>
        <v>北三區</v>
      </c>
      <c r="C118" s="634">
        <f>'116目標底稿ver1'!D118</f>
        <v>313</v>
      </c>
      <c r="D118" s="636" t="str">
        <f>'116目標底稿ver1'!E118</f>
        <v>六家分行</v>
      </c>
      <c r="E118" s="634">
        <f>'116目標底稿ver1'!G118</f>
        <v>35869459</v>
      </c>
      <c r="F118" s="634">
        <f>'116目標底稿ver1'!I118</f>
        <v>30620000</v>
      </c>
      <c r="G118" s="635">
        <f>'116目標底稿ver1'!J118</f>
        <v>1.17</v>
      </c>
      <c r="H118" s="636" t="str">
        <f>'116目標底稿ver1'!A118</f>
        <v>TYPE_2</v>
      </c>
      <c r="I118" s="634">
        <f>'116目標底稿ver1'!Q118</f>
        <v>36230000</v>
      </c>
      <c r="J118" s="634">
        <f>'116目標底稿ver1'!Y118</f>
        <v>1220000</v>
      </c>
      <c r="K118" s="634">
        <f>'116目標底稿ver1'!Z118</f>
        <v>37450000</v>
      </c>
      <c r="L118" s="618">
        <f>IF(E118=0,0,K118/E118-1)</f>
        <v>0.0440636977546831</v>
      </c>
      <c r="M118" s="616">
        <f>ROUND(IF(G118&gt;=$H$2,($H$2*F118+$D$2*(E118-$H$2*F118))*$N$2,IF(G118&gt;=$J$2,E118*$P$2,IF(G118&gt;=$L$2,E118*$R$2,(E118+$F$2*($L$2*F118-E118))*$R$2))),-4)</f>
        <v>36230000</v>
      </c>
      <c r="N118" s="616">
        <f>ROUND(M118*$H$4,-4)</f>
        <v>36400000</v>
      </c>
      <c r="O118" s="616">
        <f>N118+J118</f>
        <v>37620000</v>
      </c>
      <c r="P118" s="618">
        <f>IF(E118=0,0,O118/E118-1)</f>
        <v>0.0488031057284695</v>
      </c>
      <c r="Q118" s="618">
        <f>IF(F118=0,0,O118/F118-1)</f>
        <v>0.228608752449379</v>
      </c>
      <c r="R118" s="618">
        <f>MAX($H$3,MIN($J$3,$D$3-$F$3*(G118-1)))</f>
        <v>-0.0165</v>
      </c>
      <c r="S118" s="616">
        <f>ROUND(MAX(E118*(1+R118),F118*$L$3),-4)</f>
        <v>35280000</v>
      </c>
      <c r="T118" s="616">
        <f>ROUND(S118*$L$4,-4)</f>
        <v>35280000</v>
      </c>
      <c r="U118" s="616">
        <f>T118+J118</f>
        <v>36500000</v>
      </c>
      <c r="V118" s="618">
        <f>IF(E118=0,0,U118/E118-1)</f>
        <v>0.017578770842348</v>
      </c>
      <c r="W118" s="618">
        <f>IF(F118=0,0,U118/F118-1)</f>
        <v>0.192031352057479</v>
      </c>
    </row>
    <row r="119">
      <c r="A119" s="634">
        <f>'116目標底稿ver1'!B119</f>
        <v>112</v>
      </c>
      <c r="B119" s="636" t="str">
        <f>'116目標底稿ver1'!C119</f>
        <v>中區</v>
      </c>
      <c r="C119" s="634">
        <f>'116目標底稿ver1'!D119</f>
        <v>320</v>
      </c>
      <c r="D119" s="636" t="str">
        <f>'116目標底稿ver1'!E119</f>
        <v>竹南分行</v>
      </c>
      <c r="E119" s="634">
        <f>'116目標底稿ver1'!G119</f>
        <v>74912574</v>
      </c>
      <c r="F119" s="634">
        <f>'116目標底稿ver1'!I119</f>
        <v>64080000</v>
      </c>
      <c r="G119" s="635">
        <f>'116目標底稿ver1'!J119</f>
        <v>1.17</v>
      </c>
      <c r="H119" s="636" t="str">
        <f>'116目標底稿ver1'!A119</f>
        <v>TYPE_2</v>
      </c>
      <c r="I119" s="634">
        <f>'116目標底稿ver1'!Q119</f>
        <v>75660000</v>
      </c>
      <c r="J119" s="634">
        <f>'116目標底稿ver1'!Y119</f>
        <v>2370000</v>
      </c>
      <c r="K119" s="634">
        <f>'116目標底稿ver1'!Z119</f>
        <v>78030000</v>
      </c>
      <c r="L119" s="618">
        <f>IF(E119=0,0,K119/E119-1)</f>
        <v>0.0416141888276327</v>
      </c>
      <c r="M119" s="616">
        <f>ROUND(IF(G119&gt;=$H$2,($H$2*F119+$D$2*(E119-$H$2*F119))*$N$2,IF(G119&gt;=$J$2,E119*$P$2,IF(G119&gt;=$L$2,E119*$R$2,(E119+$F$2*($L$2*F119-E119))*$R$2))),-4)</f>
        <v>75660000</v>
      </c>
      <c r="N119" s="616">
        <f>ROUND(M119*$H$4,-4)</f>
        <v>76020000</v>
      </c>
      <c r="O119" s="616">
        <f>N119+J119</f>
        <v>78390000</v>
      </c>
      <c r="P119" s="618">
        <f>IF(E119=0,0,O119/E119-1)</f>
        <v>0.0464197906215318</v>
      </c>
      <c r="Q119" s="618">
        <f>IF(F119=0,0,O119/F119-1)</f>
        <v>0.223314606741573</v>
      </c>
      <c r="R119" s="618">
        <f>MAX($H$3,MIN($J$3,$D$3-$F$3*(G119-1)))</f>
        <v>-0.0165</v>
      </c>
      <c r="S119" s="616">
        <f>ROUND(MAX(E119*(1+R119),F119*$L$3),-4)</f>
        <v>73680000</v>
      </c>
      <c r="T119" s="616">
        <f>ROUND(S119*$L$4,-4)</f>
        <v>73670000</v>
      </c>
      <c r="U119" s="616">
        <f>T119+J119</f>
        <v>76040000</v>
      </c>
      <c r="V119" s="618">
        <f>IF(E119=0,0,U119/E119-1)</f>
        <v>0.015049890022468</v>
      </c>
      <c r="W119" s="618">
        <f>IF(F119=0,0,U119/F119-1)</f>
        <v>0.186641697877653</v>
      </c>
    </row>
    <row r="120">
      <c r="A120" s="634">
        <f>'116目標底稿ver1'!B120</f>
        <v>113</v>
      </c>
      <c r="B120" s="636" t="str">
        <f>'116目標底稿ver1'!C120</f>
        <v>中區</v>
      </c>
      <c r="C120" s="634">
        <f>'116目標底稿ver1'!D120</f>
        <v>321</v>
      </c>
      <c r="D120" s="636" t="str">
        <f>'116目標底稿ver1'!E120</f>
        <v>頭份分行</v>
      </c>
      <c r="E120" s="634">
        <f>'116目標底稿ver1'!G120</f>
        <v>48196053</v>
      </c>
      <c r="F120" s="634">
        <f>'116目標底稿ver1'!I120</f>
        <v>74460000</v>
      </c>
      <c r="G120" s="635">
        <f>'116目標底稿ver1'!J120</f>
        <v>0.65</v>
      </c>
      <c r="H120" s="636" t="str">
        <f>'116目標底稿ver1'!A120</f>
        <v>TYPE_4</v>
      </c>
      <c r="I120" s="634">
        <f>'116目標底稿ver1'!Q120</f>
        <v>71480000</v>
      </c>
      <c r="J120" s="634">
        <f>'116目標底稿ver1'!Y120</f>
        <v>2380000</v>
      </c>
      <c r="K120" s="634">
        <f>'116目標底稿ver1'!Z120</f>
        <v>73860000</v>
      </c>
      <c r="L120" s="618">
        <f>IF(E120=0,0,K120/E120-1)</f>
        <v>0.53249063777069</v>
      </c>
      <c r="M120" s="616">
        <f>ROUND(IF(G120&gt;=$H$2,($H$2*F120+$D$2*(E120-$H$2*F120))*$N$2,IF(G120&gt;=$J$2,E120*$P$2,IF(G120&gt;=$L$2,E120*$R$2,(E120+$F$2*($L$2*F120-E120))*$R$2))),-4)</f>
        <v>55500000</v>
      </c>
      <c r="N120" s="616">
        <f>ROUND(M120*$H$4,-4)</f>
        <v>55760000</v>
      </c>
      <c r="O120" s="616">
        <f>N120+J120</f>
        <v>58140000</v>
      </c>
      <c r="P120" s="618">
        <f>IF(E120=0,0,O120/E120-1)</f>
        <v>0.206322849715515</v>
      </c>
      <c r="Q120" s="618">
        <f>IF(F120=0,0,O120/F120-1)</f>
        <v>-0.219178082191781</v>
      </c>
      <c r="R120" s="618">
        <f>MAX($H$3,MIN($J$3,$D$3-$F$3*(G120-1)))</f>
        <v>0.1135</v>
      </c>
      <c r="S120" s="616">
        <f>ROUND(MAX(E120*(1+R120),F120*$L$3),-4)</f>
        <v>63290000</v>
      </c>
      <c r="T120" s="616">
        <f>ROUND(S120*$L$4,-4)</f>
        <v>63290000</v>
      </c>
      <c r="U120" s="616">
        <f>T120+J120</f>
        <v>65670000</v>
      </c>
      <c r="V120" s="618">
        <f>IF(E120=0,0,U120/E120-1)</f>
        <v>0.362559710024387</v>
      </c>
      <c r="W120" s="618">
        <f>IF(F120=0,0,U120/F120-1)</f>
        <v>-0.118049959709911</v>
      </c>
    </row>
    <row r="121">
      <c r="A121" s="634">
        <f>'116目標底稿ver1'!B121</f>
        <v>114</v>
      </c>
      <c r="B121" s="636" t="str">
        <f>'116目標底稿ver1'!C121</f>
        <v>中區</v>
      </c>
      <c r="C121" s="634">
        <f>'116目標底稿ver1'!D121</f>
        <v>322</v>
      </c>
      <c r="D121" s="636" t="str">
        <f>'116目標底稿ver1'!E121</f>
        <v>苗栗分行</v>
      </c>
      <c r="E121" s="634">
        <f>'116目標底稿ver1'!G121</f>
        <v>41210713</v>
      </c>
      <c r="F121" s="634">
        <f>'116目標底稿ver1'!I121</f>
        <v>45430000</v>
      </c>
      <c r="G121" s="635">
        <f>'116目標底稿ver1'!J121</f>
        <v>0.91</v>
      </c>
      <c r="H121" s="636" t="str">
        <f>'116目標底稿ver1'!A121</f>
        <v>TYPE_3</v>
      </c>
      <c r="I121" s="634">
        <f>'116目標底稿ver1'!Q121</f>
        <v>42450000</v>
      </c>
      <c r="J121" s="634">
        <f>'116目標底稿ver1'!Y121</f>
        <v>1680000</v>
      </c>
      <c r="K121" s="634">
        <f>'116目標底稿ver1'!Z121</f>
        <v>44130000</v>
      </c>
      <c r="L121" s="618">
        <f>IF(E121=0,0,K121/E121-1)</f>
        <v>0.0708380609673023</v>
      </c>
      <c r="M121" s="616">
        <f>ROUND(IF(G121&gt;=$H$2,($H$2*F121+$D$2*(E121-$H$2*F121))*$N$2,IF(G121&gt;=$J$2,E121*$P$2,IF(G121&gt;=$L$2,E121*$R$2,(E121+$F$2*($L$2*F121-E121))*$R$2))),-4)</f>
        <v>42450000</v>
      </c>
      <c r="N121" s="616">
        <f>ROUND(M121*$H$4,-4)</f>
        <v>42650000</v>
      </c>
      <c r="O121" s="616">
        <f>N121+J121</f>
        <v>44330000</v>
      </c>
      <c r="P121" s="618">
        <f>IF(E121=0,0,O121/E121-1)</f>
        <v>0.0756911679737258</v>
      </c>
      <c r="Q121" s="618">
        <f>IF(F121=0,0,O121/F121-1)</f>
        <v>-0.0242130750605327</v>
      </c>
      <c r="R121" s="618">
        <f>MAX($H$3,MIN($J$3,$D$3-$F$3*(G121-1)))</f>
        <v>0.0485</v>
      </c>
      <c r="S121" s="616">
        <f>ROUND(MAX(E121*(1+R121),F121*$L$3),-4)</f>
        <v>43210000</v>
      </c>
      <c r="T121" s="616">
        <f>ROUND(S121*$L$4,-4)</f>
        <v>43210000</v>
      </c>
      <c r="U121" s="616">
        <f>T121+J121</f>
        <v>44890000</v>
      </c>
      <c r="V121" s="618">
        <f>IF(E121=0,0,U121/E121-1)</f>
        <v>0.089279867591711</v>
      </c>
      <c r="W121" s="618">
        <f>IF(F121=0,0,U121/F121-1)</f>
        <v>-0.0118864186660796</v>
      </c>
    </row>
    <row r="122">
      <c r="A122" s="634">
        <f>'116目標底稿ver1'!B122</f>
        <v>115</v>
      </c>
      <c r="B122" s="636" t="str">
        <f>'116目標底稿ver1'!C122</f>
        <v>北三區</v>
      </c>
      <c r="C122" s="634">
        <f>'116目標底稿ver1'!D122</f>
        <v>323</v>
      </c>
      <c r="D122" s="636" t="str">
        <f>'116目標底稿ver1'!E122</f>
        <v>竹北分行</v>
      </c>
      <c r="E122" s="634">
        <f>'116目標底稿ver1'!G122</f>
        <v>49260989</v>
      </c>
      <c r="F122" s="634">
        <f>'116目標底稿ver1'!I122</f>
        <v>47540000</v>
      </c>
      <c r="G122" s="635">
        <f>'116目標底稿ver1'!J122</f>
        <v>1.04</v>
      </c>
      <c r="H122" s="636" t="str">
        <f>'116目標底稿ver1'!A122</f>
        <v>TYPE_2</v>
      </c>
      <c r="I122" s="634">
        <f>'116目標底稿ver1'!Q122</f>
        <v>49750000</v>
      </c>
      <c r="J122" s="634">
        <f>'116目標底稿ver1'!Y122</f>
        <v>1880000</v>
      </c>
      <c r="K122" s="634">
        <f>'116目標底稿ver1'!Z122</f>
        <v>51630000</v>
      </c>
      <c r="L122" s="618">
        <f>IF(E122=0,0,K122/E122-1)</f>
        <v>0.0480910157934507</v>
      </c>
      <c r="M122" s="616">
        <f>ROUND(IF(G122&gt;=$H$2,($H$2*F122+$D$2*(E122-$H$2*F122))*$N$2,IF(G122&gt;=$J$2,E122*$P$2,IF(G122&gt;=$L$2,E122*$R$2,(E122+$F$2*($L$2*F122-E122))*$R$2))),-4)</f>
        <v>49750000</v>
      </c>
      <c r="N122" s="616">
        <f>ROUND(M122*$H$4,-4)</f>
        <v>49990000</v>
      </c>
      <c r="O122" s="616">
        <f>N122+J122</f>
        <v>51870000</v>
      </c>
      <c r="P122" s="618">
        <f>IF(E122=0,0,O122/E122-1)</f>
        <v>0.0529630251637863</v>
      </c>
      <c r="Q122" s="618">
        <f>IF(F122=0,0,O122/F122-1)</f>
        <v>0.0910811947833403</v>
      </c>
      <c r="R122" s="618">
        <f>MAX($H$3,MIN($J$3,$D$3-$F$3*(G122-1)))</f>
        <v>0.016</v>
      </c>
      <c r="S122" s="616">
        <f>ROUND(MAX(E122*(1+R122),F122*$L$3),-4)</f>
        <v>50050000</v>
      </c>
      <c r="T122" s="616">
        <f>ROUND(S122*$L$4,-4)</f>
        <v>50050000</v>
      </c>
      <c r="U122" s="616">
        <f>T122+J122</f>
        <v>51930000</v>
      </c>
      <c r="V122" s="618">
        <f>IF(E122=0,0,U122/E122-1)</f>
        <v>0.0541810275063701</v>
      </c>
      <c r="W122" s="618">
        <f>IF(F122=0,0,U122/F122-1)</f>
        <v>0.0923432898611696</v>
      </c>
    </row>
    <row r="123">
      <c r="A123" s="634">
        <f>'116目標底稿ver1'!B123</f>
        <v>116</v>
      </c>
      <c r="B123" s="636" t="str">
        <f>'116目標底稿ver1'!C123</f>
        <v>北三區</v>
      </c>
      <c r="C123" s="634">
        <f>'116目標底稿ver1'!D123</f>
        <v>351</v>
      </c>
      <c r="D123" s="636" t="str">
        <f>'116目標底稿ver1'!E123</f>
        <v>大眾分行</v>
      </c>
      <c r="E123" s="634">
        <f>'116目標底稿ver1'!G123</f>
        <v>53651005</v>
      </c>
      <c r="F123" s="634">
        <f>'116目標底稿ver1'!I123</f>
        <v>47590000</v>
      </c>
      <c r="G123" s="635">
        <f>'116目標底稿ver1'!J123</f>
        <v>1.13</v>
      </c>
      <c r="H123" s="636" t="str">
        <f>'116目標底稿ver1'!A123</f>
        <v>TYPE_2</v>
      </c>
      <c r="I123" s="634">
        <f>'116目標底稿ver1'!Q123</f>
        <v>54190000</v>
      </c>
      <c r="J123" s="634">
        <f>'116目標底稿ver1'!Y123</f>
        <v>1680000</v>
      </c>
      <c r="K123" s="634">
        <f>'116目標底稿ver1'!Z123</f>
        <v>55870000</v>
      </c>
      <c r="L123" s="618">
        <f>IF(E123=0,0,K123/E123-1)</f>
        <v>0.0413598030456279</v>
      </c>
      <c r="M123" s="616">
        <f>ROUND(IF(G123&gt;=$H$2,($H$2*F123+$D$2*(E123-$H$2*F123))*$N$2,IF(G123&gt;=$J$2,E123*$P$2,IF(G123&gt;=$L$2,E123*$R$2,(E123+$F$2*($L$2*F123-E123))*$R$2))),-4)</f>
        <v>54190000</v>
      </c>
      <c r="N123" s="616">
        <f>ROUND(M123*$H$4,-4)</f>
        <v>54450000</v>
      </c>
      <c r="O123" s="616">
        <f>N123+J123</f>
        <v>56130000</v>
      </c>
      <c r="P123" s="618">
        <f>IF(E123=0,0,O123/E123-1)</f>
        <v>0.0462059378011652</v>
      </c>
      <c r="Q123" s="618">
        <f>IF(F123=0,0,O123/F123-1)</f>
        <v>0.179449464173146</v>
      </c>
      <c r="R123" s="618">
        <f>MAX($H$3,MIN($J$3,$D$3-$F$3*(G123-1)))</f>
        <v>-0.00649999999999997</v>
      </c>
      <c r="S123" s="616">
        <f>ROUND(MAX(E123*(1+R123),F123*$L$3),-4)</f>
        <v>53300000</v>
      </c>
      <c r="T123" s="616">
        <f>ROUND(S123*$L$4,-4)</f>
        <v>53300000</v>
      </c>
      <c r="U123" s="616">
        <f>T123+J123</f>
        <v>54980000</v>
      </c>
      <c r="V123" s="618">
        <f>IF(E123=0,0,U123/E123-1)</f>
        <v>0.0247711109978275</v>
      </c>
      <c r="W123" s="618">
        <f>IF(F123=0,0,U123/F123-1)</f>
        <v>0.155284723681446</v>
      </c>
    </row>
    <row r="124">
      <c r="A124" s="634">
        <f>'116目標底稿ver1'!B124</f>
        <v>117</v>
      </c>
      <c r="B124" s="636" t="str">
        <f>'116目標底稿ver1'!C124</f>
        <v>中區</v>
      </c>
      <c r="C124" s="634">
        <f>'116目標底稿ver1'!D124</f>
        <v>400</v>
      </c>
      <c r="D124" s="636" t="str">
        <f>'116目標底稿ver1'!E124</f>
        <v>豐原分行</v>
      </c>
      <c r="E124" s="634">
        <f>'116目標底稿ver1'!G124</f>
        <v>96687862</v>
      </c>
      <c r="F124" s="634">
        <f>'116目標底稿ver1'!I124</f>
        <v>101620000</v>
      </c>
      <c r="G124" s="635">
        <f>'116目標底稿ver1'!J124</f>
        <v>0.95</v>
      </c>
      <c r="H124" s="636" t="str">
        <f>'116目標底稿ver1'!A124</f>
        <v>TYPE_3</v>
      </c>
      <c r="I124" s="634">
        <f>'116目標底稿ver1'!Q124</f>
        <v>99590000</v>
      </c>
      <c r="J124" s="634">
        <f>'116目標底稿ver1'!Y124</f>
        <v>3400000</v>
      </c>
      <c r="K124" s="634">
        <f>'116目標底稿ver1'!Z124</f>
        <v>102990000</v>
      </c>
      <c r="L124" s="618">
        <f>IF(E124=0,0,K124/E124-1)</f>
        <v>0.0651802394803187</v>
      </c>
      <c r="M124" s="616">
        <f>ROUND(IF(G124&gt;=$H$2,($H$2*F124+$D$2*(E124-$H$2*F124))*$N$2,IF(G124&gt;=$J$2,E124*$P$2,IF(G124&gt;=$L$2,E124*$R$2,(E124+$F$2*($L$2*F124-E124))*$R$2))),-4)</f>
        <v>99590000</v>
      </c>
      <c r="N124" s="616">
        <f>ROUND(M124*$H$4,-4)</f>
        <v>100070000</v>
      </c>
      <c r="O124" s="616">
        <f>N124+J124</f>
        <v>103470000</v>
      </c>
      <c r="P124" s="618">
        <f>IF(E124=0,0,O124/E124-1)</f>
        <v>0.0701446682107834</v>
      </c>
      <c r="Q124" s="618">
        <f>IF(F124=0,0,O124/F124-1)</f>
        <v>0.0182050777406022</v>
      </c>
      <c r="R124" s="618">
        <f>MAX($H$3,MIN($J$3,$D$3-$F$3*(G124-1)))</f>
        <v>0.0385</v>
      </c>
      <c r="S124" s="616">
        <f>ROUND(MAX(E124*(1+R124),F124*$L$3),-4)</f>
        <v>100410000</v>
      </c>
      <c r="T124" s="616">
        <f>ROUND(S124*$L$4,-4)</f>
        <v>100400000</v>
      </c>
      <c r="U124" s="616">
        <f>T124+J124</f>
        <v>103800000</v>
      </c>
      <c r="V124" s="618">
        <f>IF(E124=0,0,U124/E124-1)</f>
        <v>0.0735577129629776</v>
      </c>
      <c r="W124" s="618">
        <f>IF(F124=0,0,U124/F124-1)</f>
        <v>0.0214524699862231</v>
      </c>
    </row>
    <row r="125">
      <c r="A125" s="634">
        <f>'116目標底稿ver1'!B125</f>
        <v>118</v>
      </c>
      <c r="B125" s="636" t="str">
        <f>'116目標底稿ver1'!C125</f>
        <v>中區</v>
      </c>
      <c r="C125" s="634">
        <f>'116目標底稿ver1'!D125</f>
        <v>401</v>
      </c>
      <c r="D125" s="636" t="str">
        <f>'116目標底稿ver1'!E125</f>
        <v>東勢分行</v>
      </c>
      <c r="E125" s="634">
        <f>'116目標底稿ver1'!G125</f>
        <v>55405247</v>
      </c>
      <c r="F125" s="634">
        <f>'116目標底稿ver1'!I125</f>
        <v>61510000</v>
      </c>
      <c r="G125" s="635">
        <f>'116目標底稿ver1'!J125</f>
        <v>0.9</v>
      </c>
      <c r="H125" s="636" t="str">
        <f>'116目標底稿ver1'!A125</f>
        <v>TYPE_3</v>
      </c>
      <c r="I125" s="634">
        <f>'116目標底稿ver1'!Q125</f>
        <v>57070000</v>
      </c>
      <c r="J125" s="634">
        <f>'116目標底稿ver1'!Y125</f>
        <v>2270000</v>
      </c>
      <c r="K125" s="634">
        <f>'116目標底稿ver1'!Z125</f>
        <v>59340000</v>
      </c>
      <c r="L125" s="618">
        <f>IF(E125=0,0,K125/E125-1)</f>
        <v>0.0710176962120572</v>
      </c>
      <c r="M125" s="616">
        <f>ROUND(IF(G125&gt;=$H$2,($H$2*F125+$D$2*(E125-$H$2*F125))*$N$2,IF(G125&gt;=$J$2,E125*$P$2,IF(G125&gt;=$L$2,E125*$R$2,(E125+$F$2*($L$2*F125-E125))*$R$2))),-4)</f>
        <v>57070000</v>
      </c>
      <c r="N125" s="616">
        <f>ROUND(M125*$H$4,-4)</f>
        <v>57340000</v>
      </c>
      <c r="O125" s="616">
        <f>N125+J125</f>
        <v>59610000</v>
      </c>
      <c r="P125" s="618">
        <f>IF(E125=0,0,O125/E125-1)</f>
        <v>0.0758908808763184</v>
      </c>
      <c r="Q125" s="618">
        <f>IF(F125=0,0,O125/F125-1)</f>
        <v>-0.0308892862949114</v>
      </c>
      <c r="R125" s="618">
        <f>MAX($H$3,MIN($J$3,$D$3-$F$3*(G125-1)))</f>
        <v>0.051</v>
      </c>
      <c r="S125" s="616">
        <f>ROUND(MAX(E125*(1+R125),F125*$L$3),-4)</f>
        <v>58230000</v>
      </c>
      <c r="T125" s="616">
        <f>ROUND(S125*$L$4,-4)</f>
        <v>58230000</v>
      </c>
      <c r="U125" s="616">
        <f>T125+J125</f>
        <v>60500000</v>
      </c>
      <c r="V125" s="618">
        <f>IF(E125=0,0,U125/E125-1)</f>
        <v>0.0919543414362902</v>
      </c>
      <c r="W125" s="618">
        <f>IF(F125=0,0,U125/F125-1)</f>
        <v>-0.0164200942936108</v>
      </c>
    </row>
    <row r="126">
      <c r="A126" s="634">
        <f>'116目標底稿ver1'!B126</f>
        <v>119</v>
      </c>
      <c r="B126" s="636" t="str">
        <f>'116目標底稿ver1'!C126</f>
        <v>中區</v>
      </c>
      <c r="C126" s="634">
        <f>'116目標底稿ver1'!D126</f>
        <v>402</v>
      </c>
      <c r="D126" s="636" t="str">
        <f>'116目標底稿ver1'!E126</f>
        <v>清水分行</v>
      </c>
      <c r="E126" s="634">
        <f>'116目標底稿ver1'!G126</f>
        <v>94901026</v>
      </c>
      <c r="F126" s="634">
        <f>'116目標底稿ver1'!I126</f>
        <v>76980000</v>
      </c>
      <c r="G126" s="635">
        <f>'116目標底稿ver1'!J126</f>
        <v>1.23</v>
      </c>
      <c r="H126" s="636" t="str">
        <f>'116目標底稿ver1'!A126</f>
        <v>TYPE_1</v>
      </c>
      <c r="I126" s="634">
        <f>'116目標底稿ver1'!Q126</f>
        <v>93300000</v>
      </c>
      <c r="J126" s="634">
        <f>'116目標底稿ver1'!Y126</f>
        <v>2660000</v>
      </c>
      <c r="K126" s="634">
        <f>'116目標底稿ver1'!Z126</f>
        <v>95960000</v>
      </c>
      <c r="L126" s="618">
        <f>IF(E126=0,0,K126/E126-1)</f>
        <v>0.0111587202439729</v>
      </c>
      <c r="M126" s="616">
        <f>ROUND(IF(G126&gt;=$H$2,($H$2*F126+$D$2*(E126-$H$2*F126))*$N$2,IF(G126&gt;=$J$2,E126*$P$2,IF(G126&gt;=$L$2,E126*$R$2,(E126+$F$2*($L$2*F126-E126))*$R$2))),-4)</f>
        <v>94570000</v>
      </c>
      <c r="N126" s="616">
        <f>ROUND(M126*$H$4,-4)</f>
        <v>95020000</v>
      </c>
      <c r="O126" s="616">
        <f>N126+J126</f>
        <v>97680000</v>
      </c>
      <c r="P126" s="618">
        <f>IF(E126=0,0,O126/E126-1)</f>
        <v>0.0292828657089546</v>
      </c>
      <c r="Q126" s="618">
        <f>IF(F126=0,0,O126/F126-1)</f>
        <v>0.268901013250195</v>
      </c>
      <c r="R126" s="618">
        <f>MAX($H$3,MIN($J$3,$D$3-$F$3*(G126-1)))</f>
        <v>-0.0315</v>
      </c>
      <c r="S126" s="616">
        <f>ROUND(MAX(E126*(1+R126),F126*$L$3),-4)</f>
        <v>91910000</v>
      </c>
      <c r="T126" s="616">
        <f>ROUND(S126*$L$4,-4)</f>
        <v>91900000</v>
      </c>
      <c r="U126" s="616">
        <f>T126+J126</f>
        <v>94560000</v>
      </c>
      <c r="V126" s="618">
        <f>IF(E126=0,0,U126/E126-1)</f>
        <v>-0.00359349118101215</v>
      </c>
      <c r="W126" s="618">
        <f>IF(F126=0,0,U126/F126-1)</f>
        <v>0.228371005455963</v>
      </c>
    </row>
    <row r="127">
      <c r="A127" s="634">
        <f>'116目標底稿ver1'!B127</f>
        <v>120</v>
      </c>
      <c r="B127" s="636" t="str">
        <f>'116目標底稿ver1'!C127</f>
        <v>中區</v>
      </c>
      <c r="C127" s="634">
        <f>'116目標底稿ver1'!D127</f>
        <v>403</v>
      </c>
      <c r="D127" s="636" t="str">
        <f>'116目標底稿ver1'!E127</f>
        <v>西豐原分行</v>
      </c>
      <c r="E127" s="634">
        <f>'116目標底稿ver1'!G127</f>
        <v>68713873</v>
      </c>
      <c r="F127" s="634">
        <f>'116目標底稿ver1'!I127</f>
        <v>71900000</v>
      </c>
      <c r="G127" s="635">
        <f>'116目標底稿ver1'!J127</f>
        <v>0.96</v>
      </c>
      <c r="H127" s="636" t="str">
        <f>'116目標底稿ver1'!A127</f>
        <v>TYPE_3</v>
      </c>
      <c r="I127" s="634">
        <f>'116目標底稿ver1'!Q127</f>
        <v>70780000</v>
      </c>
      <c r="J127" s="634">
        <f>'116目標底稿ver1'!Y127</f>
        <v>2470000</v>
      </c>
      <c r="K127" s="634">
        <f>'116目標底稿ver1'!Z127</f>
        <v>73250000</v>
      </c>
      <c r="L127" s="618">
        <f>IF(E127=0,0,K127/E127-1)</f>
        <v>0.066014718745369</v>
      </c>
      <c r="M127" s="616">
        <f>ROUND(IF(G127&gt;=$H$2,($H$2*F127+$D$2*(E127-$H$2*F127))*$N$2,IF(G127&gt;=$J$2,E127*$P$2,IF(G127&gt;=$L$2,E127*$R$2,(E127+$F$2*($L$2*F127-E127))*$R$2))),-4)</f>
        <v>70780000</v>
      </c>
      <c r="N127" s="616">
        <f>ROUND(M127*$H$4,-4)</f>
        <v>71120000</v>
      </c>
      <c r="O127" s="616">
        <f>N127+J127</f>
        <v>73590000</v>
      </c>
      <c r="P127" s="618">
        <f>IF(E127=0,0,O127/E127-1)</f>
        <v>0.0709627734125828</v>
      </c>
      <c r="Q127" s="618">
        <f>IF(F127=0,0,O127/F127-1)</f>
        <v>0.0235048678720444</v>
      </c>
      <c r="R127" s="618">
        <f>MAX($H$3,MIN($J$3,$D$3-$F$3*(G127-1)))</f>
        <v>0.036</v>
      </c>
      <c r="S127" s="616">
        <f>ROUND(MAX(E127*(1+R127),F127*$L$3),-4)</f>
        <v>71190000</v>
      </c>
      <c r="T127" s="616">
        <f>ROUND(S127*$L$4,-4)</f>
        <v>71180000</v>
      </c>
      <c r="U127" s="616">
        <f>T127+J127</f>
        <v>73650000</v>
      </c>
      <c r="V127" s="618">
        <f>IF(E127=0,0,U127/E127-1)</f>
        <v>0.0718359595303266</v>
      </c>
      <c r="W127" s="618">
        <f>IF(F127=0,0,U127/F127-1)</f>
        <v>0.0243393602225312</v>
      </c>
    </row>
    <row r="128">
      <c r="A128" s="634">
        <f>'116目標底稿ver1'!B128</f>
        <v>121</v>
      </c>
      <c r="B128" s="636" t="str">
        <f>'116目標底稿ver1'!C128</f>
        <v>中區</v>
      </c>
      <c r="C128" s="634">
        <f>'116目標底稿ver1'!D128</f>
        <v>420</v>
      </c>
      <c r="D128" s="636" t="str">
        <f>'116目標底稿ver1'!E128</f>
        <v>台中分行</v>
      </c>
      <c r="E128" s="634">
        <f>'116目標底稿ver1'!G128</f>
        <v>136975246</v>
      </c>
      <c r="F128" s="634">
        <f>'116目標底稿ver1'!I128</f>
        <v>121170000</v>
      </c>
      <c r="G128" s="635">
        <f>'116目標底稿ver1'!J128</f>
        <v>1.13</v>
      </c>
      <c r="H128" s="636" t="str">
        <f>'116目標底稿ver1'!A128</f>
        <v>TYPE_2</v>
      </c>
      <c r="I128" s="634">
        <f>'116目標底稿ver1'!Q128</f>
        <v>138340000</v>
      </c>
      <c r="J128" s="634">
        <f>'116目標底稿ver1'!Y128</f>
        <v>4600000</v>
      </c>
      <c r="K128" s="634">
        <f>'116目標底稿ver1'!Z128</f>
        <v>142940000</v>
      </c>
      <c r="L128" s="618">
        <f>IF(E128=0,0,K128/E128-1)</f>
        <v>0.0435462185627322</v>
      </c>
      <c r="M128" s="616">
        <f>ROUND(IF(G128&gt;=$H$2,($H$2*F128+$D$2*(E128-$H$2*F128))*$N$2,IF(G128&gt;=$J$2,E128*$P$2,IF(G128&gt;=$L$2,E128*$R$2,(E128+$F$2*($L$2*F128-E128))*$R$2))),-4)</f>
        <v>138340000</v>
      </c>
      <c r="N128" s="616">
        <f>ROUND(M128*$H$4,-4)</f>
        <v>139000000</v>
      </c>
      <c r="O128" s="616">
        <f>N128+J128</f>
        <v>143600000</v>
      </c>
      <c r="P128" s="618">
        <f>IF(E128=0,0,O128/E128-1)</f>
        <v>0.0483646074269508</v>
      </c>
      <c r="Q128" s="618">
        <f>IF(F128=0,0,O128/F128-1)</f>
        <v>0.18511182635966</v>
      </c>
      <c r="R128" s="618">
        <f>MAX($H$3,MIN($J$3,$D$3-$F$3*(G128-1)))</f>
        <v>-0.00649999999999997</v>
      </c>
      <c r="S128" s="616">
        <f>ROUND(MAX(E128*(1+R128),F128*$L$3),-4)</f>
        <v>136080000</v>
      </c>
      <c r="T128" s="616">
        <f>ROUND(S128*$L$4,-4)</f>
        <v>136070000</v>
      </c>
      <c r="U128" s="616">
        <f>T128+J128</f>
        <v>140670000</v>
      </c>
      <c r="V128" s="618">
        <f>IF(E128=0,0,U128/E128-1)</f>
        <v>0.0269738811054956</v>
      </c>
      <c r="W128" s="618">
        <f>IF(F128=0,0,U128/F128-1)</f>
        <v>0.160930923495915</v>
      </c>
    </row>
    <row r="129">
      <c r="A129" s="634">
        <f>'116目標底稿ver1'!B129</f>
        <v>122</v>
      </c>
      <c r="B129" s="636" t="str">
        <f>'116目標底稿ver1'!C129</f>
        <v>中區</v>
      </c>
      <c r="C129" s="634">
        <f>'116目標底稿ver1'!D129</f>
        <v>422</v>
      </c>
      <c r="D129" s="636" t="str">
        <f>'116目標底稿ver1'!E129</f>
        <v>南台中分行</v>
      </c>
      <c r="E129" s="634">
        <f>'116目標底稿ver1'!G129</f>
        <v>133722552</v>
      </c>
      <c r="F129" s="634">
        <f>'116目標底稿ver1'!I129</f>
        <v>81890000</v>
      </c>
      <c r="G129" s="635">
        <f>'116目標底稿ver1'!J129</f>
        <v>1.63</v>
      </c>
      <c r="H129" s="636" t="str">
        <f>'116目標底稿ver1'!A129</f>
        <v>TYPE_1</v>
      </c>
      <c r="I129" s="634">
        <f>'116目標底稿ver1'!Q129</f>
        <v>99250000</v>
      </c>
      <c r="J129" s="634">
        <f>'116目標底稿ver1'!Y129</f>
        <v>2570000</v>
      </c>
      <c r="K129" s="634">
        <f>'116目標底稿ver1'!Z129</f>
        <v>101820000</v>
      </c>
      <c r="L129" s="618">
        <f>IF(E129=0,0,K129/E129-1)</f>
        <v>-0.238572712851008</v>
      </c>
      <c r="M129" s="616">
        <f>ROUND(IF(G129&gt;=$H$2,($H$2*F129+$D$2*(E129-$H$2*F129))*$N$2,IF(G129&gt;=$J$2,E129*$P$2,IF(G129&gt;=$L$2,E129*$R$2,(E129+$F$2*($L$2*F129-E129))*$R$2))),-4)</f>
        <v>117160000</v>
      </c>
      <c r="N129" s="616">
        <f>ROUND(M129*$H$4,-4)</f>
        <v>117720000</v>
      </c>
      <c r="O129" s="616">
        <f>N129+J129</f>
        <v>120290000</v>
      </c>
      <c r="P129" s="618">
        <f>IF(E129=0,0,O129/E129-1)</f>
        <v>-0.100450909731367</v>
      </c>
      <c r="Q129" s="618">
        <f>IF(F129=0,0,O129/F129-1)</f>
        <v>0.468921724264257</v>
      </c>
      <c r="R129" s="618">
        <f>MAX($H$3,MIN($J$3,$D$3-$F$3*(G129-1)))</f>
        <v>-0.1315</v>
      </c>
      <c r="S129" s="616">
        <f>ROUND(MAX(E129*(1+R129),F129*$L$3),-4)</f>
        <v>116140000</v>
      </c>
      <c r="T129" s="616">
        <f>ROUND(S129*$L$4,-4)</f>
        <v>116130000</v>
      </c>
      <c r="U129" s="616">
        <f>T129+J129</f>
        <v>118700000</v>
      </c>
      <c r="V129" s="618">
        <f>IF(E129=0,0,U129/E129-1)</f>
        <v>-0.112341200308531</v>
      </c>
      <c r="W129" s="618">
        <f>IF(F129=0,0,U129/F129-1)</f>
        <v>0.44950543411894</v>
      </c>
    </row>
    <row r="130">
      <c r="A130" s="634">
        <f>'116目標底稿ver1'!B130</f>
        <v>123</v>
      </c>
      <c r="B130" s="636" t="str">
        <f>'116目標底稿ver1'!C130</f>
        <v>中區</v>
      </c>
      <c r="C130" s="634">
        <f>'116目標底稿ver1'!D130</f>
        <v>423</v>
      </c>
      <c r="D130" s="636" t="str">
        <f>'116目標底稿ver1'!E130</f>
        <v>北台中分行</v>
      </c>
      <c r="E130" s="634">
        <f>'116目標底稿ver1'!G130</f>
        <v>62577903</v>
      </c>
      <c r="F130" s="634">
        <f>'116目標底稿ver1'!I130</f>
        <v>60720000</v>
      </c>
      <c r="G130" s="635">
        <f>'116目標底稿ver1'!J130</f>
        <v>1.03</v>
      </c>
      <c r="H130" s="636" t="str">
        <f>'116目標底稿ver1'!A130</f>
        <v>TYPE_2</v>
      </c>
      <c r="I130" s="634">
        <f>'116目標底稿ver1'!Q130</f>
        <v>63200000</v>
      </c>
      <c r="J130" s="634">
        <f>'116目標底稿ver1'!Y130</f>
        <v>2280000</v>
      </c>
      <c r="K130" s="634">
        <f>'116目標底稿ver1'!Z130</f>
        <v>65480000</v>
      </c>
      <c r="L130" s="618">
        <f>IF(E130=0,0,K130/E130-1)</f>
        <v>0.0463757470428499</v>
      </c>
      <c r="M130" s="616">
        <f>ROUND(IF(G130&gt;=$H$2,($H$2*F130+$D$2*(E130-$H$2*F130))*$N$2,IF(G130&gt;=$J$2,E130*$P$2,IF(G130&gt;=$L$2,E130*$R$2,(E130+$F$2*($L$2*F130-E130))*$R$2))),-4)</f>
        <v>63200000</v>
      </c>
      <c r="N130" s="616">
        <f>ROUND(M130*$H$4,-4)</f>
        <v>63500000</v>
      </c>
      <c r="O130" s="616">
        <f>N130+J130</f>
        <v>65780000</v>
      </c>
      <c r="P130" s="618">
        <f>IF(E130=0,0,O130/E130-1)</f>
        <v>0.0511697715406028</v>
      </c>
      <c r="Q130" s="618">
        <f>IF(F130=0,0,O130/F130-1)</f>
        <v>0.0833333333333333</v>
      </c>
      <c r="R130" s="618">
        <f>MAX($H$3,MIN($J$3,$D$3-$F$3*(G130-1)))</f>
        <v>0.0185</v>
      </c>
      <c r="S130" s="616">
        <f>ROUND(MAX(E130*(1+R130),F130*$L$3),-4)</f>
        <v>63740000</v>
      </c>
      <c r="T130" s="616">
        <f>ROUND(S130*$L$4,-4)</f>
        <v>63740000</v>
      </c>
      <c r="U130" s="616">
        <f>T130+J130</f>
        <v>66020000</v>
      </c>
      <c r="V130" s="618">
        <f>IF(E130=0,0,U130/E130-1)</f>
        <v>0.0550049911388051</v>
      </c>
      <c r="W130" s="618">
        <f>IF(F130=0,0,U130/F130-1)</f>
        <v>0.0872859025032937</v>
      </c>
    </row>
    <row r="131">
      <c r="A131" s="634">
        <f>'116目標底稿ver1'!B131</f>
        <v>124</v>
      </c>
      <c r="B131" s="636" t="str">
        <f>'116目標底稿ver1'!C131</f>
        <v>中區</v>
      </c>
      <c r="C131" s="634">
        <f>'116目標底稿ver1'!D131</f>
        <v>424</v>
      </c>
      <c r="D131" s="636" t="str">
        <f>'116目標底稿ver1'!E131</f>
        <v>台中港路分行</v>
      </c>
      <c r="E131" s="634">
        <f>'116目標底稿ver1'!G131</f>
        <v>124347153</v>
      </c>
      <c r="F131" s="634">
        <f>'116目標底稿ver1'!I131</f>
        <v>108710000</v>
      </c>
      <c r="G131" s="635">
        <f>'116目標底稿ver1'!J131</f>
        <v>1.14</v>
      </c>
      <c r="H131" s="636" t="str">
        <f>'116目標底稿ver1'!A131</f>
        <v>TYPE_2</v>
      </c>
      <c r="I131" s="634">
        <f>'116目標底稿ver1'!Q131</f>
        <v>125590000</v>
      </c>
      <c r="J131" s="634">
        <f>'116目標底稿ver1'!Y131</f>
        <v>3500000</v>
      </c>
      <c r="K131" s="634">
        <f>'116目標底稿ver1'!Z131</f>
        <v>129090000</v>
      </c>
      <c r="L131" s="618">
        <f>IF(E131=0,0,K131/E131-1)</f>
        <v>0.0381419830335803</v>
      </c>
      <c r="M131" s="616">
        <f>ROUND(IF(G131&gt;=$H$2,($H$2*F131+$D$2*(E131-$H$2*F131))*$N$2,IF(G131&gt;=$J$2,E131*$P$2,IF(G131&gt;=$L$2,E131*$R$2,(E131+$F$2*($L$2*F131-E131))*$R$2))),-4)</f>
        <v>125590000</v>
      </c>
      <c r="N131" s="616">
        <f>ROUND(M131*$H$4,-4)</f>
        <v>126190000</v>
      </c>
      <c r="O131" s="616">
        <f>N131+J131</f>
        <v>129690000</v>
      </c>
      <c r="P131" s="618">
        <f>IF(E131=0,0,O131/E131-1)</f>
        <v>0.0429671839772641</v>
      </c>
      <c r="Q131" s="618">
        <f>IF(F131=0,0,O131/F131-1)</f>
        <v>0.192990525250667</v>
      </c>
      <c r="R131" s="618">
        <f>MAX($H$3,MIN($J$3,$D$3-$F$3*(G131-1)))</f>
        <v>-0.00899999999999998</v>
      </c>
      <c r="S131" s="616">
        <f>ROUND(MAX(E131*(1+R131),F131*$L$3),-4)</f>
        <v>123230000</v>
      </c>
      <c r="T131" s="616">
        <f>ROUND(S131*$L$4,-4)</f>
        <v>123220000</v>
      </c>
      <c r="U131" s="616">
        <f>T131+J131</f>
        <v>126720000</v>
      </c>
      <c r="V131" s="618">
        <f>IF(E131=0,0,U131/E131-1)</f>
        <v>0.0190824393060289</v>
      </c>
      <c r="W131" s="618">
        <f>IF(F131=0,0,U131/F131-1)</f>
        <v>0.165670131542636</v>
      </c>
    </row>
    <row r="132">
      <c r="A132" s="634">
        <f>'116目標底稿ver1'!B132</f>
        <v>125</v>
      </c>
      <c r="B132" s="636" t="str">
        <f>'116目標底稿ver1'!C132</f>
        <v>中區</v>
      </c>
      <c r="C132" s="634">
        <f>'116目標底稿ver1'!D132</f>
        <v>425</v>
      </c>
      <c r="D132" s="636" t="str">
        <f>'116目標底稿ver1'!E132</f>
        <v>大里分行</v>
      </c>
      <c r="E132" s="634">
        <f>'116目標底稿ver1'!G132</f>
        <v>65420728</v>
      </c>
      <c r="F132" s="634">
        <f>'116目標底稿ver1'!I132</f>
        <v>81570000</v>
      </c>
      <c r="G132" s="635">
        <f>'116目標底稿ver1'!J132</f>
        <v>0.8</v>
      </c>
      <c r="H132" s="636" t="str">
        <f>'116目標底稿ver1'!A132</f>
        <v>TYPE_3</v>
      </c>
      <c r="I132" s="634">
        <f>'116目標底稿ver1'!Q132</f>
        <v>67380000</v>
      </c>
      <c r="J132" s="634">
        <f>'116目標底稿ver1'!Y132</f>
        <v>2900000</v>
      </c>
      <c r="K132" s="634">
        <f>'116目標底稿ver1'!Z132</f>
        <v>70280000</v>
      </c>
      <c r="L132" s="618">
        <f>IF(E132=0,0,K132/E132-1)</f>
        <v>0.0742772535334673</v>
      </c>
      <c r="M132" s="616">
        <f>ROUND(IF(G132&gt;=$H$2,($H$2*F132+$D$2*(E132-$H$2*F132))*$N$2,IF(G132&gt;=$J$2,E132*$P$2,IF(G132&gt;=$L$2,E132*$R$2,(E132+$F$2*($L$2*F132-E132))*$R$2))),-4)</f>
        <v>67380000</v>
      </c>
      <c r="N132" s="616">
        <f>ROUND(M132*$H$4,-4)</f>
        <v>67700000</v>
      </c>
      <c r="O132" s="616">
        <f>N132+J132</f>
        <v>70600000</v>
      </c>
      <c r="P132" s="618">
        <f>IF(E132=0,0,O132/E132-1)</f>
        <v>0.0791686695996412</v>
      </c>
      <c r="Q132" s="618">
        <f>IF(F132=0,0,O132/F132-1)</f>
        <v>-0.134485717788403</v>
      </c>
      <c r="R132" s="618">
        <f>MAX($H$3,MIN($J$3,$D$3-$F$3*(G132-1)))</f>
        <v>0.076</v>
      </c>
      <c r="S132" s="616">
        <f>ROUND(MAX(E132*(1+R132),F132*$L$3),-4)</f>
        <v>70390000</v>
      </c>
      <c r="T132" s="616">
        <f>ROUND(S132*$L$4,-4)</f>
        <v>70380000</v>
      </c>
      <c r="U132" s="616">
        <f>T132+J132</f>
        <v>73280000</v>
      </c>
      <c r="V132" s="618">
        <f>IF(E132=0,0,U132/E132-1)</f>
        <v>0.120134279153849</v>
      </c>
      <c r="W132" s="618">
        <f>IF(F132=0,0,U132/F132-1)</f>
        <v>-0.101630501409832</v>
      </c>
    </row>
    <row r="133">
      <c r="A133" s="634">
        <f>'116目標底稿ver1'!B133</f>
        <v>126</v>
      </c>
      <c r="B133" s="636" t="str">
        <f>'116目標底稿ver1'!C133</f>
        <v>中區</v>
      </c>
      <c r="C133" s="634">
        <f>'116目標底稿ver1'!D133</f>
        <v>426</v>
      </c>
      <c r="D133" s="636" t="str">
        <f>'116目標底稿ver1'!E133</f>
        <v>水湳分行</v>
      </c>
      <c r="E133" s="634">
        <f>'116目標底稿ver1'!G133</f>
        <v>52489399</v>
      </c>
      <c r="F133" s="634">
        <f>'116目標底稿ver1'!I133</f>
        <v>60460000</v>
      </c>
      <c r="G133" s="635">
        <f>'116目標底稿ver1'!J133</f>
        <v>0.87</v>
      </c>
      <c r="H133" s="636" t="str">
        <f>'116目標底稿ver1'!A133</f>
        <v>TYPE_3</v>
      </c>
      <c r="I133" s="634">
        <f>'116目標底稿ver1'!Q133</f>
        <v>54060000</v>
      </c>
      <c r="J133" s="634">
        <f>'116目標底稿ver1'!Y133</f>
        <v>2350000</v>
      </c>
      <c r="K133" s="634">
        <f>'116目標底稿ver1'!Z133</f>
        <v>56410000</v>
      </c>
      <c r="L133" s="618">
        <f>IF(E133=0,0,K133/E133-1)</f>
        <v>0.0746931966205213</v>
      </c>
      <c r="M133" s="616">
        <f>ROUND(IF(G133&gt;=$H$2,($H$2*F133+$D$2*(E133-$H$2*F133))*$N$2,IF(G133&gt;=$J$2,E133*$P$2,IF(G133&gt;=$L$2,E133*$R$2,(E133+$F$2*($L$2*F133-E133))*$R$2))),-4)</f>
        <v>54060000</v>
      </c>
      <c r="N133" s="616">
        <f>ROUND(M133*$H$4,-4)</f>
        <v>54320000</v>
      </c>
      <c r="O133" s="616">
        <f>N133+J133</f>
        <v>56670000</v>
      </c>
      <c r="P133" s="618">
        <f>IF(E133=0,0,O133/E133-1)</f>
        <v>0.0796465777784958</v>
      </c>
      <c r="Q133" s="618">
        <f>IF(F133=0,0,O133/F133-1)</f>
        <v>-0.0626860734369832</v>
      </c>
      <c r="R133" s="618">
        <f>MAX($H$3,MIN($J$3,$D$3-$F$3*(G133-1)))</f>
        <v>0.0585</v>
      </c>
      <c r="S133" s="616">
        <f>ROUND(MAX(E133*(1+R133),F133*$L$3),-4)</f>
        <v>55560000</v>
      </c>
      <c r="T133" s="616">
        <f>ROUND(S133*$L$4,-4)</f>
        <v>55560000</v>
      </c>
      <c r="U133" s="616">
        <f>T133+J133</f>
        <v>57910000</v>
      </c>
      <c r="V133" s="618">
        <f>IF(E133=0,0,U133/E133-1)</f>
        <v>0.103270395608835</v>
      </c>
      <c r="W133" s="618">
        <f>IF(F133=0,0,U133/F133-1)</f>
        <v>-0.042176645716176</v>
      </c>
    </row>
    <row r="134">
      <c r="A134" s="634">
        <f>'116目標底稿ver1'!B134</f>
        <v>127</v>
      </c>
      <c r="B134" s="636" t="str">
        <f>'116目標底稿ver1'!C134</f>
        <v>中區</v>
      </c>
      <c r="C134" s="634">
        <f>'116目標底稿ver1'!D134</f>
        <v>427</v>
      </c>
      <c r="D134" s="636" t="str">
        <f>'116目標底稿ver1'!E134</f>
        <v>五權分行</v>
      </c>
      <c r="E134" s="634">
        <f>'116目標底稿ver1'!G134</f>
        <v>65975791</v>
      </c>
      <c r="F134" s="634">
        <f>'116目標底稿ver1'!I134</f>
        <v>68020000</v>
      </c>
      <c r="G134" s="635">
        <f>'116目標底稿ver1'!J134</f>
        <v>0.97</v>
      </c>
      <c r="H134" s="636" t="str">
        <f>'116目標底稿ver1'!A134</f>
        <v>TYPE_3</v>
      </c>
      <c r="I134" s="634">
        <f>'116目標底稿ver1'!Q134</f>
        <v>67960000</v>
      </c>
      <c r="J134" s="634">
        <f>'116目標底稿ver1'!Y134</f>
        <v>2530000</v>
      </c>
      <c r="K134" s="634">
        <f>'116目標底稿ver1'!Z134</f>
        <v>70490000</v>
      </c>
      <c r="L134" s="618">
        <f>IF(E134=0,0,K134/E134-1)</f>
        <v>0.0684222035322017</v>
      </c>
      <c r="M134" s="616">
        <f>ROUND(IF(G134&gt;=$H$2,($H$2*F134+$D$2*(E134-$H$2*F134))*$N$2,IF(G134&gt;=$J$2,E134*$P$2,IF(G134&gt;=$L$2,E134*$R$2,(E134+$F$2*($L$2*F134-E134))*$R$2))),-4)</f>
        <v>67960000</v>
      </c>
      <c r="N134" s="616">
        <f>ROUND(M134*$H$4,-4)</f>
        <v>68280000</v>
      </c>
      <c r="O134" s="616">
        <f>N134+J134</f>
        <v>70810000</v>
      </c>
      <c r="P134" s="618">
        <f>IF(E134=0,0,O134/E134-1)</f>
        <v>0.0732724674721974</v>
      </c>
      <c r="Q134" s="618">
        <f>IF(F134=0,0,O134/F134-1)</f>
        <v>0.0410173478388709</v>
      </c>
      <c r="R134" s="618">
        <f>MAX($H$3,MIN($J$3,$D$3-$F$3*(G134-1)))</f>
        <v>0.0335</v>
      </c>
      <c r="S134" s="616">
        <f>ROUND(MAX(E134*(1+R134),F134*$L$3),-4)</f>
        <v>68190000</v>
      </c>
      <c r="T134" s="616">
        <f>ROUND(S134*$L$4,-4)</f>
        <v>68180000</v>
      </c>
      <c r="U134" s="616">
        <f>T134+J134</f>
        <v>70710000</v>
      </c>
      <c r="V134" s="618">
        <f>IF(E134=0,0,U134/E134-1)</f>
        <v>0.0717567599909488</v>
      </c>
      <c r="W134" s="618">
        <f>IF(F134=0,0,U134/F134-1)</f>
        <v>0.0395471920023522</v>
      </c>
    </row>
    <row r="135">
      <c r="A135" s="634">
        <f>'116目標底稿ver1'!B135</f>
        <v>128</v>
      </c>
      <c r="B135" s="636" t="str">
        <f>'116目標底稿ver1'!C135</f>
        <v>中區</v>
      </c>
      <c r="C135" s="634">
        <f>'116目標底稿ver1'!D135</f>
        <v>429</v>
      </c>
      <c r="D135" s="636" t="str">
        <f>'116目標底稿ver1'!E135</f>
        <v>大甲分行</v>
      </c>
      <c r="E135" s="634">
        <f>'116目標底稿ver1'!G135</f>
        <v>68618259</v>
      </c>
      <c r="F135" s="634">
        <f>'116目標底稿ver1'!I135</f>
        <v>53410000</v>
      </c>
      <c r="G135" s="635">
        <f>'116目標底稿ver1'!J135</f>
        <v>1.28</v>
      </c>
      <c r="H135" s="636" t="str">
        <f>'116目標底稿ver1'!A135</f>
        <v>TYPE_1</v>
      </c>
      <c r="I135" s="634">
        <f>'116目標底稿ver1'!Q135</f>
        <v>64730000</v>
      </c>
      <c r="J135" s="634">
        <f>'116目標底稿ver1'!Y135</f>
        <v>1830000</v>
      </c>
      <c r="K135" s="634">
        <f>'116目標底稿ver1'!Z135</f>
        <v>66560000</v>
      </c>
      <c r="L135" s="618">
        <f>IF(E135=0,0,K135/E135-1)</f>
        <v>-0.0299957916449032</v>
      </c>
      <c r="M135" s="616">
        <f>ROUND(IF(G135&gt;=$H$2,($H$2*F135+$D$2*(E135-$H$2*F135))*$N$2,IF(G135&gt;=$J$2,E135*$P$2,IF(G135&gt;=$L$2,E135*$R$2,(E135+$F$2*($L$2*F135-E135))*$R$2))),-4)</f>
        <v>67020000</v>
      </c>
      <c r="N135" s="616">
        <f>ROUND(M135*$H$4,-4)</f>
        <v>67340000</v>
      </c>
      <c r="O135" s="616">
        <f>N135+J135</f>
        <v>69170000</v>
      </c>
      <c r="P135" s="618">
        <f>IF(E135=0,0,O135/E135-1)</f>
        <v>0.00804073154930962</v>
      </c>
      <c r="Q135" s="618">
        <f>IF(F135=0,0,O135/F135-1)</f>
        <v>0.295075828496536</v>
      </c>
      <c r="R135" s="618">
        <f>MAX($H$3,MIN($J$3,$D$3-$F$3*(G135-1)))</f>
        <v>-0.044</v>
      </c>
      <c r="S135" s="616">
        <f>ROUND(MAX(E135*(1+R135),F135*$L$3),-4)</f>
        <v>65600000</v>
      </c>
      <c r="T135" s="616">
        <f>ROUND(S135*$L$4,-4)</f>
        <v>65600000</v>
      </c>
      <c r="U135" s="616">
        <f>T135+J135</f>
        <v>67430000</v>
      </c>
      <c r="V135" s="618">
        <f>IF(E135=0,0,U135/E135-1)</f>
        <v>-0.0173169505801656</v>
      </c>
      <c r="W135" s="618">
        <f>IF(F135=0,0,U135/F135-1)</f>
        <v>0.262497659614305</v>
      </c>
    </row>
    <row r="136">
      <c r="A136" s="634">
        <f>'116目標底稿ver1'!B136</f>
        <v>129</v>
      </c>
      <c r="B136" s="636" t="str">
        <f>'116目標底稿ver1'!C136</f>
        <v>中區</v>
      </c>
      <c r="C136" s="634">
        <f>'116目標底稿ver1'!D136</f>
        <v>430</v>
      </c>
      <c r="D136" s="636" t="str">
        <f>'116目標底稿ver1'!E136</f>
        <v>太平分行</v>
      </c>
      <c r="E136" s="634">
        <f>'116目標底稿ver1'!G136</f>
        <v>33136455</v>
      </c>
      <c r="F136" s="634">
        <f>'116目標底稿ver1'!I136</f>
        <v>45280000</v>
      </c>
      <c r="G136" s="635">
        <f>'116目標底稿ver1'!J136</f>
        <v>0.73</v>
      </c>
      <c r="H136" s="636" t="str">
        <f>'116目標底稿ver1'!A136</f>
        <v>TYPE_4</v>
      </c>
      <c r="I136" s="634">
        <f>'116目標底稿ver1'!Q136</f>
        <v>43470000</v>
      </c>
      <c r="J136" s="634">
        <f>'116目標底稿ver1'!Y136</f>
        <v>1780000</v>
      </c>
      <c r="K136" s="634">
        <f>'116目標底稿ver1'!Z136</f>
        <v>45250000</v>
      </c>
      <c r="L136" s="618">
        <f>IF(E136=0,0,K136/E136-1)</f>
        <v>0.365565507837214</v>
      </c>
      <c r="M136" s="616">
        <f>ROUND(IF(G136&gt;=$H$2,($H$2*F136+$D$2*(E136-$H$2*F136))*$N$2,IF(G136&gt;=$J$2,E136*$P$2,IF(G136&gt;=$L$2,E136*$R$2,(E136+$F$2*($L$2*F136-E136))*$R$2))),-4)</f>
        <v>35720000</v>
      </c>
      <c r="N136" s="616">
        <f>ROUND(M136*$H$4,-4)</f>
        <v>35890000</v>
      </c>
      <c r="O136" s="616">
        <f>N136+J136</f>
        <v>37670000</v>
      </c>
      <c r="P136" s="618">
        <f>IF(E136=0,0,O136/E136-1)</f>
        <v>0.136814423872439</v>
      </c>
      <c r="Q136" s="618">
        <f>IF(F136=0,0,O136/F136-1)</f>
        <v>-0.168065371024735</v>
      </c>
      <c r="R136" s="618">
        <f>MAX($H$3,MIN($J$3,$D$3-$F$3*(G136-1)))</f>
        <v>0.0935</v>
      </c>
      <c r="S136" s="616">
        <f>ROUND(MAX(E136*(1+R136),F136*$L$3),-4)</f>
        <v>38490000</v>
      </c>
      <c r="T136" s="616">
        <f>ROUND(S136*$L$4,-4)</f>
        <v>38490000</v>
      </c>
      <c r="U136" s="616">
        <f>T136+J136</f>
        <v>40270000</v>
      </c>
      <c r="V136" s="618">
        <f>IF(E136=0,0,U136/E136-1)</f>
        <v>0.215277856366953</v>
      </c>
      <c r="W136" s="618">
        <f>IF(F136=0,0,U136/F136-1)</f>
        <v>-0.110644876325088</v>
      </c>
    </row>
    <row r="137">
      <c r="A137" s="634">
        <f>'116目標底稿ver1'!B137</f>
        <v>130</v>
      </c>
      <c r="B137" s="636" t="str">
        <f>'116目標底稿ver1'!C137</f>
        <v>中區</v>
      </c>
      <c r="C137" s="634">
        <f>'116目標底稿ver1'!D137</f>
        <v>431</v>
      </c>
      <c r="D137" s="636" t="str">
        <f>'116目標底稿ver1'!E137</f>
        <v>中科分行</v>
      </c>
      <c r="E137" s="634">
        <f>'116目標底稿ver1'!G137</f>
        <v>43223962</v>
      </c>
      <c r="F137" s="634">
        <f>'116目標底稿ver1'!I137</f>
        <v>37760000</v>
      </c>
      <c r="G137" s="635">
        <f>'116目標底稿ver1'!J137</f>
        <v>1.14</v>
      </c>
      <c r="H137" s="636" t="str">
        <f>'116目標底稿ver1'!A137</f>
        <v>TYPE_2</v>
      </c>
      <c r="I137" s="634">
        <f>'116目標底稿ver1'!Q137</f>
        <v>43660000</v>
      </c>
      <c r="J137" s="634">
        <f>'116目標底稿ver1'!Y137</f>
        <v>1370000</v>
      </c>
      <c r="K137" s="634">
        <f>'116目標底稿ver1'!Z137</f>
        <v>45030000</v>
      </c>
      <c r="L137" s="618">
        <f>IF(E137=0,0,K137/E137-1)</f>
        <v>0.0417832590173015</v>
      </c>
      <c r="M137" s="616">
        <f>ROUND(IF(G137&gt;=$H$2,($H$2*F137+$D$2*(E137-$H$2*F137))*$N$2,IF(G137&gt;=$J$2,E137*$P$2,IF(G137&gt;=$L$2,E137*$R$2,(E137+$F$2*($L$2*F137-E137))*$R$2))),-4)</f>
        <v>43660000</v>
      </c>
      <c r="N137" s="616">
        <f>ROUND(M137*$H$4,-4)</f>
        <v>43870000</v>
      </c>
      <c r="O137" s="616">
        <f>N137+J137</f>
        <v>45240000</v>
      </c>
      <c r="P137" s="618">
        <f>IF(E137=0,0,O137/E137-1)</f>
        <v>0.0466416752818726</v>
      </c>
      <c r="Q137" s="618">
        <f>IF(F137=0,0,O137/F137-1)</f>
        <v>0.198093220338983</v>
      </c>
      <c r="R137" s="618">
        <f>MAX($H$3,MIN($J$3,$D$3-$F$3*(G137-1)))</f>
        <v>-0.00899999999999998</v>
      </c>
      <c r="S137" s="616">
        <f>ROUND(MAX(E137*(1+R137),F137*$L$3),-4)</f>
        <v>42830000</v>
      </c>
      <c r="T137" s="616">
        <f>ROUND(S137*$L$4,-4)</f>
        <v>42830000</v>
      </c>
      <c r="U137" s="616">
        <f>T137+J137</f>
        <v>44200000</v>
      </c>
      <c r="V137" s="618">
        <f>IF(E137=0,0,U137/E137-1)</f>
        <v>0.0225809471144731</v>
      </c>
      <c r="W137" s="618">
        <f>IF(F137=0,0,U137/F137-1)</f>
        <v>0.170550847457627</v>
      </c>
    </row>
    <row r="138">
      <c r="A138" s="634">
        <f>'116目標底稿ver1'!B138</f>
        <v>131</v>
      </c>
      <c r="B138" s="636" t="str">
        <f>'116目標底稿ver1'!C138</f>
        <v>中區</v>
      </c>
      <c r="C138" s="634">
        <f>'116目標底稿ver1'!D138</f>
        <v>451</v>
      </c>
      <c r="D138" s="636" t="str">
        <f>'116目標底稿ver1'!E138</f>
        <v>沙鹿分行</v>
      </c>
      <c r="E138" s="634">
        <f>'116目標底稿ver1'!G138</f>
        <v>40782598</v>
      </c>
      <c r="F138" s="634">
        <f>'116目標底稿ver1'!I138</f>
        <v>56240000</v>
      </c>
      <c r="G138" s="635">
        <f>'116目標底稿ver1'!J138</f>
        <v>0.73</v>
      </c>
      <c r="H138" s="636" t="str">
        <f>'116目標底稿ver1'!A138</f>
        <v>TYPE_4</v>
      </c>
      <c r="I138" s="634">
        <f>'116目標底稿ver1'!Q138</f>
        <v>53990000</v>
      </c>
      <c r="J138" s="634">
        <f>'116目標底稿ver1'!Y138</f>
        <v>1880000</v>
      </c>
      <c r="K138" s="634">
        <f>'116目標底稿ver1'!Z138</f>
        <v>55870000</v>
      </c>
      <c r="L138" s="618">
        <f>IF(E138=0,0,K138/E138-1)</f>
        <v>0.369947054378439</v>
      </c>
      <c r="M138" s="616">
        <f>ROUND(IF(G138&gt;=$H$2,($H$2*F138+$D$2*(E138-$H$2*F138))*$N$2,IF(G138&gt;=$J$2,E138*$P$2,IF(G138&gt;=$L$2,E138*$R$2,(E138+$F$2*($L$2*F138-E138))*$R$2))),-4)</f>
        <v>44170000</v>
      </c>
      <c r="N138" s="616">
        <f>ROUND(M138*$H$4,-4)</f>
        <v>44380000</v>
      </c>
      <c r="O138" s="616">
        <f>N138+J138</f>
        <v>46260000</v>
      </c>
      <c r="P138" s="618">
        <f>IF(E138=0,0,O138/E138-1)</f>
        <v>0.134307333730921</v>
      </c>
      <c r="Q138" s="618">
        <f>IF(F138=0,0,O138/F138-1)</f>
        <v>-0.177453769559033</v>
      </c>
      <c r="R138" s="618">
        <f>MAX($H$3,MIN($J$3,$D$3-$F$3*(G138-1)))</f>
        <v>0.0935</v>
      </c>
      <c r="S138" s="616">
        <f>ROUND(MAX(E138*(1+R138),F138*$L$3),-4)</f>
        <v>47800000</v>
      </c>
      <c r="T138" s="616">
        <f>ROUND(S138*$L$4,-4)</f>
        <v>47800000</v>
      </c>
      <c r="U138" s="616">
        <f>T138+J138</f>
        <v>49680000</v>
      </c>
      <c r="V138" s="618">
        <f>IF(E138=0,0,U138/E138-1)</f>
        <v>0.218166630777176</v>
      </c>
      <c r="W138" s="618">
        <f>IF(F138=0,0,U138/F138-1)</f>
        <v>-0.116642958748222</v>
      </c>
    </row>
    <row r="139">
      <c r="A139" s="634">
        <f>'116目標底稿ver1'!B139</f>
        <v>132</v>
      </c>
      <c r="B139" s="636" t="str">
        <f>'116目標底稿ver1'!C139</f>
        <v>中區</v>
      </c>
      <c r="C139" s="634">
        <f>'116目標底稿ver1'!D139</f>
        <v>500</v>
      </c>
      <c r="D139" s="636" t="str">
        <f>'116目標底稿ver1'!E139</f>
        <v>草屯分行</v>
      </c>
      <c r="E139" s="634">
        <f>'116目標底稿ver1'!G139</f>
        <v>72594689</v>
      </c>
      <c r="F139" s="634">
        <f>'116目標底稿ver1'!I139</f>
        <v>62690000</v>
      </c>
      <c r="G139" s="635">
        <f>'116目標底稿ver1'!J139</f>
        <v>1.16</v>
      </c>
      <c r="H139" s="636" t="str">
        <f>'116目標底稿ver1'!A139</f>
        <v>TYPE_2</v>
      </c>
      <c r="I139" s="634">
        <f>'116目標底稿ver1'!Q139</f>
        <v>73320000</v>
      </c>
      <c r="J139" s="634">
        <f>'116目標底稿ver1'!Y139</f>
        <v>2220000</v>
      </c>
      <c r="K139" s="634">
        <f>'116目標底稿ver1'!Z139</f>
        <v>75540000</v>
      </c>
      <c r="L139" s="618">
        <f>IF(E139=0,0,K139/E139-1)</f>
        <v>0.0405719900528811</v>
      </c>
      <c r="M139" s="616">
        <f>ROUND(IF(G139&gt;=$H$2,($H$2*F139+$D$2*(E139-$H$2*F139))*$N$2,IF(G139&gt;=$J$2,E139*$P$2,IF(G139&gt;=$L$2,E139*$R$2,(E139+$F$2*($L$2*F139-E139))*$R$2))),-4)</f>
        <v>73320000</v>
      </c>
      <c r="N139" s="616">
        <f>ROUND(M139*$H$4,-4)</f>
        <v>73670000</v>
      </c>
      <c r="O139" s="616">
        <f>N139+J139</f>
        <v>75890000</v>
      </c>
      <c r="P139" s="618">
        <f>IF(E139=0,0,O139/E139-1)</f>
        <v>0.0453932793899015</v>
      </c>
      <c r="Q139" s="618">
        <f>IF(F139=0,0,O139/F139-1)</f>
        <v>0.210559897910352</v>
      </c>
      <c r="R139" s="618">
        <f>MAX($H$3,MIN($J$3,$D$3-$F$3*(G139-1)))</f>
        <v>-0.014</v>
      </c>
      <c r="S139" s="616">
        <f>ROUND(MAX(E139*(1+R139),F139*$L$3),-4)</f>
        <v>71580000</v>
      </c>
      <c r="T139" s="616">
        <f>ROUND(S139*$L$4,-4)</f>
        <v>71570000</v>
      </c>
      <c r="U139" s="616">
        <f>T139+J139</f>
        <v>73790000</v>
      </c>
      <c r="V139" s="618">
        <f>IF(E139=0,0,U139/E139-1)</f>
        <v>0.0164655433677801</v>
      </c>
      <c r="W139" s="618">
        <f>IF(F139=0,0,U139/F139-1)</f>
        <v>0.177061732333706</v>
      </c>
    </row>
    <row r="140">
      <c r="A140" s="634">
        <f>'116目標底稿ver1'!B140</f>
        <v>133</v>
      </c>
      <c r="B140" s="636" t="str">
        <f>'116目標底稿ver1'!C140</f>
        <v>中區</v>
      </c>
      <c r="C140" s="634">
        <f>'116目標底稿ver1'!D140</f>
        <v>501</v>
      </c>
      <c r="D140" s="636" t="str">
        <f>'116目標底稿ver1'!E140</f>
        <v>南投分行</v>
      </c>
      <c r="E140" s="634">
        <f>'116目標底稿ver1'!G140</f>
        <v>41345490</v>
      </c>
      <c r="F140" s="634">
        <f>'116目標底稿ver1'!I140</f>
        <v>54190000</v>
      </c>
      <c r="G140" s="635">
        <f>'116目標底稿ver1'!J140</f>
        <v>0.76</v>
      </c>
      <c r="H140" s="636" t="str">
        <f>'116目標底稿ver1'!A140</f>
        <v>TYPE_4</v>
      </c>
      <c r="I140" s="634">
        <f>'116目標底稿ver1'!Q140</f>
        <v>52020000</v>
      </c>
      <c r="J140" s="634">
        <f>'116目標底稿ver1'!Y140</f>
        <v>2010000</v>
      </c>
      <c r="K140" s="634">
        <f>'116目標底稿ver1'!Z140</f>
        <v>54030000</v>
      </c>
      <c r="L140" s="618">
        <f>IF(E140=0,0,K140/E140-1)</f>
        <v>0.306793074649738</v>
      </c>
      <c r="M140" s="616">
        <f>ROUND(IF(G140&gt;=$H$2,($H$2*F140+$D$2*(E140-$H$2*F140))*$N$2,IF(G140&gt;=$J$2,E140*$P$2,IF(G140&gt;=$L$2,E140*$R$2,(E140+$F$2*($L$2*F140-E140))*$R$2))),-4)</f>
        <v>43620000</v>
      </c>
      <c r="N140" s="616">
        <f>ROUND(M140*$H$4,-4)</f>
        <v>43830000</v>
      </c>
      <c r="O140" s="616">
        <f>N140+J140</f>
        <v>45840000</v>
      </c>
      <c r="P140" s="618">
        <f>IF(E140=0,0,O140/E140-1)</f>
        <v>0.10870617327307</v>
      </c>
      <c r="Q140" s="618">
        <f>IF(F140=0,0,O140/F140-1)</f>
        <v>-0.154087470012918</v>
      </c>
      <c r="R140" s="618">
        <f>MAX($H$3,MIN($J$3,$D$3-$F$3*(G140-1)))</f>
        <v>0.086</v>
      </c>
      <c r="S140" s="616">
        <f>ROUND(MAX(E140*(1+R140),F140*$L$3),-4)</f>
        <v>46060000</v>
      </c>
      <c r="T140" s="616">
        <f>ROUND(S140*$L$4,-4)</f>
        <v>46060000</v>
      </c>
      <c r="U140" s="616">
        <f>T140+J140</f>
        <v>48070000</v>
      </c>
      <c r="V140" s="618">
        <f>IF(E140=0,0,U140/E140-1)</f>
        <v>0.162641922976363</v>
      </c>
      <c r="W140" s="618">
        <f>IF(F140=0,0,U140/F140-1)</f>
        <v>-0.112935966045396</v>
      </c>
    </row>
    <row r="141">
      <c r="A141" s="634">
        <f>'116目標底稿ver1'!B141</f>
        <v>134</v>
      </c>
      <c r="B141" s="636" t="str">
        <f>'116目標底稿ver1'!C141</f>
        <v>中區</v>
      </c>
      <c r="C141" s="634">
        <f>'116目標底稿ver1'!D141</f>
        <v>520</v>
      </c>
      <c r="D141" s="636" t="str">
        <f>'116目標底稿ver1'!E141</f>
        <v>彰化分行</v>
      </c>
      <c r="E141" s="634">
        <f>'116目標底稿ver1'!G141</f>
        <v>92073151</v>
      </c>
      <c r="F141" s="634">
        <f>'116目標底稿ver1'!I141</f>
        <v>91670000</v>
      </c>
      <c r="G141" s="635">
        <f>'116目標底稿ver1'!J141</f>
        <v>1</v>
      </c>
      <c r="H141" s="636" t="str">
        <f>'116目標底稿ver1'!A141</f>
        <v>TYPE_2</v>
      </c>
      <c r="I141" s="634">
        <f>'116目標底稿ver1'!Q141</f>
        <v>92990000</v>
      </c>
      <c r="J141" s="634">
        <f>'116目標底稿ver1'!Y141</f>
        <v>2950000</v>
      </c>
      <c r="K141" s="634">
        <f>'116目標底稿ver1'!Z141</f>
        <v>95940000</v>
      </c>
      <c r="L141" s="618">
        <f>IF(E141=0,0,K141/E141-1)</f>
        <v>0.0419975742982881</v>
      </c>
      <c r="M141" s="616">
        <f>ROUND(IF(G141&gt;=$H$2,($H$2*F141+$D$2*(E141-$H$2*F141))*$N$2,IF(G141&gt;=$J$2,E141*$P$2,IF(G141&gt;=$L$2,E141*$R$2,(E141+$F$2*($L$2*F141-E141))*$R$2))),-4)</f>
        <v>92990000</v>
      </c>
      <c r="N141" s="616">
        <f>ROUND(M141*$H$4,-4)</f>
        <v>93430000</v>
      </c>
      <c r="O141" s="616">
        <f>N141+J141</f>
        <v>96380000</v>
      </c>
      <c r="P141" s="618">
        <f>IF(E141=0,0,O141/E141-1)</f>
        <v>0.0467763832694288</v>
      </c>
      <c r="Q141" s="618">
        <f>IF(F141=0,0,O141/F141-1)</f>
        <v>0.0513799498200065</v>
      </c>
      <c r="R141" s="618">
        <f>MAX($H$3,MIN($J$3,$D$3-$F$3*(G141-1)))</f>
        <v>0.026</v>
      </c>
      <c r="S141" s="616">
        <f>ROUND(MAX(E141*(1+R141),F141*$L$3),-4)</f>
        <v>94470000</v>
      </c>
      <c r="T141" s="616">
        <f>ROUND(S141*$L$4,-4)</f>
        <v>94460000</v>
      </c>
      <c r="U141" s="616">
        <f>T141+J141</f>
        <v>97410000</v>
      </c>
      <c r="V141" s="618">
        <f>IF(E141=0,0,U141/E141-1)</f>
        <v>0.0579631406336902</v>
      </c>
      <c r="W141" s="618">
        <f>IF(F141=0,0,U141/F141-1)</f>
        <v>0.0626159048761863</v>
      </c>
    </row>
    <row r="142">
      <c r="A142" s="634">
        <f>'116目標底稿ver1'!B142</f>
        <v>135</v>
      </c>
      <c r="B142" s="636" t="str">
        <f>'116目標底稿ver1'!C142</f>
        <v>中區</v>
      </c>
      <c r="C142" s="634">
        <f>'116目標底稿ver1'!D142</f>
        <v>521</v>
      </c>
      <c r="D142" s="636" t="str">
        <f>'116目標底稿ver1'!E142</f>
        <v>和美分行</v>
      </c>
      <c r="E142" s="634">
        <f>'116目標底稿ver1'!G142</f>
        <v>155168611</v>
      </c>
      <c r="F142" s="634">
        <f>'116目標底稿ver1'!I142</f>
        <v>118020000</v>
      </c>
      <c r="G142" s="635">
        <f>'116目標底稿ver1'!J142</f>
        <v>1.31</v>
      </c>
      <c r="H142" s="636" t="str">
        <f>'116目標底稿ver1'!A142</f>
        <v>TYPE_1</v>
      </c>
      <c r="I142" s="634">
        <f>'116目標底稿ver1'!Q142</f>
        <v>143040000</v>
      </c>
      <c r="J142" s="634">
        <f>'116目標底稿ver1'!Y142</f>
        <v>4720000</v>
      </c>
      <c r="K142" s="634">
        <f>'116目標底稿ver1'!Z142</f>
        <v>147760000</v>
      </c>
      <c r="L142" s="618">
        <f>IF(E142=0,0,K142/E142-1)</f>
        <v>-0.0477455520949401</v>
      </c>
      <c r="M142" s="616">
        <f>ROUND(IF(G142&gt;=$H$2,($H$2*F142+$D$2*(E142-$H$2*F142))*$N$2,IF(G142&gt;=$J$2,E142*$P$2,IF(G142&gt;=$L$2,E142*$R$2,(E142+$F$2*($L$2*F142-E142))*$R$2))),-4)</f>
        <v>149880000</v>
      </c>
      <c r="N142" s="616">
        <f>ROUND(M142*$H$4,-4)</f>
        <v>150600000</v>
      </c>
      <c r="O142" s="616">
        <f>N142+J142</f>
        <v>155320000</v>
      </c>
      <c r="P142" s="618">
        <f>IF(E142=0,0,O142/E142-1)</f>
        <v>0.000975641909947811</v>
      </c>
      <c r="Q142" s="618">
        <f>IF(F142=0,0,O142/F142-1)</f>
        <v>0.316048127436028</v>
      </c>
      <c r="R142" s="618">
        <f>MAX($H$3,MIN($J$3,$D$3-$F$3*(G142-1)))</f>
        <v>-0.0515</v>
      </c>
      <c r="S142" s="616">
        <f>ROUND(MAX(E142*(1+R142),F142*$L$3),-4)</f>
        <v>147180000</v>
      </c>
      <c r="T142" s="616">
        <f>ROUND(S142*$L$4,-4)</f>
        <v>147170000</v>
      </c>
      <c r="U142" s="616">
        <f>T142+J142</f>
        <v>151890000</v>
      </c>
      <c r="V142" s="618">
        <f>IF(E142=0,0,U142/E142-1)</f>
        <v>-0.0211293442589365</v>
      </c>
      <c r="W142" s="618">
        <f>IF(F142=0,0,U142/F142-1)</f>
        <v>0.286985256736146</v>
      </c>
    </row>
    <row r="143">
      <c r="A143" s="634">
        <f>'116目標底稿ver1'!B143</f>
        <v>136</v>
      </c>
      <c r="B143" s="636" t="str">
        <f>'116目標底稿ver1'!C143</f>
        <v>中區</v>
      </c>
      <c r="C143" s="634">
        <f>'116目標底稿ver1'!D143</f>
        <v>522</v>
      </c>
      <c r="D143" s="636" t="str">
        <f>'116目標底稿ver1'!E143</f>
        <v>員林分行</v>
      </c>
      <c r="E143" s="634">
        <f>'116目標底稿ver1'!G143</f>
        <v>137092574</v>
      </c>
      <c r="F143" s="634">
        <f>'116目標底稿ver1'!I143</f>
        <v>116310000</v>
      </c>
      <c r="G143" s="635">
        <f>'116目標底稿ver1'!J143</f>
        <v>1.18</v>
      </c>
      <c r="H143" s="636" t="str">
        <f>'116目標底稿ver1'!A143</f>
        <v>TYPE_2</v>
      </c>
      <c r="I143" s="634">
        <f>'116目標底稿ver1'!Q143</f>
        <v>138460000</v>
      </c>
      <c r="J143" s="634">
        <f>'116目標底稿ver1'!Y143</f>
        <v>4340000</v>
      </c>
      <c r="K143" s="634">
        <f>'116目標底稿ver1'!Z143</f>
        <v>142800000</v>
      </c>
      <c r="L143" s="618">
        <f>IF(E143=0,0,K143/E143-1)</f>
        <v>0.0416319121705309</v>
      </c>
      <c r="M143" s="616">
        <f>ROUND(IF(G143&gt;=$H$2,($H$2*F143+$D$2*(E143-$H$2*F143))*$N$2,IF(G143&gt;=$J$2,E143*$P$2,IF(G143&gt;=$L$2,E143*$R$2,(E143+$F$2*($L$2*F143-E143))*$R$2))),-4)</f>
        <v>138460000</v>
      </c>
      <c r="N143" s="616">
        <f>ROUND(M143*$H$4,-4)</f>
        <v>139120000</v>
      </c>
      <c r="O143" s="616">
        <f>N143+J143</f>
        <v>143460000</v>
      </c>
      <c r="P143" s="618">
        <f>IF(E143=0,0,O143/E143-1)</f>
        <v>0.0464461773108149</v>
      </c>
      <c r="Q143" s="618">
        <f>IF(F143=0,0,O143/F143-1)</f>
        <v>0.233427908176425</v>
      </c>
      <c r="R143" s="618">
        <f>MAX($H$3,MIN($J$3,$D$3-$F$3*(G143-1)))</f>
        <v>-0.019</v>
      </c>
      <c r="S143" s="616">
        <f>ROUND(MAX(E143*(1+R143),F143*$L$3),-4)</f>
        <v>134490000</v>
      </c>
      <c r="T143" s="616">
        <f>ROUND(S143*$L$4,-4)</f>
        <v>134480000</v>
      </c>
      <c r="U143" s="616">
        <f>T143+J143</f>
        <v>138820000</v>
      </c>
      <c r="V143" s="618">
        <f>IF(E143=0,0,U143/E143-1)</f>
        <v>0.0126004345063941</v>
      </c>
      <c r="W143" s="618">
        <f>IF(F143=0,0,U143/F143-1)</f>
        <v>0.193534519817729</v>
      </c>
    </row>
    <row r="144">
      <c r="A144" s="634">
        <f>'116目標底稿ver1'!B144</f>
        <v>137</v>
      </c>
      <c r="B144" s="636" t="str">
        <f>'116目標底稿ver1'!C144</f>
        <v>中區</v>
      </c>
      <c r="C144" s="634">
        <f>'116目標底稿ver1'!D144</f>
        <v>523</v>
      </c>
      <c r="D144" s="636" t="str">
        <f>'116目標底稿ver1'!E144</f>
        <v>鹿港分行</v>
      </c>
      <c r="E144" s="634">
        <f>'116目標底稿ver1'!G144</f>
        <v>60052954</v>
      </c>
      <c r="F144" s="634">
        <f>'116目標底稿ver1'!I144</f>
        <v>69370000</v>
      </c>
      <c r="G144" s="635">
        <f>'116目標底稿ver1'!J144</f>
        <v>0.87</v>
      </c>
      <c r="H144" s="636" t="str">
        <f>'116目標底稿ver1'!A144</f>
        <v>TYPE_3</v>
      </c>
      <c r="I144" s="634">
        <f>'116目標底稿ver1'!Q144</f>
        <v>61850000</v>
      </c>
      <c r="J144" s="634">
        <f>'116目標底稿ver1'!Y144</f>
        <v>2630000</v>
      </c>
      <c r="K144" s="634">
        <f>'116目標底稿ver1'!Z144</f>
        <v>64480000</v>
      </c>
      <c r="L144" s="618">
        <f>IF(E144=0,0,K144/E144-1)</f>
        <v>0.0737190380343322</v>
      </c>
      <c r="M144" s="616">
        <f>ROUND(IF(G144&gt;=$H$2,($H$2*F144+$D$2*(E144-$H$2*F144))*$N$2,IF(G144&gt;=$J$2,E144*$P$2,IF(G144&gt;=$L$2,E144*$R$2,(E144+$F$2*($L$2*F144-E144))*$R$2))),-4)</f>
        <v>61850000</v>
      </c>
      <c r="N144" s="616">
        <f>ROUND(M144*$H$4,-4)</f>
        <v>62150000</v>
      </c>
      <c r="O144" s="616">
        <f>N144+J144</f>
        <v>64780000</v>
      </c>
      <c r="P144" s="618">
        <f>IF(E144=0,0,O144/E144-1)</f>
        <v>0.0787146290921843</v>
      </c>
      <c r="Q144" s="618">
        <f>IF(F144=0,0,O144/F144-1)</f>
        <v>-0.0661669309499784</v>
      </c>
      <c r="R144" s="618">
        <f>MAX($H$3,MIN($J$3,$D$3-$F$3*(G144-1)))</f>
        <v>0.0585</v>
      </c>
      <c r="S144" s="616">
        <f>ROUND(MAX(E144*(1+R144),F144*$L$3),-4)</f>
        <v>63570000</v>
      </c>
      <c r="T144" s="616">
        <f>ROUND(S144*$L$4,-4)</f>
        <v>63570000</v>
      </c>
      <c r="U144" s="616">
        <f>T144+J144</f>
        <v>66200000</v>
      </c>
      <c r="V144" s="618">
        <f>IF(E144=0,0,U144/E144-1)</f>
        <v>0.102360426766017</v>
      </c>
      <c r="W144" s="618">
        <f>IF(F144=0,0,U144/F144-1)</f>
        <v>-0.0456969871702465</v>
      </c>
    </row>
    <row r="145">
      <c r="A145" s="634">
        <f>'116目標底稿ver1'!B145</f>
        <v>138</v>
      </c>
      <c r="B145" s="636" t="str">
        <f>'116目標底稿ver1'!C145</f>
        <v>中區</v>
      </c>
      <c r="C145" s="634">
        <f>'116目標底稿ver1'!D145</f>
        <v>524</v>
      </c>
      <c r="D145" s="636" t="str">
        <f>'116目標底稿ver1'!E145</f>
        <v>溪湖分行</v>
      </c>
      <c r="E145" s="634">
        <f>'116目標底稿ver1'!G145</f>
        <v>50759587</v>
      </c>
      <c r="F145" s="634">
        <f>'116目標底稿ver1'!I145</f>
        <v>56950000</v>
      </c>
      <c r="G145" s="635">
        <f>'116目標底稿ver1'!J145</f>
        <v>0.89</v>
      </c>
      <c r="H145" s="636" t="str">
        <f>'116目標底稿ver1'!A145</f>
        <v>TYPE_3</v>
      </c>
      <c r="I145" s="634">
        <f>'116目標底稿ver1'!Q145</f>
        <v>52280000</v>
      </c>
      <c r="J145" s="634">
        <f>'116目標底稿ver1'!Y145</f>
        <v>2170000</v>
      </c>
      <c r="K145" s="634">
        <f>'116目標底稿ver1'!Z145</f>
        <v>54450000</v>
      </c>
      <c r="L145" s="618">
        <f>IF(E145=0,0,K145/E145-1)</f>
        <v>0.0727037633304621</v>
      </c>
      <c r="M145" s="616">
        <f>ROUND(IF(G145&gt;=$H$2,($H$2*F145+$D$2*(E145-$H$2*F145))*$N$2,IF(G145&gt;=$J$2,E145*$P$2,IF(G145&gt;=$L$2,E145*$R$2,(E145+$F$2*($L$2*F145-E145))*$R$2))),-4)</f>
        <v>52280000</v>
      </c>
      <c r="N145" s="616">
        <f>ROUND(M145*$H$4,-4)</f>
        <v>52530000</v>
      </c>
      <c r="O145" s="616">
        <f>N145+J145</f>
        <v>54700000</v>
      </c>
      <c r="P145" s="618">
        <f>IF(E145=0,0,O145/E145-1)</f>
        <v>0.077628941307186</v>
      </c>
      <c r="Q145" s="618">
        <f>IF(F145=0,0,O145/F145-1)</f>
        <v>-0.0395083406496927</v>
      </c>
      <c r="R145" s="618">
        <f>MAX($H$3,MIN($J$3,$D$3-$F$3*(G145-1)))</f>
        <v>0.0535</v>
      </c>
      <c r="S145" s="616">
        <f>ROUND(MAX(E145*(1+R145),F145*$L$3),-4)</f>
        <v>53480000</v>
      </c>
      <c r="T145" s="616">
        <f>ROUND(S145*$L$4,-4)</f>
        <v>53480000</v>
      </c>
      <c r="U145" s="616">
        <f>T145+J145</f>
        <v>55650000</v>
      </c>
      <c r="V145" s="618">
        <f>IF(E145=0,0,U145/E145-1)</f>
        <v>0.0963446176187368</v>
      </c>
      <c r="W145" s="618">
        <f>IF(F145=0,0,U145/F145-1)</f>
        <v>-0.0228270412642669</v>
      </c>
    </row>
    <row r="146">
      <c r="A146" s="634">
        <f>'116目標底稿ver1'!B146</f>
        <v>139</v>
      </c>
      <c r="B146" s="636" t="str">
        <f>'116目標底稿ver1'!C146</f>
        <v>中區</v>
      </c>
      <c r="C146" s="634">
        <f>'116目標底稿ver1'!D146</f>
        <v>540</v>
      </c>
      <c r="D146" s="636" t="str">
        <f>'116目標底稿ver1'!E146</f>
        <v>斗六分行</v>
      </c>
      <c r="E146" s="634">
        <f>'116目標底稿ver1'!G146</f>
        <v>35583535</v>
      </c>
      <c r="F146" s="634">
        <f>'116目標底稿ver1'!I146</f>
        <v>44770000</v>
      </c>
      <c r="G146" s="635">
        <f>'116目標底稿ver1'!J146</f>
        <v>0.79</v>
      </c>
      <c r="H146" s="636" t="str">
        <f>'116目標底稿ver1'!A146</f>
        <v>TYPE_4</v>
      </c>
      <c r="I146" s="634">
        <f>'116目標底稿ver1'!Q146</f>
        <v>42980000</v>
      </c>
      <c r="J146" s="634">
        <f>'116目標底稿ver1'!Y146</f>
        <v>1870000</v>
      </c>
      <c r="K146" s="634">
        <f>'116目標底稿ver1'!Z146</f>
        <v>44850000</v>
      </c>
      <c r="L146" s="618">
        <f>IF(E146=0,0,K146/E146-1)</f>
        <v>0.260414402335237</v>
      </c>
      <c r="M146" s="616">
        <f>ROUND(IF(G146&gt;=$H$2,($H$2*F146+$D$2*(E146-$H$2*F146))*$N$2,IF(G146&gt;=$J$2,E146*$P$2,IF(G146&gt;=$L$2,E146*$R$2,(E146+$F$2*($L$2*F146-E146))*$R$2))),-4)</f>
        <v>36770000</v>
      </c>
      <c r="N146" s="616">
        <f>ROUND(M146*$H$4,-4)</f>
        <v>36950000</v>
      </c>
      <c r="O146" s="616">
        <f>N146+J146</f>
        <v>38820000</v>
      </c>
      <c r="P146" s="618">
        <f>IF(E146=0,0,O146/E146-1)</f>
        <v>0.0909540044292958</v>
      </c>
      <c r="Q146" s="618">
        <f>IF(F146=0,0,O146/F146-1)</f>
        <v>-0.13290149653786</v>
      </c>
      <c r="R146" s="618">
        <f>MAX($H$3,MIN($J$3,$D$3-$F$3*(G146-1)))</f>
        <v>0.0785</v>
      </c>
      <c r="S146" s="616">
        <f>ROUND(MAX(E146*(1+R146),F146*$L$3),-4)</f>
        <v>38380000</v>
      </c>
      <c r="T146" s="616">
        <f>ROUND(S146*$L$4,-4)</f>
        <v>38380000</v>
      </c>
      <c r="U146" s="616">
        <f>T146+J146</f>
        <v>40250000</v>
      </c>
      <c r="V146" s="618">
        <f>IF(E146=0,0,U146/E146-1)</f>
        <v>0.131141130300854</v>
      </c>
      <c r="W146" s="618">
        <f>IF(F146=0,0,U146/F146-1)</f>
        <v>-0.100960464596828</v>
      </c>
    </row>
    <row r="147">
      <c r="A147" s="634">
        <f>'116目標底稿ver1'!B147</f>
        <v>140</v>
      </c>
      <c r="B147" s="636" t="str">
        <f>'116目標底稿ver1'!C147</f>
        <v>中區</v>
      </c>
      <c r="C147" s="634">
        <f>'116目標底稿ver1'!D147</f>
        <v>541</v>
      </c>
      <c r="D147" s="636" t="str">
        <f>'116目標底稿ver1'!E147</f>
        <v>虎尾分行</v>
      </c>
      <c r="E147" s="634">
        <f>'116目標底稿ver1'!G147</f>
        <v>70664558</v>
      </c>
      <c r="F147" s="634">
        <f>'116目標底稿ver1'!I147</f>
        <v>69680000</v>
      </c>
      <c r="G147" s="635">
        <f>'116目標底稿ver1'!J147</f>
        <v>1.01</v>
      </c>
      <c r="H147" s="636" t="str">
        <f>'116目標底稿ver1'!A147</f>
        <v>TYPE_2</v>
      </c>
      <c r="I147" s="634">
        <f>'116目標底稿ver1'!Q147</f>
        <v>71370000</v>
      </c>
      <c r="J147" s="634">
        <f>'116目標底稿ver1'!Y147</f>
        <v>2670000</v>
      </c>
      <c r="K147" s="634">
        <f>'116目標底稿ver1'!Z147</f>
        <v>74040000</v>
      </c>
      <c r="L147" s="618">
        <f>IF(E147=0,0,K147/E147-1)</f>
        <v>0.0477671140319027</v>
      </c>
      <c r="M147" s="616">
        <f>ROUND(IF(G147&gt;=$H$2,($H$2*F147+$D$2*(E147-$H$2*F147))*$N$2,IF(G147&gt;=$J$2,E147*$P$2,IF(G147&gt;=$L$2,E147*$R$2,(E147+$F$2*($L$2*F147-E147))*$R$2))),-4)</f>
        <v>71370000</v>
      </c>
      <c r="N147" s="616">
        <f>ROUND(M147*$H$4,-4)</f>
        <v>71710000</v>
      </c>
      <c r="O147" s="616">
        <f>N147+J147</f>
        <v>74380000</v>
      </c>
      <c r="P147" s="618">
        <f>IF(E147=0,0,O147/E147-1)</f>
        <v>0.0525785783588995</v>
      </c>
      <c r="Q147" s="618">
        <f>IF(F147=0,0,O147/F147-1)</f>
        <v>0.0674512055109071</v>
      </c>
      <c r="R147" s="618">
        <f>MAX($H$3,MIN($J$3,$D$3-$F$3*(G147-1)))</f>
        <v>0.0235</v>
      </c>
      <c r="S147" s="616">
        <f>ROUND(MAX(E147*(1+R147),F147*$L$3),-4)</f>
        <v>72330000</v>
      </c>
      <c r="T147" s="616">
        <f>ROUND(S147*$L$4,-4)</f>
        <v>72320000</v>
      </c>
      <c r="U147" s="616">
        <f>T147+J147</f>
        <v>74990000</v>
      </c>
      <c r="V147" s="618">
        <f>IF(E147=0,0,U147/E147-1)</f>
        <v>0.0612109114161585</v>
      </c>
      <c r="W147" s="618">
        <f>IF(F147=0,0,U147/F147-1)</f>
        <v>0.0762055109070035</v>
      </c>
    </row>
    <row r="148">
      <c r="A148" s="634">
        <f>'116目標底稿ver1'!B148</f>
        <v>141</v>
      </c>
      <c r="B148" s="636" t="str">
        <f>'116目標底稿ver1'!C148</f>
        <v>中區</v>
      </c>
      <c r="C148" s="634">
        <f>'116目標底稿ver1'!D148</f>
        <v>542</v>
      </c>
      <c r="D148" s="636" t="str">
        <f>'116目標底稿ver1'!E148</f>
        <v>西螺分行</v>
      </c>
      <c r="E148" s="634">
        <f>'116目標底稿ver1'!G148</f>
        <v>36285614</v>
      </c>
      <c r="F148" s="634">
        <f>'116目標底稿ver1'!I148</f>
        <v>47050000</v>
      </c>
      <c r="G148" s="635">
        <f>'116目標底稿ver1'!J148</f>
        <v>0.77</v>
      </c>
      <c r="H148" s="636" t="str">
        <f>'116目標底稿ver1'!A148</f>
        <v>TYPE_4</v>
      </c>
      <c r="I148" s="634">
        <f>'116目標底稿ver1'!Q148</f>
        <v>45170000</v>
      </c>
      <c r="J148" s="634">
        <f>'116目標底稿ver1'!Y148</f>
        <v>1770000</v>
      </c>
      <c r="K148" s="634">
        <f>'116目標底稿ver1'!Z148</f>
        <v>46940000</v>
      </c>
      <c r="L148" s="618">
        <f>IF(E148=0,0,K148/E148-1)</f>
        <v>0.293625622540106</v>
      </c>
      <c r="M148" s="616">
        <f>ROUND(IF(G148&gt;=$H$2,($H$2*F148+$D$2*(E148-$H$2*F148))*$N$2,IF(G148&gt;=$J$2,E148*$P$2,IF(G148&gt;=$L$2,E148*$R$2,(E148+$F$2*($L$2*F148-E148))*$R$2))),-4)</f>
        <v>38070000</v>
      </c>
      <c r="N148" s="616">
        <f>ROUND(M148*$H$4,-4)</f>
        <v>38250000</v>
      </c>
      <c r="O148" s="616">
        <f>N148+J148</f>
        <v>40020000</v>
      </c>
      <c r="P148" s="618">
        <f>IF(E148=0,0,O148/E148-1)</f>
        <v>0.102916434044633</v>
      </c>
      <c r="Q148" s="618">
        <f>IF(F148=0,0,O148/F148-1)</f>
        <v>-0.149415515409139</v>
      </c>
      <c r="R148" s="618">
        <f>MAX($H$3,MIN($J$3,$D$3-$F$3*(G148-1)))</f>
        <v>0.0835</v>
      </c>
      <c r="S148" s="616">
        <f>ROUND(MAX(E148*(1+R148),F148*$L$3),-4)</f>
        <v>39990000</v>
      </c>
      <c r="T148" s="616">
        <f>ROUND(S148*$L$4,-4)</f>
        <v>39990000</v>
      </c>
      <c r="U148" s="616">
        <f>T148+J148</f>
        <v>41760000</v>
      </c>
      <c r="V148" s="618">
        <f>IF(E148=0,0,U148/E148-1)</f>
        <v>0.150869322481356</v>
      </c>
      <c r="W148" s="618">
        <f>IF(F148=0,0,U148/F148-1)</f>
        <v>-0.112433581296493</v>
      </c>
    </row>
    <row r="149">
      <c r="A149" s="634">
        <f>'116目標底稿ver1'!B149</f>
        <v>142</v>
      </c>
      <c r="B149" s="636" t="str">
        <f>'116目標底稿ver1'!C149</f>
        <v>中區</v>
      </c>
      <c r="C149" s="634">
        <f>'116目標底稿ver1'!D149</f>
        <v>600</v>
      </c>
      <c r="D149" s="636" t="str">
        <f>'116目標底稿ver1'!E149</f>
        <v>嘉義分行</v>
      </c>
      <c r="E149" s="634">
        <f>'116目標底稿ver1'!G149</f>
        <v>79745143</v>
      </c>
      <c r="F149" s="634">
        <f>'116目標底稿ver1'!I149</f>
        <v>75270000</v>
      </c>
      <c r="G149" s="635">
        <f>'116目標底稿ver1'!J149</f>
        <v>1.06</v>
      </c>
      <c r="H149" s="636" t="str">
        <f>'116目標底稿ver1'!A149</f>
        <v>TYPE_2</v>
      </c>
      <c r="I149" s="634">
        <f>'116目標底稿ver1'!Q149</f>
        <v>80540000</v>
      </c>
      <c r="J149" s="634">
        <f>'116目標底稿ver1'!Y149</f>
        <v>2670000</v>
      </c>
      <c r="K149" s="634">
        <f>'116目標底稿ver1'!Z149</f>
        <v>83210000</v>
      </c>
      <c r="L149" s="618">
        <f>IF(E149=0,0,K149/E149-1)</f>
        <v>0.0434491289331564</v>
      </c>
      <c r="M149" s="616">
        <f>ROUND(IF(G149&gt;=$H$2,($H$2*F149+$D$2*(E149-$H$2*F149))*$N$2,IF(G149&gt;=$J$2,E149*$P$2,IF(G149&gt;=$L$2,E149*$R$2,(E149+$F$2*($L$2*F149-E149))*$R$2))),-4)</f>
        <v>80540000</v>
      </c>
      <c r="N149" s="616">
        <f>ROUND(M149*$H$4,-4)</f>
        <v>80920000</v>
      </c>
      <c r="O149" s="616">
        <f>N149+J149</f>
        <v>83590000</v>
      </c>
      <c r="P149" s="618">
        <f>IF(E149=0,0,O149/E149-1)</f>
        <v>0.0482143094282244</v>
      </c>
      <c r="Q149" s="618">
        <f>IF(F149=0,0,O149/F149-1)</f>
        <v>0.110535405872193</v>
      </c>
      <c r="R149" s="618">
        <f>MAX($H$3,MIN($J$3,$D$3-$F$3*(G149-1)))</f>
        <v>0.011</v>
      </c>
      <c r="S149" s="616">
        <f>ROUND(MAX(E149*(1+R149),F149*$L$3),-4)</f>
        <v>80620000</v>
      </c>
      <c r="T149" s="616">
        <f>ROUND(S149*$L$4,-4)</f>
        <v>80610000</v>
      </c>
      <c r="U149" s="616">
        <f>T149+J149</f>
        <v>83280000</v>
      </c>
      <c r="V149" s="618">
        <f>IF(E149=0,0,U149/E149-1)</f>
        <v>0.0443269253401426</v>
      </c>
      <c r="W149" s="618">
        <f>IF(F149=0,0,U149/F149-1)</f>
        <v>0.106416899163013</v>
      </c>
    </row>
    <row r="150">
      <c r="A150" s="634">
        <f>'116目標底稿ver1'!B150</f>
        <v>143</v>
      </c>
      <c r="B150" s="636" t="str">
        <f>'116目標底稿ver1'!C150</f>
        <v>中區</v>
      </c>
      <c r="C150" s="634">
        <f>'116目標底稿ver1'!D150</f>
        <v>601</v>
      </c>
      <c r="D150" s="636" t="str">
        <f>'116目標底稿ver1'!E150</f>
        <v>嘉南分行</v>
      </c>
      <c r="E150" s="634">
        <f>'116目標底稿ver1'!G150</f>
        <v>72465355</v>
      </c>
      <c r="F150" s="634">
        <f>'116目標底稿ver1'!I150</f>
        <v>70850000</v>
      </c>
      <c r="G150" s="635">
        <f>'116目標底稿ver1'!J150</f>
        <v>1.02</v>
      </c>
      <c r="H150" s="636" t="str">
        <f>'116目標底稿ver1'!A150</f>
        <v>TYPE_2</v>
      </c>
      <c r="I150" s="634">
        <f>'116目標底稿ver1'!Q150</f>
        <v>73190000</v>
      </c>
      <c r="J150" s="634">
        <f>'116目標底稿ver1'!Y150</f>
        <v>2590000</v>
      </c>
      <c r="K150" s="634">
        <f>'116目標底稿ver1'!Z150</f>
        <v>75780000</v>
      </c>
      <c r="L150" s="618">
        <f>IF(E150=0,0,K150/E150-1)</f>
        <v>0.0457410993156662</v>
      </c>
      <c r="M150" s="616">
        <f>ROUND(IF(G150&gt;=$H$2,($H$2*F150+$D$2*(E150-$H$2*F150))*$N$2,IF(G150&gt;=$J$2,E150*$P$2,IF(G150&gt;=$L$2,E150*$R$2,(E150+$F$2*($L$2*F150-E150))*$R$2))),-4)</f>
        <v>73190000</v>
      </c>
      <c r="N150" s="616">
        <f>ROUND(M150*$H$4,-4)</f>
        <v>73540000</v>
      </c>
      <c r="O150" s="616">
        <f>N150+J150</f>
        <v>76130000</v>
      </c>
      <c r="P150" s="618">
        <f>IF(E150=0,0,O150/E150-1)</f>
        <v>0.0505709935458123</v>
      </c>
      <c r="Q150" s="618">
        <f>IF(F150=0,0,O150/F150-1)</f>
        <v>0.0745236414961186</v>
      </c>
      <c r="R150" s="618">
        <f>MAX($H$3,MIN($J$3,$D$3-$F$3*(G150-1)))</f>
        <v>0.021</v>
      </c>
      <c r="S150" s="616">
        <f>ROUND(MAX(E150*(1+R150),F150*$L$3),-4)</f>
        <v>73990000</v>
      </c>
      <c r="T150" s="616">
        <f>ROUND(S150*$L$4,-4)</f>
        <v>73980000</v>
      </c>
      <c r="U150" s="616">
        <f>T150+J150</f>
        <v>76570000</v>
      </c>
      <c r="V150" s="618">
        <f>IF(E150=0,0,U150/E150-1)</f>
        <v>0.0566428605779963</v>
      </c>
      <c r="W150" s="618">
        <f>IF(F150=0,0,U150/F150-1)</f>
        <v>0.0807339449541284</v>
      </c>
    </row>
    <row r="151">
      <c r="A151" s="634">
        <f>'116目標底稿ver1'!B151</f>
        <v>144</v>
      </c>
      <c r="B151" s="636" t="str">
        <f>'116目標底稿ver1'!C151</f>
        <v>中區</v>
      </c>
      <c r="C151" s="634">
        <f>'116目標底稿ver1'!D151</f>
        <v>602</v>
      </c>
      <c r="D151" s="636" t="str">
        <f>'116目標底稿ver1'!E151</f>
        <v>朴子分行</v>
      </c>
      <c r="E151" s="634">
        <f>'116目標底稿ver1'!G151</f>
        <v>45508119</v>
      </c>
      <c r="F151" s="634">
        <f>'116目標底稿ver1'!I151</f>
        <v>48500000</v>
      </c>
      <c r="G151" s="635">
        <f>'116目標底稿ver1'!J151</f>
        <v>0.94</v>
      </c>
      <c r="H151" s="636" t="str">
        <f>'116目標底稿ver1'!A151</f>
        <v>TYPE_3</v>
      </c>
      <c r="I151" s="634">
        <f>'116目標底稿ver1'!Q151</f>
        <v>46870000</v>
      </c>
      <c r="J151" s="634">
        <f>'116目標底稿ver1'!Y151</f>
        <v>1750000</v>
      </c>
      <c r="K151" s="634">
        <f>'116目標底稿ver1'!Z151</f>
        <v>48620000</v>
      </c>
      <c r="L151" s="618">
        <f>IF(E151=0,0,K151/E151-1)</f>
        <v>0.0683807871733833</v>
      </c>
      <c r="M151" s="616">
        <f>ROUND(IF(G151&gt;=$H$2,($H$2*F151+$D$2*(E151-$H$2*F151))*$N$2,IF(G151&gt;=$J$2,E151*$P$2,IF(G151&gt;=$L$2,E151*$R$2,(E151+$F$2*($L$2*F151-E151))*$R$2))),-4)</f>
        <v>46870000</v>
      </c>
      <c r="N151" s="616">
        <f>ROUND(M151*$H$4,-4)</f>
        <v>47090000</v>
      </c>
      <c r="O151" s="616">
        <f>N151+J151</f>
        <v>48840000</v>
      </c>
      <c r="P151" s="618">
        <f>IF(E151=0,0,O151/E151-1)</f>
        <v>0.0732150893777877</v>
      </c>
      <c r="Q151" s="618">
        <f>IF(F151=0,0,O151/F151-1)</f>
        <v>0.00701030927835045</v>
      </c>
      <c r="R151" s="618">
        <f>MAX($H$3,MIN($J$3,$D$3-$F$3*(G151-1)))</f>
        <v>0.041</v>
      </c>
      <c r="S151" s="616">
        <f>ROUND(MAX(E151*(1+R151),F151*$L$3),-4)</f>
        <v>47370000</v>
      </c>
      <c r="T151" s="616">
        <f>ROUND(S151*$L$4,-4)</f>
        <v>47370000</v>
      </c>
      <c r="U151" s="616">
        <f>T151+J151</f>
        <v>49120000</v>
      </c>
      <c r="V151" s="618">
        <f>IF(E151=0,0,U151/E151-1)</f>
        <v>0.0793678376379388</v>
      </c>
      <c r="W151" s="618">
        <f>IF(F151=0,0,U151/F151-1)</f>
        <v>0.0127835051546392</v>
      </c>
    </row>
    <row r="152">
      <c r="A152" s="634">
        <f>'116目標底稿ver1'!B152</f>
        <v>145</v>
      </c>
      <c r="B152" s="636" t="str">
        <f>'116目標底稿ver1'!C152</f>
        <v>南區</v>
      </c>
      <c r="C152" s="634">
        <f>'116目標底稿ver1'!D152</f>
        <v>620</v>
      </c>
      <c r="D152" s="636" t="str">
        <f>'116目標底稿ver1'!E152</f>
        <v>新營分行</v>
      </c>
      <c r="E152" s="634">
        <f>'116目標底稿ver1'!G152</f>
        <v>76512317</v>
      </c>
      <c r="F152" s="634">
        <f>'116目標底稿ver1'!I152</f>
        <v>61950000</v>
      </c>
      <c r="G152" s="635">
        <f>'116目標底稿ver1'!J152</f>
        <v>1.24</v>
      </c>
      <c r="H152" s="636" t="str">
        <f>'116目標底稿ver1'!A152</f>
        <v>TYPE_1</v>
      </c>
      <c r="I152" s="634">
        <f>'116目標底稿ver1'!Q152</f>
        <v>75080000</v>
      </c>
      <c r="J152" s="634">
        <f>'116目標底稿ver1'!Y152</f>
        <v>2490000</v>
      </c>
      <c r="K152" s="634">
        <f>'116目標底稿ver1'!Z152</f>
        <v>77570000</v>
      </c>
      <c r="L152" s="618">
        <f>IF(E152=0,0,K152/E152-1)</f>
        <v>0.0138236958632425</v>
      </c>
      <c r="M152" s="616">
        <f>ROUND(IF(G152&gt;=$H$2,($H$2*F152+$D$2*(E152-$H$2*F152))*$N$2,IF(G152&gt;=$J$2,E152*$P$2,IF(G152&gt;=$L$2,E152*$R$2,(E152+$F$2*($L$2*F152-E152))*$R$2))),-4)</f>
        <v>76180000</v>
      </c>
      <c r="N152" s="616">
        <f>ROUND(M152*$H$4,-4)</f>
        <v>76540000</v>
      </c>
      <c r="O152" s="616">
        <f>N152+J152</f>
        <v>79030000</v>
      </c>
      <c r="P152" s="618">
        <f>IF(E152=0,0,O152/E152-1)</f>
        <v>0.0329055908736891</v>
      </c>
      <c r="Q152" s="618">
        <f>IF(F152=0,0,O152/F152-1)</f>
        <v>0.275706214689266</v>
      </c>
      <c r="R152" s="618">
        <f>MAX($H$3,MIN($J$3,$D$3-$F$3*(G152-1)))</f>
        <v>-0.034</v>
      </c>
      <c r="S152" s="616">
        <f>ROUND(MAX(E152*(1+R152),F152*$L$3),-4)</f>
        <v>73910000</v>
      </c>
      <c r="T152" s="616">
        <f>ROUND(S152*$L$4,-4)</f>
        <v>73900000</v>
      </c>
      <c r="U152" s="616">
        <f>T152+J152</f>
        <v>76390000</v>
      </c>
      <c r="V152" s="618">
        <f>IF(E152=0,0,U152/E152-1)</f>
        <v>-0.00159865763835121</v>
      </c>
      <c r="W152" s="618">
        <f>IF(F152=0,0,U152/F152-1)</f>
        <v>0.233091202582728</v>
      </c>
    </row>
    <row r="153">
      <c r="A153" s="634">
        <f>'116目標底稿ver1'!B153</f>
        <v>146</v>
      </c>
      <c r="B153" s="636" t="str">
        <f>'116目標底稿ver1'!C153</f>
        <v>南區</v>
      </c>
      <c r="C153" s="634">
        <f>'116目標底稿ver1'!D153</f>
        <v>621</v>
      </c>
      <c r="D153" s="636" t="str">
        <f>'116目標底稿ver1'!E153</f>
        <v>麻豆分行</v>
      </c>
      <c r="E153" s="634">
        <f>'116目標底稿ver1'!G153</f>
        <v>60267983</v>
      </c>
      <c r="F153" s="634">
        <f>'116目標底稿ver1'!I153</f>
        <v>85180000</v>
      </c>
      <c r="G153" s="635">
        <f>'116目標底稿ver1'!J153</f>
        <v>0.71</v>
      </c>
      <c r="H153" s="636" t="str">
        <f>'116目標底稿ver1'!A153</f>
        <v>TYPE_4</v>
      </c>
      <c r="I153" s="634">
        <f>'116目標底稿ver1'!Q153</f>
        <v>81770000</v>
      </c>
      <c r="J153" s="634">
        <f>'116目標底稿ver1'!Y153</f>
        <v>3220000</v>
      </c>
      <c r="K153" s="634">
        <f>'116目標底稿ver1'!Z153</f>
        <v>84990000</v>
      </c>
      <c r="L153" s="618">
        <f>IF(E153=0,0,K153/E153-1)</f>
        <v>0.410201499525876</v>
      </c>
      <c r="M153" s="616">
        <f>ROUND(IF(G153&gt;=$H$2,($H$2*F153+$D$2*(E153-$H$2*F153))*$N$2,IF(G153&gt;=$J$2,E153*$P$2,IF(G153&gt;=$L$2,E153*$R$2,(E153+$F$2*($L$2*F153-E153))*$R$2))),-4)</f>
        <v>66130000</v>
      </c>
      <c r="N153" s="616">
        <f>ROUND(M153*$H$4,-4)</f>
        <v>66450000</v>
      </c>
      <c r="O153" s="616">
        <f>N153+J153</f>
        <v>69670000</v>
      </c>
      <c r="P153" s="618">
        <f>IF(E153=0,0,O153/E153-1)</f>
        <v>0.156003511848074</v>
      </c>
      <c r="Q153" s="618">
        <f>IF(F153=0,0,O153/F153-1)</f>
        <v>-0.182084996478046</v>
      </c>
      <c r="R153" s="618">
        <f>MAX($H$3,MIN($J$3,$D$3-$F$3*(G153-1)))</f>
        <v>0.0985</v>
      </c>
      <c r="S153" s="616">
        <f>ROUND(MAX(E153*(1+R153),F153*$L$3),-4)</f>
        <v>72400000</v>
      </c>
      <c r="T153" s="616">
        <f>ROUND(S153*$L$4,-4)</f>
        <v>72390000</v>
      </c>
      <c r="U153" s="616">
        <f>T153+J153</f>
        <v>75610000</v>
      </c>
      <c r="V153" s="618">
        <f>IF(E153=0,0,U153/E153-1)</f>
        <v>0.25456330602602</v>
      </c>
      <c r="W153" s="618">
        <f>IF(F153=0,0,U153/F153-1)</f>
        <v>-0.112350316975816</v>
      </c>
    </row>
    <row r="154">
      <c r="A154" s="634">
        <f>'116目標底稿ver1'!B154</f>
        <v>147</v>
      </c>
      <c r="B154" s="636" t="str">
        <f>'116目標底稿ver1'!C154</f>
        <v>南區</v>
      </c>
      <c r="C154" s="634">
        <f>'116目標底稿ver1'!D154</f>
        <v>622</v>
      </c>
      <c r="D154" s="636" t="str">
        <f>'116目標底稿ver1'!E154</f>
        <v>永康分行</v>
      </c>
      <c r="E154" s="634">
        <f>'116目標底稿ver1'!G154</f>
        <v>74977980</v>
      </c>
      <c r="F154" s="634">
        <f>'116目標底稿ver1'!I154</f>
        <v>75450000</v>
      </c>
      <c r="G154" s="635">
        <f>'116目標底稿ver1'!J154</f>
        <v>0.99</v>
      </c>
      <c r="H154" s="636" t="str">
        <f>'116目標底稿ver1'!A154</f>
        <v>TYPE_3</v>
      </c>
      <c r="I154" s="634">
        <f>'116目標底稿ver1'!Q154</f>
        <v>77230000</v>
      </c>
      <c r="J154" s="634">
        <f>'116目標底稿ver1'!Y154</f>
        <v>2500000</v>
      </c>
      <c r="K154" s="634">
        <f>'116目標底稿ver1'!Z154</f>
        <v>79730000</v>
      </c>
      <c r="L154" s="618">
        <f>IF(E154=0,0,K154/E154-1)</f>
        <v>0.0633788747042798</v>
      </c>
      <c r="M154" s="616">
        <f>ROUND(IF(G154&gt;=$H$2,($H$2*F154+$D$2*(E154-$H$2*F154))*$N$2,IF(G154&gt;=$J$2,E154*$P$2,IF(G154&gt;=$L$2,E154*$R$2,(E154+$F$2*($L$2*F154-E154))*$R$2))),-4)</f>
        <v>77230000</v>
      </c>
      <c r="N154" s="616">
        <f>ROUND(M154*$H$4,-4)</f>
        <v>77600000</v>
      </c>
      <c r="O154" s="616">
        <f>N154+J154</f>
        <v>80100000</v>
      </c>
      <c r="P154" s="618">
        <f>IF(E154=0,0,O154/E154-1)</f>
        <v>0.0683136568896627</v>
      </c>
      <c r="Q154" s="618">
        <f>IF(F154=0,0,O154/F154-1)</f>
        <v>0.0616302186878728</v>
      </c>
      <c r="R154" s="618">
        <f>MAX($H$3,MIN($J$3,$D$3-$F$3*(G154-1)))</f>
        <v>0.0285</v>
      </c>
      <c r="S154" s="616">
        <f>ROUND(MAX(E154*(1+R154),F154*$L$3),-4)</f>
        <v>77110000</v>
      </c>
      <c r="T154" s="616">
        <f>ROUND(S154*$L$4,-4)</f>
        <v>77100000</v>
      </c>
      <c r="U154" s="616">
        <f>T154+J154</f>
        <v>79600000</v>
      </c>
      <c r="V154" s="618">
        <f>IF(E154=0,0,U154/E154-1)</f>
        <v>0.061645032314821</v>
      </c>
      <c r="W154" s="618">
        <f>IF(F154=0,0,U154/F154-1)</f>
        <v>0.0550033134526176</v>
      </c>
    </row>
    <row r="155">
      <c r="A155" s="634">
        <f>'116目標底稿ver1'!B155</f>
        <v>148</v>
      </c>
      <c r="B155" s="636" t="str">
        <f>'116目標底稿ver1'!C155</f>
        <v>南區</v>
      </c>
      <c r="C155" s="634">
        <f>'116目標底稿ver1'!D155</f>
        <v>640</v>
      </c>
      <c r="D155" s="636" t="str">
        <f>'116目標底稿ver1'!E155</f>
        <v>台南分行</v>
      </c>
      <c r="E155" s="634">
        <f>'116目標底稿ver1'!G155</f>
        <v>121347283</v>
      </c>
      <c r="F155" s="634">
        <f>'116目標底稿ver1'!I155</f>
        <v>101430000</v>
      </c>
      <c r="G155" s="635">
        <f>'116目標底稿ver1'!J155</f>
        <v>1.2</v>
      </c>
      <c r="H155" s="636" t="str">
        <f>'116目標底稿ver1'!A155</f>
        <v>TYPE_1</v>
      </c>
      <c r="I155" s="634">
        <f>'116目標底稿ver1'!Q155</f>
        <v>122930000</v>
      </c>
      <c r="J155" s="634">
        <f>'116目標底稿ver1'!Y155</f>
        <v>3780000</v>
      </c>
      <c r="K155" s="634">
        <f>'116目標底稿ver1'!Z155</f>
        <v>126710000</v>
      </c>
      <c r="L155" s="618">
        <f>IF(E155=0,0,K155/E155-1)</f>
        <v>0.0441931361578158</v>
      </c>
      <c r="M155" s="616">
        <f>ROUND(IF(G155&gt;=$H$2,($H$2*F155+$D$2*(E155-$H$2*F155))*$N$2,IF(G155&gt;=$J$2,E155*$P$2,IF(G155&gt;=$L$2,E155*$R$2,(E155+$F$2*($L$2*F155-E155))*$R$2))),-4)</f>
        <v>122750000</v>
      </c>
      <c r="N155" s="616">
        <f>ROUND(M155*$H$4,-4)</f>
        <v>123340000</v>
      </c>
      <c r="O155" s="616">
        <f>N155+J155</f>
        <v>127120000</v>
      </c>
      <c r="P155" s="618">
        <f>IF(E155=0,0,O155/E155-1)</f>
        <v>0.0475718685848121</v>
      </c>
      <c r="Q155" s="618">
        <f>IF(F155=0,0,O155/F155-1)</f>
        <v>0.25327812284334</v>
      </c>
      <c r="R155" s="618">
        <f>MAX($H$3,MIN($J$3,$D$3-$F$3*(G155-1)))</f>
        <v>-0.024</v>
      </c>
      <c r="S155" s="616">
        <f>ROUND(MAX(E155*(1+R155),F155*$L$3),-4)</f>
        <v>118430000</v>
      </c>
      <c r="T155" s="616">
        <f>ROUND(S155*$L$4,-4)</f>
        <v>118420000</v>
      </c>
      <c r="U155" s="616">
        <f>T155+J155</f>
        <v>122200000</v>
      </c>
      <c r="V155" s="618">
        <f>IF(E155=0,0,U155/E155-1)</f>
        <v>0.00702707946085623</v>
      </c>
      <c r="W155" s="618">
        <f>IF(F155=0,0,U155/F155-1)</f>
        <v>0.204771763777975</v>
      </c>
    </row>
    <row r="156">
      <c r="A156" s="634">
        <f>'116目標底稿ver1'!B156</f>
        <v>149</v>
      </c>
      <c r="B156" s="636" t="str">
        <f>'116目標底稿ver1'!C156</f>
        <v>南區</v>
      </c>
      <c r="C156" s="634">
        <f>'116目標底稿ver1'!D156</f>
        <v>642</v>
      </c>
      <c r="D156" s="636" t="str">
        <f>'116目標底稿ver1'!E156</f>
        <v>東台南分行</v>
      </c>
      <c r="E156" s="634">
        <f>'116目標底稿ver1'!G156</f>
        <v>74163500</v>
      </c>
      <c r="F156" s="634">
        <f>'116目標底稿ver1'!I156</f>
        <v>95940000</v>
      </c>
      <c r="G156" s="635">
        <f>'116目標底稿ver1'!J156</f>
        <v>0.77</v>
      </c>
      <c r="H156" s="636" t="str">
        <f>'116目標底稿ver1'!A156</f>
        <v>TYPE_4</v>
      </c>
      <c r="I156" s="634">
        <f>'116目標底稿ver1'!Q156</f>
        <v>92100000</v>
      </c>
      <c r="J156" s="634">
        <f>'116目標底稿ver1'!Y156</f>
        <v>3280000</v>
      </c>
      <c r="K156" s="634">
        <f>'116目標底稿ver1'!Z156</f>
        <v>95380000</v>
      </c>
      <c r="L156" s="618">
        <f>IF(E156=0,0,K156/E156-1)</f>
        <v>0.286077383079278</v>
      </c>
      <c r="M156" s="616">
        <f>ROUND(IF(G156&gt;=$H$2,($H$2*F156+$D$2*(E156-$H$2*F156))*$N$2,IF(G156&gt;=$J$2,E156*$P$2,IF(G156&gt;=$L$2,E156*$R$2,(E156+$F$2*($L$2*F156-E156))*$R$2))),-4)</f>
        <v>77720000</v>
      </c>
      <c r="N156" s="616">
        <f>ROUND(M156*$H$4,-4)</f>
        <v>78090000</v>
      </c>
      <c r="O156" s="616">
        <f>N156+J156</f>
        <v>81370000</v>
      </c>
      <c r="P156" s="618">
        <f>IF(E156=0,0,O156/E156-1)</f>
        <v>0.0971704409851206</v>
      </c>
      <c r="Q156" s="618">
        <f>IF(F156=0,0,O156/F156-1)</f>
        <v>-0.151865749426725</v>
      </c>
      <c r="R156" s="618">
        <f>MAX($H$3,MIN($J$3,$D$3-$F$3*(G156-1)))</f>
        <v>0.0835</v>
      </c>
      <c r="S156" s="616">
        <f>ROUND(MAX(E156*(1+R156),F156*$L$3),-4)</f>
        <v>81550000</v>
      </c>
      <c r="T156" s="616">
        <f>ROUND(S156*$L$4,-4)</f>
        <v>81540000</v>
      </c>
      <c r="U156" s="616">
        <f>T156+J156</f>
        <v>84820000</v>
      </c>
      <c r="V156" s="618">
        <f>IF(E156=0,0,U156/E156-1)</f>
        <v>0.143689281115373</v>
      </c>
      <c r="W156" s="618">
        <f>IF(F156=0,0,U156/F156-1)</f>
        <v>-0.11590577444236</v>
      </c>
    </row>
    <row r="157">
      <c r="A157" s="634">
        <f>'116目標底稿ver1'!B157</f>
        <v>150</v>
      </c>
      <c r="B157" s="636" t="str">
        <f>'116目標底稿ver1'!C157</f>
        <v>南區</v>
      </c>
      <c r="C157" s="634">
        <f>'116目標底稿ver1'!D157</f>
        <v>643</v>
      </c>
      <c r="D157" s="636" t="str">
        <f>'116目標底稿ver1'!E157</f>
        <v>西台南分行</v>
      </c>
      <c r="E157" s="634">
        <f>'116目標底稿ver1'!G157</f>
        <v>55674017</v>
      </c>
      <c r="F157" s="634">
        <f>'116目標底稿ver1'!I157</f>
        <v>50950000</v>
      </c>
      <c r="G157" s="635">
        <f>'116目標底稿ver1'!J157</f>
        <v>1.09</v>
      </c>
      <c r="H157" s="636" t="str">
        <f>'116目標底稿ver1'!A157</f>
        <v>TYPE_2</v>
      </c>
      <c r="I157" s="634">
        <f>'116目標底稿ver1'!Q157</f>
        <v>56230000</v>
      </c>
      <c r="J157" s="634">
        <f>'116目標底稿ver1'!Y157</f>
        <v>1910000</v>
      </c>
      <c r="K157" s="634">
        <f>'116目標底稿ver1'!Z157</f>
        <v>58140000</v>
      </c>
      <c r="L157" s="618">
        <f>IF(E157=0,0,K157/E157-1)</f>
        <v>0.0442932472431439</v>
      </c>
      <c r="M157" s="616">
        <f>ROUND(IF(G157&gt;=$H$2,($H$2*F157+$D$2*(E157-$H$2*F157))*$N$2,IF(G157&gt;=$J$2,E157*$P$2,IF(G157&gt;=$L$2,E157*$R$2,(E157+$F$2*($L$2*F157-E157))*$R$2))),-4)</f>
        <v>56230000</v>
      </c>
      <c r="N157" s="616">
        <f>ROUND(M157*$H$4,-4)</f>
        <v>56500000</v>
      </c>
      <c r="O157" s="616">
        <f>N157+J157</f>
        <v>58410000</v>
      </c>
      <c r="P157" s="618">
        <f>IF(E157=0,0,O157/E157-1)</f>
        <v>0.0491429062860689</v>
      </c>
      <c r="Q157" s="618">
        <f>IF(F157=0,0,O157/F157-1)</f>
        <v>0.146418056918548</v>
      </c>
      <c r="R157" s="618">
        <f>MAX($H$3,MIN($J$3,$D$3-$F$3*(G157-1)))</f>
        <v>0.00349999999999998</v>
      </c>
      <c r="S157" s="616">
        <f>ROUND(MAX(E157*(1+R157),F157*$L$3),-4)</f>
        <v>55870000</v>
      </c>
      <c r="T157" s="616">
        <f>ROUND(S157*$L$4,-4)</f>
        <v>55870000</v>
      </c>
      <c r="U157" s="616">
        <f>T157+J157</f>
        <v>57780000</v>
      </c>
      <c r="V157" s="618">
        <f>IF(E157=0,0,U157/E157-1)</f>
        <v>0.0378270351859109</v>
      </c>
      <c r="W157" s="618">
        <f>IF(F157=0,0,U157/F157-1)</f>
        <v>0.13405299313052</v>
      </c>
    </row>
    <row r="158">
      <c r="A158" s="634">
        <f>'116目標底稿ver1'!B158</f>
        <v>151</v>
      </c>
      <c r="B158" s="636" t="str">
        <f>'116目標底稿ver1'!C158</f>
        <v>南區</v>
      </c>
      <c r="C158" s="634">
        <f>'116目標底稿ver1'!D158</f>
        <v>644</v>
      </c>
      <c r="D158" s="636" t="str">
        <f>'116目標底稿ver1'!E158</f>
        <v>北台南分行</v>
      </c>
      <c r="E158" s="634">
        <f>'116目標底稿ver1'!G158</f>
        <v>47154352</v>
      </c>
      <c r="F158" s="634">
        <f>'116目標底稿ver1'!I158</f>
        <v>71900000</v>
      </c>
      <c r="G158" s="635">
        <f>'116目標底稿ver1'!J158</f>
        <v>0.66</v>
      </c>
      <c r="H158" s="636" t="str">
        <f>'116目標底稿ver1'!A158</f>
        <v>TYPE_4</v>
      </c>
      <c r="I158" s="634">
        <f>'116目標底稿ver1'!Q158</f>
        <v>69020000</v>
      </c>
      <c r="J158" s="634">
        <f>'116目標底稿ver1'!Y158</f>
        <v>2460000</v>
      </c>
      <c r="K158" s="634">
        <f>'116目標底稿ver1'!Z158</f>
        <v>71480000</v>
      </c>
      <c r="L158" s="618">
        <f>IF(E158=0,0,K158/E158-1)</f>
        <v>0.515872808516168</v>
      </c>
      <c r="M158" s="616">
        <f>ROUND(IF(G158&gt;=$H$2,($H$2*F158+$D$2*(E158-$H$2*F158))*$N$2,IF(G158&gt;=$J$2,E158*$P$2,IF(G158&gt;=$L$2,E158*$R$2,(E158+$F$2*($L$2*F158-E158))*$R$2))),-4)</f>
        <v>53910000</v>
      </c>
      <c r="N158" s="616">
        <f>ROUND(M158*$H$4,-4)</f>
        <v>54170000</v>
      </c>
      <c r="O158" s="616">
        <f>N158+J158</f>
        <v>56630000</v>
      </c>
      <c r="P158" s="618">
        <f>IF(E158=0,0,O158/E158-1)</f>
        <v>0.200949596338425</v>
      </c>
      <c r="Q158" s="618">
        <f>IF(F158=0,0,O158/F158-1)</f>
        <v>-0.212378303198887</v>
      </c>
      <c r="R158" s="618">
        <f>MAX($H$3,MIN($J$3,$D$3-$F$3*(G158-1)))</f>
        <v>0.111</v>
      </c>
      <c r="S158" s="616">
        <f>ROUND(MAX(E158*(1+R158),F158*$L$3),-4)</f>
        <v>61120000</v>
      </c>
      <c r="T158" s="616">
        <f>ROUND(S158*$L$4,-4)</f>
        <v>61120000</v>
      </c>
      <c r="U158" s="616">
        <f>T158+J158</f>
        <v>63580000</v>
      </c>
      <c r="V158" s="618">
        <f>IF(E158=0,0,U158/E158-1)</f>
        <v>0.348337901027672</v>
      </c>
      <c r="W158" s="618">
        <f>IF(F158=0,0,U158/F158-1)</f>
        <v>-0.115716272600835</v>
      </c>
    </row>
    <row r="159">
      <c r="A159" s="634">
        <f>'116目標底稿ver1'!B159</f>
        <v>152</v>
      </c>
      <c r="B159" s="636" t="str">
        <f>'116目標底稿ver1'!C159</f>
        <v>南區</v>
      </c>
      <c r="C159" s="634">
        <f>'116目標底稿ver1'!D159</f>
        <v>645</v>
      </c>
      <c r="D159" s="636" t="str">
        <f>'116目標底稿ver1'!E159</f>
        <v>南都分行</v>
      </c>
      <c r="E159" s="634">
        <f>'116目標底稿ver1'!G159</f>
        <v>72888784</v>
      </c>
      <c r="F159" s="634">
        <f>'116目標底稿ver1'!I159</f>
        <v>71530000</v>
      </c>
      <c r="G159" s="635">
        <f>'116目標底稿ver1'!J159</f>
        <v>1.02</v>
      </c>
      <c r="H159" s="636" t="str">
        <f>'116目標底稿ver1'!A159</f>
        <v>TYPE_2</v>
      </c>
      <c r="I159" s="634">
        <f>'116目標底稿ver1'!Q159</f>
        <v>73620000</v>
      </c>
      <c r="J159" s="634">
        <f>'116目標底稿ver1'!Y159</f>
        <v>2760000</v>
      </c>
      <c r="K159" s="634">
        <f>'116目標底稿ver1'!Z159</f>
        <v>76380000</v>
      </c>
      <c r="L159" s="618">
        <f>IF(E159=0,0,K159/E159-1)</f>
        <v>0.0478978494139783</v>
      </c>
      <c r="M159" s="616">
        <f>ROUND(IF(G159&gt;=$H$2,($H$2*F159+$D$2*(E159-$H$2*F159))*$N$2,IF(G159&gt;=$J$2,E159*$P$2,IF(G159&gt;=$L$2,E159*$R$2,(E159+$F$2*($L$2*F159-E159))*$R$2))),-4)</f>
        <v>73620000</v>
      </c>
      <c r="N159" s="616">
        <f>ROUND(M159*$H$4,-4)</f>
        <v>73970000</v>
      </c>
      <c r="O159" s="616">
        <f>N159+J159</f>
        <v>76730000</v>
      </c>
      <c r="P159" s="618">
        <f>IF(E159=0,0,O159/E159-1)</f>
        <v>0.0526996855922306</v>
      </c>
      <c r="Q159" s="618">
        <f>IF(F159=0,0,O159/F159-1)</f>
        <v>0.0726967705857682</v>
      </c>
      <c r="R159" s="618">
        <f>MAX($H$3,MIN($J$3,$D$3-$F$3*(G159-1)))</f>
        <v>0.021</v>
      </c>
      <c r="S159" s="616">
        <f>ROUND(MAX(E159*(1+R159),F159*$L$3),-4)</f>
        <v>74420000</v>
      </c>
      <c r="T159" s="616">
        <f>ROUND(S159*$L$4,-4)</f>
        <v>74410000</v>
      </c>
      <c r="U159" s="616">
        <f>T159+J159</f>
        <v>77170000</v>
      </c>
      <c r="V159" s="618">
        <f>IF(E159=0,0,U159/E159-1)</f>
        <v>0.0587362796448903</v>
      </c>
      <c r="W159" s="618">
        <f>IF(F159=0,0,U159/F159-1)</f>
        <v>0.0788480357891794</v>
      </c>
    </row>
    <row r="160">
      <c r="A160" s="634">
        <f>'116目標底稿ver1'!B160</f>
        <v>153</v>
      </c>
      <c r="B160" s="636" t="str">
        <f>'116目標底稿ver1'!C160</f>
        <v>南區</v>
      </c>
      <c r="C160" s="634">
        <f>'116目標底稿ver1'!D160</f>
        <v>646</v>
      </c>
      <c r="D160" s="636" t="str">
        <f>'116目標底稿ver1'!E160</f>
        <v>安南分行</v>
      </c>
      <c r="E160" s="634">
        <f>'116目標底稿ver1'!G160</f>
        <v>37655999</v>
      </c>
      <c r="F160" s="634">
        <f>'116目標底稿ver1'!I160</f>
        <v>48300000</v>
      </c>
      <c r="G160" s="635">
        <f>'116目標底稿ver1'!J160</f>
        <v>0.78</v>
      </c>
      <c r="H160" s="636" t="str">
        <f>'116目標底稿ver1'!A160</f>
        <v>TYPE_4</v>
      </c>
      <c r="I160" s="634">
        <f>'116目標底稿ver1'!Q160</f>
        <v>46370000</v>
      </c>
      <c r="J160" s="634">
        <f>'116目標底稿ver1'!Y160</f>
        <v>1960000</v>
      </c>
      <c r="K160" s="634">
        <f>'116目標底稿ver1'!Z160</f>
        <v>48330000</v>
      </c>
      <c r="L160" s="618">
        <f>IF(E160=0,0,K160/E160-1)</f>
        <v>0.283460837143107</v>
      </c>
      <c r="M160" s="616">
        <f>ROUND(IF(G160&gt;=$H$2,($H$2*F160+$D$2*(E160-$H$2*F160))*$N$2,IF(G160&gt;=$J$2,E160*$P$2,IF(G160&gt;=$L$2,E160*$R$2,(E160+$F$2*($L$2*F160-E160))*$R$2))),-4)</f>
        <v>39290000</v>
      </c>
      <c r="N160" s="616">
        <f>ROUND(M160*$H$4,-4)</f>
        <v>39480000</v>
      </c>
      <c r="O160" s="616">
        <f>N160+J160</f>
        <v>41440000</v>
      </c>
      <c r="P160" s="618">
        <f>IF(E160=0,0,O160/E160-1)</f>
        <v>0.100488663174226</v>
      </c>
      <c r="Q160" s="618">
        <f>IF(F160=0,0,O160/F160-1)</f>
        <v>-0.142028985507246</v>
      </c>
      <c r="R160" s="618">
        <f>MAX($H$3,MIN($J$3,$D$3-$F$3*(G160-1)))</f>
        <v>0.081</v>
      </c>
      <c r="S160" s="616">
        <f>ROUND(MAX(E160*(1+R160),F160*$L$3),-4)</f>
        <v>41060000</v>
      </c>
      <c r="T160" s="616">
        <f>ROUND(S160*$L$4,-4)</f>
        <v>41060000</v>
      </c>
      <c r="U160" s="616">
        <f>T160+J160</f>
        <v>43020000</v>
      </c>
      <c r="V160" s="618">
        <f>IF(E160=0,0,U160/E160-1)</f>
        <v>0.142447449077105</v>
      </c>
      <c r="W160" s="618">
        <f>IF(F160=0,0,U160/F160-1)</f>
        <v>-0.109316770186335</v>
      </c>
    </row>
    <row r="161">
      <c r="A161" s="634">
        <f>'116目標底稿ver1'!B161</f>
        <v>154</v>
      </c>
      <c r="B161" s="636" t="str">
        <f>'116目標底稿ver1'!C161</f>
        <v>南區</v>
      </c>
      <c r="C161" s="634">
        <f>'116目標底稿ver1'!D161</f>
        <v>647</v>
      </c>
      <c r="D161" s="636" t="str">
        <f>'116目標底稿ver1'!E161</f>
        <v>仁德分行</v>
      </c>
      <c r="E161" s="634">
        <f>'116目標底稿ver1'!G161</f>
        <v>64370511</v>
      </c>
      <c r="F161" s="634">
        <f>'116目標底稿ver1'!I161</f>
        <v>63960000</v>
      </c>
      <c r="G161" s="635">
        <f>'116目標底稿ver1'!J161</f>
        <v>1.01</v>
      </c>
      <c r="H161" s="636" t="str">
        <f>'116目標底稿ver1'!A161</f>
        <v>TYPE_2</v>
      </c>
      <c r="I161" s="634">
        <f>'116目標底稿ver1'!Q161</f>
        <v>65010000</v>
      </c>
      <c r="J161" s="634">
        <f>'116目標底稿ver1'!Y161</f>
        <v>2660000</v>
      </c>
      <c r="K161" s="634">
        <f>'116目標底稿ver1'!Z161</f>
        <v>67670000</v>
      </c>
      <c r="L161" s="618">
        <f>IF(E161=0,0,K161/E161-1)</f>
        <v>0.0512577723672258</v>
      </c>
      <c r="M161" s="616">
        <f>ROUND(IF(G161&gt;=$H$2,($H$2*F161+$D$2*(E161-$H$2*F161))*$N$2,IF(G161&gt;=$J$2,E161*$P$2,IF(G161&gt;=$L$2,E161*$R$2,(E161+$F$2*($L$2*F161-E161))*$R$2))),-4)</f>
        <v>65010000</v>
      </c>
      <c r="N161" s="616">
        <f>ROUND(M161*$H$4,-4)</f>
        <v>65320000</v>
      </c>
      <c r="O161" s="616">
        <f>N161+J161</f>
        <v>67980000</v>
      </c>
      <c r="P161" s="618">
        <f>IF(E161=0,0,O161/E161-1)</f>
        <v>0.0560736421682282</v>
      </c>
      <c r="Q161" s="618">
        <f>IF(F161=0,0,O161/F161-1)</f>
        <v>0.0628517823639776</v>
      </c>
      <c r="R161" s="618">
        <f>MAX($H$3,MIN($J$3,$D$3-$F$3*(G161-1)))</f>
        <v>0.0235</v>
      </c>
      <c r="S161" s="616">
        <f>ROUND(MAX(E161*(1+R161),F161*$L$3),-4)</f>
        <v>65880000</v>
      </c>
      <c r="T161" s="616">
        <f>ROUND(S161*$L$4,-4)</f>
        <v>65880000</v>
      </c>
      <c r="U161" s="616">
        <f>T161+J161</f>
        <v>68540000</v>
      </c>
      <c r="V161" s="618">
        <f>IF(E161=0,0,U161/E161-1)</f>
        <v>0.0647732779377812</v>
      </c>
      <c r="W161" s="618">
        <f>IF(F161=0,0,U161/F161-1)</f>
        <v>0.0716072545340838</v>
      </c>
    </row>
    <row r="162">
      <c r="A162" s="634">
        <f>'116目標底稿ver1'!B162</f>
        <v>155</v>
      </c>
      <c r="B162" s="636" t="str">
        <f>'116目標底稿ver1'!C162</f>
        <v>南區</v>
      </c>
      <c r="C162" s="634">
        <f>'116目標底稿ver1'!D162</f>
        <v>648</v>
      </c>
      <c r="D162" s="636" t="str">
        <f>'116目標底稿ver1'!E162</f>
        <v>新市分行</v>
      </c>
      <c r="E162" s="634">
        <f>'116目標底稿ver1'!G162</f>
        <v>66452314</v>
      </c>
      <c r="F162" s="634">
        <f>'116目標底稿ver1'!I162</f>
        <v>49760000</v>
      </c>
      <c r="G162" s="635">
        <f>'116目標底稿ver1'!J162</f>
        <v>1.34</v>
      </c>
      <c r="H162" s="636" t="str">
        <f>'116目標底稿ver1'!A162</f>
        <v>TYPE_1</v>
      </c>
      <c r="I162" s="634">
        <f>'116目標底稿ver1'!Q162</f>
        <v>60310000</v>
      </c>
      <c r="J162" s="634">
        <f>'116目標底稿ver1'!Y162</f>
        <v>1970000</v>
      </c>
      <c r="K162" s="634">
        <f>'116目標底稿ver1'!Z162</f>
        <v>62280000</v>
      </c>
      <c r="L162" s="618">
        <f>IF(E162=0,0,K162/E162-1)</f>
        <v>-0.0627865870855904</v>
      </c>
      <c r="M162" s="616">
        <f>ROUND(IF(G162&gt;=$H$2,($H$2*F162+$D$2*(E162-$H$2*F162))*$N$2,IF(G162&gt;=$J$2,E162*$P$2,IF(G162&gt;=$L$2,E162*$R$2,(E162+$F$2*($L$2*F162-E162))*$R$2))),-4)</f>
        <v>63710000</v>
      </c>
      <c r="N162" s="616">
        <f>ROUND(M162*$H$4,-4)</f>
        <v>64010000</v>
      </c>
      <c r="O162" s="616">
        <f>N162+J162</f>
        <v>65980000</v>
      </c>
      <c r="P162" s="618">
        <f>IF(E162=0,0,O162/E162-1)</f>
        <v>-0.00710756287583902</v>
      </c>
      <c r="Q162" s="618">
        <f>IF(F162=0,0,O162/F162-1)</f>
        <v>0.325964630225081</v>
      </c>
      <c r="R162" s="618">
        <f>MAX($H$3,MIN($J$3,$D$3-$F$3*(G162-1)))</f>
        <v>-0.059</v>
      </c>
      <c r="S162" s="616">
        <f>ROUND(MAX(E162*(1+R162),F162*$L$3),-4)</f>
        <v>62530000</v>
      </c>
      <c r="T162" s="616">
        <f>ROUND(S162*$L$4,-4)</f>
        <v>62530000</v>
      </c>
      <c r="U162" s="616">
        <f>T162+J162</f>
        <v>64500000</v>
      </c>
      <c r="V162" s="618">
        <f>IF(E162=0,0,U162/E162-1)</f>
        <v>-0.0293791725597397</v>
      </c>
      <c r="W162" s="618">
        <f>IF(F162=0,0,U162/F162-1)</f>
        <v>0.296221864951769</v>
      </c>
    </row>
    <row r="163">
      <c r="A163" s="634">
        <f>'116目標底稿ver1'!B163</f>
        <v>156</v>
      </c>
      <c r="B163" s="636" t="str">
        <f>'116目標底稿ver1'!C163</f>
        <v>南區</v>
      </c>
      <c r="C163" s="634">
        <f>'116目標底稿ver1'!D163</f>
        <v>681</v>
      </c>
      <c r="D163" s="636" t="str">
        <f>'116目標底稿ver1'!E163</f>
        <v>金華分行</v>
      </c>
      <c r="E163" s="634">
        <f>'116目標底稿ver1'!G163</f>
        <v>38567689</v>
      </c>
      <c r="F163" s="634">
        <f>'116目標底稿ver1'!I163</f>
        <v>55770000</v>
      </c>
      <c r="G163" s="635">
        <f>'116目標底稿ver1'!J163</f>
        <v>0.69</v>
      </c>
      <c r="H163" s="636" t="str">
        <f>'116目標底稿ver1'!A163</f>
        <v>TYPE_4</v>
      </c>
      <c r="I163" s="634">
        <f>'116目標底稿ver1'!Q163</f>
        <v>53540000</v>
      </c>
      <c r="J163" s="634">
        <f>'116目標底稿ver1'!Y163</f>
        <v>2350000</v>
      </c>
      <c r="K163" s="634">
        <f>'116目標底稿ver1'!Z163</f>
        <v>55890000</v>
      </c>
      <c r="L163" s="618">
        <f>IF(E163=0,0,K163/E163-1)</f>
        <v>0.449140496854764</v>
      </c>
      <c r="M163" s="616">
        <f>ROUND(IF(G163&gt;=$H$2,($H$2*F163+$D$2*(E163-$H$2*F163))*$N$2,IF(G163&gt;=$J$2,E163*$P$2,IF(G163&gt;=$L$2,E163*$R$2,(E163+$F$2*($L$2*F163-E163))*$R$2))),-4)</f>
        <v>42840000</v>
      </c>
      <c r="N163" s="616">
        <f>ROUND(M163*$H$4,-4)</f>
        <v>43040000</v>
      </c>
      <c r="O163" s="616">
        <f>N163+J163</f>
        <v>45390000</v>
      </c>
      <c r="P163" s="618">
        <f>IF(E163=0,0,O163/E163-1)</f>
        <v>0.176891879624937</v>
      </c>
      <c r="Q163" s="618">
        <f>IF(F163=0,0,O163/F163-1)</f>
        <v>-0.186121570736955</v>
      </c>
      <c r="R163" s="618">
        <f>MAX($H$3,MIN($J$3,$D$3-$F$3*(G163-1)))</f>
        <v>0.1035</v>
      </c>
      <c r="S163" s="616">
        <f>ROUND(MAX(E163*(1+R163),F163*$L$3),-4)</f>
        <v>47400000</v>
      </c>
      <c r="T163" s="616">
        <f>ROUND(S163*$L$4,-4)</f>
        <v>47400000</v>
      </c>
      <c r="U163" s="616">
        <f>T163+J163</f>
        <v>49750000</v>
      </c>
      <c r="V163" s="618">
        <f>IF(E163=0,0,U163/E163-1)</f>
        <v>0.289939876874655</v>
      </c>
      <c r="W163" s="618">
        <f>IF(F163=0,0,U163/F163-1)</f>
        <v>-0.107943338712569</v>
      </c>
    </row>
    <row r="164">
      <c r="A164" s="634">
        <f>'116目標底稿ver1'!B164</f>
        <v>157</v>
      </c>
      <c r="B164" s="636" t="str">
        <f>'116目標底稿ver1'!C164</f>
        <v>南區</v>
      </c>
      <c r="C164" s="634">
        <f>'116目標底稿ver1'!D164</f>
        <v>700</v>
      </c>
      <c r="D164" s="636" t="str">
        <f>'116目標底稿ver1'!E164</f>
        <v>高雄分行</v>
      </c>
      <c r="E164" s="634">
        <f>'116目標底稿ver1'!G164</f>
        <v>109846893</v>
      </c>
      <c r="F164" s="634">
        <f>'116目標底稿ver1'!I164</f>
        <v>90010000</v>
      </c>
      <c r="G164" s="635">
        <f>'116目標底稿ver1'!J164</f>
        <v>1.22</v>
      </c>
      <c r="H164" s="636" t="str">
        <f>'116目標底稿ver1'!A164</f>
        <v>TYPE_1</v>
      </c>
      <c r="I164" s="634">
        <f>'116目標底稿ver1'!Q164</f>
        <v>109090000</v>
      </c>
      <c r="J164" s="634">
        <f>'116目標底稿ver1'!Y164</f>
        <v>3190000</v>
      </c>
      <c r="K164" s="634">
        <f>'116目標底稿ver1'!Z164</f>
        <v>112280000</v>
      </c>
      <c r="L164" s="618">
        <f>IF(E164=0,0,K164/E164-1)</f>
        <v>0.0221499847064404</v>
      </c>
      <c r="M164" s="616">
        <f>ROUND(IF(G164&gt;=$H$2,($H$2*F164+$D$2*(E164-$H$2*F164))*$N$2,IF(G164&gt;=$J$2,E164*$P$2,IF(G164&gt;=$L$2,E164*$R$2,(E164+$F$2*($L$2*F164-E164))*$R$2))),-4)</f>
        <v>110020000</v>
      </c>
      <c r="N164" s="616">
        <f>ROUND(M164*$H$4,-4)</f>
        <v>110550000</v>
      </c>
      <c r="O164" s="616">
        <f>N164+J164</f>
        <v>113740000</v>
      </c>
      <c r="P164" s="618">
        <f>IF(E164=0,0,O164/E164-1)</f>
        <v>0.0354412117964957</v>
      </c>
      <c r="Q164" s="618">
        <f>IF(F164=0,0,O164/F164-1)</f>
        <v>0.263637373625153</v>
      </c>
      <c r="R164" s="618">
        <f>MAX($H$3,MIN($J$3,$D$3-$F$3*(G164-1)))</f>
        <v>-0.029</v>
      </c>
      <c r="S164" s="616">
        <f>ROUND(MAX(E164*(1+R164),F164*$L$3),-4)</f>
        <v>106660000</v>
      </c>
      <c r="T164" s="616">
        <f>ROUND(S164*$L$4,-4)</f>
        <v>106650000</v>
      </c>
      <c r="U164" s="616">
        <f>T164+J164</f>
        <v>109840000</v>
      </c>
      <c r="V164" s="618">
        <f>IF(E164=0,0,U164/E164-1)</f>
        <v>-6.27509783094338e-05</v>
      </c>
      <c r="W164" s="618">
        <f>IF(F164=0,0,U164/F164-1)</f>
        <v>0.220308854571714</v>
      </c>
    </row>
    <row r="165">
      <c r="A165" s="634">
        <f>'116目標底稿ver1'!B165</f>
        <v>158</v>
      </c>
      <c r="B165" s="636" t="str">
        <f>'116目標底稿ver1'!C165</f>
        <v>南區</v>
      </c>
      <c r="C165" s="634">
        <f>'116目標底稿ver1'!D165</f>
        <v>701</v>
      </c>
      <c r="D165" s="636" t="str">
        <f>'116目標底稿ver1'!E165</f>
        <v>東苓分行</v>
      </c>
      <c r="E165" s="634">
        <f>'116目標底稿ver1'!G165</f>
        <v>57485302</v>
      </c>
      <c r="F165" s="634">
        <f>'116目標底稿ver1'!I165</f>
        <v>46630000</v>
      </c>
      <c r="G165" s="635">
        <f>'116目標底稿ver1'!J165</f>
        <v>1.23</v>
      </c>
      <c r="H165" s="636" t="str">
        <f>'116目標底稿ver1'!A165</f>
        <v>TYPE_1</v>
      </c>
      <c r="I165" s="634">
        <f>'116目標底稿ver1'!Q165</f>
        <v>56520000</v>
      </c>
      <c r="J165" s="634">
        <f>'116目標底稿ver1'!Y165</f>
        <v>1890000</v>
      </c>
      <c r="K165" s="634">
        <f>'116目標底稿ver1'!Z165</f>
        <v>58410000</v>
      </c>
      <c r="L165" s="618">
        <f>IF(E165=0,0,K165/E165-1)</f>
        <v>0.0160858161621904</v>
      </c>
      <c r="M165" s="616">
        <f>ROUND(IF(G165&gt;=$H$2,($H$2*F165+$D$2*(E165-$H$2*F165))*$N$2,IF(G165&gt;=$J$2,E165*$P$2,IF(G165&gt;=$L$2,E165*$R$2,(E165+$F$2*($L$2*F165-E165))*$R$2))),-4)</f>
        <v>57290000</v>
      </c>
      <c r="N165" s="616">
        <f>ROUND(M165*$H$4,-4)</f>
        <v>57560000</v>
      </c>
      <c r="O165" s="616">
        <f>N165+J165</f>
        <v>59450000</v>
      </c>
      <c r="P165" s="618">
        <f>IF(E165=0,0,O165/E165-1)</f>
        <v>0.0341773972066808</v>
      </c>
      <c r="Q165" s="618">
        <f>IF(F165=0,0,O165/F165-1)</f>
        <v>0.274930302380442</v>
      </c>
      <c r="R165" s="618">
        <f>MAX($H$3,MIN($J$3,$D$3-$F$3*(G165-1)))</f>
        <v>-0.0315</v>
      </c>
      <c r="S165" s="616">
        <f>ROUND(MAX(E165*(1+R165),F165*$L$3),-4)</f>
        <v>55670000</v>
      </c>
      <c r="T165" s="616">
        <f>ROUND(S165*$L$4,-4)</f>
        <v>55670000</v>
      </c>
      <c r="U165" s="616">
        <f>T165+J165</f>
        <v>57560000</v>
      </c>
      <c r="V165" s="618">
        <f>IF(E165=0,0,U165/E165-1)</f>
        <v>0.00129942780852055</v>
      </c>
      <c r="W165" s="618">
        <f>IF(F165=0,0,U165/F165-1)</f>
        <v>0.234398455929659</v>
      </c>
    </row>
    <row r="166">
      <c r="A166" s="634">
        <f>'116目標底稿ver1'!B166</f>
        <v>159</v>
      </c>
      <c r="B166" s="636" t="str">
        <f>'116目標底稿ver1'!C166</f>
        <v>南區</v>
      </c>
      <c r="C166" s="634">
        <f>'116目標底稿ver1'!D166</f>
        <v>702</v>
      </c>
      <c r="D166" s="636" t="str">
        <f>'116目標底稿ver1'!E166</f>
        <v>新興分行</v>
      </c>
      <c r="E166" s="634">
        <f>'116目標底稿ver1'!G166</f>
        <v>146683171</v>
      </c>
      <c r="F166" s="634">
        <f>'116目標底稿ver1'!I166</f>
        <v>68390000</v>
      </c>
      <c r="G166" s="635">
        <f>'116目標底稿ver1'!J166</f>
        <v>2.14</v>
      </c>
      <c r="H166" s="636" t="str">
        <f>'116目標底稿ver1'!A166</f>
        <v>TYPE_1</v>
      </c>
      <c r="I166" s="634">
        <f>'116目標底稿ver1'!Q166</f>
        <v>82890000</v>
      </c>
      <c r="J166" s="634">
        <f>'116目標底稿ver1'!Y166</f>
        <v>1700000</v>
      </c>
      <c r="K166" s="634">
        <f>'116目標底稿ver1'!Z166</f>
        <v>84590000</v>
      </c>
      <c r="L166" s="618">
        <f>IF(E166=0,0,K166/E166-1)</f>
        <v>-0.423314894112836</v>
      </c>
      <c r="M166" s="616">
        <f>ROUND(IF(G166&gt;=$H$2,($H$2*F166+$D$2*(E166-$H$2*F166))*$N$2,IF(G166&gt;=$J$2,E166*$P$2,IF(G166&gt;=$L$2,E166*$R$2,(E166+$F$2*($L$2*F166-E166))*$R$2))),-4)</f>
        <v>115520000</v>
      </c>
      <c r="N166" s="616">
        <f>ROUND(M166*$H$4,-4)</f>
        <v>116070000</v>
      </c>
      <c r="O166" s="616">
        <f>N166+J166</f>
        <v>117770000</v>
      </c>
      <c r="P166" s="618">
        <f>IF(E166=0,0,O166/E166-1)</f>
        <v>-0.197113075773362</v>
      </c>
      <c r="Q166" s="618">
        <f>IF(F166=0,0,O166/F166-1)</f>
        <v>0.722035385290247</v>
      </c>
      <c r="R166" s="618">
        <f>MAX($H$3,MIN($J$3,$D$3-$F$3*(G166-1)))</f>
        <v>-0.2</v>
      </c>
      <c r="S166" s="616">
        <f>ROUND(MAX(E166*(1+R166),F166*$L$3),-4)</f>
        <v>117350000</v>
      </c>
      <c r="T166" s="616">
        <f>ROUND(S166*$L$4,-4)</f>
        <v>117340000</v>
      </c>
      <c r="U166" s="616">
        <f>T166+J166</f>
        <v>119040000</v>
      </c>
      <c r="V166" s="618">
        <f>IF(E166=0,0,U166/E166-1)</f>
        <v>-0.188454959158198</v>
      </c>
      <c r="W166" s="618">
        <f>IF(F166=0,0,U166/F166-1)</f>
        <v>0.740605351659599</v>
      </c>
    </row>
    <row r="167">
      <c r="A167" s="634">
        <f>'116目標底稿ver1'!B167</f>
        <v>160</v>
      </c>
      <c r="B167" s="636" t="str">
        <f>'116目標底稿ver1'!C167</f>
        <v>南區</v>
      </c>
      <c r="C167" s="634">
        <f>'116目標底稿ver1'!D167</f>
        <v>703</v>
      </c>
      <c r="D167" s="636" t="str">
        <f>'116目標底稿ver1'!E167</f>
        <v>高雄三民分行</v>
      </c>
      <c r="E167" s="634">
        <f>'116目標底稿ver1'!G167</f>
        <v>31343682</v>
      </c>
      <c r="F167" s="634">
        <f>'116目標底稿ver1'!I167</f>
        <v>48810000</v>
      </c>
      <c r="G167" s="635">
        <f>'116目標底稿ver1'!J167</f>
        <v>0.64</v>
      </c>
      <c r="H167" s="636" t="str">
        <f>'116目標底稿ver1'!A167</f>
        <v>TYPE_4</v>
      </c>
      <c r="I167" s="634">
        <f>'116目標底稿ver1'!Q167</f>
        <v>46860000</v>
      </c>
      <c r="J167" s="634">
        <f>'116目標底稿ver1'!Y167</f>
        <v>1580000</v>
      </c>
      <c r="K167" s="634">
        <f>'116目標底稿ver1'!Z167</f>
        <v>48440000</v>
      </c>
      <c r="L167" s="618">
        <f>IF(E167=0,0,K167/E167-1)</f>
        <v>0.545447021827238</v>
      </c>
      <c r="M167" s="616">
        <f>ROUND(IF(G167&gt;=$H$2,($H$2*F167+$D$2*(E167-$H$2*F167))*$N$2,IF(G167&gt;=$J$2,E167*$P$2,IF(G167&gt;=$L$2,E167*$R$2,(E167+$F$2*($L$2*F167-E167))*$R$2))),-4)</f>
        <v>36250000</v>
      </c>
      <c r="N167" s="616">
        <f>ROUND(M167*$H$4,-4)</f>
        <v>36420000</v>
      </c>
      <c r="O167" s="616">
        <f>N167+J167</f>
        <v>38000000</v>
      </c>
      <c r="P167" s="618">
        <f>IF(E167=0,0,O167/E167-1)</f>
        <v>0.212365541482969</v>
      </c>
      <c r="Q167" s="618">
        <f>IF(F167=0,0,O167/F167-1)</f>
        <v>-0.221471010038926</v>
      </c>
      <c r="R167" s="618">
        <f>MAX($H$3,MIN($J$3,$D$3-$F$3*(G167-1)))</f>
        <v>0.116</v>
      </c>
      <c r="S167" s="616">
        <f>ROUND(MAX(E167*(1+R167),F167*$L$3),-4)</f>
        <v>41490000</v>
      </c>
      <c r="T167" s="616">
        <f>ROUND(S167*$L$4,-4)</f>
        <v>41490000</v>
      </c>
      <c r="U167" s="616">
        <f>T167+J167</f>
        <v>43070000</v>
      </c>
      <c r="V167" s="618">
        <f>IF(E167=0,0,U167/E167-1)</f>
        <v>0.374120628201881</v>
      </c>
      <c r="W167" s="618">
        <f>IF(F167=0,0,U167/F167-1)</f>
        <v>-0.11759885269412</v>
      </c>
    </row>
    <row r="168">
      <c r="A168" s="634">
        <f>'116目標底稿ver1'!B168</f>
        <v>161</v>
      </c>
      <c r="B168" s="636" t="str">
        <f>'116目標底稿ver1'!C168</f>
        <v>南區</v>
      </c>
      <c r="C168" s="634">
        <f>'116目標底稿ver1'!D168</f>
        <v>704</v>
      </c>
      <c r="D168" s="636" t="str">
        <f>'116目標底稿ver1'!E168</f>
        <v>苓雅分行</v>
      </c>
      <c r="E168" s="634">
        <f>'116目標底稿ver1'!G168</f>
        <v>51467046</v>
      </c>
      <c r="F168" s="634">
        <f>'116目標底稿ver1'!I168</f>
        <v>46050000</v>
      </c>
      <c r="G168" s="635">
        <f>'116目標底稿ver1'!J168</f>
        <v>1.12</v>
      </c>
      <c r="H168" s="636" t="str">
        <f>'116目標底稿ver1'!A168</f>
        <v>TYPE_2</v>
      </c>
      <c r="I168" s="634">
        <f>'116目標底稿ver1'!Q168</f>
        <v>51980000</v>
      </c>
      <c r="J168" s="634">
        <f>'116目標底稿ver1'!Y168</f>
        <v>1640000</v>
      </c>
      <c r="K168" s="634">
        <f>'116目標底稿ver1'!Z168</f>
        <v>53620000</v>
      </c>
      <c r="L168" s="618">
        <f>IF(E168=0,0,K168/E168-1)</f>
        <v>0.0418316994528887</v>
      </c>
      <c r="M168" s="616">
        <f>ROUND(IF(G168&gt;=$H$2,($H$2*F168+$D$2*(E168-$H$2*F168))*$N$2,IF(G168&gt;=$J$2,E168*$P$2,IF(G168&gt;=$L$2,E168*$R$2,(E168+$F$2*($L$2*F168-E168))*$R$2))),-4)</f>
        <v>51980000</v>
      </c>
      <c r="N168" s="616">
        <f>ROUND(M168*$H$4,-4)</f>
        <v>52230000</v>
      </c>
      <c r="O168" s="616">
        <f>N168+J168</f>
        <v>53870000</v>
      </c>
      <c r="P168" s="618">
        <f>IF(E168=0,0,O168/E168-1)</f>
        <v>0.0466891766043849</v>
      </c>
      <c r="Q168" s="618">
        <f>IF(F168=0,0,O168/F168-1)</f>
        <v>0.169815418023887</v>
      </c>
      <c r="R168" s="618">
        <f>MAX($H$3,MIN($J$3,$D$3-$F$3*(G168-1)))</f>
        <v>-0.00400000000000003</v>
      </c>
      <c r="S168" s="616">
        <f>ROUND(MAX(E168*(1+R168),F168*$L$3),-4)</f>
        <v>51260000</v>
      </c>
      <c r="T168" s="616">
        <f>ROUND(S168*$L$4,-4)</f>
        <v>51260000</v>
      </c>
      <c r="U168" s="616">
        <f>T168+J168</f>
        <v>52900000</v>
      </c>
      <c r="V168" s="618">
        <f>IF(E168=0,0,U168/E168-1)</f>
        <v>0.0278421652565799</v>
      </c>
      <c r="W168" s="618">
        <f>IF(F168=0,0,U168/F168-1)</f>
        <v>0.148751357220413</v>
      </c>
    </row>
    <row r="169">
      <c r="A169" s="634">
        <f>'116目標底稿ver1'!B169</f>
        <v>162</v>
      </c>
      <c r="B169" s="636" t="str">
        <f>'116目標底稿ver1'!C169</f>
        <v>南區</v>
      </c>
      <c r="C169" s="634">
        <f>'116目標底稿ver1'!D169</f>
        <v>705</v>
      </c>
      <c r="D169" s="636" t="str">
        <f>'116目標底稿ver1'!E169</f>
        <v>前鎮分行</v>
      </c>
      <c r="E169" s="634">
        <f>'116目標底稿ver1'!G169</f>
        <v>42513645</v>
      </c>
      <c r="F169" s="634">
        <f>'116目標底稿ver1'!I169</f>
        <v>40520000</v>
      </c>
      <c r="G169" s="635">
        <f>'116目標底稿ver1'!J169</f>
        <v>1.05</v>
      </c>
      <c r="H169" s="636" t="str">
        <f>'116目標底稿ver1'!A169</f>
        <v>TYPE_2</v>
      </c>
      <c r="I169" s="634">
        <f>'116目標底稿ver1'!Q169</f>
        <v>42940000</v>
      </c>
      <c r="J169" s="634">
        <f>'116目標底稿ver1'!Y169</f>
        <v>1590000</v>
      </c>
      <c r="K169" s="634">
        <f>'116目標底稿ver1'!Z169</f>
        <v>44530000</v>
      </c>
      <c r="L169" s="618">
        <f>IF(E169=0,0,K169/E169-1)</f>
        <v>0.0474284197461781</v>
      </c>
      <c r="M169" s="616">
        <f>ROUND(IF(G169&gt;=$H$2,($H$2*F169+$D$2*(E169-$H$2*F169))*$N$2,IF(G169&gt;=$J$2,E169*$P$2,IF(G169&gt;=$L$2,E169*$R$2,(E169+$F$2*($L$2*F169-E169))*$R$2))),-4)</f>
        <v>42940000</v>
      </c>
      <c r="N169" s="616">
        <f>ROUND(M169*$H$4,-4)</f>
        <v>43140000</v>
      </c>
      <c r="O169" s="616">
        <f>N169+J169</f>
        <v>44730000</v>
      </c>
      <c r="P169" s="618">
        <f>IF(E169=0,0,O169/E169-1)</f>
        <v>0.0521327917189882</v>
      </c>
      <c r="Q169" s="618">
        <f>IF(F169=0,0,O169/F169-1)</f>
        <v>0.103899308983218</v>
      </c>
      <c r="R169" s="618">
        <f>MAX($H$3,MIN($J$3,$D$3-$F$3*(G169-1)))</f>
        <v>0.0135</v>
      </c>
      <c r="S169" s="616">
        <f>ROUND(MAX(E169*(1+R169),F169*$L$3),-4)</f>
        <v>43090000</v>
      </c>
      <c r="T169" s="616">
        <f>ROUND(S169*$L$4,-4)</f>
        <v>43090000</v>
      </c>
      <c r="U169" s="616">
        <f>T169+J169</f>
        <v>44680000</v>
      </c>
      <c r="V169" s="618">
        <f>IF(E169=0,0,U169/E169-1)</f>
        <v>0.0509566987257857</v>
      </c>
      <c r="W169" s="618">
        <f>IF(F169=0,0,U169/F169-1)</f>
        <v>0.102665350444225</v>
      </c>
    </row>
    <row r="170">
      <c r="A170" s="634">
        <f>'116目標底稿ver1'!B170</f>
        <v>163</v>
      </c>
      <c r="B170" s="636" t="str">
        <f>'116目標底稿ver1'!C170</f>
        <v>南區</v>
      </c>
      <c r="C170" s="634">
        <f>'116目標底稿ver1'!D170</f>
        <v>706</v>
      </c>
      <c r="D170" s="636" t="str">
        <f>'116目標底稿ver1'!E170</f>
        <v>高雄博愛分行</v>
      </c>
      <c r="E170" s="634">
        <f>'116目標底稿ver1'!G170</f>
        <v>50941852</v>
      </c>
      <c r="F170" s="634">
        <f>'116目標底稿ver1'!I170</f>
        <v>63540000</v>
      </c>
      <c r="G170" s="635">
        <f>'116目標底稿ver1'!J170</f>
        <v>0.8</v>
      </c>
      <c r="H170" s="636" t="str">
        <f>'116目標底稿ver1'!A170</f>
        <v>TYPE_3</v>
      </c>
      <c r="I170" s="634">
        <f>'116目標底稿ver1'!Q170</f>
        <v>52470000</v>
      </c>
      <c r="J170" s="634">
        <f>'116目標底稿ver1'!Y170</f>
        <v>2210000</v>
      </c>
      <c r="K170" s="634">
        <f>'116目標底稿ver1'!Z170</f>
        <v>54680000</v>
      </c>
      <c r="L170" s="618">
        <f>IF(E170=0,0,K170/E170-1)</f>
        <v>0.0733806850995524</v>
      </c>
      <c r="M170" s="616">
        <f>ROUND(IF(G170&gt;=$H$2,($H$2*F170+$D$2*(E170-$H$2*F170))*$N$2,IF(G170&gt;=$J$2,E170*$P$2,IF(G170&gt;=$L$2,E170*$R$2,(E170+$F$2*($L$2*F170-E170))*$R$2))),-4)</f>
        <v>52470000</v>
      </c>
      <c r="N170" s="616">
        <f>ROUND(M170*$H$4,-4)</f>
        <v>52720000</v>
      </c>
      <c r="O170" s="616">
        <f>N170+J170</f>
        <v>54930000</v>
      </c>
      <c r="P170" s="618">
        <f>IF(E170=0,0,O170/E170-1)</f>
        <v>0.0782882412677104</v>
      </c>
      <c r="Q170" s="618">
        <f>IF(F170=0,0,O170/F170-1)</f>
        <v>-0.135505193578848</v>
      </c>
      <c r="R170" s="618">
        <f>MAX($H$3,MIN($J$3,$D$3-$F$3*(G170-1)))</f>
        <v>0.076</v>
      </c>
      <c r="S170" s="616">
        <f>ROUND(MAX(E170*(1+R170),F170*$L$3),-4)</f>
        <v>54810000</v>
      </c>
      <c r="T170" s="616">
        <f>ROUND(S170*$L$4,-4)</f>
        <v>54810000</v>
      </c>
      <c r="U170" s="616">
        <f>T170+J170</f>
        <v>57020000</v>
      </c>
      <c r="V170" s="618">
        <f>IF(E170=0,0,U170/E170-1)</f>
        <v>0.119315410833513</v>
      </c>
      <c r="W170" s="618">
        <f>IF(F170=0,0,U170/F170-1)</f>
        <v>-0.102612527541706</v>
      </c>
    </row>
    <row r="171">
      <c r="A171" s="634">
        <f>'116目標底稿ver1'!B171</f>
        <v>164</v>
      </c>
      <c r="B171" s="636" t="str">
        <f>'116目標底稿ver1'!C171</f>
        <v>南區</v>
      </c>
      <c r="C171" s="634">
        <f>'116目標底稿ver1'!D171</f>
        <v>707</v>
      </c>
      <c r="D171" s="636" t="str">
        <f>'116目標底稿ver1'!E171</f>
        <v>南高雄分行</v>
      </c>
      <c r="E171" s="634">
        <f>'116目標底稿ver1'!G171</f>
        <v>32597177</v>
      </c>
      <c r="F171" s="634">
        <f>'116目標底稿ver1'!I171</f>
        <v>37970000</v>
      </c>
      <c r="G171" s="635">
        <f>'116目標底稿ver1'!J171</f>
        <v>0.86</v>
      </c>
      <c r="H171" s="636" t="str">
        <f>'116目標底稿ver1'!A171</f>
        <v>TYPE_3</v>
      </c>
      <c r="I171" s="634">
        <f>'116目標底稿ver1'!Q171</f>
        <v>33580000</v>
      </c>
      <c r="J171" s="634">
        <f>'116目標底稿ver1'!Y171</f>
        <v>1370000</v>
      </c>
      <c r="K171" s="634">
        <f>'116目標底稿ver1'!Z171</f>
        <v>34950000</v>
      </c>
      <c r="L171" s="618">
        <f>IF(E171=0,0,K171/E171-1)</f>
        <v>0.0721787349867751</v>
      </c>
      <c r="M171" s="616">
        <f>ROUND(IF(G171&gt;=$H$2,($H$2*F171+$D$2*(E171-$H$2*F171))*$N$2,IF(G171&gt;=$J$2,E171*$P$2,IF(G171&gt;=$L$2,E171*$R$2,(E171+$F$2*($L$2*F171-E171))*$R$2))),-4)</f>
        <v>33580000</v>
      </c>
      <c r="N171" s="616">
        <f>ROUND(M171*$H$4,-4)</f>
        <v>33740000</v>
      </c>
      <c r="O171" s="616">
        <f>N171+J171</f>
        <v>35110000</v>
      </c>
      <c r="P171" s="618">
        <f>IF(E171=0,0,O171/E171-1)</f>
        <v>0.0770871354902911</v>
      </c>
      <c r="Q171" s="618">
        <f>IF(F171=0,0,O171/F171-1)</f>
        <v>-0.0753226231235186</v>
      </c>
      <c r="R171" s="618">
        <f>MAX($H$3,MIN($J$3,$D$3-$F$3*(G171-1)))</f>
        <v>0.061</v>
      </c>
      <c r="S171" s="616">
        <f>ROUND(MAX(E171*(1+R171),F171*$L$3),-4)</f>
        <v>34590000</v>
      </c>
      <c r="T171" s="616">
        <f>ROUND(S171*$L$4,-4)</f>
        <v>34590000</v>
      </c>
      <c r="U171" s="616">
        <f>T171+J171</f>
        <v>35960000</v>
      </c>
      <c r="V171" s="618">
        <f>IF(E171=0,0,U171/E171-1)</f>
        <v>0.10316301316522</v>
      </c>
      <c r="W171" s="618">
        <f>IF(F171=0,0,U171/F171-1)</f>
        <v>-0.0529365288385567</v>
      </c>
    </row>
    <row r="172">
      <c r="A172" s="634">
        <f>'116目標底稿ver1'!B172</f>
        <v>165</v>
      </c>
      <c r="B172" s="636" t="str">
        <f>'116目標底稿ver1'!C172</f>
        <v>南區</v>
      </c>
      <c r="C172" s="634">
        <f>'116目標底稿ver1'!D172</f>
        <v>708</v>
      </c>
      <c r="D172" s="636" t="str">
        <f>'116目標底稿ver1'!E172</f>
        <v>東高雄分行</v>
      </c>
      <c r="E172" s="634">
        <f>'116目標底稿ver1'!G172</f>
        <v>33281232</v>
      </c>
      <c r="F172" s="634">
        <f>'116目標底稿ver1'!I172</f>
        <v>53240000</v>
      </c>
      <c r="G172" s="635">
        <f>'116目標底稿ver1'!J172</f>
        <v>0.63</v>
      </c>
      <c r="H172" s="636" t="str">
        <f>'116目標底稿ver1'!A172</f>
        <v>TYPE_4</v>
      </c>
      <c r="I172" s="634">
        <f>'116目標底稿ver1'!Q172</f>
        <v>51110000</v>
      </c>
      <c r="J172" s="634">
        <f>'116目標底稿ver1'!Y172</f>
        <v>1810000</v>
      </c>
      <c r="K172" s="634">
        <f>'116目標底稿ver1'!Z172</f>
        <v>52920000</v>
      </c>
      <c r="L172" s="618">
        <f>IF(E172=0,0,K172/E172-1)</f>
        <v>0.590085367032086</v>
      </c>
      <c r="M172" s="616">
        <f>ROUND(IF(G172&gt;=$H$2,($H$2*F172+$D$2*(E172-$H$2*F172))*$N$2,IF(G172&gt;=$J$2,E172*$P$2,IF(G172&gt;=$L$2,E172*$R$2,(E172+$F$2*($L$2*F172-E172))*$R$2))),-4)</f>
        <v>39070000</v>
      </c>
      <c r="N172" s="616">
        <f>ROUND(M172*$H$4,-4)</f>
        <v>39260000</v>
      </c>
      <c r="O172" s="616">
        <f>N172+J172</f>
        <v>41070000</v>
      </c>
      <c r="P172" s="618">
        <f>IF(E172=0,0,O172/E172-1)</f>
        <v>0.234028836432497</v>
      </c>
      <c r="Q172" s="618">
        <f>IF(F172=0,0,O172/F172-1)</f>
        <v>-0.228587528174305</v>
      </c>
      <c r="R172" s="618">
        <f>MAX($H$3,MIN($J$3,$D$3-$F$3*(G172-1)))</f>
        <v>0.1185</v>
      </c>
      <c r="S172" s="616">
        <f>ROUND(MAX(E172*(1+R172),F172*$L$3),-4)</f>
        <v>45250000</v>
      </c>
      <c r="T172" s="616">
        <f>ROUND(S172*$L$4,-4)</f>
        <v>45250000</v>
      </c>
      <c r="U172" s="616">
        <f>T172+J172</f>
        <v>47060000</v>
      </c>
      <c r="V172" s="618">
        <f>IF(E172=0,0,U172/E172-1)</f>
        <v>0.414010154431783</v>
      </c>
      <c r="W172" s="618">
        <f>IF(F172=0,0,U172/F172-1)</f>
        <v>-0.116078136739294</v>
      </c>
    </row>
    <row r="173">
      <c r="A173" s="634">
        <f>'116目標底稿ver1'!B173</f>
        <v>166</v>
      </c>
      <c r="B173" s="636" t="str">
        <f>'116目標底稿ver1'!C173</f>
        <v>南區</v>
      </c>
      <c r="C173" s="634">
        <f>'116目標底稿ver1'!D173</f>
        <v>709</v>
      </c>
      <c r="D173" s="636" t="str">
        <f>'116目標底稿ver1'!E173</f>
        <v>大昌分行</v>
      </c>
      <c r="E173" s="634">
        <f>'116目標底稿ver1'!G173</f>
        <v>69568535</v>
      </c>
      <c r="F173" s="634">
        <f>'116目標底稿ver1'!I173</f>
        <v>59170000</v>
      </c>
      <c r="G173" s="635">
        <f>'116目標底稿ver1'!J173</f>
        <v>1.18</v>
      </c>
      <c r="H173" s="636" t="str">
        <f>'116目標底稿ver1'!A173</f>
        <v>TYPE_2</v>
      </c>
      <c r="I173" s="634">
        <f>'116目標底稿ver1'!Q173</f>
        <v>70260000</v>
      </c>
      <c r="J173" s="634">
        <f>'116目標底稿ver1'!Y173</f>
        <v>2120000</v>
      </c>
      <c r="K173" s="634">
        <f>'116目標底稿ver1'!Z173</f>
        <v>72380000</v>
      </c>
      <c r="L173" s="618">
        <f>IF(E173=0,0,K173/E173-1)</f>
        <v>0.0404128820593965</v>
      </c>
      <c r="M173" s="616">
        <f>ROUND(IF(G173&gt;=$H$2,($H$2*F173+$D$2*(E173-$H$2*F173))*$N$2,IF(G173&gt;=$J$2,E173*$P$2,IF(G173&gt;=$L$2,E173*$R$2,(E173+$F$2*($L$2*F173-E173))*$R$2))),-4)</f>
        <v>70260000</v>
      </c>
      <c r="N173" s="616">
        <f>ROUND(M173*$H$4,-4)</f>
        <v>70600000</v>
      </c>
      <c r="O173" s="616">
        <f>N173+J173</f>
        <v>72720000</v>
      </c>
      <c r="P173" s="618">
        <f>IF(E173=0,0,O173/E173-1)</f>
        <v>0.0453001489825824</v>
      </c>
      <c r="Q173" s="618">
        <f>IF(F173=0,0,O173/F173-1)</f>
        <v>0.229001183031942</v>
      </c>
      <c r="R173" s="618">
        <f>MAX($H$3,MIN($J$3,$D$3-$F$3*(G173-1)))</f>
        <v>-0.019</v>
      </c>
      <c r="S173" s="616">
        <f>ROUND(MAX(E173*(1+R173),F173*$L$3),-4)</f>
        <v>68250000</v>
      </c>
      <c r="T173" s="616">
        <f>ROUND(S173*$L$4,-4)</f>
        <v>68240000</v>
      </c>
      <c r="U173" s="616">
        <f>T173+J173</f>
        <v>70360000</v>
      </c>
      <c r="V173" s="618">
        <f>IF(E173=0,0,U173/E173-1)</f>
        <v>0.0113767668098803</v>
      </c>
      <c r="W173" s="618">
        <f>IF(F173=0,0,U173/F173-1)</f>
        <v>0.189116106134866</v>
      </c>
    </row>
    <row r="174">
      <c r="A174" s="634">
        <f>'116目標底稿ver1'!B174</f>
        <v>167</v>
      </c>
      <c r="B174" s="636" t="str">
        <f>'116目標底稿ver1'!C174</f>
        <v>南區</v>
      </c>
      <c r="C174" s="634">
        <f>'116目標底稿ver1'!D174</f>
        <v>710</v>
      </c>
      <c r="D174" s="636" t="str">
        <f>'116目標底稿ver1'!E174</f>
        <v>北高雄分行</v>
      </c>
      <c r="E174" s="634">
        <f>'116目標底稿ver1'!G174</f>
        <v>92895749</v>
      </c>
      <c r="F174" s="634">
        <f>'116目標底稿ver1'!I174</f>
        <v>68300000</v>
      </c>
      <c r="G174" s="635">
        <f>'116目標底稿ver1'!J174</f>
        <v>1.36</v>
      </c>
      <c r="H174" s="636" t="str">
        <f>'116目標底稿ver1'!A174</f>
        <v>TYPE_1</v>
      </c>
      <c r="I174" s="634">
        <f>'116目標底稿ver1'!Q174</f>
        <v>82780000</v>
      </c>
      <c r="J174" s="634">
        <f>'116目標底稿ver1'!Y174</f>
        <v>2590000</v>
      </c>
      <c r="K174" s="634">
        <f>'116目標底稿ver1'!Z174</f>
        <v>85370000</v>
      </c>
      <c r="L174" s="618">
        <f>IF(E174=0,0,K174/E174-1)</f>
        <v>-0.0810128459161248</v>
      </c>
      <c r="M174" s="616">
        <f>ROUND(IF(G174&gt;=$H$2,($H$2*F174+$D$2*(E174-$H$2*F174))*$N$2,IF(G174&gt;=$J$2,E174*$P$2,IF(G174&gt;=$L$2,E174*$R$2,(E174+$F$2*($L$2*F174-E174))*$R$2))),-4)</f>
        <v>88300000</v>
      </c>
      <c r="N174" s="616">
        <f>ROUND(M174*$H$4,-4)</f>
        <v>88720000</v>
      </c>
      <c r="O174" s="616">
        <f>N174+J174</f>
        <v>91310000</v>
      </c>
      <c r="P174" s="618">
        <f>IF(E174=0,0,O174/E174-1)</f>
        <v>-0.017070199843052</v>
      </c>
      <c r="Q174" s="618">
        <f>IF(F174=0,0,O174/F174-1)</f>
        <v>0.336896046852123</v>
      </c>
      <c r="R174" s="618">
        <f>MAX($H$3,MIN($J$3,$D$3-$F$3*(G174-1)))</f>
        <v>-0.064</v>
      </c>
      <c r="S174" s="616">
        <f>ROUND(MAX(E174*(1+R174),F174*$L$3),-4)</f>
        <v>86950000</v>
      </c>
      <c r="T174" s="616">
        <f>ROUND(S174*$L$4,-4)</f>
        <v>86940000</v>
      </c>
      <c r="U174" s="616">
        <f>T174+J174</f>
        <v>89530000</v>
      </c>
      <c r="V174" s="618">
        <f>IF(E174=0,0,U174/E174-1)</f>
        <v>-0.0362314641545115</v>
      </c>
      <c r="W174" s="618">
        <f>IF(F174=0,0,U174/F174-1)</f>
        <v>0.310834553440703</v>
      </c>
    </row>
    <row r="175">
      <c r="A175" s="634">
        <f>'116目標底稿ver1'!B175</f>
        <v>168</v>
      </c>
      <c r="B175" s="636" t="str">
        <f>'116目標底稿ver1'!C175</f>
        <v>南區</v>
      </c>
      <c r="C175" s="634">
        <f>'116目標底稿ver1'!D175</f>
        <v>711</v>
      </c>
      <c r="D175" s="636" t="str">
        <f>'116目標底稿ver1'!E175</f>
        <v>楠梓分行　</v>
      </c>
      <c r="E175" s="634">
        <f>'116目標底稿ver1'!G175</f>
        <v>52915593</v>
      </c>
      <c r="F175" s="634">
        <f>'116目標底稿ver1'!I175</f>
        <v>52650000</v>
      </c>
      <c r="G175" s="635">
        <f>'116目標底稿ver1'!J175</f>
        <v>1.01</v>
      </c>
      <c r="H175" s="636" t="str">
        <f>'116目標底稿ver1'!A175</f>
        <v>TYPE_2</v>
      </c>
      <c r="I175" s="634">
        <f>'116目標底稿ver1'!Q175</f>
        <v>53440000</v>
      </c>
      <c r="J175" s="634">
        <f>'116目標底稿ver1'!Y175</f>
        <v>2060000</v>
      </c>
      <c r="K175" s="634">
        <f>'116目標底稿ver1'!Z175</f>
        <v>55500000</v>
      </c>
      <c r="L175" s="618">
        <f>IF(E175=0,0,K175/E175-1)</f>
        <v>0.0488401783572565</v>
      </c>
      <c r="M175" s="616">
        <f>ROUND(IF(G175&gt;=$H$2,($H$2*F175+$D$2*(E175-$H$2*F175))*$N$2,IF(G175&gt;=$J$2,E175*$P$2,IF(G175&gt;=$L$2,E175*$R$2,(E175+$F$2*($L$2*F175-E175))*$R$2))),-4)</f>
        <v>53440000</v>
      </c>
      <c r="N175" s="616">
        <f>ROUND(M175*$H$4,-4)</f>
        <v>53700000</v>
      </c>
      <c r="O175" s="616">
        <f>N175+J175</f>
        <v>55760000</v>
      </c>
      <c r="P175" s="618">
        <f>IF(E175=0,0,O175/E175-1)</f>
        <v>0.0537536638774889</v>
      </c>
      <c r="Q175" s="618">
        <f>IF(F175=0,0,O175/F175-1)</f>
        <v>0.0590693257359924</v>
      </c>
      <c r="R175" s="618">
        <f>MAX($H$3,MIN($J$3,$D$3-$F$3*(G175-1)))</f>
        <v>0.0235</v>
      </c>
      <c r="S175" s="616">
        <f>ROUND(MAX(E175*(1+R175),F175*$L$3),-4)</f>
        <v>54160000</v>
      </c>
      <c r="T175" s="616">
        <f>ROUND(S175*$L$4,-4)</f>
        <v>54160000</v>
      </c>
      <c r="U175" s="616">
        <f>T175+J175</f>
        <v>56220000</v>
      </c>
      <c r="V175" s="618">
        <f>IF(E175=0,0,U175/E175-1)</f>
        <v>0.0624467536440534</v>
      </c>
      <c r="W175" s="618">
        <f>IF(F175=0,0,U175/F175-1)</f>
        <v>0.0678062678062679</v>
      </c>
    </row>
    <row r="176">
      <c r="A176" s="634">
        <f>'116目標底稿ver1'!B176</f>
        <v>169</v>
      </c>
      <c r="B176" s="636" t="str">
        <f>'116目標底稿ver1'!C176</f>
        <v>南區</v>
      </c>
      <c r="C176" s="634">
        <f>'116目標底稿ver1'!D176</f>
        <v>712</v>
      </c>
      <c r="D176" s="636" t="str">
        <f>'116目標底稿ver1'!E176</f>
        <v>左營分行　</v>
      </c>
      <c r="E176" s="634">
        <f>'116目標底稿ver1'!G176</f>
        <v>19857528</v>
      </c>
      <c r="F176" s="634">
        <f>'116目標底稿ver1'!I176</f>
        <v>22360000</v>
      </c>
      <c r="G176" s="635">
        <f>'116目標底稿ver1'!J176</f>
        <v>0.89</v>
      </c>
      <c r="H176" s="636" t="str">
        <f>'116目標底稿ver1'!A176</f>
        <v>TYPE_3</v>
      </c>
      <c r="I176" s="634">
        <f>'116目標底稿ver1'!Q176</f>
        <v>20450000</v>
      </c>
      <c r="J176" s="634">
        <f>'116目標底稿ver1'!Y176</f>
        <v>980000</v>
      </c>
      <c r="K176" s="634">
        <f>'116目標底稿ver1'!Z176</f>
        <v>21430000</v>
      </c>
      <c r="L176" s="618">
        <f>IF(E176=0,0,K176/E176-1)</f>
        <v>0.0791877015104801</v>
      </c>
      <c r="M176" s="616">
        <f>ROUND(IF(G176&gt;=$H$2,($H$2*F176+$D$2*(E176-$H$2*F176))*$N$2,IF(G176&gt;=$J$2,E176*$P$2,IF(G176&gt;=$L$2,E176*$R$2,(E176+$F$2*($L$2*F176-E176))*$R$2))),-4)</f>
        <v>20450000</v>
      </c>
      <c r="N176" s="616">
        <f>ROUND(M176*$H$4,-4)</f>
        <v>20550000</v>
      </c>
      <c r="O176" s="616">
        <f>N176+J176</f>
        <v>21530000</v>
      </c>
      <c r="P176" s="618">
        <f>IF(E176=0,0,O176/E176-1)</f>
        <v>0.0842235750592923</v>
      </c>
      <c r="Q176" s="618">
        <f>IF(F176=0,0,O176/F176-1)</f>
        <v>-0.0371198568872988</v>
      </c>
      <c r="R176" s="618">
        <f>MAX($H$3,MIN($J$3,$D$3-$F$3*(G176-1)))</f>
        <v>0.0535</v>
      </c>
      <c r="S176" s="616">
        <f>ROUND(MAX(E176*(1+R176),F176*$L$3),-4)</f>
        <v>20920000</v>
      </c>
      <c r="T176" s="616">
        <f>ROUND(S176*$L$4,-4)</f>
        <v>20920000</v>
      </c>
      <c r="U176" s="616">
        <f>T176+J176</f>
        <v>21900000</v>
      </c>
      <c r="V176" s="618">
        <f>IF(E176=0,0,U176/E176-1)</f>
        <v>0.102856307189898</v>
      </c>
      <c r="W176" s="618">
        <f>IF(F176=0,0,U176/F176-1)</f>
        <v>-0.0205724508050089</v>
      </c>
    </row>
    <row r="177">
      <c r="A177" s="634">
        <f>'116目標底稿ver1'!B177</f>
        <v>170</v>
      </c>
      <c r="B177" s="636" t="str">
        <f>'116目標底稿ver1'!C177</f>
        <v>南區</v>
      </c>
      <c r="C177" s="634">
        <f>'116目標底稿ver1'!D177</f>
        <v>719</v>
      </c>
      <c r="D177" s="636" t="str">
        <f>'116目標底稿ver1'!E177</f>
        <v>岡山分行</v>
      </c>
      <c r="E177" s="634">
        <f>'116目標底稿ver1'!G177</f>
        <v>83251115</v>
      </c>
      <c r="F177" s="634">
        <f>'116目標底稿ver1'!I177</f>
        <v>76510000</v>
      </c>
      <c r="G177" s="635">
        <f>'116目標底稿ver1'!J177</f>
        <v>1.09</v>
      </c>
      <c r="H177" s="636" t="str">
        <f>'116目標底稿ver1'!A177</f>
        <v>TYPE_2</v>
      </c>
      <c r="I177" s="634">
        <f>'116目標底稿ver1'!Q177</f>
        <v>84080000</v>
      </c>
      <c r="J177" s="634">
        <f>'116目標底稿ver1'!Y177</f>
        <v>2780000</v>
      </c>
      <c r="K177" s="634">
        <f>'116目標底稿ver1'!Z177</f>
        <v>86860000</v>
      </c>
      <c r="L177" s="618">
        <f>IF(E177=0,0,K177/E177-1)</f>
        <v>0.0433493893745447</v>
      </c>
      <c r="M177" s="616">
        <f>ROUND(IF(G177&gt;=$H$2,($H$2*F177+$D$2*(E177-$H$2*F177))*$N$2,IF(G177&gt;=$J$2,E177*$P$2,IF(G177&gt;=$L$2,E177*$R$2,(E177+$F$2*($L$2*F177-E177))*$R$2))),-4)</f>
        <v>84080000</v>
      </c>
      <c r="N177" s="616">
        <f>ROUND(M177*$H$4,-4)</f>
        <v>84480000</v>
      </c>
      <c r="O177" s="616">
        <f>N177+J177</f>
        <v>87260000</v>
      </c>
      <c r="P177" s="618">
        <f>IF(E177=0,0,O177/E177-1)</f>
        <v>0.0481541298275705</v>
      </c>
      <c r="Q177" s="618">
        <f>IF(F177=0,0,O177/F177-1)</f>
        <v>0.140504509214482</v>
      </c>
      <c r="R177" s="618">
        <f>MAX($H$3,MIN($J$3,$D$3-$F$3*(G177-1)))</f>
        <v>0.00349999999999998</v>
      </c>
      <c r="S177" s="616">
        <f>ROUND(MAX(E177*(1+R177),F177*$L$3),-4)</f>
        <v>83540000</v>
      </c>
      <c r="T177" s="616">
        <f>ROUND(S177*$L$4,-4)</f>
        <v>83530000</v>
      </c>
      <c r="U177" s="616">
        <f>T177+J177</f>
        <v>86310000</v>
      </c>
      <c r="V177" s="618">
        <f>IF(E177=0,0,U177/E177-1)</f>
        <v>0.0367428712516342</v>
      </c>
      <c r="W177" s="618">
        <f>IF(F177=0,0,U177/F177-1)</f>
        <v>0.128087831655993</v>
      </c>
    </row>
    <row r="178">
      <c r="A178" s="634">
        <f>'116目標底稿ver1'!B178</f>
        <v>171</v>
      </c>
      <c r="B178" s="636" t="str">
        <f>'116目標底稿ver1'!C178</f>
        <v>南區</v>
      </c>
      <c r="C178" s="634">
        <f>'116目標底稿ver1'!D178</f>
        <v>720</v>
      </c>
      <c r="D178" s="636" t="str">
        <f>'116目標底稿ver1'!E178</f>
        <v>鳳山分行</v>
      </c>
      <c r="E178" s="634">
        <f>'116目標底稿ver1'!G178</f>
        <v>69404412</v>
      </c>
      <c r="F178" s="634">
        <f>'116目標底稿ver1'!I178</f>
        <v>65890000</v>
      </c>
      <c r="G178" s="635">
        <f>'116目標底稿ver1'!J178</f>
        <v>1.05</v>
      </c>
      <c r="H178" s="636" t="str">
        <f>'116目標底稿ver1'!A178</f>
        <v>TYPE_2</v>
      </c>
      <c r="I178" s="634">
        <f>'116目標底稿ver1'!Q178</f>
        <v>70100000</v>
      </c>
      <c r="J178" s="634">
        <f>'116目標底稿ver1'!Y178</f>
        <v>2410000</v>
      </c>
      <c r="K178" s="634">
        <f>'116目標底稿ver1'!Z178</f>
        <v>72510000</v>
      </c>
      <c r="L178" s="618">
        <f>IF(E178=0,0,K178/E178-1)</f>
        <v>0.0447462619523382</v>
      </c>
      <c r="M178" s="616">
        <f>ROUND(IF(G178&gt;=$H$2,($H$2*F178+$D$2*(E178-$H$2*F178))*$N$2,IF(G178&gt;=$J$2,E178*$P$2,IF(G178&gt;=$L$2,E178*$R$2,(E178+$F$2*($L$2*F178-E178))*$R$2))),-4)</f>
        <v>70100000</v>
      </c>
      <c r="N178" s="616">
        <f>ROUND(M178*$H$4,-4)</f>
        <v>70430000</v>
      </c>
      <c r="O178" s="616">
        <f>N178+J178</f>
        <v>72840000</v>
      </c>
      <c r="P178" s="618">
        <f>IF(E178=0,0,O178/E178-1)</f>
        <v>0.0495010029045415</v>
      </c>
      <c r="Q178" s="618">
        <f>IF(F178=0,0,O178/F178-1)</f>
        <v>0.105478828350281</v>
      </c>
      <c r="R178" s="618">
        <f>MAX($H$3,MIN($J$3,$D$3-$F$3*(G178-1)))</f>
        <v>0.0135</v>
      </c>
      <c r="S178" s="616">
        <f>ROUND(MAX(E178*(1+R178),F178*$L$3),-4)</f>
        <v>70340000</v>
      </c>
      <c r="T178" s="616">
        <f>ROUND(S178*$L$4,-4)</f>
        <v>70330000</v>
      </c>
      <c r="U178" s="616">
        <f>T178+J178</f>
        <v>72740000</v>
      </c>
      <c r="V178" s="618">
        <f>IF(E178=0,0,U178/E178-1)</f>
        <v>0.0480601723129648</v>
      </c>
      <c r="W178" s="618">
        <f>IF(F178=0,0,U178/F178-1)</f>
        <v>0.103961147366824</v>
      </c>
    </row>
    <row r="179">
      <c r="A179" s="634">
        <f>'116目標底稿ver1'!B179</f>
        <v>172</v>
      </c>
      <c r="B179" s="636" t="str">
        <f>'116目標底稿ver1'!C179</f>
        <v>南區</v>
      </c>
      <c r="C179" s="634">
        <f>'116目標底稿ver1'!D179</f>
        <v>721</v>
      </c>
      <c r="D179" s="636" t="str">
        <f>'116目標底稿ver1'!E179</f>
        <v>路竹分行</v>
      </c>
      <c r="E179" s="634">
        <f>'116目標底稿ver1'!G179</f>
        <v>43329357</v>
      </c>
      <c r="F179" s="634">
        <f>'116目標底稿ver1'!I179</f>
        <v>54870000</v>
      </c>
      <c r="G179" s="635">
        <f>'116目標底稿ver1'!J179</f>
        <v>0.79</v>
      </c>
      <c r="H179" s="636" t="str">
        <f>'116目標底稿ver1'!A179</f>
        <v>TYPE_4</v>
      </c>
      <c r="I179" s="634">
        <f>'116目標底稿ver1'!Q179</f>
        <v>52680000</v>
      </c>
      <c r="J179" s="634">
        <f>'116目標底稿ver1'!Y179</f>
        <v>2240000</v>
      </c>
      <c r="K179" s="634">
        <f>'116目標底稿ver1'!Z179</f>
        <v>54920000</v>
      </c>
      <c r="L179" s="618">
        <f>IF(E179=0,0,K179/E179-1)</f>
        <v>0.267500923219332</v>
      </c>
      <c r="M179" s="616">
        <f>ROUND(IF(G179&gt;=$H$2,($H$2*F179+$D$2*(E179-$H$2*F179))*$N$2,IF(G179&gt;=$J$2,E179*$P$2,IF(G179&gt;=$L$2,E179*$R$2,(E179+$F$2*($L$2*F179-E179))*$R$2))),-4)</f>
        <v>44920000</v>
      </c>
      <c r="N179" s="616">
        <f>ROUND(M179*$H$4,-4)</f>
        <v>45130000</v>
      </c>
      <c r="O179" s="616">
        <f>N179+J179</f>
        <v>47370000</v>
      </c>
      <c r="P179" s="618">
        <f>IF(E179=0,0,O179/E179-1)</f>
        <v>0.0932541648379412</v>
      </c>
      <c r="Q179" s="618">
        <f>IF(F179=0,0,O179/F179-1)</f>
        <v>-0.136686714051394</v>
      </c>
      <c r="R179" s="618">
        <f>MAX($H$3,MIN($J$3,$D$3-$F$3*(G179-1)))</f>
        <v>0.0785</v>
      </c>
      <c r="S179" s="616">
        <f>ROUND(MAX(E179*(1+R179),F179*$L$3),-4)</f>
        <v>46730000</v>
      </c>
      <c r="T179" s="616">
        <f>ROUND(S179*$L$4,-4)</f>
        <v>46730000</v>
      </c>
      <c r="U179" s="616">
        <f>T179+J179</f>
        <v>48970000</v>
      </c>
      <c r="V179" s="618">
        <f>IF(E179=0,0,U179/E179-1)</f>
        <v>0.130180630190289</v>
      </c>
      <c r="W179" s="618">
        <f>IF(F179=0,0,U179/F179-1)</f>
        <v>-0.10752688172043</v>
      </c>
    </row>
    <row r="180">
      <c r="A180" s="634">
        <f>'116目標底稿ver1'!B180</f>
        <v>173</v>
      </c>
      <c r="B180" s="636" t="str">
        <f>'116目標底稿ver1'!C180</f>
        <v>南區</v>
      </c>
      <c r="C180" s="634">
        <f>'116目標底稿ver1'!D180</f>
        <v>722</v>
      </c>
      <c r="D180" s="636" t="str">
        <f>'116目標底稿ver1'!E180</f>
        <v>仁武分行</v>
      </c>
      <c r="E180" s="634">
        <f>'116目標底稿ver1'!G180</f>
        <v>32593644</v>
      </c>
      <c r="F180" s="634">
        <f>'116目標底稿ver1'!I180</f>
        <v>33480000</v>
      </c>
      <c r="G180" s="635">
        <f>'116目標底稿ver1'!J180</f>
        <v>0.97</v>
      </c>
      <c r="H180" s="636" t="str">
        <f>'116目標底稿ver1'!A180</f>
        <v>TYPE_3</v>
      </c>
      <c r="I180" s="634">
        <f>'116目標底稿ver1'!Q180</f>
        <v>33570000</v>
      </c>
      <c r="J180" s="634">
        <f>'116目標底稿ver1'!Y180</f>
        <v>1420000</v>
      </c>
      <c r="K180" s="634">
        <f>'116目標底稿ver1'!Z180</f>
        <v>34990000</v>
      </c>
      <c r="L180" s="618">
        <f>IF(E180=0,0,K180/E180-1)</f>
        <v>0.073522187331984</v>
      </c>
      <c r="M180" s="616">
        <f>ROUND(IF(G180&gt;=$H$2,($H$2*F180+$D$2*(E180-$H$2*F180))*$N$2,IF(G180&gt;=$J$2,E180*$P$2,IF(G180&gt;=$L$2,E180*$R$2,(E180+$F$2*($L$2*F180-E180))*$R$2))),-4)</f>
        <v>33570000</v>
      </c>
      <c r="N180" s="616">
        <f>ROUND(M180*$H$4,-4)</f>
        <v>33730000</v>
      </c>
      <c r="O180" s="616">
        <f>N180+J180</f>
        <v>35150000</v>
      </c>
      <c r="P180" s="618">
        <f>IF(E180=0,0,O180/E180-1)</f>
        <v>0.0784311198833736</v>
      </c>
      <c r="Q180" s="618">
        <f>IF(F180=0,0,O180/F180-1)</f>
        <v>0.0498805256869772</v>
      </c>
      <c r="R180" s="618">
        <f>MAX($H$3,MIN($J$3,$D$3-$F$3*(G180-1)))</f>
        <v>0.0335</v>
      </c>
      <c r="S180" s="616">
        <f>ROUND(MAX(E180*(1+R180),F180*$L$3),-4)</f>
        <v>33690000</v>
      </c>
      <c r="T180" s="616">
        <f>ROUND(S180*$L$4,-4)</f>
        <v>33690000</v>
      </c>
      <c r="U180" s="616">
        <f>T180+J180</f>
        <v>35110000</v>
      </c>
      <c r="V180" s="618">
        <f>IF(E180=0,0,U180/E180-1)</f>
        <v>0.0772038867455263</v>
      </c>
      <c r="W180" s="618">
        <f>IF(F180=0,0,U180/F180-1)</f>
        <v>0.0486857825567504</v>
      </c>
    </row>
    <row r="181">
      <c r="A181" s="634">
        <f>'116目標底稿ver1'!B181</f>
        <v>174</v>
      </c>
      <c r="B181" s="636" t="str">
        <f>'116目標底稿ver1'!C181</f>
        <v>南區</v>
      </c>
      <c r="C181" s="634">
        <f>'116目標底稿ver1'!D181</f>
        <v>751</v>
      </c>
      <c r="D181" s="636" t="str">
        <f>'116目標底稿ver1'!E181</f>
        <v>籬仔內分行</v>
      </c>
      <c r="E181" s="634">
        <f>'116目標底稿ver1'!G181</f>
        <v>39118611</v>
      </c>
      <c r="F181" s="634">
        <f>'116目標底稿ver1'!I181</f>
        <v>43230000</v>
      </c>
      <c r="G181" s="635">
        <f>'116目標底稿ver1'!J181</f>
        <v>0.9</v>
      </c>
      <c r="H181" s="636" t="str">
        <f>'116目標底稿ver1'!A181</f>
        <v>TYPE_3</v>
      </c>
      <c r="I181" s="634">
        <f>'116目標底稿ver1'!Q181</f>
        <v>40290000</v>
      </c>
      <c r="J181" s="634">
        <f>'116目標底稿ver1'!Y181</f>
        <v>1690000</v>
      </c>
      <c r="K181" s="634">
        <f>'116目標底稿ver1'!Z181</f>
        <v>41980000</v>
      </c>
      <c r="L181" s="618">
        <f>IF(E181=0,0,K181/E181-1)</f>
        <v>0.0731464877421133</v>
      </c>
      <c r="M181" s="616">
        <f>ROUND(IF(G181&gt;=$H$2,($H$2*F181+$D$2*(E181-$H$2*F181))*$N$2,IF(G181&gt;=$J$2,E181*$P$2,IF(G181&gt;=$L$2,E181*$R$2,(E181+$F$2*($L$2*F181-E181))*$R$2))),-4)</f>
        <v>40290000</v>
      </c>
      <c r="N181" s="616">
        <f>ROUND(M181*$H$4,-4)</f>
        <v>40480000</v>
      </c>
      <c r="O181" s="616">
        <f>N181+J181</f>
        <v>42170000</v>
      </c>
      <c r="P181" s="618">
        <f>IF(E181=0,0,O181/E181-1)</f>
        <v>0.0780035109119799</v>
      </c>
      <c r="Q181" s="618">
        <f>IF(F181=0,0,O181/F181-1)</f>
        <v>-0.0245200092528337</v>
      </c>
      <c r="R181" s="618">
        <f>MAX($H$3,MIN($J$3,$D$3-$F$3*(G181-1)))</f>
        <v>0.051</v>
      </c>
      <c r="S181" s="616">
        <f>ROUND(MAX(E181*(1+R181),F181*$L$3),-4)</f>
        <v>41110000</v>
      </c>
      <c r="T181" s="616">
        <f>ROUND(S181*$L$4,-4)</f>
        <v>41110000</v>
      </c>
      <c r="U181" s="616">
        <f>T181+J181</f>
        <v>42800000</v>
      </c>
      <c r="V181" s="618">
        <f>IF(E181=0,0,U181/E181-1)</f>
        <v>0.0941083772120641</v>
      </c>
      <c r="W181" s="618">
        <f>IF(F181=0,0,U181/F181-1)</f>
        <v>-0.0099467962063382</v>
      </c>
    </row>
    <row r="182">
      <c r="A182" s="634">
        <f>'116目標底稿ver1'!B182</f>
        <v>175</v>
      </c>
      <c r="B182" s="636" t="str">
        <f>'116目標底稿ver1'!C182</f>
        <v>南區</v>
      </c>
      <c r="C182" s="634">
        <f>'116目標底稿ver1'!D182</f>
        <v>752</v>
      </c>
      <c r="D182" s="636" t="str">
        <f>'116目標底稿ver1'!E182</f>
        <v>五甲分行</v>
      </c>
      <c r="E182" s="634">
        <f>'116目標底稿ver1'!G182</f>
        <v>68646329</v>
      </c>
      <c r="F182" s="634">
        <f>'116目標底稿ver1'!I182</f>
        <v>60470000</v>
      </c>
      <c r="G182" s="635">
        <f>'116目標底稿ver1'!J182</f>
        <v>1.14</v>
      </c>
      <c r="H182" s="636" t="str">
        <f>'116目標底稿ver1'!A182</f>
        <v>TYPE_2</v>
      </c>
      <c r="I182" s="634">
        <f>'116目標底稿ver1'!Q182</f>
        <v>69330000</v>
      </c>
      <c r="J182" s="634">
        <f>'116目標底稿ver1'!Y182</f>
        <v>2250000</v>
      </c>
      <c r="K182" s="634">
        <f>'116目標底稿ver1'!Z182</f>
        <v>71580000</v>
      </c>
      <c r="L182" s="618">
        <f>IF(E182=0,0,K182/E182-1)</f>
        <v>0.0427360216159556</v>
      </c>
      <c r="M182" s="616">
        <f>ROUND(IF(G182&gt;=$H$2,($H$2*F182+$D$2*(E182-$H$2*F182))*$N$2,IF(G182&gt;=$J$2,E182*$P$2,IF(G182&gt;=$L$2,E182*$R$2,(E182+$F$2*($L$2*F182-E182))*$R$2))),-4)</f>
        <v>69330000</v>
      </c>
      <c r="N182" s="616">
        <f>ROUND(M182*$H$4,-4)</f>
        <v>69660000</v>
      </c>
      <c r="O182" s="616">
        <f>N182+J182</f>
        <v>71910000</v>
      </c>
      <c r="P182" s="618">
        <f>IF(E182=0,0,O182/E182-1)</f>
        <v>0.0475432706678314</v>
      </c>
      <c r="Q182" s="618">
        <f>IF(F182=0,0,O182/F182-1)</f>
        <v>0.189184719695717</v>
      </c>
      <c r="R182" s="618">
        <f>MAX($H$3,MIN($J$3,$D$3-$F$3*(G182-1)))</f>
        <v>-0.00899999999999998</v>
      </c>
      <c r="S182" s="616">
        <f>ROUND(MAX(E182*(1+R182),F182*$L$3),-4)</f>
        <v>68030000</v>
      </c>
      <c r="T182" s="616">
        <f>ROUND(S182*$L$4,-4)</f>
        <v>68020000</v>
      </c>
      <c r="U182" s="616">
        <f>T182+J182</f>
        <v>70270000</v>
      </c>
      <c r="V182" s="618">
        <f>IF(E182=0,0,U182/E182-1)</f>
        <v>0.0236526996221458</v>
      </c>
      <c r="W182" s="618">
        <f>IF(F182=0,0,U182/F182-1)</f>
        <v>0.162063833305772</v>
      </c>
    </row>
    <row r="183">
      <c r="A183" s="634">
        <f>'116目標底稿ver1'!B183</f>
        <v>176</v>
      </c>
      <c r="B183" s="636" t="str">
        <f>'116目標底稿ver1'!C183</f>
        <v>南區</v>
      </c>
      <c r="C183" s="634">
        <f>'116目標底稿ver1'!D183</f>
        <v>753</v>
      </c>
      <c r="D183" s="636" t="str">
        <f>'116目標底稿ver1'!E183</f>
        <v>光華分行</v>
      </c>
      <c r="E183" s="634">
        <f>'116目標底稿ver1'!G183</f>
        <v>62337850</v>
      </c>
      <c r="F183" s="634">
        <f>'116目標底稿ver1'!I183</f>
        <v>42620000</v>
      </c>
      <c r="G183" s="635">
        <f>'116目標底稿ver1'!J183</f>
        <v>1.46</v>
      </c>
      <c r="H183" s="636" t="str">
        <f>'116目標底稿ver1'!A183</f>
        <v>TYPE_1</v>
      </c>
      <c r="I183" s="634">
        <f>'116目標底稿ver1'!Q183</f>
        <v>51660000</v>
      </c>
      <c r="J183" s="634">
        <f>'116目標底稿ver1'!Y183</f>
        <v>1690000</v>
      </c>
      <c r="K183" s="634">
        <f>'116目標底稿ver1'!Z183</f>
        <v>53350000</v>
      </c>
      <c r="L183" s="618">
        <f>IF(E183=0,0,K183/E183-1)</f>
        <v>-0.144179659709149</v>
      </c>
      <c r="M183" s="616">
        <f>ROUND(IF(G183&gt;=$H$2,($H$2*F183+$D$2*(E183-$H$2*F183))*$N$2,IF(G183&gt;=$J$2,E183*$P$2,IF(G183&gt;=$L$2,E183*$R$2,(E183+$F$2*($L$2*F183-E183))*$R$2))),-4)</f>
        <v>57310000</v>
      </c>
      <c r="N183" s="616">
        <f>ROUND(M183*$H$4,-4)</f>
        <v>57580000</v>
      </c>
      <c r="O183" s="616">
        <f>N183+J183</f>
        <v>59270000</v>
      </c>
      <c r="P183" s="618">
        <f>IF(E183=0,0,O183/E183-1)</f>
        <v>-0.0492132789308583</v>
      </c>
      <c r="Q183" s="618">
        <f>IF(F183=0,0,O183/F183-1)</f>
        <v>0.390661661191929</v>
      </c>
      <c r="R183" s="618">
        <f>MAX($H$3,MIN($J$3,$D$3-$F$3*(G183-1)))</f>
        <v>-0.089</v>
      </c>
      <c r="S183" s="616">
        <f>ROUND(MAX(E183*(1+R183),F183*$L$3),-4)</f>
        <v>56790000</v>
      </c>
      <c r="T183" s="616">
        <f>ROUND(S183*$L$4,-4)</f>
        <v>56790000</v>
      </c>
      <c r="U183" s="616">
        <f>T183+J183</f>
        <v>58480000</v>
      </c>
      <c r="V183" s="618">
        <f>IF(E183=0,0,U183/E183-1)</f>
        <v>-0.0618861574468802</v>
      </c>
      <c r="W183" s="618">
        <f>IF(F183=0,0,U183/F183-1)</f>
        <v>0.372125762552792</v>
      </c>
    </row>
    <row r="184">
      <c r="A184" s="634">
        <f>'116目標底稿ver1'!B184</f>
        <v>177</v>
      </c>
      <c r="B184" s="636" t="str">
        <f>'116目標底稿ver1'!C184</f>
        <v>南區</v>
      </c>
      <c r="C184" s="634">
        <f>'116目標底稿ver1'!D184</f>
        <v>760</v>
      </c>
      <c r="D184" s="636" t="str">
        <f>'116目標底稿ver1'!E184</f>
        <v>小港分行</v>
      </c>
      <c r="E184" s="634">
        <f>'116目標底稿ver1'!G184</f>
        <v>73417344</v>
      </c>
      <c r="F184" s="634">
        <f>'116目標底稿ver1'!I184</f>
        <v>88420000</v>
      </c>
      <c r="G184" s="635">
        <f>'116目標底稿ver1'!J184</f>
        <v>0.83</v>
      </c>
      <c r="H184" s="636" t="str">
        <f>'116目標底稿ver1'!A184</f>
        <v>TYPE_3</v>
      </c>
      <c r="I184" s="634">
        <f>'116目標底稿ver1'!Q184</f>
        <v>75620000</v>
      </c>
      <c r="J184" s="634">
        <f>'116目標底稿ver1'!Y184</f>
        <v>3020000</v>
      </c>
      <c r="K184" s="634">
        <f>'116目標底稿ver1'!Z184</f>
        <v>78640000</v>
      </c>
      <c r="L184" s="618">
        <f>IF(E184=0,0,K184/E184-1)</f>
        <v>0.0711365423407309</v>
      </c>
      <c r="M184" s="616">
        <f>ROUND(IF(G184&gt;=$H$2,($H$2*F184+$D$2*(E184-$H$2*F184))*$N$2,IF(G184&gt;=$J$2,E184*$P$2,IF(G184&gt;=$L$2,E184*$R$2,(E184+$F$2*($L$2*F184-E184))*$R$2))),-4)</f>
        <v>75620000</v>
      </c>
      <c r="N184" s="616">
        <f>ROUND(M184*$H$4,-4)</f>
        <v>75980000</v>
      </c>
      <c r="O184" s="616">
        <f>N184+J184</f>
        <v>79000000</v>
      </c>
      <c r="P184" s="618">
        <f>IF(E184=0,0,O184/E184-1)</f>
        <v>0.0760400158305918</v>
      </c>
      <c r="Q184" s="618">
        <f>IF(F184=0,0,O184/F184-1)</f>
        <v>-0.106536982583126</v>
      </c>
      <c r="R184" s="618">
        <f>MAX($H$3,MIN($J$3,$D$3-$F$3*(G184-1)))</f>
        <v>0.0685</v>
      </c>
      <c r="S184" s="616">
        <f>ROUND(MAX(E184*(1+R184),F184*$L$3),-4)</f>
        <v>78450000</v>
      </c>
      <c r="T184" s="616">
        <f>ROUND(S184*$L$4,-4)</f>
        <v>78440000</v>
      </c>
      <c r="U184" s="616">
        <f>T184+J184</f>
        <v>81460000</v>
      </c>
      <c r="V184" s="618">
        <f>IF(E184=0,0,U184/E184-1)</f>
        <v>0.109547084677975</v>
      </c>
      <c r="W184" s="618">
        <f>IF(F184=0,0,U184/F184-1)</f>
        <v>-0.0787152228002714</v>
      </c>
    </row>
    <row r="185">
      <c r="A185" s="634">
        <f>'116目標底稿ver1'!B185</f>
        <v>178</v>
      </c>
      <c r="B185" s="636" t="str">
        <f>'116目標底稿ver1'!C185</f>
        <v>南區</v>
      </c>
      <c r="C185" s="634">
        <f>'116目標底稿ver1'!D185</f>
        <v>800</v>
      </c>
      <c r="D185" s="636" t="str">
        <f>'116目標底稿ver1'!E185</f>
        <v>屏東分行</v>
      </c>
      <c r="E185" s="634">
        <f>'116目標底稿ver1'!G185</f>
        <v>68532195</v>
      </c>
      <c r="F185" s="634">
        <f>'116目標底稿ver1'!I185</f>
        <v>61600000</v>
      </c>
      <c r="G185" s="635">
        <f>'116目標底稿ver1'!J185</f>
        <v>1.11</v>
      </c>
      <c r="H185" s="636" t="str">
        <f>'116目標底稿ver1'!A185</f>
        <v>TYPE_2</v>
      </c>
      <c r="I185" s="634">
        <f>'116目標底稿ver1'!Q185</f>
        <v>69220000</v>
      </c>
      <c r="J185" s="634">
        <f>'116目標底稿ver1'!Y185</f>
        <v>2210000</v>
      </c>
      <c r="K185" s="634">
        <f>'116目標底稿ver1'!Z185</f>
        <v>71430000</v>
      </c>
      <c r="L185" s="618">
        <f>IF(E185=0,0,K185/E185-1)</f>
        <v>0.0422838492186044</v>
      </c>
      <c r="M185" s="616">
        <f>ROUND(IF(G185&gt;=$H$2,($H$2*F185+$D$2*(E185-$H$2*F185))*$N$2,IF(G185&gt;=$J$2,E185*$P$2,IF(G185&gt;=$L$2,E185*$R$2,(E185+$F$2*($L$2*F185-E185))*$R$2))),-4)</f>
        <v>69220000</v>
      </c>
      <c r="N185" s="616">
        <f>ROUND(M185*$H$4,-4)</f>
        <v>69550000</v>
      </c>
      <c r="O185" s="616">
        <f>N185+J185</f>
        <v>71760000</v>
      </c>
      <c r="P185" s="618">
        <f>IF(E185=0,0,O185/E185-1)</f>
        <v>0.0470991042968929</v>
      </c>
      <c r="Q185" s="618">
        <f>IF(F185=0,0,O185/F185-1)</f>
        <v>0.164935064935065</v>
      </c>
      <c r="R185" s="618">
        <f>MAX($H$3,MIN($J$3,$D$3-$F$3*(G185-1)))</f>
        <v>-0.00150000000000003</v>
      </c>
      <c r="S185" s="616">
        <f>ROUND(MAX(E185*(1+R185),F185*$L$3),-4)</f>
        <v>68430000</v>
      </c>
      <c r="T185" s="616">
        <f>ROUND(S185*$L$4,-4)</f>
        <v>68420000</v>
      </c>
      <c r="U185" s="616">
        <f>T185+J185</f>
        <v>70630000</v>
      </c>
      <c r="V185" s="618">
        <f>IF(E185=0,0,U185/E185-1)</f>
        <v>0.030610503574269</v>
      </c>
      <c r="W185" s="618">
        <f>IF(F185=0,0,U185/F185-1)</f>
        <v>0.146590909090909</v>
      </c>
    </row>
    <row r="186">
      <c r="A186" s="634">
        <f>'116目標底稿ver1'!B186</f>
        <v>179</v>
      </c>
      <c r="B186" s="636" t="str">
        <f>'116目標底稿ver1'!C186</f>
        <v>南區</v>
      </c>
      <c r="C186" s="634">
        <f>'116目標底稿ver1'!D186</f>
        <v>801</v>
      </c>
      <c r="D186" s="636" t="str">
        <f>'116目標底稿ver1'!E186</f>
        <v>內埔分行</v>
      </c>
      <c r="E186" s="634">
        <f>'116目標底稿ver1'!G186</f>
        <v>104230093</v>
      </c>
      <c r="F186" s="634">
        <f>'116目標底稿ver1'!I186</f>
        <v>90250000</v>
      </c>
      <c r="G186" s="635">
        <f>'116目標底稿ver1'!J186</f>
        <v>1.15</v>
      </c>
      <c r="H186" s="636" t="str">
        <f>'116目標底稿ver1'!A186</f>
        <v>TYPE_2</v>
      </c>
      <c r="I186" s="634">
        <f>'116目標底稿ver1'!Q186</f>
        <v>105270000</v>
      </c>
      <c r="J186" s="634">
        <f>'116目標底稿ver1'!Y186</f>
        <v>3000000</v>
      </c>
      <c r="K186" s="634">
        <f>'116目標底稿ver1'!Z186</f>
        <v>108270000</v>
      </c>
      <c r="L186" s="618">
        <f>IF(E186=0,0,K186/E186-1)</f>
        <v>0.0387595068153686</v>
      </c>
      <c r="M186" s="616">
        <f>ROUND(IF(G186&gt;=$H$2,($H$2*F186+$D$2*(E186-$H$2*F186))*$N$2,IF(G186&gt;=$J$2,E186*$P$2,IF(G186&gt;=$L$2,E186*$R$2,(E186+$F$2*($L$2*F186-E186))*$R$2))),-4)</f>
        <v>105270000</v>
      </c>
      <c r="N186" s="616">
        <f>ROUND(M186*$H$4,-4)</f>
        <v>105770000</v>
      </c>
      <c r="O186" s="616">
        <f>N186+J186</f>
        <v>108770000</v>
      </c>
      <c r="P186" s="618">
        <f>IF(E186=0,0,O186/E186-1)</f>
        <v>0.0435565859084477</v>
      </c>
      <c r="Q186" s="618">
        <f>IF(F186=0,0,O186/F186-1)</f>
        <v>0.205207756232687</v>
      </c>
      <c r="R186" s="618">
        <f>MAX($H$3,MIN($J$3,$D$3-$F$3*(G186-1)))</f>
        <v>-0.0115</v>
      </c>
      <c r="S186" s="616">
        <f>ROUND(MAX(E186*(1+R186),F186*$L$3),-4)</f>
        <v>103030000</v>
      </c>
      <c r="T186" s="616">
        <f>ROUND(S186*$L$4,-4)</f>
        <v>103020000</v>
      </c>
      <c r="U186" s="616">
        <f>T186+J186</f>
        <v>106020000</v>
      </c>
      <c r="V186" s="618">
        <f>IF(E186=0,0,U186/E186-1)</f>
        <v>0.0171726508965122</v>
      </c>
      <c r="W186" s="618">
        <f>IF(F186=0,0,U186/F186-1)</f>
        <v>0.174736842105263</v>
      </c>
    </row>
    <row r="187">
      <c r="A187" s="634">
        <f>'116目標底稿ver1'!B187</f>
        <v>180</v>
      </c>
      <c r="B187" s="636" t="str">
        <f>'116目標底稿ver1'!C187</f>
        <v>南區</v>
      </c>
      <c r="C187" s="634">
        <f>'116目標底稿ver1'!D187</f>
        <v>802</v>
      </c>
      <c r="D187" s="636" t="str">
        <f>'116目標底稿ver1'!E187</f>
        <v>潮州分行</v>
      </c>
      <c r="E187" s="634">
        <f>'116目標底稿ver1'!G187</f>
        <v>75058617</v>
      </c>
      <c r="F187" s="634">
        <f>'116目標底稿ver1'!I187</f>
        <v>96520000</v>
      </c>
      <c r="G187" s="635">
        <f>'116目標底稿ver1'!J187</f>
        <v>0.78</v>
      </c>
      <c r="H187" s="636" t="str">
        <f>'116目標底稿ver1'!A187</f>
        <v>TYPE_4</v>
      </c>
      <c r="I187" s="634">
        <f>'116目標底稿ver1'!Q187</f>
        <v>92660000</v>
      </c>
      <c r="J187" s="634">
        <f>'116目標底稿ver1'!Y187</f>
        <v>3260000</v>
      </c>
      <c r="K187" s="634">
        <f>'116目標底稿ver1'!Z187</f>
        <v>95920000</v>
      </c>
      <c r="L187" s="618">
        <f>IF(E187=0,0,K187/E187-1)</f>
        <v>0.277934550805806</v>
      </c>
      <c r="M187" s="616">
        <f>ROUND(IF(G187&gt;=$H$2,($H$2*F187+$D$2*(E187-$H$2*F187))*$N$2,IF(G187&gt;=$J$2,E187*$P$2,IF(G187&gt;=$L$2,E187*$R$2,(E187+$F$2*($L$2*F187-E187))*$R$2))),-4)</f>
        <v>78420000</v>
      </c>
      <c r="N187" s="616">
        <f>ROUND(M187*$H$4,-4)</f>
        <v>78790000</v>
      </c>
      <c r="O187" s="616">
        <f>N187+J187</f>
        <v>82050000</v>
      </c>
      <c r="P187" s="618">
        <f>IF(E187=0,0,O187/E187-1)</f>
        <v>0.0931456410927476</v>
      </c>
      <c r="Q187" s="618">
        <f>IF(F187=0,0,O187/F187-1)</f>
        <v>-0.149917115623705</v>
      </c>
      <c r="R187" s="618">
        <f>MAX($H$3,MIN($J$3,$D$3-$F$3*(G187-1)))</f>
        <v>0.081</v>
      </c>
      <c r="S187" s="616">
        <f>ROUND(MAX(E187*(1+R187),F187*$L$3),-4)</f>
        <v>82040000</v>
      </c>
      <c r="T187" s="616">
        <f>ROUND(S187*$L$4,-4)</f>
        <v>82030000</v>
      </c>
      <c r="U187" s="616">
        <f>T187+J187</f>
        <v>85290000</v>
      </c>
      <c r="V187" s="618">
        <f>IF(E187=0,0,U187/E187-1)</f>
        <v>0.136311904068256</v>
      </c>
      <c r="W187" s="618">
        <f>IF(F187=0,0,U187/F187-1)</f>
        <v>-0.116348943224202</v>
      </c>
    </row>
    <row r="188">
      <c r="A188" s="634">
        <f>'116目標底稿ver1'!B188</f>
        <v>181</v>
      </c>
      <c r="B188" s="636" t="str">
        <f>'116目標底稿ver1'!C188</f>
        <v>北二區</v>
      </c>
      <c r="C188" s="634">
        <f>'116目標底稿ver1'!D188</f>
        <v>820</v>
      </c>
      <c r="D188" s="636" t="str">
        <f>'116目標底稿ver1'!E188</f>
        <v>花蓮分行</v>
      </c>
      <c r="E188" s="634">
        <f>'116目標底稿ver1'!G188</f>
        <v>69628302</v>
      </c>
      <c r="F188" s="634">
        <f>'116目標底稿ver1'!I188</f>
        <v>57880000</v>
      </c>
      <c r="G188" s="635">
        <f>'116目標底稿ver1'!J188</f>
        <v>1.2</v>
      </c>
      <c r="H188" s="636" t="str">
        <f>'116目標底稿ver1'!A188</f>
        <v>TYPE_1</v>
      </c>
      <c r="I188" s="634">
        <f>'116目標底稿ver1'!Q188</f>
        <v>70150000</v>
      </c>
      <c r="J188" s="634">
        <f>'116目標底稿ver1'!Y188</f>
        <v>1880000</v>
      </c>
      <c r="K188" s="634">
        <f>'116目標底稿ver1'!Z188</f>
        <v>72030000</v>
      </c>
      <c r="L188" s="618">
        <f>IF(E188=0,0,K188/E188-1)</f>
        <v>0.0344931289578194</v>
      </c>
      <c r="M188" s="616">
        <f>ROUND(IF(G188&gt;=$H$2,($H$2*F188+$D$2*(E188-$H$2*F188))*$N$2,IF(G188&gt;=$J$2,E188*$P$2,IF(G188&gt;=$L$2,E188*$R$2,(E188+$F$2*($L$2*F188-E188))*$R$2))),-4)</f>
        <v>70240000</v>
      </c>
      <c r="N188" s="616">
        <f>ROUND(M188*$H$4,-4)</f>
        <v>70580000</v>
      </c>
      <c r="O188" s="616">
        <f>N188+J188</f>
        <v>72460000</v>
      </c>
      <c r="P188" s="618">
        <f>IF(E188=0,0,O188/E188-1)</f>
        <v>0.0406687786239566</v>
      </c>
      <c r="Q188" s="618">
        <f>IF(F188=0,0,O188/F188-1)</f>
        <v>0.251900483759502</v>
      </c>
      <c r="R188" s="618">
        <f>MAX($H$3,MIN($J$3,$D$3-$F$3*(G188-1)))</f>
        <v>-0.024</v>
      </c>
      <c r="S188" s="616">
        <f>ROUND(MAX(E188*(1+R188),F188*$L$3),-4)</f>
        <v>67960000</v>
      </c>
      <c r="T188" s="616">
        <f>ROUND(S188*$L$4,-4)</f>
        <v>67950000</v>
      </c>
      <c r="U188" s="616">
        <f>T188+J188</f>
        <v>69830000</v>
      </c>
      <c r="V188" s="618">
        <f>IF(E188=0,0,U188/E188-1)</f>
        <v>0.00289678182874553</v>
      </c>
      <c r="W188" s="618">
        <f>IF(F188=0,0,U188/F188-1)</f>
        <v>0.206461644782308</v>
      </c>
    </row>
    <row r="189">
      <c r="A189" s="634">
        <f>'116目標底稿ver1'!B189</f>
        <v>182</v>
      </c>
      <c r="B189" s="636" t="str">
        <f>'116目標底稿ver1'!C189</f>
        <v>南區</v>
      </c>
      <c r="C189" s="634">
        <f>'116目標底稿ver1'!D189</f>
        <v>830</v>
      </c>
      <c r="D189" s="636" t="str">
        <f>'116目標底稿ver1'!E189</f>
        <v>台東分行</v>
      </c>
      <c r="E189" s="634">
        <f>'116目標底稿ver1'!G189</f>
        <v>22284373</v>
      </c>
      <c r="F189" s="634">
        <f>'116目標底稿ver1'!I189</f>
        <v>38100000</v>
      </c>
      <c r="G189" s="635">
        <f>'116目標底稿ver1'!J189</f>
        <v>0.58</v>
      </c>
      <c r="H189" s="636" t="str">
        <f>'116目標底稿ver1'!A189</f>
        <v>TYPE_4</v>
      </c>
      <c r="I189" s="634">
        <f>'116目標底稿ver1'!Q189</f>
        <v>36580000</v>
      </c>
      <c r="J189" s="634">
        <f>'116目標底稿ver1'!Y189</f>
        <v>1740000</v>
      </c>
      <c r="K189" s="634">
        <f>'116目標底稿ver1'!Z189</f>
        <v>38320000</v>
      </c>
      <c r="L189" s="618">
        <f>IF(E189=0,0,K189/E189-1)</f>
        <v>0.719590674595152</v>
      </c>
      <c r="M189" s="616">
        <f>ROUND(IF(G189&gt;=$H$2,($H$2*F189+$D$2*(E189-$H$2*F189))*$N$2,IF(G189&gt;=$J$2,E189*$P$2,IF(G189&gt;=$L$2,E189*$R$2,(E189+$F$2*($L$2*F189-E189))*$R$2))),-4)</f>
        <v>27170000</v>
      </c>
      <c r="N189" s="616">
        <f>ROUND(M189*$H$4,-4)</f>
        <v>27300000</v>
      </c>
      <c r="O189" s="616">
        <f>N189+J189</f>
        <v>29040000</v>
      </c>
      <c r="P189" s="618">
        <f>IF(E189=0,0,O189/E189-1)</f>
        <v>0.303155354651441</v>
      </c>
      <c r="Q189" s="618">
        <f>IF(F189=0,0,O189/F189-1)</f>
        <v>-0.237795275590551</v>
      </c>
      <c r="R189" s="618">
        <f>MAX($H$3,MIN($J$3,$D$3-$F$3*(G189-1)))</f>
        <v>0.131</v>
      </c>
      <c r="S189" s="616">
        <f>ROUND(MAX(E189*(1+R189),F189*$L$3),-4)</f>
        <v>32390000</v>
      </c>
      <c r="T189" s="616">
        <f>ROUND(S189*$L$4,-4)</f>
        <v>32390000</v>
      </c>
      <c r="U189" s="616">
        <f>T189+J189</f>
        <v>34130000</v>
      </c>
      <c r="V189" s="618">
        <f>IF(E189=0,0,U189/E189-1)</f>
        <v>0.531566537680912</v>
      </c>
      <c r="W189" s="618">
        <f>IF(F189=0,0,U189/F189-1)</f>
        <v>-0.104199475065617</v>
      </c>
    </row>
    <row r="190">
      <c r="A190" s="634">
        <f>'116目標底稿ver1'!B190</f>
        <v>183</v>
      </c>
      <c r="B190" s="636" t="str">
        <f>'116目標底稿ver1'!C190</f>
        <v>北一區</v>
      </c>
      <c r="C190" s="634">
        <f>'116目標底稿ver1'!D190</f>
        <v>888</v>
      </c>
      <c r="D190" s="636" t="str">
        <f>'116目標底稿ver1'!E190</f>
        <v>營運總部分行</v>
      </c>
      <c r="E190" s="634">
        <f>'116目標底稿ver1'!G190</f>
        <v>23269991</v>
      </c>
      <c r="F190" s="634">
        <f>'116目標底稿ver1'!I190</f>
        <v>17160000</v>
      </c>
      <c r="G190" s="635">
        <f>'116目標底稿ver1'!J190</f>
        <v>1.36</v>
      </c>
      <c r="H190" s="636" t="str">
        <f>'116目標底稿ver1'!A190</f>
        <v>TYPE_1</v>
      </c>
      <c r="I190" s="634">
        <f>'116目標底稿ver1'!Q190</f>
        <v>20800000</v>
      </c>
      <c r="J190" s="634">
        <f>'116目標底稿ver1'!Y190</f>
        <v>1060000</v>
      </c>
      <c r="K190" s="634">
        <f>'116目標底稿ver1'!Z190</f>
        <v>21860000</v>
      </c>
      <c r="L190" s="618">
        <f>IF(E190=0,0,K190/E190-1)</f>
        <v>-0.0605926749176654</v>
      </c>
      <c r="M190" s="616">
        <f>ROUND(IF(G190&gt;=$H$2,($H$2*F190+$D$2*(E190-$H$2*F190))*$N$2,IF(G190&gt;=$J$2,E190*$P$2,IF(G190&gt;=$L$2,E190*$R$2,(E190+$F$2*($L$2*F190-E190))*$R$2))),-4)</f>
        <v>22150000</v>
      </c>
      <c r="N190" s="616">
        <f>ROUND(M190*$H$4,-4)</f>
        <v>22260000</v>
      </c>
      <c r="O190" s="616">
        <f>N190+J190</f>
        <v>23320000</v>
      </c>
      <c r="P190" s="618">
        <f>IF(E190=0,0,O190/E190-1)</f>
        <v>0.00214907689478694</v>
      </c>
      <c r="Q190" s="618">
        <f>IF(F190=0,0,O190/F190-1)</f>
        <v>0.358974358974359</v>
      </c>
      <c r="R190" s="618">
        <f>MAX($H$3,MIN($J$3,$D$3-$F$3*(G190-1)))</f>
        <v>-0.064</v>
      </c>
      <c r="S190" s="616">
        <f>ROUND(MAX(E190*(1+R190),F190*$L$3),-4)</f>
        <v>21780000</v>
      </c>
      <c r="T190" s="616">
        <f>ROUND(S190*$L$4,-4)</f>
        <v>21780000</v>
      </c>
      <c r="U190" s="616">
        <f>T190+J190</f>
        <v>22840000</v>
      </c>
      <c r="V190" s="618">
        <f>IF(E190=0,0,U190/E190-1)</f>
        <v>-0.0184783483586221</v>
      </c>
      <c r="W190" s="618">
        <f>IF(F190=0,0,U190/F190-1)</f>
        <v>0.331002331002331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22</vt:i4>
      </vt:variant>
      <vt:variant>
        <vt:lpstr>具名範圍</vt:lpstr>
      </vt:variant>
      <vt:variant>
        <vt:i4>29</vt:i4>
      </vt:variant>
    </vt:vector>
  </HeadingPairs>
  <TitlesOfParts>
    <vt:vector size="51" baseType="lpstr">
      <vt:lpstr>原始參數_115</vt:lpstr>
      <vt:lpstr>財管手收比較表_值</vt:lpstr>
      <vt:lpstr>財管手收表</vt:lpstr>
      <vt:lpstr>客群經營目標表</vt:lpstr>
      <vt:lpstr>財管手收各月</vt:lpstr>
      <vt:lpstr>客群經營各月</vt:lpstr>
      <vt:lpstr>全年KPI</vt:lpstr>
      <vt:lpstr>115分組</vt:lpstr>
      <vt:lpstr>財管手收比較表_重點</vt:lpstr>
      <vt:lpstr>116目標底稿SUMMARY</vt:lpstr>
      <vt:lpstr>SUMMARYPLOT</vt:lpstr>
      <vt:lpstr>116目標底稿ver1</vt:lpstr>
      <vt:lpstr>116年參數表</vt:lpstr>
      <vt:lpstr>116指標1_前2年手收20%</vt:lpstr>
      <vt:lpstr>底稿_前2年手收20%</vt:lpstr>
      <vt:lpstr>113分行業績</vt:lpstr>
      <vt:lpstr>114分行業績</vt:lpstr>
      <vt:lpstr>115_分行業績</vt:lpstr>
      <vt:lpstr>116指標2_存款25%</vt:lpstr>
      <vt:lpstr>116指標6_理財AUM25%</vt:lpstr>
      <vt:lpstr>底稿_理財AUM25%</vt:lpstr>
      <vt:lpstr>116指標4_114分行人數25%</vt:lpstr>
      <vt:lpstr>原始參數_115!_Hlk217296675</vt:lpstr>
      <vt:lpstr>'115_分行業績'!Print_Area</vt:lpstr>
      <vt:lpstr>'116目標底稿ver1'!Print_Area</vt:lpstr>
      <vt:lpstr>'116年參數表'!Print_Area</vt:lpstr>
      <vt:lpstr>'116指標1_前2年手收20%'!Print_Area</vt:lpstr>
      <vt:lpstr>'116指標2_存款25%'!Print_Area</vt:lpstr>
      <vt:lpstr>'116指標4_114分行人數25%'!Print_Area</vt:lpstr>
      <vt:lpstr>'116指標6_理財AUM25%'!Print_Area</vt:lpstr>
      <vt:lpstr>全年KPI!Print_Area</vt:lpstr>
      <vt:lpstr>'底稿_理財AUM25%'!Print_Area</vt:lpstr>
      <vt:lpstr>客群經營目標表!Print_Area</vt:lpstr>
      <vt:lpstr>客群經營各月!Print_Area</vt:lpstr>
      <vt:lpstr>財管手收比較表_重點!Print_Area</vt:lpstr>
      <vt:lpstr>財管手收比較表_值!Print_Area</vt:lpstr>
      <vt:lpstr>財管手收各月!Print_Area</vt:lpstr>
      <vt:lpstr>財管手收表!Print_Area</vt:lpstr>
      <vt:lpstr>'115_分行業績'!Print_Titles</vt:lpstr>
      <vt:lpstr>'116目標底稿ver1'!Print_Titles</vt:lpstr>
      <vt:lpstr>'116指標1_前2年手收20%'!Print_Titles</vt:lpstr>
      <vt:lpstr>'116指標2_存款25%'!Print_Titles</vt:lpstr>
      <vt:lpstr>'116指標4_114分行人數25%'!Print_Titles</vt:lpstr>
      <vt:lpstr>'116指標6_理財AUM25%'!Print_Titles</vt:lpstr>
      <vt:lpstr>全年KPI!Print_Titles</vt:lpstr>
      <vt:lpstr>'底稿_理財AUM25%'!Print_Titles</vt:lpstr>
      <vt:lpstr>客群經營目標表!Print_Titles</vt:lpstr>
      <vt:lpstr>客群經營各月!Print_Titles</vt:lpstr>
      <vt:lpstr>財管手收比較表_值!Print_Titles</vt:lpstr>
      <vt:lpstr>財管手收各月!Print_Titles</vt:lpstr>
      <vt:lpstr>財管手收表!Print_Titles</vt:lpstr>
    </vt:vector>
  </TitlesOfParts>
  <Company>hncb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陳司玶</dc:creator>
  <cp:lastModifiedBy>羅國峯</cp:lastModifiedBy>
  <cp:lastPrinted>2026-10-16T02:33:39Z</cp:lastPrinted>
  <dcterms:created xsi:type="dcterms:W3CDTF">2017-11-30T07:47:31Z</dcterms:created>
  <dcterms:modified xsi:type="dcterms:W3CDTF">2026-10-19T02:53:38Z</dcterms:modified>
</cp:coreProperties>
</file>